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10.xml" ContentType="application/vnd.openxmlformats-officedocument.drawing+xml"/>
  <Override PartName="/xl/drawings/drawing11.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defaultThemeVersion="124226"/>
  <mc:AlternateContent xmlns:mc="http://schemas.openxmlformats.org/markup-compatibility/2006">
    <mc:Choice Requires="x15">
      <x15ac:absPath xmlns:x15ac="http://schemas.microsoft.com/office/spreadsheetml/2010/11/ac" url="C:\Users\helen\AppData\Local\Dynamita\Sumo24\Process code\Model base\Focus models\"/>
    </mc:Choice>
  </mc:AlternateContent>
  <xr:revisionPtr revIDLastSave="0" documentId="13_ncr:1_{889B7C7B-FA82-443D-9855-AA39DCA9008A}" xr6:coauthVersionLast="47" xr6:coauthVersionMax="47" xr10:uidLastSave="{00000000-0000-0000-0000-000000000000}"/>
  <bookViews>
    <workbookView xWindow="0" yWindow="30" windowWidth="25140" windowHeight="15450" tabRatio="850" xr2:uid="{00000000-000D-0000-FFFF-FFFF00000000}"/>
  </bookViews>
  <sheets>
    <sheet name="Help" sheetId="29" r:id="rId1"/>
    <sheet name="Concepts" sheetId="36" r:id="rId2"/>
    <sheet name="Parameters" sheetId="9" r:id="rId3"/>
    <sheet name="PU parameters" sheetId="37" r:id="rId4"/>
    <sheet name="Model" sheetId="1" r:id="rId5"/>
    <sheet name="pH" sheetId="4" r:id="rId6"/>
    <sheet name="Species" sheetId="20" r:id="rId7"/>
    <sheet name="Tableau" sheetId="17" state="hidden" r:id="rId8"/>
    <sheet name="Components" sheetId="2" r:id="rId9"/>
    <sheet name="Algebraic model" sheetId="13" state="hidden" r:id="rId10"/>
    <sheet name="Expert knowledge" sheetId="14" state="hidden" r:id="rId11"/>
    <sheet name="Calculated variables" sheetId="5" r:id="rId12"/>
    <sheet name="Functions" sheetId="3" state="hidden" r:id="rId13"/>
    <sheet name="Code" sheetId="10" state="hidden" r:id="rId14"/>
    <sheet name="Alert" sheetId="15" state="veryHidden" r:id="rId15"/>
    <sheet name="Security" sheetId="16" state="veryHidden" r:id="rId16"/>
    <sheet name="systemcode_functions" sheetId="34" state="hidden" r:id="rId17"/>
    <sheet name="systemcode_constants" sheetId="35" state="hidden" r:id="rId18"/>
    <sheet name="other parameters" sheetId="27" state="hidden" r:id="rId19"/>
  </sheets>
  <functionGroups builtInGroupCount="19"/>
  <definedNames>
    <definedName name="µ_ALGAE">Parameters!$D$196</definedName>
    <definedName name="µ_ALGAE_T">'Calculated variables'!$E$598</definedName>
    <definedName name="µ_AMETO">Parameters!$D$133</definedName>
    <definedName name="µ_AMETO_T">'Calculated variables'!$E$587</definedName>
    <definedName name="µ_AMX">Parameters!$D$121</definedName>
    <definedName name="µ_AMX_T">'Calculated variables'!$E$585</definedName>
    <definedName name="µ_AOB">Parameters!$D$91</definedName>
    <definedName name="µ_AOB_T">'Calculated variables'!$E$581</definedName>
    <definedName name="µ_ASRO">Parameters!$D$161</definedName>
    <definedName name="µ_ASRO_T">'Calculated variables'!$E$591</definedName>
    <definedName name="µ_CASTO">Parameters!$D$41</definedName>
    <definedName name="µ_CASTO_T">'Calculated variables'!$E$572</definedName>
    <definedName name="µ_FERM_OHO">Parameters!$D$8</definedName>
    <definedName name="µ_FERM_OHO_T">'Calculated variables'!$E$568</definedName>
    <definedName name="µ_FERM_PAO">Parameters!$D$43</definedName>
    <definedName name="µ_FERM_PAO_T">'Calculated variables'!$E$574</definedName>
    <definedName name="µ_HMETO">Parameters!$D$146</definedName>
    <definedName name="µ_HMETO_T">'Calculated variables'!$E$589</definedName>
    <definedName name="µ_HSRO">Parameters!$D$171</definedName>
    <definedName name="µ_HSRO_T">'Calculated variables'!$E$592</definedName>
    <definedName name="µ_MEOLO">Parameters!$D$29</definedName>
    <definedName name="µ_MEOLO_T">'Calculated variables'!$E$570</definedName>
    <definedName name="µ_NOB">Parameters!$D$107</definedName>
    <definedName name="µ_NOB_T">'Calculated variables'!$E$583</definedName>
    <definedName name="µ_OHO">Parameters!$D$7</definedName>
    <definedName name="µ_OHO_T">'Calculated variables'!$E$567</definedName>
    <definedName name="µ_PAO_lim">Parameters!$D$44</definedName>
    <definedName name="µ_PAO_lim_T">'Calculated variables'!$E$573</definedName>
    <definedName name="µ_SOO_H2S">Parameters!$D$181</definedName>
    <definedName name="µ_SOO_H2S_T">'Calculated variables'!$E$595</definedName>
    <definedName name="µ_SOO_S">Parameters!$D$182</definedName>
    <definedName name="µ_SOO_S_T">'Calculated variables'!$E$596</definedName>
    <definedName name="A_AR">'Calculated variables'!$E$152</definedName>
    <definedName name="A_Davies">'Calculated variables'!$E$617</definedName>
    <definedName name="A_H2O">systemcode_constants!$D$37</definedName>
    <definedName name="A_MAc">systemcode_constants!$D$166</definedName>
    <definedName name="A_MAg">systemcode_constants!$D$124</definedName>
    <definedName name="A_MAl">systemcode_constants!$D$90</definedName>
    <definedName name="A_MAm">systemcode_constants!$D$172</definedName>
    <definedName name="A_MAr">systemcode_constants!$D$95</definedName>
    <definedName name="A_MAs">systemcode_constants!$D$110</definedName>
    <definedName name="A_MAt">systemcode_constants!$D$162</definedName>
    <definedName name="A_MAu">systemcode_constants!$D$156</definedName>
    <definedName name="A_MB">systemcode_constants!$D$82</definedName>
    <definedName name="A_MBa">systemcode_constants!$D$133</definedName>
    <definedName name="A_MBe">systemcode_constants!$D$81</definedName>
    <definedName name="A_MBh">systemcode_constants!$D$184</definedName>
    <definedName name="A_MBi">systemcode_constants!$D$160</definedName>
    <definedName name="A_MBk">systemcode_constants!$D$174</definedName>
    <definedName name="A_MBr">systemcode_constants!$D$112</definedName>
    <definedName name="A_MC">systemcode_constants!$D$83</definedName>
    <definedName name="A_MCa">systemcode_constants!$D$97</definedName>
    <definedName name="A_MCd">systemcode_constants!$D$125</definedName>
    <definedName name="A_MCe">systemcode_constants!$D$135</definedName>
    <definedName name="A_MCf">systemcode_constants!$D$175</definedName>
    <definedName name="A_MCl">systemcode_constants!$D$94</definedName>
    <definedName name="A_MCm">systemcode_constants!$D$173</definedName>
    <definedName name="A_MCn">systemcode_constants!$D$189</definedName>
    <definedName name="A_MCo">systemcode_constants!$D$104</definedName>
    <definedName name="A_MCr">systemcode_constants!$D$101</definedName>
    <definedName name="A_MCs">systemcode_constants!$D$132</definedName>
    <definedName name="A_MCu">systemcode_constants!$D$106</definedName>
    <definedName name="A_MDb">systemcode_constants!$D$182</definedName>
    <definedName name="A_MDs">systemcode_constants!$D$187</definedName>
    <definedName name="A_MDy">systemcode_constants!$D$143</definedName>
    <definedName name="A_MEr">systemcode_constants!$D$145</definedName>
    <definedName name="A_MEs">systemcode_constants!$D$176</definedName>
    <definedName name="A_MEu">systemcode_constants!$D$140</definedName>
    <definedName name="A_MF">systemcode_constants!$D$86</definedName>
    <definedName name="A_MFe">systemcode_constants!$D$103</definedName>
    <definedName name="A_MFl">systemcode_constants!$D$191</definedName>
    <definedName name="A_MFm">systemcode_constants!$D$177</definedName>
    <definedName name="A_MFr">systemcode_constants!$D$164</definedName>
    <definedName name="A_MGa">systemcode_constants!$D$108</definedName>
    <definedName name="A_MGd">systemcode_constants!$D$141</definedName>
    <definedName name="A_MGe">systemcode_constants!$D$109</definedName>
    <definedName name="A_MH">systemcode_constants!$D$78</definedName>
    <definedName name="A_MHe">systemcode_constants!$D$79</definedName>
    <definedName name="A_MHf">systemcode_constants!$D$149</definedName>
    <definedName name="A_MHg">systemcode_constants!$D$157</definedName>
    <definedName name="A_MHo">systemcode_constants!$D$144</definedName>
    <definedName name="A_MHs">systemcode_constants!$D$185</definedName>
    <definedName name="A_MI">systemcode_constants!$D$130</definedName>
    <definedName name="A_MIn">systemcode_constants!$D$126</definedName>
    <definedName name="A_MIr">systemcode_constants!$D$154</definedName>
    <definedName name="A_MK">systemcode_constants!$D$96</definedName>
    <definedName name="A_MKr">systemcode_constants!$D$113</definedName>
    <definedName name="A_MLa">systemcode_constants!$D$134</definedName>
    <definedName name="A_MLi">systemcode_constants!$D$80</definedName>
    <definedName name="A_MLr">systemcode_constants!$D$180</definedName>
    <definedName name="A_MLu">systemcode_constants!$D$148</definedName>
    <definedName name="A_MLv">systemcode_constants!$D$193</definedName>
    <definedName name="A_MMd">systemcode_constants!$D$178</definedName>
    <definedName name="A_MMg">systemcode_constants!$D$89</definedName>
    <definedName name="A_MMn">systemcode_constants!$D$102</definedName>
    <definedName name="A_MMo">systemcode_constants!$D$119</definedName>
    <definedName name="A_MMt">systemcode_constants!$D$186</definedName>
    <definedName name="A_MN">systemcode_constants!$D$84</definedName>
    <definedName name="A_MNa">systemcode_constants!$D$88</definedName>
    <definedName name="A_MNb">systemcode_constants!$D$118</definedName>
    <definedName name="A_MNd">systemcode_constants!$D$137</definedName>
    <definedName name="A_MNe">systemcode_constants!$D$87</definedName>
    <definedName name="A_MNi">systemcode_constants!$D$105</definedName>
    <definedName name="A_MNo">systemcode_constants!$D$179</definedName>
    <definedName name="A_MNp">systemcode_constants!$D$170</definedName>
    <definedName name="A_MO">systemcode_constants!$D$85</definedName>
    <definedName name="A_MOs">systemcode_constants!$D$153</definedName>
    <definedName name="A_MP">systemcode_constants!$D$92</definedName>
    <definedName name="A_MPa">systemcode_constants!$D$168</definedName>
    <definedName name="A_MPb">systemcode_constants!$D$159</definedName>
    <definedName name="A_MPd">systemcode_constants!$D$123</definedName>
    <definedName name="A_MPm">systemcode_constants!$D$138</definedName>
    <definedName name="A_MPo">systemcode_constants!$D$161</definedName>
    <definedName name="A_MPr">systemcode_constants!$D$136</definedName>
    <definedName name="A_MPt">systemcode_constants!$D$155</definedName>
    <definedName name="A_MPu">systemcode_constants!$D$171</definedName>
    <definedName name="A_MRa">systemcode_constants!$D$165</definedName>
    <definedName name="A_MRb">systemcode_constants!$D$114</definedName>
    <definedName name="A_MRe">systemcode_constants!$D$152</definedName>
    <definedName name="A_MRf">systemcode_constants!$D$181</definedName>
    <definedName name="A_MRg">systemcode_constants!$D$188</definedName>
    <definedName name="A_MRh">systemcode_constants!$D$122</definedName>
    <definedName name="A_MRn">systemcode_constants!$D$163</definedName>
    <definedName name="A_MRu">systemcode_constants!$D$121</definedName>
    <definedName name="A_MS">systemcode_constants!$D$93</definedName>
    <definedName name="A_MSb">systemcode_constants!$D$128</definedName>
    <definedName name="A_MSc">systemcode_constants!$D$98</definedName>
    <definedName name="A_MSe">systemcode_constants!$D$111</definedName>
    <definedName name="A_MSg">systemcode_constants!$D$183</definedName>
    <definedName name="A_MSi">systemcode_constants!$D$91</definedName>
    <definedName name="A_MSm">systemcode_constants!$D$139</definedName>
    <definedName name="A_MSn">systemcode_constants!$D$127</definedName>
    <definedName name="A_MSr">systemcode_constants!$D$115</definedName>
    <definedName name="A_MTa">systemcode_constants!$D$150</definedName>
    <definedName name="A_MTb">systemcode_constants!$D$142</definedName>
    <definedName name="A_MTc">systemcode_constants!$D$120</definedName>
    <definedName name="A_MTe">systemcode_constants!$D$129</definedName>
    <definedName name="A_MTh">systemcode_constants!$D$167</definedName>
    <definedName name="A_MTi">systemcode_constants!$D$99</definedName>
    <definedName name="A_MTl">systemcode_constants!$D$158</definedName>
    <definedName name="A_MTm">systemcode_constants!$D$146</definedName>
    <definedName name="A_MU">systemcode_constants!$D$169</definedName>
    <definedName name="A_MUuo">systemcode_constants!$D$195</definedName>
    <definedName name="A_MUup">systemcode_constants!$D$192</definedName>
    <definedName name="A_MUus">systemcode_constants!$D$194</definedName>
    <definedName name="A_MUut">systemcode_constants!$D$190</definedName>
    <definedName name="A_MV">systemcode_constants!$D$100</definedName>
    <definedName name="A_MW">systemcode_constants!$D$151</definedName>
    <definedName name="A_MXe">systemcode_constants!$D$131</definedName>
    <definedName name="A_MY">systemcode_constants!$D$116</definedName>
    <definedName name="A_MYb">systemcode_constants!$D$147</definedName>
    <definedName name="A_MZn">systemcode_constants!$D$107</definedName>
    <definedName name="A_MZr">systemcode_constants!$D$117</definedName>
    <definedName name="A_SFHAO_H">Parameters!$D$492</definedName>
    <definedName name="A_SFHAO_L">Parameters!$D$493</definedName>
    <definedName name="A_SFHFO_H">Parameters!$D$485</definedName>
    <definedName name="A_SFHFO_L">Parameters!$D$486</definedName>
    <definedName name="A_UR">'Calculated variables'!$E$142</definedName>
    <definedName name="actferm_PAO_ORP">'Calculated variables'!$E$74</definedName>
    <definedName name="actGAO">'Calculated variables'!$E$69</definedName>
    <definedName name="actPAO">'Calculated variables'!$E$68</definedName>
    <definedName name="actsto_GAO_ORP">'Calculated variables'!$E$72</definedName>
    <definedName name="actsto_PAO_ORP">'Calculated variables'!$E$73</definedName>
    <definedName name="b_ALGAE">Parameters!$D$197</definedName>
    <definedName name="b_ALGAE_T">'Calculated variables'!$E$599</definedName>
    <definedName name="b_AMETO">Parameters!$D$134</definedName>
    <definedName name="b_AMETO_T">'Calculated variables'!$E$588</definedName>
    <definedName name="b_AMX">Parameters!$D$122</definedName>
    <definedName name="b_AMX_T">'Calculated variables'!$E$586</definedName>
    <definedName name="b_AOB">Parameters!$D$92</definedName>
    <definedName name="b_AOB_T">'Calculated variables'!$E$582</definedName>
    <definedName name="b_ASRO">Parameters!$D$162</definedName>
    <definedName name="b_ASRO_T">'Calculated variables'!$E$593</definedName>
    <definedName name="b_CASTO">Parameters!$D$45</definedName>
    <definedName name="b_CASTO_T">'Calculated variables'!$E$580</definedName>
    <definedName name="B_ellinhpH">'Calculated variables'!$E$382</definedName>
    <definedName name="B_ellinhpH_AMETO">'Calculated variables'!$E$388</definedName>
    <definedName name="B_ellinhpH_AOB">'Calculated variables'!$E$384</definedName>
    <definedName name="B_ellinhpH_FLOC_HAO">'Calculated variables'!$E$394</definedName>
    <definedName name="B_ellinhpH_FLOC_HFO">'Calculated variables'!$E$392</definedName>
    <definedName name="B_ellinhpH_HMETO">'Calculated variables'!$E$390</definedName>
    <definedName name="B_ellinhpH_NOB">'Calculated variables'!$E$386</definedName>
    <definedName name="B_H2O">systemcode_constants!$D$38</definedName>
    <definedName name="b_HMETO">Parameters!$D$147</definedName>
    <definedName name="b_HMETO_T">'Calculated variables'!$E$590</definedName>
    <definedName name="b_HSRO">Parameters!$D$172</definedName>
    <definedName name="b_HSRO_T">'Calculated variables'!$E$594</definedName>
    <definedName name="b_MEOLO">Parameters!$D$30</definedName>
    <definedName name="b_MEOLO_T">'Calculated variables'!$E$571</definedName>
    <definedName name="b_NOB">Parameters!$D$108</definedName>
    <definedName name="b_NOB_T">'Calculated variables'!$E$584</definedName>
    <definedName name="b_OHO">Parameters!$D$9</definedName>
    <definedName name="b_OHO_T">'Calculated variables'!$E$569</definedName>
    <definedName name="b_PP_ana">Parameters!$D$47</definedName>
    <definedName name="b_PP_ana_T">'Calculated variables'!$E$579</definedName>
    <definedName name="b_SOO">Parameters!$D$183</definedName>
    <definedName name="b_SOO_T">'Calculated variables'!$E$597</definedName>
    <definedName name="b_STC">Parameters!$D$46</definedName>
    <definedName name="b_STC_T">'Calculated variables'!$E$578</definedName>
    <definedName name="C_B">Components!$E$7</definedName>
    <definedName name="c_cm_m">systemcode_constants!$D$389</definedName>
    <definedName name="c_cm2_m2">systemcode_constants!$D$390</definedName>
    <definedName name="c_cm3_m3">systemcode_constants!$D$391</definedName>
    <definedName name="c_d_mon">systemcode_constants!$D$375</definedName>
    <definedName name="c_d_w">systemcode_constants!$D$374</definedName>
    <definedName name="c_d_y">systemcode_constants!$D$376</definedName>
    <definedName name="c_ft_m">systemcode_constants!$D$397</definedName>
    <definedName name="c_ft2_m2">systemcode_constants!$D$396</definedName>
    <definedName name="c_ft3_m3">systemcode_constants!$D$395</definedName>
    <definedName name="c_g_kg">systemcode_constants!$D$378</definedName>
    <definedName name="c_G_m3">systemcode_constants!$D$393</definedName>
    <definedName name="c_g_ton">systemcode_constants!$D$379</definedName>
    <definedName name="c_h_d">systemcode_constants!$D$369</definedName>
    <definedName name="C_H2O">systemcode_constants!$D$39</definedName>
    <definedName name="c_hargebalance">pH!$AF$22</definedName>
    <definedName name="c_hargebalanceerror">'Calculated variables'!$E$724</definedName>
    <definedName name="c_kJ_MJ">systemcode_constants!$D$381</definedName>
    <definedName name="c_L_m3">systemcode_constants!$D$380</definedName>
    <definedName name="c_lbs_g">systemcode_constants!$D$394</definedName>
    <definedName name="c_mg_g">systemcode_constants!$D$377</definedName>
    <definedName name="c_MG_m3">systemcode_constants!$D$392</definedName>
    <definedName name="c_micron_m">systemcode_constants!$D$387</definedName>
    <definedName name="c_min_d">systemcode_constants!$D$367</definedName>
    <definedName name="c_min_h">systemcode_constants!$D$368</definedName>
    <definedName name="c_mm_m">systemcode_constants!$D$388</definedName>
    <definedName name="c_mmol_mol">systemcode_constants!$D$363</definedName>
    <definedName name="c_ms_d">systemcode_constants!$D$370</definedName>
    <definedName name="c_ms_h">systemcode_constants!$D$371</definedName>
    <definedName name="c_ms_min">systemcode_constants!$D$372</definedName>
    <definedName name="c_ms_s">systemcode_constants!$D$373</definedName>
    <definedName name="c_oeffdamp_ALPHA">Parameters!$D$512</definedName>
    <definedName name="c_oefflead_TSS_α_mech">Parameters!$D$517</definedName>
    <definedName name="c_oefflin_TSS_α_mech">Parameters!$D$518</definedName>
    <definedName name="c_onstTSS_α_mech">Parameters!$D$519</definedName>
    <definedName name="c_orrh_diff_α">'Calculated variables'!$E$852</definedName>
    <definedName name="c_orrTSS_α">'Calculated variables'!$E$853</definedName>
    <definedName name="C_OUR">'Calculated variables'!$E$138</definedName>
    <definedName name="c_p_water">systemcode_constants!$D$66</definedName>
    <definedName name="c_Pa_bar">systemcode_constants!$D$385</definedName>
    <definedName name="c_Pa_Hgmm">systemcode_constants!$D$384</definedName>
    <definedName name="c_Pa_mbar">systemcode_constants!$D$386</definedName>
    <definedName name="c_Pa_MPa">systemcode_constants!$D$383</definedName>
    <definedName name="c_percent_fraction">systemcode_constants!$D$362</definedName>
    <definedName name="c_percent_Vconc">systemcode_constants!$D$361</definedName>
    <definedName name="c_ppm_Vconc">systemcode_constants!$D$360</definedName>
    <definedName name="c_s_d">systemcode_constants!$D$364</definedName>
    <definedName name="c_s_h">systemcode_constants!$D$365</definedName>
    <definedName name="c_s_min">systemcode_constants!$D$366</definedName>
    <definedName name="C_U">Components!$E$11</definedName>
    <definedName name="c_W_kW">systemcode_constants!$D$382</definedName>
    <definedName name="conc_Acm_I">Species!$D$19</definedName>
    <definedName name="conc_Acm_Ieq">'Calculated variables'!$E$675</definedName>
    <definedName name="conc_ANm_I">Species!$D$24</definedName>
    <definedName name="conc_Ca2p_I">Species!$D$20</definedName>
    <definedName name="conc_CATp_I">Species!$D$22</definedName>
    <definedName name="conc_CO32m_I">Species!$D$13</definedName>
    <definedName name="conc_Fe2p_I">Species!$D$31</definedName>
    <definedName name="conc_H2CO3_I">Species!$D$11</definedName>
    <definedName name="conc_H2PO4m_I">Species!$D$15</definedName>
    <definedName name="conc_H2PO4m_Ieq">'Calculated variables'!$E$674</definedName>
    <definedName name="conc_H2S_I">Species!$D$28</definedName>
    <definedName name="conc_H2SO4_I">Species!$D$25</definedName>
    <definedName name="conc_H3PO4_I">Species!$D$14</definedName>
    <definedName name="conc_HAc_I">Species!$D$18</definedName>
    <definedName name="conc_HCO3m_I">Species!$D$12</definedName>
    <definedName name="conc_HNO2_I">Species!$D$8</definedName>
    <definedName name="conc_Hp_I">Species!$D$4</definedName>
    <definedName name="conc_Hp_Ieq">systemcode_constants!$D$352</definedName>
    <definedName name="conc_HPO42m_I">Species!$D$16</definedName>
    <definedName name="conc_HPO42m_Ieq">'Calculated variables'!$E$673</definedName>
    <definedName name="conc_HSm_I">Species!$D$29</definedName>
    <definedName name="conc_HSm_Ieq">'Calculated variables'!$E$677</definedName>
    <definedName name="conc_HSO4m_I">Species!$D$26</definedName>
    <definedName name="conc_Kp_I">Species!$D$23</definedName>
    <definedName name="conc_Mg2p_I">Species!$D$21</definedName>
    <definedName name="conc_NH3_I">Species!$D$6</definedName>
    <definedName name="conc_NH4p_I">Species!$D$7</definedName>
    <definedName name="conc_NO2m_I">Species!$D$9</definedName>
    <definedName name="conc_NO2m_Ieq">'Calculated variables'!$E$676</definedName>
    <definedName name="conc_NO3m_I">Species!$D$10</definedName>
    <definedName name="conc_OHm_I">Species!$D$5</definedName>
    <definedName name="conc_PO43m_I">Species!$D$17</definedName>
    <definedName name="conc_S2m_I">Species!$D$30</definedName>
    <definedName name="conc_SO42m_I">Species!$D$27</definedName>
    <definedName name="d_ampALPHA">'Calculated variables'!$E$851</definedName>
    <definedName name="D_CB">systemcode_constants!$D$479</definedName>
    <definedName name="D_CU">systemcode_constants!$D$480</definedName>
    <definedName name="D_eltaHbio">Parameters!$D$572</definedName>
    <definedName name="D_GCH4_25">systemcode_constants!$D$30</definedName>
    <definedName name="D_GCO2_25">systemcode_constants!$D$28</definedName>
    <definedName name="D_GH2_25">systemcode_constants!$D$29</definedName>
    <definedName name="D_GH2S_25">systemcode_constants!$D$33</definedName>
    <definedName name="D_GN2_25">systemcode_constants!$D$26</definedName>
    <definedName name="D_GN2O_25">systemcode_constants!$D$32</definedName>
    <definedName name="D_GNH3_25">systemcode_constants!$D$27</definedName>
    <definedName name="D_GNO_25">systemcode_constants!$D$31</definedName>
    <definedName name="D_GO2_25">systemcode_constants!$D$25</definedName>
    <definedName name="d_HCaCO3">systemcode_constants!$D$451</definedName>
    <definedName name="d_HCaH2PO4p">systemcode_constants!$D$455</definedName>
    <definedName name="d_HCaHCO3p">systemcode_constants!$D$452</definedName>
    <definedName name="d_HCaHPO4">systemcode_constants!$D$454</definedName>
    <definedName name="d_HCaOHp">systemcode_constants!$D$450</definedName>
    <definedName name="d_HCaPO4m">systemcode_constants!$D$453</definedName>
    <definedName name="d_Hdiss_But">systemcode_constants!$D$444</definedName>
    <definedName name="d_Hdiss_CO2_1">systemcode_constants!$D$437</definedName>
    <definedName name="d_Hdiss_CO2_2">systemcode_constants!$D$438</definedName>
    <definedName name="d_Hdiss_H2O">systemcode_constants!$D$434</definedName>
    <definedName name="d_Hdiss_NO2">systemcode_constants!$D$436</definedName>
    <definedName name="d_Hdiss_PO4_1">systemcode_constants!$D$439</definedName>
    <definedName name="d_Hdiss_PO4_2">systemcode_constants!$D$440</definedName>
    <definedName name="d_Hdiss_PO4_3">systemcode_constants!$D$441</definedName>
    <definedName name="d_Hdiss_Prop">systemcode_constants!$D$443</definedName>
    <definedName name="d_Hdiss_S_1">systemcode_constants!$D$446</definedName>
    <definedName name="d_Hdiss_S_2">systemcode_constants!$D$447</definedName>
    <definedName name="d_Hdiss_SO4_1">systemcode_constants!$D$448</definedName>
    <definedName name="d_Hdiss_SO4_2">systemcode_constants!$D$449</definedName>
    <definedName name="d_Hdiss_Val">systemcode_constants!$D$445</definedName>
    <definedName name="d_Hdiss_VFA">systemcode_constants!$D$442</definedName>
    <definedName name="d_Hion_amm">systemcode_constants!$D$435</definedName>
    <definedName name="d_HMgCO3">systemcode_constants!$D$457</definedName>
    <definedName name="d_HMgH2PO4p">systemcode_constants!$D$461</definedName>
    <definedName name="d_HMgHCO3p">systemcode_constants!$D$458</definedName>
    <definedName name="d_HMgHPO4">systemcode_constants!$D$459</definedName>
    <definedName name="d_HMgOHp">systemcode_constants!$D$456</definedName>
    <definedName name="d_HMgPO4m">systemcode_constants!$D$460</definedName>
    <definedName name="d_HNaHPO4m">systemcode_constants!$D$462</definedName>
    <definedName name="D_isplay_µALGAE_T">'Calculated variables'!$E$951</definedName>
    <definedName name="D_isplay_µAOB_T">'Calculated variables'!$E$933</definedName>
    <definedName name="D_isplay_BellinhpH_AOB">'Calculated variables'!$E$946</definedName>
    <definedName name="D_isplay_LightSwitch">'Calculated variables'!$E$954</definedName>
    <definedName name="D_isplay_LogsatpHCO2_AOB">'Calculated variables'!$E$936</definedName>
    <definedName name="D_isplay_MinhpHHNO2_AOB">'Calculated variables'!$E$944</definedName>
    <definedName name="D_isplay_MinhpHNH3_NITO">'Calculated variables'!$E$945</definedName>
    <definedName name="D_isplay_MinhSNHx_KiNHx_ALGAE">'Calculated variables'!$E$956</definedName>
    <definedName name="D_isplay_MsatSALK_KALK">'Calculated variables'!$E$947</definedName>
    <definedName name="D_isplay_MsatSAN_KAN">'Calculated variables'!$E$940</definedName>
    <definedName name="D_isplay_MsatSCa_KCa">'Calculated variables'!$E$941</definedName>
    <definedName name="D_isplay_MsatSCAT_KCAT">'Calculated variables'!$E$939</definedName>
    <definedName name="D_isplay_MsatSCO2_KCO2_ALGAE">'Calculated variables'!$E$953</definedName>
    <definedName name="D_isplay_MsatSMg_KMg">'Calculated variables'!$E$942</definedName>
    <definedName name="D_isplay_MsatSNHx_KNHx_ALGAE">'Calculated variables'!$E$957</definedName>
    <definedName name="D_isplay_MsatSNHx_KNHx_AOB">'Calculated variables'!$E$935</definedName>
    <definedName name="D_isplay_MsatSNOx_KNOx_ALGAE">'Calculated variables'!$E$955</definedName>
    <definedName name="D_isplay_MsatSO2_KO2_AOB">'Calculated variables'!$E$937</definedName>
    <definedName name="D_isplay_MsatSPO4_KPO4_BIO">'Calculated variables'!$E$938</definedName>
    <definedName name="D_isplay_MsatSSO4_KSO4_BIO">'Calculated variables'!$E$943</definedName>
    <definedName name="D_isplay_XALGAE">'Calculated variables'!$E$952</definedName>
    <definedName name="D_isplay_XAOB">'Calculated variables'!$E$934</definedName>
    <definedName name="D_NBS">systemcode_constants!$D$489</definedName>
    <definedName name="D_NH3">systemcode_constants!$D$484</definedName>
    <definedName name="D_NO3">systemcode_constants!$D$485</definedName>
    <definedName name="D_NUS">systemcode_constants!$D$488</definedName>
    <definedName name="D_PO4">systemcode_constants!$D$486</definedName>
    <definedName name="D_SA">systemcode_constants!$D$467</definedName>
    <definedName name="D_SALK">systemcode_constants!$D$515</definedName>
    <definedName name="D_SALPHA">systemcode_constants!$D$473</definedName>
    <definedName name="D_SAN">systemcode_constants!$D$511</definedName>
    <definedName name="D_SB">systemcode_constants!$D$469</definedName>
    <definedName name="D_SB_mono">systemcode_constants!$D$470</definedName>
    <definedName name="D_SB_poly">systemcode_constants!$D$471</definedName>
    <definedName name="D_SBSA">systemcode_constants!$D$468</definedName>
    <definedName name="D_SBSC">systemcode_constants!$D$475</definedName>
    <definedName name="D_SCa">systemcode_constants!$D$508</definedName>
    <definedName name="D_SCAT">systemcode_constants!$D$510</definedName>
    <definedName name="D_SCH4">systemcode_constants!$D$504</definedName>
    <definedName name="D_SCO2">systemcode_constants!$D$506</definedName>
    <definedName name="D_SF">systemcode_constants!$D$474</definedName>
    <definedName name="D_SFe2">systemcode_constants!$D$514</definedName>
    <definedName name="D_SH2">systemcode_constants!$D$505</definedName>
    <definedName name="D_SH2S">systemcode_constants!$D$512</definedName>
    <definedName name="D_SHCO">systemcode_constants!$D$516</definedName>
    <definedName name="D_SI">systemcode_constants!$D$478</definedName>
    <definedName name="D_SK">systemcode_constants!$D$507</definedName>
    <definedName name="D_SMEOL">systemcode_constants!$D$476</definedName>
    <definedName name="D_SMg">systemcode_constants!$D$509</definedName>
    <definedName name="D_SMM_index">systemcode_constants!$D$517</definedName>
    <definedName name="D_SN_B">systemcode_constants!$D$497</definedName>
    <definedName name="D_SN2">systemcode_constants!$D$487</definedName>
    <definedName name="D_SN2O">systemcode_constants!$D$496</definedName>
    <definedName name="D_SND">systemcode_constants!$D$498</definedName>
    <definedName name="D_SNH">systemcode_constants!$D$483</definedName>
    <definedName name="D_SNH2OH">systemcode_constants!$D$492</definedName>
    <definedName name="D_SNH4">systemcode_constants!$D$482</definedName>
    <definedName name="D_SNHx">systemcode_constants!$D$481</definedName>
    <definedName name="D_SNO">systemcode_constants!$D$495</definedName>
    <definedName name="D_SNO2">systemcode_constants!$D$494</definedName>
    <definedName name="D_SNO3">systemcode_constants!$D$493</definedName>
    <definedName name="D_SNOx">systemcode_constants!$D$491</definedName>
    <definedName name="D_SO">systemcode_constants!$D$503</definedName>
    <definedName name="D_SO2">systemcode_constants!$D$502</definedName>
    <definedName name="D_SP_B">systemcode_constants!$D$501</definedName>
    <definedName name="D_SPO">systemcode_constants!$D$500</definedName>
    <definedName name="D_SPO4">systemcode_constants!$D$499</definedName>
    <definedName name="D_SS">systemcode_constants!$D$472</definedName>
    <definedName name="D_SSO4">systemcode_constants!$D$513</definedName>
    <definedName name="D_SU">systemcode_constants!$D$477</definedName>
    <definedName name="D_SUS">systemcode_constants!$D$490</definedName>
    <definedName name="D_SVFA">systemcode_constants!$D$466</definedName>
    <definedName name="E_EQFe2">systemcode_constants!$D$337</definedName>
    <definedName name="E_EQH2S">systemcode_constants!$D$339</definedName>
    <definedName name="E_EQN2">systemcode_constants!$D$324</definedName>
    <definedName name="E_EQN2_N2O">systemcode_constants!$D$335</definedName>
    <definedName name="E_EQN2_NO2">systemcode_constants!$D$332</definedName>
    <definedName name="E_EQN2_NO3">systemcode_constants!$D$336</definedName>
    <definedName name="E_EQN2O">systemcode_constants!$D$325</definedName>
    <definedName name="E_EQN2O_NO">systemcode_constants!$D$334</definedName>
    <definedName name="E_EQNH2OH">systemcode_constants!$D$329</definedName>
    <definedName name="E_EQNH2OH_NO">systemcode_constants!$D$330</definedName>
    <definedName name="E_EQNO">systemcode_constants!$D$326</definedName>
    <definedName name="E_EQNO_NO2">systemcode_constants!$D$333</definedName>
    <definedName name="E_EQNO2">systemcode_constants!$D$327</definedName>
    <definedName name="E_EQNO2_NO3">systemcode_constants!$D$331</definedName>
    <definedName name="E_EQNO3">systemcode_constants!$D$328</definedName>
    <definedName name="E_EQS">systemcode_constants!$D$338</definedName>
    <definedName name="e_rrorNHx_NOx">'Calculated variables'!$E$55</definedName>
    <definedName name="F__">systemcode_constants!$D$64</definedName>
    <definedName name="f_Ar_air">systemcode_constants!$D$48</definedName>
    <definedName name="f_bw_floc">'Calculated variables'!$E$59</definedName>
    <definedName name="f_C_BOD5_BODult">Parameters!$D$480</definedName>
    <definedName name="f_CO2_air">systemcode_constants!$D$49</definedName>
    <definedName name="f_di">'Calculated variables'!$E$627</definedName>
    <definedName name="f_di_IS_an">systemcode_constants!$D$346</definedName>
    <definedName name="f_di_IS_cat">systemcode_constants!$D$345</definedName>
    <definedName name="f_di_ISlim">'Calculated variables'!$E$624</definedName>
    <definedName name="f_E">Parameters!$D$423</definedName>
    <definedName name="f_H2O_HAO_TSS">Parameters!$D$494</definedName>
    <definedName name="f_H2O_HAO_VSS">Parameters!$D$495</definedName>
    <definedName name="f_H2O_HFO_TSS">Parameters!$D$487</definedName>
    <definedName name="f_H2O_HFO_VSS">Parameters!$D$488</definedName>
    <definedName name="f_kL_GCH4">Parameters!$D$504</definedName>
    <definedName name="f_kL_GCO2">Parameters!$D$503</definedName>
    <definedName name="f_kL_GH2">Parameters!$D$505</definedName>
    <definedName name="f_kL_GH2S">Parameters!$D$506</definedName>
    <definedName name="f_kL_GN2">Parameters!$D$502</definedName>
    <definedName name="f_kL_GNH3">Parameters!$D$507</definedName>
    <definedName name="f_KS">'other parameters'!$D$8</definedName>
    <definedName name="f_KS_biofilm">Parameters!$D$334</definedName>
    <definedName name="f_mono">'Calculated variables'!$E$626</definedName>
    <definedName name="f_mono_IS_an">systemcode_constants!$D$344</definedName>
    <definedName name="f_mono_IS_cat">systemcode_constants!$D$343</definedName>
    <definedName name="f_mono_ISlim">'Calculated variables'!$E$623</definedName>
    <definedName name="f_N2_air">systemcode_constants!$D$47</definedName>
    <definedName name="f_Na">Parameters!$D$471</definedName>
    <definedName name="f_O2_air">systemcode_constants!$D$46</definedName>
    <definedName name="f_O2_max_ALPHA">Parameters!$D$511</definedName>
    <definedName name="f_P_VFA">Parameters!$D$404</definedName>
    <definedName name="f_S_BOD5_BODult">Parameters!$D$479</definedName>
    <definedName name="f_TOC_1">Parameters!$D$541</definedName>
    <definedName name="f_TOC_2">Parameters!$D$542</definedName>
    <definedName name="f_tri">'Calculated variables'!$E$628</definedName>
    <definedName name="f_tri_IS_an">systemcode_constants!$D$348</definedName>
    <definedName name="f_tri_IS_cat">systemcode_constants!$D$347</definedName>
    <definedName name="f_tri_ISlim">'Calculated variables'!$E$625</definedName>
    <definedName name="f_VFA_DM">Parameters!$D$474</definedName>
    <definedName name="f_X_BOD5_BODult">Parameters!$D$481</definedName>
    <definedName name="G_CH4">Components!$E$85</definedName>
    <definedName name="G_CH4_atm">Components!$E$92</definedName>
    <definedName name="G_CO2">Components!$E$84</definedName>
    <definedName name="G_CO2_atm">Components!$E$91</definedName>
    <definedName name="g_grav">systemcode_constants!$D$65</definedName>
    <definedName name="G_H2">Components!$E$86</definedName>
    <definedName name="G_H2_atm">Components!$E$93</definedName>
    <definedName name="G_H2S">Components!$E$90</definedName>
    <definedName name="G_H2S_atm">Components!$E$97</definedName>
    <definedName name="G_H2S_odor_lim">Parameters!$D$267</definedName>
    <definedName name="G_N2">Components!$E$89</definedName>
    <definedName name="G_N2_atm">Components!$E$96</definedName>
    <definedName name="G_NH3">Components!$E$88</definedName>
    <definedName name="G_NH3_atm">Components!$E$95</definedName>
    <definedName name="G_O2">Components!$E$87</definedName>
    <definedName name="G_O2_atm">Components!$E$94</definedName>
    <definedName name="H_Acm">systemcode_constants!$D$417</definedName>
    <definedName name="H_Ca2p">systemcode_constants!$D$424</definedName>
    <definedName name="H_CO32m">systemcode_constants!$D$411</definedName>
    <definedName name="h_diff">'other parameters'!$D$12</definedName>
    <definedName name="H_enryGCH4_25">systemcode_constants!$D$16</definedName>
    <definedName name="H_enryGCH4_dt">systemcode_constants!$D$17</definedName>
    <definedName name="H_enryGCO2_25">systemcode_constants!$D$6</definedName>
    <definedName name="H_enryGCO2_dt">systemcode_constants!$D$7</definedName>
    <definedName name="H_enryGH2_25">systemcode_constants!$D$14</definedName>
    <definedName name="H_enryGH2_dt">systemcode_constants!$D$15</definedName>
    <definedName name="H_enryGH2S_25">systemcode_constants!$D$20</definedName>
    <definedName name="H_enryGH2S_dt">systemcode_constants!$D$21</definedName>
    <definedName name="H_enryGN2_25">systemcode_constants!$D$12</definedName>
    <definedName name="H_enryGN2_dt">systemcode_constants!$D$13</definedName>
    <definedName name="H_enryGN2O_25">systemcode_constants!$D$10</definedName>
    <definedName name="H_enryGN2O_dt">systemcode_constants!$D$11</definedName>
    <definedName name="H_enryGNH3_25">systemcode_constants!$D$18</definedName>
    <definedName name="H_enryGNH3_dt">systemcode_constants!$D$19</definedName>
    <definedName name="H_enryGNO_25">systemcode_constants!$D$8</definedName>
    <definedName name="H_enryGNO_dt">systemcode_constants!$D$9</definedName>
    <definedName name="H_enryGO2_25">systemcode_constants!$D$4</definedName>
    <definedName name="H_enryGO2_dt">systemcode_constants!$D$5</definedName>
    <definedName name="H_H2CO3">systemcode_constants!$D$409</definedName>
    <definedName name="H_H2O">systemcode_constants!$D$430</definedName>
    <definedName name="H_H2PO4m">systemcode_constants!$D$413</definedName>
    <definedName name="H_H2S">systemcode_constants!$D$418</definedName>
    <definedName name="H_H2SO4">systemcode_constants!$D$421</definedName>
    <definedName name="H_H3Op">systemcode_constants!$D$402</definedName>
    <definedName name="H_H3PO4">systemcode_constants!$D$412</definedName>
    <definedName name="H_HAc">systemcode_constants!$D$416</definedName>
    <definedName name="H_HCO3m">systemcode_constants!$D$410</definedName>
    <definedName name="H_HNO2">systemcode_constants!$D$406</definedName>
    <definedName name="H_Hp">systemcode_constants!$D$401</definedName>
    <definedName name="H_HPO42m">systemcode_constants!$D$414</definedName>
    <definedName name="H_HSm">systemcode_constants!$D$419</definedName>
    <definedName name="H_HSO4m">systemcode_constants!$D$422</definedName>
    <definedName name="H_Mg2p">systemcode_constants!$D$425</definedName>
    <definedName name="H_Nap">systemcode_constants!$D$426</definedName>
    <definedName name="H_NH3">systemcode_constants!$D$404</definedName>
    <definedName name="H_NH4p">systemcode_constants!$D$405</definedName>
    <definedName name="H_NO2m">systemcode_constants!$D$407</definedName>
    <definedName name="H_NO3m">systemcode_constants!$D$408</definedName>
    <definedName name="H_OHm">systemcode_constants!$D$403</definedName>
    <definedName name="H_PO43m">systemcode_constants!$D$415</definedName>
    <definedName name="H_S2m">systemcode_constants!$D$420</definedName>
    <definedName name="H_satSH2S_KH2S_SOO">'Calculated variables'!$E$508</definedName>
    <definedName name="H_satSVFA_AMETO">'Calculated variables'!$E$488</definedName>
    <definedName name="H_SO42m">systemcode_constants!$D$423</definedName>
    <definedName name="H_STP">systemcode_constants!$D$70</definedName>
    <definedName name="i_Ca_INORG">Parameters!$D$472</definedName>
    <definedName name="i_Ca_PP">Parameters!$D$468</definedName>
    <definedName name="i_CIT_ALGAE">Parameters!$D$460</definedName>
    <definedName name="i_CIT_BIO">Parameters!$D$459</definedName>
    <definedName name="i_CIT_CH4">Parameters!$D$464</definedName>
    <definedName name="i_CIT_MEOL">Parameters!$D$463</definedName>
    <definedName name="i_CIT_PHA">Parameters!$D$466</definedName>
    <definedName name="i_CIT_SB">Parameters!$D$461</definedName>
    <definedName name="i_CIT_STC">'Calculated variables'!$E$77</definedName>
    <definedName name="i_CIT_VFA">Parameters!$D$465</definedName>
    <definedName name="i_CIT_XBe">Parameters!$D$462</definedName>
    <definedName name="i_CV_BIO">Parameters!$D$452</definedName>
    <definedName name="i_CV_CB">Parameters!$D$456</definedName>
    <definedName name="i_CV_CU">Parameters!$D$457</definedName>
    <definedName name="i_CV_PHA">Parameters!$D$458</definedName>
    <definedName name="i_CV_SB">Parameters!$D$454</definedName>
    <definedName name="i_CV_SU">Parameters!$D$455</definedName>
    <definedName name="i_CV_VFA">Parameters!$D$453</definedName>
    <definedName name="i_CV_XB">Parameters!$D$449</definedName>
    <definedName name="i_CV_XBe">'Calculated variables'!$E$60</definedName>
    <definedName name="i_CV_XE">Parameters!$D$451</definedName>
    <definedName name="i_CV_XU">Parameters!$D$450</definedName>
    <definedName name="i_INORG">Parameters!$D$467</definedName>
    <definedName name="i_iw_BIO">Parameters!$D$546</definedName>
    <definedName name="i_K_PP">Parameters!$D$470</definedName>
    <definedName name="i_Mg_INORG">Parameters!$D$473</definedName>
    <definedName name="i_Mg_PP">Parameters!$D$469</definedName>
    <definedName name="i_N_ALGAE">Parameters!$D$425</definedName>
    <definedName name="i_N_BIO">Parameters!$D$424</definedName>
    <definedName name="i_N_CB">Parameters!$D$427</definedName>
    <definedName name="i_N_CU">Parameters!$D$428</definedName>
    <definedName name="i_N_SU">Parameters!$D$429</definedName>
    <definedName name="i_N_XE">Parameters!$D$426</definedName>
    <definedName name="i_N_XSTR">Parameters!$D$430</definedName>
    <definedName name="i_P_ALGAE">Parameters!$D$432</definedName>
    <definedName name="i_P_BIO">Parameters!$D$431</definedName>
    <definedName name="i_P_CB">Parameters!$D$433</definedName>
    <definedName name="i_P_CU">Parameters!$D$434</definedName>
    <definedName name="i_P_SU">Parameters!$D$435</definedName>
    <definedName name="i_P_XACP">Parameters!$D$437</definedName>
    <definedName name="i_P_XBSH">Parameters!$D$438</definedName>
    <definedName name="i_P_XSTR">Parameters!$D$436</definedName>
    <definedName name="i_P_XVivi">Parameters!$D$439</definedName>
    <definedName name="I_S">'Calculated variables'!$E$682</definedName>
    <definedName name="i_S_ALGAE">Parameters!$D$441</definedName>
    <definedName name="i_S_BIO">Parameters!$D$440</definedName>
    <definedName name="i_S_CB">Parameters!$D$444</definedName>
    <definedName name="i_S_CU">Parameters!$D$445</definedName>
    <definedName name="i_S_FeS">Parameters!$D$448</definedName>
    <definedName name="i_S_SB">Parameters!$D$442</definedName>
    <definedName name="i_S_SU">Parameters!$D$443</definedName>
    <definedName name="i_S_XB">Parameters!$D$446</definedName>
    <definedName name="i_S_XU">Parameters!$D$447</definedName>
    <definedName name="I_Scalc">pH!$AF$23</definedName>
    <definedName name="I_Serror">'Calculated variables'!$E$725</definedName>
    <definedName name="I_Sinput_AS">Parameters!$D$533</definedName>
    <definedName name="I_Sinput_DIG">Parameters!$D$534</definedName>
    <definedName name="I_Sinput_sidestream">Parameters!$D$535</definedName>
    <definedName name="I_Slim">Parameters!$D$536</definedName>
    <definedName name="i_TSS_PP">Parameters!$D$405</definedName>
    <definedName name="i_vw_BIO">Parameters!$D$553</definedName>
    <definedName name="i_vw_CB">Parameters!$D$555</definedName>
    <definedName name="i_vw_CU">Parameters!$D$556</definedName>
    <definedName name="i_vw_EPS">Parameters!$D$558</definedName>
    <definedName name="i_vw_PHA">Parameters!$D$557</definedName>
    <definedName name="i_vw_XB">Parameters!$D$550</definedName>
    <definedName name="i_vw_XBe">Parameters!$D$551</definedName>
    <definedName name="i_vw_XE">Parameters!$D$554</definedName>
    <definedName name="i_vw_XU">Parameters!$D$552</definedName>
    <definedName name="i_wh_BIO">Parameters!$D$565</definedName>
    <definedName name="i_wh_EPS">Parameters!$D$568</definedName>
    <definedName name="i_wh_PHA">Parameters!$D$567</definedName>
    <definedName name="i_wh_XB">Parameters!$D$562</definedName>
    <definedName name="i_wh_XBe">Parameters!$D$563</definedName>
    <definedName name="i_wh_XE">Parameters!$D$566</definedName>
    <definedName name="i_wh_XU">Parameters!$D$564</definedName>
    <definedName name="J_photosynt_solar">'other parameters'!$D$88</definedName>
    <definedName name="J_photosynt_solar_opt">'other parameters'!$D$89</definedName>
    <definedName name="K_Ac">'Calculated variables'!$E$658</definedName>
    <definedName name="K_Ac_param">systemcode_constants!$D$301</definedName>
    <definedName name="K_Ac_T">'Calculated variables'!$E$642</definedName>
    <definedName name="K_ACP_DISS">Parameters!$D$219</definedName>
    <definedName name="K_AN">'Calculated variables'!$E$337</definedName>
    <definedName name="K_AN_AS">Parameters!$D$280</definedName>
    <definedName name="K_BSH_DISS">Parameters!$D$220</definedName>
    <definedName name="K_But_param">systemcode_constants!$D$303</definedName>
    <definedName name="K_C1">'Calculated variables'!$E$649</definedName>
    <definedName name="K_C1_param">systemcode_constants!$D$296</definedName>
    <definedName name="K_C1_T">'Calculated variables'!$E$633</definedName>
    <definedName name="K_C2">'Calculated variables'!$E$650</definedName>
    <definedName name="K_C2_param">systemcode_constants!$D$297</definedName>
    <definedName name="K_C2_T">'Calculated variables'!$E$634</definedName>
    <definedName name="K_Ca_BIO">'Calculated variables'!$E$341</definedName>
    <definedName name="K_Ca_BIO_AS">Parameters!$D$282</definedName>
    <definedName name="K_Ca_PAO">'Calculated variables'!$E$251</definedName>
    <definedName name="K_Ca_PAO_AS">Parameters!$D$74</definedName>
    <definedName name="K_CaCO3_DISS">Parameters!$D$221</definedName>
    <definedName name="K_CAT">'Calculated variables'!$E$335</definedName>
    <definedName name="K_CAT_AS">Parameters!$D$279</definedName>
    <definedName name="K_CB_FLOC">Parameters!$D$307</definedName>
    <definedName name="K_CB_FLOC_HAO">Parameters!$D$311</definedName>
    <definedName name="K_CB_FLOC_HFO">Parameters!$D$309</definedName>
    <definedName name="K_CO2_ALGAE">Parameters!$D$198</definedName>
    <definedName name="K_CO2_AMX_pH">'Calculated variables'!$E$192</definedName>
    <definedName name="K_CO2_AMX_pH_AS">Parameters!$D$125</definedName>
    <definedName name="K_CO2_AOB_pH">'Calculated variables'!$E$163</definedName>
    <definedName name="K_CO2_AOB_pH_AS">Parameters!$D$94</definedName>
    <definedName name="K_CO2_AOB_pH_sidestream">Parameters!$D$96</definedName>
    <definedName name="K_CO2_BIO">'Calculated variables'!$E$333</definedName>
    <definedName name="K_CO2_BIO_AS">Parameters!$D$278</definedName>
    <definedName name="K_CO2_NOB_pH">'Calculated variables'!$E$177</definedName>
    <definedName name="K_CO2_NOB_pH_AS">Parameters!$D$110</definedName>
    <definedName name="K_CU_FLOC">Parameters!$D$308</definedName>
    <definedName name="K_CU_FLOC_HAO">Parameters!$D$312</definedName>
    <definedName name="K_CU_FLOC_HFO">Parameters!$D$310</definedName>
    <definedName name="K_FeS_DISS">Parameters!$D$222</definedName>
    <definedName name="K_H2_HMETO">'Calculated variables'!$E$271</definedName>
    <definedName name="K_H2_HMETO_AS">Parameters!$D$148</definedName>
    <definedName name="K_H2_HSRO">'Calculated variables'!$E$293</definedName>
    <definedName name="K_H2_HSRO_AS">Parameters!$D$173</definedName>
    <definedName name="K_H2S_ASSIM">'Calculated variables'!$E$353</definedName>
    <definedName name="K_H2S_ASSIM_AS">Parameters!$D$326</definedName>
    <definedName name="K_H2S_param">systemcode_constants!$D$309</definedName>
    <definedName name="K_H2S_SOO">'Calculated variables'!$E$318</definedName>
    <definedName name="K_H2S_SOO_AS">Parameters!$D$190</definedName>
    <definedName name="K_HYD">'Calculated variables'!$E$343</definedName>
    <definedName name="K_HYD_AS">Parameters!$D$304</definedName>
    <definedName name="K_iH2S_ASRO">'Calculated variables'!$E$284</definedName>
    <definedName name="K_iH2S_ASRO_AS">Parameters!$D$165</definedName>
    <definedName name="K_iH2S_HSRO">'Calculated variables'!$E$297</definedName>
    <definedName name="K_iH2S_HSRO_AS">Parameters!$D$175</definedName>
    <definedName name="K_iH2S_SOO">'Calculated variables'!$E$320</definedName>
    <definedName name="K_iH2S_SOO_AS">Parameters!$D$191</definedName>
    <definedName name="K_iHNO2_AMX_pH">'Calculated variables'!$E$197</definedName>
    <definedName name="K_iHNO2_AMX_pH_AS">Parameters!$D$129</definedName>
    <definedName name="K_iHNO2_AOB_pH">'Calculated variables'!$E$170</definedName>
    <definedName name="K_iHNO2_AOB_pH_AS">Parameters!$D$101</definedName>
    <definedName name="K_iNH3_AMETO_pH">'Calculated variables'!$E$262</definedName>
    <definedName name="K_iNH3_AMETO_pH_AS">Parameters!$D$137</definedName>
    <definedName name="K_iNH3_NOB_pH">'Calculated variables'!$E$183</definedName>
    <definedName name="K_iNH3_NOB_pH_AS">Parameters!$D$115</definedName>
    <definedName name="K_iNHx_ALGAE">Parameters!$D$202</definedName>
    <definedName name="K_iNHx_ASSIM">'Calculated variables'!$E$345</definedName>
    <definedName name="K_iNHx_ASSIM_AS">Parameters!$D$322</definedName>
    <definedName name="K_iO2_AMETO">'Calculated variables'!$E$264</definedName>
    <definedName name="K_iO2_AMETO_AS">Parameters!$D$139</definedName>
    <definedName name="K_iO2_AMX">'Calculated variables'!$E$193</definedName>
    <definedName name="K_iO2_AMX_AS">Parameters!$D$127</definedName>
    <definedName name="K_iO2_ASRO">'Calculated variables'!$E$286</definedName>
    <definedName name="K_iO2_ASRO_AS">Parameters!$D$166</definedName>
    <definedName name="K_iO2_HMETO">'Calculated variables'!$E$273</definedName>
    <definedName name="K_iO2_HMETO_AS">Parameters!$D$149</definedName>
    <definedName name="K_iO2_HSRO">'Calculated variables'!$E$299</definedName>
    <definedName name="K_iO2_HSRO_AS">Parameters!$D$176</definedName>
    <definedName name="K_iO2_MEOLO">'Calculated variables'!$E$226</definedName>
    <definedName name="K_iO2_MEOLO_AS">Parameters!$D$33</definedName>
    <definedName name="K_iP_HAO_DESORP">Parameters!$D$258</definedName>
    <definedName name="K_iP_HAO_DISS">Parameters!$D$256</definedName>
    <definedName name="K_iP_HFO_DESORP">Parameters!$D$239</definedName>
    <definedName name="K_iP_HFO_DISS">Parameters!$D$237</definedName>
    <definedName name="K_iPHA_GAO_max">Parameters!$D$81</definedName>
    <definedName name="K_iPHA_PAO_max">Parameters!$D$70</definedName>
    <definedName name="K_iPO4_lim">'Calculated variables'!$E$253</definedName>
    <definedName name="K_iPO4_lim_AS">Parameters!$D$76</definedName>
    <definedName name="K_iPP_PAO_max">Parameters!$D$67</definedName>
    <definedName name="K_iSO4_ASSIM">'Calculated variables'!$E$351</definedName>
    <definedName name="K_iSO4_ASSIM_AS">Parameters!$D$325</definedName>
    <definedName name="K_iSO4_RED">Parameters!$D$244</definedName>
    <definedName name="K_iVFA_AMETO">'Calculated variables'!$E$260</definedName>
    <definedName name="K_iVFA_AMETO_AS">Parameters!$D$136</definedName>
    <definedName name="K_K_PAO">'Calculated variables'!$E$249</definedName>
    <definedName name="K_K_PAO_AS">Parameters!$D$73</definedName>
    <definedName name="k_L_GCH4_bub">'Calculated variables'!$E$838</definedName>
    <definedName name="k_L_GCH4_sur">'Calculated variables'!$E$844</definedName>
    <definedName name="k_L_GCO2_bub">'Calculated variables'!$E$837</definedName>
    <definedName name="k_L_GCO2_sur">'Calculated variables'!$E$843</definedName>
    <definedName name="k_L_GH2_bub">'Calculated variables'!$E$839</definedName>
    <definedName name="k_L_GH2_sur">'Calculated variables'!$E$845</definedName>
    <definedName name="k_L_GH2S_bub">'Calculated variables'!$E$835</definedName>
    <definedName name="k_L_GH2S_sur">'Calculated variables'!$E$841</definedName>
    <definedName name="k_L_GN2_bub">'Calculated variables'!$E$836</definedName>
    <definedName name="k_L_GN2_sur">'Calculated variables'!$E$842</definedName>
    <definedName name="k_L_GNH3_bub">'Calculated variables'!$E$840</definedName>
    <definedName name="k_L_GNH3_sur">'Calculated variables'!$E$846</definedName>
    <definedName name="k_L_GO2_bub">Parameters!$D$499</definedName>
    <definedName name="k_L_GO2_PondSurface">Parameters!$D$501</definedName>
    <definedName name="k_L_GO2_sur">Parameters!$D$500</definedName>
    <definedName name="k_LaGCH4_bub">'other parameters'!$D$16</definedName>
    <definedName name="k_LaGCH4_sur">'other parameters'!$D$33</definedName>
    <definedName name="k_LaGCO2_bub">'other parameters'!$D$15</definedName>
    <definedName name="k_LaGCO2_sur">'other parameters'!$D$32</definedName>
    <definedName name="k_LaGH2_bub">'other parameters'!$D$17</definedName>
    <definedName name="k_LaGH2_sur">'other parameters'!$D$34</definedName>
    <definedName name="k_LaGH2S_bub">'other parameters'!$D$13</definedName>
    <definedName name="k_LaGH2S_sur">'other parameters'!$D$30</definedName>
    <definedName name="k_LaGN2_bub">'other parameters'!$D$19</definedName>
    <definedName name="k_LaGN2_sur">'other parameters'!$D$36</definedName>
    <definedName name="k_LaGNH3_bub">'other parameters'!$D$18</definedName>
    <definedName name="k_LaGNH3_sur">'other parameters'!$D$35</definedName>
    <definedName name="k_LaGO2_bub">'other parameters'!$D$14</definedName>
    <definedName name="k_LaGO2_sur">'other parameters'!$D$31</definedName>
    <definedName name="K_MEOL">'Calculated variables'!$E$224</definedName>
    <definedName name="K_MEOL_AS">Parameters!$D$32</definedName>
    <definedName name="K_MEOL_OHO">'Calculated variables'!$E$208</definedName>
    <definedName name="K_MEOL_OHO_AS">Parameters!$D$15</definedName>
    <definedName name="K_MEOL_SNO2">'Calculated variables'!$E$230</definedName>
    <definedName name="K_MEOL_SNO2_AS">Parameters!$D$36</definedName>
    <definedName name="K_Mg_BIO">'Calculated variables'!$E$339</definedName>
    <definedName name="K_Mg_BIO_AS">Parameters!$D$281</definedName>
    <definedName name="K_Mg_PAO">'Calculated variables'!$E$247</definedName>
    <definedName name="K_Mg_PAO_AS">Parameters!$D$72</definedName>
    <definedName name="K_NH3">'Calculated variables'!$E$660</definedName>
    <definedName name="K_NH3_param">systemcode_constants!$D$294</definedName>
    <definedName name="K_NH3_T">'Calculated variables'!$E$644</definedName>
    <definedName name="K_NHx_ALGAE">Parameters!$D$201</definedName>
    <definedName name="K_NHx_AMX">'Calculated variables'!$E$188</definedName>
    <definedName name="K_NHx_AMX_AS">Parameters!$D$123</definedName>
    <definedName name="K_NHx_AOB">'Calculated variables'!$E$161</definedName>
    <definedName name="K_NHx_AOB_AS">Parameters!$D$93</definedName>
    <definedName name="K_NHx_BIO">'Calculated variables'!$E$327</definedName>
    <definedName name="K_NHx_BIO_AS">Parameters!$D$275</definedName>
    <definedName name="K_NO2">'Calculated variables'!$E$659</definedName>
    <definedName name="K_NO2_AMX">'Calculated variables'!$E$190</definedName>
    <definedName name="K_NO2_AMX_AS">Parameters!$D$124</definedName>
    <definedName name="K_NO2_ASSIM">'Calculated variables'!$E$347</definedName>
    <definedName name="K_NO2_ASSIM_AS">Parameters!$D$323</definedName>
    <definedName name="K_NO2_CASTO">'Calculated variables'!$E$239</definedName>
    <definedName name="K_NO2_CASTO_AS">Parameters!$D$64</definedName>
    <definedName name="K_NO2_H2S_SOO">'Calculated variables'!$E$308</definedName>
    <definedName name="K_NO2_H2S_SOO_AS">Parameters!$D$185</definedName>
    <definedName name="K_NO2_MEOLO">'Calculated variables'!$E$228</definedName>
    <definedName name="K_NO2_MEOLO_AS">Parameters!$D$35</definedName>
    <definedName name="K_NO2_NOB">'Calculated variables'!$E$175</definedName>
    <definedName name="K_NO2_NOB_AS">Parameters!$D$109</definedName>
    <definedName name="K_NO2_OHO">'Calculated variables'!$E$210</definedName>
    <definedName name="K_NO2_OHO_AS">Parameters!$D$19</definedName>
    <definedName name="K_NO2_param">systemcode_constants!$D$295</definedName>
    <definedName name="K_NO2_S_SOO">'Calculated variables'!$E$314</definedName>
    <definedName name="K_NO2_S_SOO_AS">Parameters!$D$188</definedName>
    <definedName name="K_NO2_T">'Calculated variables'!$E$643</definedName>
    <definedName name="K_NO3_ASSIM">'Calculated variables'!$E$349</definedName>
    <definedName name="K_NO3_ASSIM_AS">Parameters!$D$324</definedName>
    <definedName name="K_NO3_CASTO">'Calculated variables'!$E$241</definedName>
    <definedName name="K_NO3_CASTO_AS">Parameters!$D$63</definedName>
    <definedName name="K_NO3_H2S_SOO">'Calculated variables'!$E$310</definedName>
    <definedName name="K_NO3_H2S_SOO_AS">Parameters!$D$186</definedName>
    <definedName name="K_NO3_MEOLO">'Calculated variables'!$E$232</definedName>
    <definedName name="K_NO3_MEOLO_AS">Parameters!$D$34</definedName>
    <definedName name="K_NO3_OHO">'Calculated variables'!$E$214</definedName>
    <definedName name="K_NO3_OHO_AS">Parameters!$D$16</definedName>
    <definedName name="K_NO3_S_SOO">'Calculated variables'!$E$316</definedName>
    <definedName name="K_NO3_S_SOO_AS">Parameters!$D$189</definedName>
    <definedName name="K_NOx_ALGAE">Parameters!$D$199</definedName>
    <definedName name="K_NOx_AMETO">'Calculated variables'!$E$266</definedName>
    <definedName name="K_NOx_AMETO_AS">Parameters!$D$140</definedName>
    <definedName name="K_NOx_AMX">'Calculated variables'!$E$195</definedName>
    <definedName name="K_NOx_AMX_AS">Parameters!$D$128</definedName>
    <definedName name="K_NOx_AOB">'Calculated variables'!$E$168</definedName>
    <definedName name="K_NOx_AOB_AS">Parameters!$D$100</definedName>
    <definedName name="K_NOx_ASRO">'Calculated variables'!$E$288</definedName>
    <definedName name="K_NOx_ASRO_AS">Parameters!$D$167</definedName>
    <definedName name="K_NOx_HMETO">'Calculated variables'!$E$275</definedName>
    <definedName name="K_NOx_HMETO_AS">Parameters!$D$150</definedName>
    <definedName name="K_NOx_HSRO">'Calculated variables'!$E$301</definedName>
    <definedName name="K_NOx_HSRO_AS">Parameters!$D$177</definedName>
    <definedName name="K_NOx_NOB">'Calculated variables'!$E$181</definedName>
    <definedName name="K_NOx_NOB_AS">Parameters!$D$114</definedName>
    <definedName name="K_O2_ALGAE">Parameters!$D$200</definedName>
    <definedName name="K_O2_ALPHA">Parameters!$D$510</definedName>
    <definedName name="K_O2_AOB">'Calculated variables'!$E$165</definedName>
    <definedName name="K_O2_AOB_AS">Parameters!$D$99</definedName>
    <definedName name="K_O2_AOB_sidestream">Parameters!$D$98</definedName>
    <definedName name="K_O2_CASTO">'Calculated variables'!$E$237</definedName>
    <definedName name="K_O2_CASTO_AS">Parameters!$D$62</definedName>
    <definedName name="K_O2_H2S_SOO">'Calculated variables'!$E$306</definedName>
    <definedName name="K_O2_H2S_SOO_AS">Parameters!$D$184</definedName>
    <definedName name="K_O2_NOB">'Calculated variables'!$E$178</definedName>
    <definedName name="K_O2_NOB_AS">Parameters!$D$113</definedName>
    <definedName name="K_O2_NOB_sidestream">Parameters!$D$112</definedName>
    <definedName name="K_O2_OHO">'Calculated variables'!$E$206</definedName>
    <definedName name="K_O2_OHO_AS">Parameters!$D$13</definedName>
    <definedName name="K_O2_S_SOO">'Calculated variables'!$E$312</definedName>
    <definedName name="K_O2_S_SOO_AS">Parameters!$D$187</definedName>
    <definedName name="K_OC_PFOA_EQ">Parameters!$D$329</definedName>
    <definedName name="K_OC_PFOS_EQ">Parameters!$D$330</definedName>
    <definedName name="K_ORP_ana">Parameters!$D$528</definedName>
    <definedName name="K_ORP_SNOx">Parameters!$D$527</definedName>
    <definedName name="K_ORP_SO2">Parameters!$D$526</definedName>
    <definedName name="k_ORPswitch">Parameters!$D$86</definedName>
    <definedName name="K_P_HAO_BIND">Parameters!$D$255</definedName>
    <definedName name="K_P_HFO_BIND">Parameters!$D$240</definedName>
    <definedName name="K_P1">'Calculated variables'!$E$651</definedName>
    <definedName name="K_P1_param">systemcode_constants!$D$298</definedName>
    <definedName name="K_P1_T">'Calculated variables'!$E$635</definedName>
    <definedName name="K_P2">'Calculated variables'!$E$652</definedName>
    <definedName name="K_P2_param">systemcode_constants!$D$299</definedName>
    <definedName name="K_P2_T">'Calculated variables'!$E$636</definedName>
    <definedName name="K_P3">'Calculated variables'!$E$653</definedName>
    <definedName name="K_P3_param">systemcode_constants!$D$300</definedName>
    <definedName name="K_P3_T">'Calculated variables'!$E$637</definedName>
    <definedName name="K_PHA">Parameters!$D$60</definedName>
    <definedName name="K_PHA_cle">Parameters!$D$59</definedName>
    <definedName name="K_PHA_GAO">Parameters!$D$80</definedName>
    <definedName name="K_PO4_BIO">'Calculated variables'!$E$329</definedName>
    <definedName name="K_PO4_BIO_AS">Parameters!$D$276</definedName>
    <definedName name="K_PO4_PAO">'Calculated variables'!$E$245</definedName>
    <definedName name="K_PO4_PAO_AS">Parameters!$D$56</definedName>
    <definedName name="K_PP">Parameters!$D$66</definedName>
    <definedName name="K_PP_lim">Parameters!$D$75</definedName>
    <definedName name="K_Prop_param">systemcode_constants!$D$302</definedName>
    <definedName name="K_S_SOO">'Calculated variables'!$E$322</definedName>
    <definedName name="K_S_SOO_AS">Parameters!$D$192</definedName>
    <definedName name="K_S1">'Calculated variables'!$E$654</definedName>
    <definedName name="K_S1_param">systemcode_constants!$D$305</definedName>
    <definedName name="K_S1_T">'Calculated variables'!$E$638</definedName>
    <definedName name="K_S2">'Calculated variables'!$E$655</definedName>
    <definedName name="K_S2_param">systemcode_constants!$D$306</definedName>
    <definedName name="K_S2_T">'Calculated variables'!$E$639</definedName>
    <definedName name="K_SB">'Calculated variables'!$E$202</definedName>
    <definedName name="K_SB_ana">'Calculated variables'!$E$218</definedName>
    <definedName name="K_SB_ana_AS">Parameters!$D$24</definedName>
    <definedName name="K_SB_ana_DIG">Parameters!$D$25</definedName>
    <definedName name="K_SB_AS">Parameters!$D$12</definedName>
    <definedName name="K_scaling">Parameters!$D$265</definedName>
    <definedName name="K_SO4_ASRO">'Calculated variables'!$E$282</definedName>
    <definedName name="K_SO4_ASRO_AS">Parameters!$D$164</definedName>
    <definedName name="K_SO4_BIO">'Calculated variables'!$E$331</definedName>
    <definedName name="K_SO4_BIO_AS">Parameters!$D$277</definedName>
    <definedName name="K_SO4_HSRO">'Calculated variables'!$E$295</definedName>
    <definedName name="K_SO4_HSRO_AS">Parameters!$D$174</definedName>
    <definedName name="K_SO41">'Calculated variables'!$E$656</definedName>
    <definedName name="K_SO41_param">systemcode_constants!$D$307</definedName>
    <definedName name="K_SO41_T">'Calculated variables'!$E$640</definedName>
    <definedName name="K_SO42">'Calculated variables'!$E$657</definedName>
    <definedName name="K_SO42_param">systemcode_constants!$D$308</definedName>
    <definedName name="K_SO42_T">'Calculated variables'!$E$641</definedName>
    <definedName name="K_sp_ACP">'Calculated variables'!$E$668</definedName>
    <definedName name="K_sp_ACP_param">systemcode_constants!$D$315</definedName>
    <definedName name="K_sp_BSH">'Calculated variables'!$E$669</definedName>
    <definedName name="K_sp_BSH_param">systemcode_constants!$D$316</definedName>
    <definedName name="K_sp_CaCO3">'Calculated variables'!$E$664</definedName>
    <definedName name="K_sp_CaCO3_param">systemcode_constants!$D$313</definedName>
    <definedName name="K_sp_FeS">'Calculated variables'!$E$666</definedName>
    <definedName name="K_sp_FeS_param">systemcode_constants!$D$318</definedName>
    <definedName name="K_sp_HDP_param">systemcode_constants!$D$319</definedName>
    <definedName name="K_sp_MKP_param">systemcode_constants!$D$320</definedName>
    <definedName name="K_sp_STR">'Calculated variables'!$E$665</definedName>
    <definedName name="K_sp_STR_param">systemcode_constants!$D$314</definedName>
    <definedName name="K_sp_Vivi">'Calculated variables'!$E$667</definedName>
    <definedName name="K_sp_Vivi_param">systemcode_constants!$D$317</definedName>
    <definedName name="K_STC">Parameters!$D$61</definedName>
    <definedName name="K_STR_DISS">Parameters!$D$218</definedName>
    <definedName name="K_TKN_B">Parameters!$D$264</definedName>
    <definedName name="k_transfer_GCO2_bub">'Calculated variables'!$E$826</definedName>
    <definedName name="k_transfer_GCO2_sur">'Calculated variables'!$E$829</definedName>
    <definedName name="k_transfer_GH2S_bub">'Calculated variables'!$E$828</definedName>
    <definedName name="k_transfer_GH2S_sur">'Calculated variables'!$E$831</definedName>
    <definedName name="k_transfer_GNH3_bub">'Calculated variables'!$E$827</definedName>
    <definedName name="k_transfer_GNH3_sur">'Calculated variables'!$E$830</definedName>
    <definedName name="k_transfer_MM">Parameters!$D$266</definedName>
    <definedName name="K_Val_param">systemcode_constants!$D$304</definedName>
    <definedName name="K_VFA">'Calculated variables'!$E$204</definedName>
    <definedName name="K_VFA_AMETO">'Calculated variables'!$E$258</definedName>
    <definedName name="K_VFA_AMETO_AS">Parameters!$D$135</definedName>
    <definedName name="K_VFA_AS">Parameters!$D$14</definedName>
    <definedName name="K_VFA_ASRO">'Calculated variables'!$E$280</definedName>
    <definedName name="K_VFA_ASRO_AS">Parameters!$D$163</definedName>
    <definedName name="K_VFA_CASTO">'Calculated variables'!$E$243</definedName>
    <definedName name="K_VFA_CASTO_AS">Parameters!$D$65</definedName>
    <definedName name="K_VFA_FERM">'Calculated variables'!$E$216</definedName>
    <definedName name="K_VFA_FERM_AS">Parameters!$D$22</definedName>
    <definedName name="K_VFA_OHO_SNO2">'Calculated variables'!$E$212</definedName>
    <definedName name="K_VFA_OHO_SNO2_AS">Parameters!$D$20</definedName>
    <definedName name="K_Vivi_DISS">Parameters!$D$223</definedName>
    <definedName name="K_W">'Calculated variables'!$E$648</definedName>
    <definedName name="K_W_param">systemcode_constants!$D$293</definedName>
    <definedName name="K_W_T">'Calculated variables'!$E$632</definedName>
    <definedName name="K_XB_HYD">Parameters!$D$313</definedName>
    <definedName name="K_XBe_HYD">Parameters!$D$314</definedName>
    <definedName name="K_XEana_HYD">Parameters!$D$315</definedName>
    <definedName name="K_XTSS_lightextinction">'other parameters'!$D$90</definedName>
    <definedName name="K_XU">Parameters!$D$320</definedName>
    <definedName name="L_ightSwitch">'Calculated variables'!$E$106</definedName>
    <definedName name="L_oginhORP_HFO">'Calculated variables'!$E$94</definedName>
    <definedName name="L_oginhORP_MM">'Calculated variables'!$E$95</definedName>
    <definedName name="L_oginhORP_PAO">'Calculated variables'!$E$89</definedName>
    <definedName name="L_oginhpHNH3_AMETO">'Calculated variables'!$E$402</definedName>
    <definedName name="L_oginhSMEOL_KMEOL_SNO2">'Calculated variables'!$E$439</definedName>
    <definedName name="L_oginhSNO3_KNO3_MEOLO">'Calculated variables'!$E$441</definedName>
    <definedName name="L_oginhSNO3_KNO3_OHO">'Calculated variables'!$E$427</definedName>
    <definedName name="L_oginhSPO4_KiP_HAO_DISS">'Calculated variables'!$E$553</definedName>
    <definedName name="L_oginhSPO4_KiP_HFO_DISS">'Calculated variables'!$E$550</definedName>
    <definedName name="L_oginhSVFA_KVFA_FERM">'Calculated variables'!$E$426</definedName>
    <definedName name="L_oginhSVFA_KVFA_OHO_SNO2">'Calculated variables'!$E$430</definedName>
    <definedName name="L_oginhXHET_HYD_lim">'Calculated variables'!$E$543</definedName>
    <definedName name="L_oginhXPHA_XGAO_max">'Calculated variables'!$E$481</definedName>
    <definedName name="L_oginhXPHA_XPAO_max">'Calculated variables'!$E$479</definedName>
    <definedName name="L_oginhXPP_XPAO_max">'Calculated variables'!$E$480</definedName>
    <definedName name="L_ograngeCO2_AMX_pH_AS">Parameters!$D$126</definedName>
    <definedName name="L_ograngeCO2_AOB_pH_AS">Parameters!$D$95</definedName>
    <definedName name="L_ograngeCO2_AOB_pH_sidestream">Parameters!$D$97</definedName>
    <definedName name="L_ograngeCO2_NOB_pH_AS">Parameters!$D$111</definedName>
    <definedName name="L_ograngeKMEOL_SNO2">Parameters!$D$37</definedName>
    <definedName name="L_ograngeKSNO3">Parameters!$D$18</definedName>
    <definedName name="L_ograngeKVFA_SNO2">Parameters!$D$21</definedName>
    <definedName name="L_ograngeNH3_AMETO">Parameters!$D$138</definedName>
    <definedName name="L_ograngeP_HAO_DISS">Parameters!$D$257</definedName>
    <definedName name="L_ograngeP_HFO_DISS">Parameters!$D$238</definedName>
    <definedName name="L_ograngePHA_GAO_inh">Parameters!$D$82</definedName>
    <definedName name="L_ograngePHA_PAO_inh">Parameters!$D$71</definedName>
    <definedName name="L_ograngePO4_PAO_AS_sat">Parameters!$D$57</definedName>
    <definedName name="L_ograngePP_PAO_AS_sat">Parameters!$D$58</definedName>
    <definedName name="L_ograngePP_PAO_inh">Parameters!$D$68</definedName>
    <definedName name="L_ograngeSNO3">Parameters!$D$17</definedName>
    <definedName name="L_ograngeVFA_FERM_AS">Parameters!$D$23</definedName>
    <definedName name="L_ograngeXHET_HYD_lim">Parameters!$D$306</definedName>
    <definedName name="L_ogsatORP_GAO_Half_15">Parameters!$D$83</definedName>
    <definedName name="L_ogsatORP_GAO_Half_25">Parameters!$D$84</definedName>
    <definedName name="L_ogsatORP_GAO_Half_T">'Calculated variables'!$E$92</definedName>
    <definedName name="L_ogsatORP_GAO_Slope">Parameters!$D$85</definedName>
    <definedName name="L_ogsatORP_GAO_T">'Calculated variables'!$E$93</definedName>
    <definedName name="L_ogsatORP_HFO_Half">Parameters!$D$235</definedName>
    <definedName name="L_ogsatORP_HFO_Slope">Parameters!$D$236</definedName>
    <definedName name="L_ogsatORP_MM_Half">Parameters!$D$270</definedName>
    <definedName name="L_ogsatORP_MM_Slope">Parameters!$D$271</definedName>
    <definedName name="L_ogsatORP_PAO_Half">Parameters!$D$77</definedName>
    <definedName name="L_ogsatORP_PAO_Slope">Parameters!$D$78</definedName>
    <definedName name="L_ogsatpHCO2_AMX">'Calculated variables'!$E$400</definedName>
    <definedName name="L_ogsatpHCO2_AOB">'Calculated variables'!$E$397</definedName>
    <definedName name="L_ogsatpHCO2_NOB">'Calculated variables'!$E$399</definedName>
    <definedName name="L_ogsatSMEOL_KMEOL_SNO2">'Calculated variables'!$E$438</definedName>
    <definedName name="L_ogsatSNO3_KNO3_MEOLO">'Calculated variables'!$E$440</definedName>
    <definedName name="L_ogsatSNO3_KNO3_OHO">'Calculated variables'!$E$428</definedName>
    <definedName name="L_ogsatSPO4_KPO4_PAO">'Calculated variables'!$E$474</definedName>
    <definedName name="L_ogsatSVFA_KVFA_FERM">'Calculated variables'!$E$425</definedName>
    <definedName name="L_ogsatSVFA_KVFA_OHO_SNO2">'Calculated variables'!$E$429</definedName>
    <definedName name="L_ogsatXHET_HYD_lim">'Calculated variables'!$E$542</definedName>
    <definedName name="L_ogsatXPP_KPO4_PAO">'Calculated variables'!$E$477</definedName>
    <definedName name="L_ogslopeCO2_AMX_pH">'Calculated variables'!$E$368</definedName>
    <definedName name="L_ogslopeCO2_AOB_pH">'Calculated variables'!$E$365</definedName>
    <definedName name="L_ogslopeCO2_NOB_pH">'Calculated variables'!$E$367</definedName>
    <definedName name="L_ogslopeKMEOL_SNO2">'Calculated variables'!$E$363</definedName>
    <definedName name="L_ogslopeKSNO3">'Calculated variables'!$E$359</definedName>
    <definedName name="L_ogslopeKSNO3_MEOLO">'Calculated variables'!$E$364</definedName>
    <definedName name="L_ogslopeKVFA_SNO2">'Calculated variables'!$E$360</definedName>
    <definedName name="L_ogslopeNH3_AMETO_pH">'Calculated variables'!$E$376</definedName>
    <definedName name="L_ogslopeP_HAO_DISS">'Calculated variables'!$E$378</definedName>
    <definedName name="L_ogslopeP_HFO_DISS">'Calculated variables'!$E$377</definedName>
    <definedName name="L_ogslopePHA_GAO_inh">'Calculated variables'!$E$375</definedName>
    <definedName name="L_ogslopePHA_PAO_inh">'Calculated variables'!$E$373</definedName>
    <definedName name="L_ogslopePO4_PAO_sat">'Calculated variables'!$E$369</definedName>
    <definedName name="L_ogslopePP_PAO_inh">'Calculated variables'!$E$374</definedName>
    <definedName name="L_ogslopePP_PAO_sat">'Calculated variables'!$E$371</definedName>
    <definedName name="L_ogslopeSNO3">'Calculated variables'!$E$358</definedName>
    <definedName name="L_ogslopeVFA_FERM">'Calculated variables'!$E$361</definedName>
    <definedName name="L_ogslopeXHET_HYD_lim">'Calculated variables'!$E$541</definedName>
    <definedName name="M_inhH2S_KiH2S_ASRO">'Calculated variables'!$E$494</definedName>
    <definedName name="M_inhH2S_KiH2S_HSRO">'Calculated variables'!$E$501</definedName>
    <definedName name="M_inhpHHNO2_AMX">'Calculated variables'!$E$401</definedName>
    <definedName name="M_inhpHHNO2_AOB">'Calculated variables'!$E$396</definedName>
    <definedName name="M_inhpHNH3_NOB">'Calculated variables'!$E$398</definedName>
    <definedName name="M_inhSH2S_KiH2S_SOO">'Calculated variables'!$E$509</definedName>
    <definedName name="M_inhSNHx_KiNHx_ALGAE">'Calculated variables'!$E$527</definedName>
    <definedName name="M_inhSNHx_KiNHx_ASSIM">'Calculated variables'!$E$528</definedName>
    <definedName name="M_inhSNO2_KNO2_ASSIM">'Calculated variables'!$E$547</definedName>
    <definedName name="M_inhSNO2_KNO2_CASTO">'Calculated variables'!$E$458</definedName>
    <definedName name="M_inhSNO2_KNO2_H2S_SOO">'Calculated variables'!$E$511</definedName>
    <definedName name="M_inhSNO2_KNO2_MEOLO">'Calculated variables'!$E$432</definedName>
    <definedName name="M_inhSNO2_KNO2_OHO">'Calculated variables'!$E$414</definedName>
    <definedName name="M_inhSNO2_KNO2_S_SOO">'Calculated variables'!$E$512</definedName>
    <definedName name="M_inhSNO3_KNO3_CASTO">'Calculated variables'!$E$459</definedName>
    <definedName name="M_inhSNO3_KNO3_H2S_SOO">'Calculated variables'!$E$510</definedName>
    <definedName name="M_inhSNO3_KNO3_MEOLO">'Calculated variables'!$E$433</definedName>
    <definedName name="M_inhSNO3_KNO3_OHO">'Calculated variables'!$E$415</definedName>
    <definedName name="M_inhSNOx_KNO3_AMETO">'Calculated variables'!$E$484</definedName>
    <definedName name="M_inhSNOx_KNO3_HMETO">'Calculated variables'!$E$489</definedName>
    <definedName name="M_inhSNOx_KNOx_AMX">'Calculated variables'!$E$452</definedName>
    <definedName name="M_inhSNOx_KNOx_AOB">'Calculated variables'!$E$442</definedName>
    <definedName name="M_inhSNOx_KNOx_ASRO">'Calculated variables'!$E$496</definedName>
    <definedName name="M_inhSNOx_KNOx_HSRO">'Calculated variables'!$E$503</definedName>
    <definedName name="M_inhSNOx_KNOx_NOB">'Calculated variables'!$E$447</definedName>
    <definedName name="M_inhSO2_KiO2_AMETO">'Calculated variables'!$E$485</definedName>
    <definedName name="M_inhSO2_KiO2_AMX">'Calculated variables'!$E$453</definedName>
    <definedName name="M_inhSO2_KiO2_ASRO">'Calculated variables'!$E$498</definedName>
    <definedName name="M_inhSO2_KiO2_HMETO">'Calculated variables'!$E$490</definedName>
    <definedName name="M_inhSO2_KiO2_HSRO">'Calculated variables'!$E$505</definedName>
    <definedName name="M_inhSO2_KiO2_MEOLO">'Calculated variables'!$E$431</definedName>
    <definedName name="M_inhSO2_KO2_ALGAE">'Calculated variables'!$E$526</definedName>
    <definedName name="M_inhSO2_KO2_AOB">'Calculated variables'!$E$443</definedName>
    <definedName name="M_inhSO2_KO2_CASTO">'Calculated variables'!$E$460</definedName>
    <definedName name="M_inhSO2_KO2_H2S_SOO">'Calculated variables'!$E$513</definedName>
    <definedName name="M_inhSO2_KO2_NOB">'Calculated variables'!$E$448</definedName>
    <definedName name="M_inhSO2_KO2_OHO">'Calculated variables'!$E$416</definedName>
    <definedName name="M_inhSO2_KO2_S_SOO">'Calculated variables'!$E$514</definedName>
    <definedName name="M_inhSPO4_KiP_HAO_DESORP">'Calculated variables'!$E$554</definedName>
    <definedName name="M_inhSPO4_KiP_HFO_DESORP">'Calculated variables'!$E$551</definedName>
    <definedName name="M_inhSPO4_KiPO4_lim">'Calculated variables'!$E$461</definedName>
    <definedName name="M_inhSSO4_KiSO4_ASSIM">'Calculated variables'!$E$548</definedName>
    <definedName name="M_inhSSO4_KiSO4_RED">'Calculated variables'!$E$556</definedName>
    <definedName name="M_inhSVFA_KVFA">'Calculated variables'!$E$417</definedName>
    <definedName name="M_MACP">systemcode_constants!$D$212</definedName>
    <definedName name="M_Mair">systemcode_constants!$D$199</definedName>
    <definedName name="M_MAl2SO43">systemcode_constants!$D$213</definedName>
    <definedName name="M_MAlCl3">systemcode_constants!$D$214</definedName>
    <definedName name="M_MAlOH3">systemcode_constants!$D$215</definedName>
    <definedName name="M_MAlPO4">systemcode_constants!$D$216</definedName>
    <definedName name="M_MBSH">systemcode_constants!$D$217</definedName>
    <definedName name="M_MCaCl2">systemcode_constants!$D$218</definedName>
    <definedName name="M_MCaCO3">systemcode_constants!$D$219</definedName>
    <definedName name="M_MCaH2PO4">systemcode_constants!$D$220</definedName>
    <definedName name="M_MCaHCO3">systemcode_constants!$D$221</definedName>
    <definedName name="M_MCaHPO4">systemcode_constants!$D$222</definedName>
    <definedName name="M_MCaOH">systemcode_constants!$D$223</definedName>
    <definedName name="M_MCaOH2">systemcode_constants!$D$224</definedName>
    <definedName name="M_MCaPO4">systemcode_constants!$D$225</definedName>
    <definedName name="M_MCH3COOH">systemcode_constants!$D$226</definedName>
    <definedName name="M_MCH3OH">systemcode_constants!$D$227</definedName>
    <definedName name="M_MCO2">systemcode_constants!$D$228</definedName>
    <definedName name="M_MCO3">systemcode_constants!$D$229</definedName>
    <definedName name="M_MEQ_GCH4">systemcode_constants!$D$287</definedName>
    <definedName name="M_MEQ_GCO2">systemcode_constants!$D$285</definedName>
    <definedName name="M_MEQ_GH2">systemcode_constants!$D$288</definedName>
    <definedName name="M_MEQ_GH2S">systemcode_constants!$D$289</definedName>
    <definedName name="M_MEQ_GN2">systemcode_constants!$D$281</definedName>
    <definedName name="M_MEQ_GN2O">systemcode_constants!$D$284</definedName>
    <definedName name="M_MEQ_GNH3">systemcode_constants!$D$282</definedName>
    <definedName name="M_MEQ_GNO">systemcode_constants!$D$283</definedName>
    <definedName name="M_MEQ_GO2">systemcode_constants!$D$286</definedName>
    <definedName name="M_MFe2O3">systemcode_constants!$D$230</definedName>
    <definedName name="M_MFe2SO43">systemcode_constants!$D$231</definedName>
    <definedName name="M_MFeCl2">systemcode_constants!$D$232</definedName>
    <definedName name="M_MFeCl3">systemcode_constants!$D$233</definedName>
    <definedName name="M_MFeOH3">systemcode_constants!$D$234</definedName>
    <definedName name="M_MFeS">systemcode_constants!$D$235</definedName>
    <definedName name="M_MFeSO4">systemcode_constants!$D$236</definedName>
    <definedName name="M_MGCH4">systemcode_constants!$D$201</definedName>
    <definedName name="M_MGCO2">systemcode_constants!$D$202</definedName>
    <definedName name="M_MGH2">systemcode_constants!$D$200</definedName>
    <definedName name="M_MGH2S">systemcode_constants!$D$208</definedName>
    <definedName name="M_MGN2">systemcode_constants!$D$204</definedName>
    <definedName name="M_MGN2O">systemcode_constants!$D$207</definedName>
    <definedName name="M_MGNH3">systemcode_constants!$D$203</definedName>
    <definedName name="M_MGNO">systemcode_constants!$D$206</definedName>
    <definedName name="M_MGO2">systemcode_constants!$D$205</definedName>
    <definedName name="M_MH2CO3">systemcode_constants!$D$237</definedName>
    <definedName name="M_MH2O">systemcode_constants!$D$238</definedName>
    <definedName name="M_MH2S">systemcode_constants!$D$240</definedName>
    <definedName name="M_MH2SO4">systemcode_constants!$D$241</definedName>
    <definedName name="M_MH3PO4">systemcode_constants!$D$239</definedName>
    <definedName name="M_MHAP">systemcode_constants!$D$242</definedName>
    <definedName name="M_MHCl">systemcode_constants!$D$243</definedName>
    <definedName name="M_MHCO3">systemcode_constants!$D$244</definedName>
    <definedName name="M_MHDP">systemcode_constants!$D$245</definedName>
    <definedName name="M_MHNO3">systemcode_constants!$D$246</definedName>
    <definedName name="M_MHSO4">systemcode_constants!$D$247</definedName>
    <definedName name="M_MKNO2">systemcode_constants!$D$263</definedName>
    <definedName name="M_MKNO3">systemcode_constants!$D$264</definedName>
    <definedName name="M_MMgCO3">systemcode_constants!$D$248</definedName>
    <definedName name="M_MMgH2PO4">systemcode_constants!$D$249</definedName>
    <definedName name="M_MMgHCO3">systemcode_constants!$D$250</definedName>
    <definedName name="M_MMgHPO4">systemcode_constants!$D$251</definedName>
    <definedName name="M_MMgOH">systemcode_constants!$D$252</definedName>
    <definedName name="M_MMgOH2">systemcode_constants!$D$253</definedName>
    <definedName name="M_MMgPO4">systemcode_constants!$D$254</definedName>
    <definedName name="M_MMKP">systemcode_constants!$D$255</definedName>
    <definedName name="M_MMMC">systemcode_constants!$D$256</definedName>
    <definedName name="M_MN2">systemcode_constants!$D$257</definedName>
    <definedName name="M_MN2O">systemcode_constants!$D$258</definedName>
    <definedName name="M_MNa2CO3">systemcode_constants!$D$259</definedName>
    <definedName name="M_MNaCl">systemcode_constants!$D$260</definedName>
    <definedName name="M_MNaHCO3">systemcode_constants!$D$261</definedName>
    <definedName name="M_MNaHPO4">systemcode_constants!$D$262</definedName>
    <definedName name="M_MNaOH">systemcode_constants!$D$265</definedName>
    <definedName name="M_MNH3">systemcode_constants!$D$266</definedName>
    <definedName name="M_MNH4">systemcode_constants!$D$267</definedName>
    <definedName name="M_MNH4HCO3">systemcode_constants!$D$268</definedName>
    <definedName name="M_MNO">systemcode_constants!$D$269</definedName>
    <definedName name="M_MNO2">systemcode_constants!$D$270</definedName>
    <definedName name="M_MNO3">systemcode_constants!$D$271</definedName>
    <definedName name="M_MO2">systemcode_constants!$D$272</definedName>
    <definedName name="M_MPO4">systemcode_constants!$D$273</definedName>
    <definedName name="M_MSiO2">systemcode_constants!$D$274</definedName>
    <definedName name="M_MSO4">systemcode_constants!$D$275</definedName>
    <definedName name="M_MSTR">systemcode_constants!$D$276</definedName>
    <definedName name="M_MVivi">systemcode_constants!$D$277</definedName>
    <definedName name="M_RinhXPHA_XGAO_KPHA">'Calculated variables'!$E$482</definedName>
    <definedName name="M_RinhXPHA_XPAO_KPHA_cle">'Calculated variables'!$E$464</definedName>
    <definedName name="M_RinhXPP_XPAO_KPP">'Calculated variables'!$E$466</definedName>
    <definedName name="M_RinhXSTC_XCASTO_KSTC">'Calculated variables'!$E$465</definedName>
    <definedName name="M_RsatXB_XHET_KHYD">'Calculated variables'!$E$535</definedName>
    <definedName name="M_RsatXBe_XHET_KHYD">'Calculated variables'!$E$536</definedName>
    <definedName name="M_RsatXEana_XHET_KHYD">'Calculated variables'!$E$537</definedName>
    <definedName name="M_RsatXPHA_XGAO_KPHA">'Calculated variables'!$E$483</definedName>
    <definedName name="M_RsatXPHA_XPAO_KPHA">'Calculated variables'!$E$463</definedName>
    <definedName name="M_RsatXPP_XPAO_KPP">'Calculated variables'!$E$467</definedName>
    <definedName name="M_RsatXSTC_XCASTO_KSTC">'Calculated variables'!$E$462</definedName>
    <definedName name="M_satCB_KCB_FLOC">'Calculated variables'!$E$529</definedName>
    <definedName name="M_satCB_KCB_FLOC_HAO">'Calculated variables'!$E$533</definedName>
    <definedName name="M_satCB_KCB_FLOC_HFO">'Calculated variables'!$E$531</definedName>
    <definedName name="M_satCU_KCU_FLOC">'Calculated variables'!$E$530</definedName>
    <definedName name="M_satCU_KCU_FLOC_HAO">'Calculated variables'!$E$534</definedName>
    <definedName name="M_satCU_KCU_FLOC_HFO">'Calculated variables'!$E$532</definedName>
    <definedName name="M_satSAN_KAN">'Calculated variables'!$E$406</definedName>
    <definedName name="M_satSB_KSB">'Calculated variables'!$E$418</definedName>
    <definedName name="M_satSB_KSB_ana">'Calculated variables'!$E$419</definedName>
    <definedName name="M_satSCa_KCa">'Calculated variables'!$E$408</definedName>
    <definedName name="M_satSCa_KCa_PAO">'Calculated variables'!$E$468</definedName>
    <definedName name="M_satSCAT_KCAT">'Calculated variables'!$E$407</definedName>
    <definedName name="M_satSCO2_KCO2_ALGAE">'Calculated variables'!$E$522</definedName>
    <definedName name="M_satSCO2_KCO2_BIO">'Calculated variables'!$E$410</definedName>
    <definedName name="M_satSH2_KH2_HMETO">'Calculated variables'!$E$491</definedName>
    <definedName name="M_satSH2_KH2_HSRO">'Calculated variables'!$E$506</definedName>
    <definedName name="M_satSH2S_KH2S_ASSIM">'Calculated variables'!$E$549</definedName>
    <definedName name="M_satSK_KK_PAO">'Calculated variables'!$E$469</definedName>
    <definedName name="M_satSMEOL_KMEOL">'Calculated variables'!$E$434</definedName>
    <definedName name="M_satSMEOL_KMEOL_OHO">'Calculated variables'!$E$420</definedName>
    <definedName name="M_satSMg_KMg">'Calculated variables'!$E$409</definedName>
    <definedName name="M_satSMg_KMg_PAO">'Calculated variables'!$E$470</definedName>
    <definedName name="M_satSNHx_KNHx_ALGAE">'Calculated variables'!$E$524</definedName>
    <definedName name="M_satSNHx_KNHx_AMX">'Calculated variables'!$E$454</definedName>
    <definedName name="M_satSNHx_KNHx_AOB">'Calculated variables'!$E$444</definedName>
    <definedName name="M_satSNHx_KNHx_BIO">'Calculated variables'!$E$411</definedName>
    <definedName name="M_satSNO2_KNO2_AMX">'Calculated variables'!$E$455</definedName>
    <definedName name="M_satSNO2_KNO2_ASSIM">'Calculated variables'!$E$545</definedName>
    <definedName name="M_satSNO2_KNO2_CASTO">'Calculated variables'!$E$471</definedName>
    <definedName name="M_satSNO2_KNO2_H2S_SOO">'Calculated variables'!$E$515</definedName>
    <definedName name="M_satSNO2_KNO2_MEOLO">'Calculated variables'!$E$435</definedName>
    <definedName name="M_satSNO2_KNO2_NOB">'Calculated variables'!$E$449</definedName>
    <definedName name="M_satSNO2_KNO2_OHO">'Calculated variables'!$E$421</definedName>
    <definedName name="M_satSNO2_KNO2_S_SOO">'Calculated variables'!$E$516</definedName>
    <definedName name="M_satSNO3_KNO3_ASSIM">'Calculated variables'!$E$546</definedName>
    <definedName name="M_satSNO3_KNO3_CASTO">'Calculated variables'!$E$472</definedName>
    <definedName name="M_satSNO3_KNO3_H2S_SOO">'Calculated variables'!$E$517</definedName>
    <definedName name="M_satSNO3_KNO3_MEOLO">'Calculated variables'!$E$436</definedName>
    <definedName name="M_satSNO3_KNO3_OHO">'Calculated variables'!$E$422</definedName>
    <definedName name="M_satSNO3_KNO3_S_SOO">'Calculated variables'!$E$518</definedName>
    <definedName name="M_satSNOx_KNO3_AMETO">'Calculated variables'!$E$486</definedName>
    <definedName name="M_satSNOx_KNO3_HMETO">'Calculated variables'!$E$492</definedName>
    <definedName name="M_satSNOx_KNOx_ALGAE">'Calculated variables'!$E$523</definedName>
    <definedName name="M_satSNOx_KNOx_AMX">'Calculated variables'!$E$456</definedName>
    <definedName name="M_satSNOx_KNOx_AOB">'Calculated variables'!$E$445</definedName>
    <definedName name="M_satSNOx_KNOx_ASRO">'Calculated variables'!$E$495</definedName>
    <definedName name="M_satSNOx_KNOx_HSRO">'Calculated variables'!$E$502</definedName>
    <definedName name="M_satSNOx_KNOx_NOB">'Calculated variables'!$E$450</definedName>
    <definedName name="M_satSO2_KiO2_AMETO">'Calculated variables'!$E$487</definedName>
    <definedName name="M_satSO2_KiO2_AMX">'Calculated variables'!$E$457</definedName>
    <definedName name="M_satSO2_KiO2_ASRO">'Calculated variables'!$E$497</definedName>
    <definedName name="M_satSO2_KiO2_HMETO">'Calculated variables'!$E$493</definedName>
    <definedName name="M_satSO2_KiO2_HSRO">'Calculated variables'!$E$504</definedName>
    <definedName name="M_satSO2_KiO2_MEOLO">'Calculated variables'!$E$437</definedName>
    <definedName name="M_satSO2_KO2_ALGAE">'Calculated variables'!$E$525</definedName>
    <definedName name="M_satSO2_KO2_AOB">'Calculated variables'!$E$446</definedName>
    <definedName name="M_satSO2_KO2_CASTO">'Calculated variables'!$E$473</definedName>
    <definedName name="M_satSO2_KO2_H2S_SOO">'Calculated variables'!$E$519</definedName>
    <definedName name="M_satSO2_KO2_NOB">'Calculated variables'!$E$451</definedName>
    <definedName name="M_satSO2_KO2_OHO">'Calculated variables'!$E$423</definedName>
    <definedName name="M_satSO2_KO2_S_SOO">'Calculated variables'!$E$520</definedName>
    <definedName name="M_satSO4_KSO4_ASRO">'Calculated variables'!$E$499</definedName>
    <definedName name="M_satSO4_KSO4_HSRO">'Calculated variables'!$E$507</definedName>
    <definedName name="M_satSPO4_KP_HAO_BIND">'Calculated variables'!$E$555</definedName>
    <definedName name="M_satSPO4_KP_HFO_BIND">'Calculated variables'!$E$552</definedName>
    <definedName name="M_satSPO4_KPO4_BIO">'Calculated variables'!$E$412</definedName>
    <definedName name="M_satSPO4_KPO4_PAO">'Calculated variables'!$E$475</definedName>
    <definedName name="M_satSSO4_KSO4_BIO">'Calculated variables'!$E$413</definedName>
    <definedName name="M_satSVFA_KVFA">'Calculated variables'!$E$424</definedName>
    <definedName name="M_satSVFA_KVFA_ASRO">'Calculated variables'!$E$500</definedName>
    <definedName name="M_satSVFA_KVFA_CASTO">'Calculated variables'!$E$476</definedName>
    <definedName name="M_satTKNB_KTKNB">'Calculated variables'!$E$563</definedName>
    <definedName name="M_satXACP_KACP_DISS">'Calculated variables'!$E$557</definedName>
    <definedName name="M_satXB_KXB_HYD">'Calculated variables'!$E$538</definedName>
    <definedName name="M_satXBe_KXBe_HYD">'Calculated variables'!$E$539</definedName>
    <definedName name="M_satXBSH_KBSH_DISS">'Calculated variables'!$E$558</definedName>
    <definedName name="M_satXCaCO3_KCaCO3_DISS">'Calculated variables'!$E$559</definedName>
    <definedName name="M_satXEana_KXEana_HYD">'Calculated variables'!$E$540</definedName>
    <definedName name="M_satXFeS_KFeS_DISS">'Calculated variables'!$E$560</definedName>
    <definedName name="M_satXPP_KPP_lim">'Calculated variables'!$E$478</definedName>
    <definedName name="M_satXS_KS_SOO">'Calculated variables'!$E$521</definedName>
    <definedName name="M_satXSTR_KSTR_DISS">'Calculated variables'!$E$561</definedName>
    <definedName name="M_satXU_KXU">'Calculated variables'!$E$544</definedName>
    <definedName name="M_satXVivi_KVivi_DISS">'Calculated variables'!$E$562</definedName>
    <definedName name="m_tox_aer">Parameters!$D$286</definedName>
    <definedName name="m_tox_ana">'Calculated variables'!$E$157</definedName>
    <definedName name="m_tox_ana_max">Parameters!$D$287</definedName>
    <definedName name="m_tox_anox">Parameters!$D$285</definedName>
    <definedName name="N_2UR">'Calculated variables'!$E$141</definedName>
    <definedName name="N_3UR">'Calculated variables'!$E$140</definedName>
    <definedName name="n_H2S_odor">Parameters!$D$269</definedName>
    <definedName name="N_OUR">'Calculated variables'!$E$139</definedName>
    <definedName name="N_URAMX">'Calculated variables'!$E$143</definedName>
    <definedName name="O_dorH2S">'Calculated variables'!$E$99</definedName>
    <definedName name="O_dorindex">'Calculated variables'!$E$101</definedName>
    <definedName name="O_dorMM">'Calculated variables'!$E$100</definedName>
    <definedName name="o_ffsetORPswitch">Parameters!$D$87</definedName>
    <definedName name="O_RP">'Calculated variables'!$E$85</definedName>
    <definedName name="O_RPana">'Calculated variables'!$E$84</definedName>
    <definedName name="O_RPbase">Parameters!$D$523</definedName>
    <definedName name="O_RPmax_SNOx">Parameters!$D$525</definedName>
    <definedName name="O_RPmax_SO2">Parameters!$D$524</definedName>
    <definedName name="O_RPNOx">'Calculated variables'!$E$82</definedName>
    <definedName name="O_RPO2">'Calculated variables'!$E$81</definedName>
    <definedName name="O_UR">'Calculated variables'!$E$137</definedName>
    <definedName name="p_H">'Calculated variables'!$E$694</definedName>
    <definedName name="p_Hfield">Parameters!$D$532</definedName>
    <definedName name="p_Hhigh">Parameters!$D$289</definedName>
    <definedName name="p_Hhigh_AMETO">Parameters!$D$142</definedName>
    <definedName name="p_Hhigh_AOB">Parameters!$D$103</definedName>
    <definedName name="p_Hhigh_FLOC_HAO">Parameters!$D$303</definedName>
    <definedName name="p_Hhigh_FLOC_HFO">Parameters!$D$301</definedName>
    <definedName name="p_Hhigh_HMETO">Parameters!$D$152</definedName>
    <definedName name="p_Hhigh_NOB">Parameters!$D$117</definedName>
    <definedName name="p_Hlow">Parameters!$D$288</definedName>
    <definedName name="p_Hlow_AMETO">Parameters!$D$141</definedName>
    <definedName name="p_Hlow_AOB">Parameters!$D$102</definedName>
    <definedName name="p_Hlow_FLOC_HAO">Parameters!$D$302</definedName>
    <definedName name="p_Hlow_FLOC_HFO">Parameters!$D$300</definedName>
    <definedName name="p_Hlow_HMETO">Parameters!$D$151</definedName>
    <definedName name="p_Hlow_NOB">Parameters!$D$116</definedName>
    <definedName name="p_i">systemcode_constants!$D$74</definedName>
    <definedName name="p_NTP">systemcode_constants!$D$52</definedName>
    <definedName name="p_owdamp_ALPHA">Parameters!$D$513</definedName>
    <definedName name="P_recipDrivingForceACP">'Calculated variables'!$E$114</definedName>
    <definedName name="P_recipDrivingForceBSH">'Calculated variables'!$E$118</definedName>
    <definedName name="P_recipDrivingForceCaCO3">'Calculated variables'!$E$122</definedName>
    <definedName name="P_recipDrivingForceFeS">'Calculated variables'!$E$126</definedName>
    <definedName name="P_recipDrivingForceSTR">'Calculated variables'!$E$110</definedName>
    <definedName name="P_recipDrivingForceVivi">'Calculated variables'!$E$130</definedName>
    <definedName name="P_RR">'Calculated variables'!$E$148</definedName>
    <definedName name="p_STP">systemcode_constants!$D$51</definedName>
    <definedName name="P_UR">'Calculated variables'!$E$144</definedName>
    <definedName name="P_URBIO">'Calculated variables'!$E$145</definedName>
    <definedName name="P_URBIOP">'Calculated variables'!$E$146</definedName>
    <definedName name="P_URCHEM">'Calculated variables'!$E$147</definedName>
    <definedName name="q_ACP">'Calculated variables'!$E$117</definedName>
    <definedName name="q_ACP_DISS">Parameters!$D$211</definedName>
    <definedName name="q_ACP_PREC">Parameters!$D$210</definedName>
    <definedName name="q_ALPHA">Parameters!$D$508</definedName>
    <definedName name="q_ALPHA_O2">'Calculated variables'!$E$850</definedName>
    <definedName name="q_AMMON">Parameters!$D$316</definedName>
    <definedName name="q_AMMON_T">'Calculated variables'!$E$605</definedName>
    <definedName name="q_ASSIM">Parameters!$D$321</definedName>
    <definedName name="q_ASSIM_T">'Calculated variables'!$E$609</definedName>
    <definedName name="q_BSH">'Calculated variables'!$E$121</definedName>
    <definedName name="q_BSH_DISS">Parameters!$D$213</definedName>
    <definedName name="q_BSH_PREC">Parameters!$D$212</definedName>
    <definedName name="q_CaCO3">'Calculated variables'!$E$125</definedName>
    <definedName name="q_CaCO3_DISS">Parameters!$D$207</definedName>
    <definedName name="q_CaCO3_PREC">Parameters!$D$206</definedName>
    <definedName name="q_Fe2_OX">Parameters!$D$242</definedName>
    <definedName name="q_Fe2_OX_T">'Calculated variables'!$E$610</definedName>
    <definedName name="q_FeS">'Calculated variables'!$E$129</definedName>
    <definedName name="q_FeS_DISS">Parameters!$D$217</definedName>
    <definedName name="q_FeS_OX">Parameters!$D$243</definedName>
    <definedName name="q_FeS_OX_T">'Calculated variables'!$E$611</definedName>
    <definedName name="q_FeS_PREC">Parameters!$D$216</definedName>
    <definedName name="q_FLOC">Parameters!$D$297</definedName>
    <definedName name="q_FLOC_HAO">Parameters!$D$299</definedName>
    <definedName name="q_FLOC_HAO_T">'Calculated variables'!$E$602</definedName>
    <definedName name="q_FLOC_HFO">Parameters!$D$298</definedName>
    <definedName name="q_FLOC_HFO_T">'Calculated variables'!$E$601</definedName>
    <definedName name="q_FLOC_T">'Calculated variables'!$E$600</definedName>
    <definedName name="q_GAO_PHA">Parameters!$D$49</definedName>
    <definedName name="q_GAO_PHA_T">'Calculated variables'!$E$577</definedName>
    <definedName name="q_H2S_OX">Parameters!$D$156</definedName>
    <definedName name="q_HAO_DISS">Parameters!$D$254</definedName>
    <definedName name="q_HAOH_AGING">Parameters!$D$248</definedName>
    <definedName name="q_HAOH_DESORP">Parameters!$D$252</definedName>
    <definedName name="q_HAOL_AGING">Parameters!$D$249</definedName>
    <definedName name="q_HAOL_DESORP">Parameters!$D$253</definedName>
    <definedName name="q_HFO_DISS">Parameters!$D$233</definedName>
    <definedName name="q_HFO_H2S_RED">Parameters!$D$241</definedName>
    <definedName name="q_HFO_H2S_RED_T">'Calculated variables'!$E$613</definedName>
    <definedName name="q_HFO_RED">Parameters!$D$234</definedName>
    <definedName name="q_HFO_RED_T">'Calculated variables'!$E$612</definedName>
    <definedName name="q_HFOH_AGING">Parameters!$D$227</definedName>
    <definedName name="q_HFOH_DESORP">Parameters!$D$231</definedName>
    <definedName name="q_HFOL_AGING">Parameters!$D$228</definedName>
    <definedName name="q_HFOL_DESORP">Parameters!$D$232</definedName>
    <definedName name="q_HYD_XB">Parameters!$D$293</definedName>
    <definedName name="q_HYD_XB_T">'Calculated variables'!$E$603</definedName>
    <definedName name="q_HYD_XBe">Parameters!$D$294</definedName>
    <definedName name="q_HYD_XBe_T">'Calculated variables'!$E$604</definedName>
    <definedName name="q_MEOL">Parameters!$D$31</definedName>
    <definedName name="q_MM_DEGR">Parameters!$D$263</definedName>
    <definedName name="q_MM_PROD">Parameters!$D$262</definedName>
    <definedName name="q_P_HAO_BIND">Parameters!$D$251</definedName>
    <definedName name="q_P_HAO_COPREC">Parameters!$D$250</definedName>
    <definedName name="q_P_HFO_BIND">Parameters!$D$230</definedName>
    <definedName name="q_P_HFO_COPREC">Parameters!$D$229</definedName>
    <definedName name="q_PAO_PHA">Parameters!$D$48</definedName>
    <definedName name="q_PAO_PHA_T">'Calculated variables'!$E$576</definedName>
    <definedName name="q_PAO_PP">Parameters!$D$42</definedName>
    <definedName name="q_PAO_PP_T">'Calculated variables'!$E$575</definedName>
    <definedName name="q_PFOA_SORP">Parameters!$D$327</definedName>
    <definedName name="q_PFOS_SORP">Parameters!$D$328</definedName>
    <definedName name="q_S_OX">Parameters!$D$157</definedName>
    <definedName name="q_SPB">Parameters!$D$317</definedName>
    <definedName name="q_SPB_T">'Calculated variables'!$E$606</definedName>
    <definedName name="q_STR">'Calculated variables'!$E$113</definedName>
    <definedName name="q_STR_DISS">Parameters!$D$209</definedName>
    <definedName name="q_STR_PREC">Parameters!$D$208</definedName>
    <definedName name="q_Vivi">'Calculated variables'!$E$133</definedName>
    <definedName name="q_Vivi_DISS">Parameters!$D$215</definedName>
    <definedName name="q_Vivi_PREC">Parameters!$D$214</definedName>
    <definedName name="q_XE">Parameters!$D$318</definedName>
    <definedName name="q_XE_T">'Calculated variables'!$E$607</definedName>
    <definedName name="q_XU">Parameters!$D$319</definedName>
    <definedName name="q_XU_T">'Calculated variables'!$E$608</definedName>
    <definedName name="R__">systemcode_constants!$D$60</definedName>
    <definedName name="r_1">Model!$CV$154</definedName>
    <definedName name="r_10">Model!$CV$163</definedName>
    <definedName name="r_100">Model!$CV$253</definedName>
    <definedName name="r_101">Model!$CV$254</definedName>
    <definedName name="r_102">Model!$CV$255</definedName>
    <definedName name="r_103">Model!$CV$256</definedName>
    <definedName name="r_104">Model!$CV$257</definedName>
    <definedName name="r_105">Model!$CV$258</definedName>
    <definedName name="r_106">Model!$CV$259</definedName>
    <definedName name="r_107">Model!$CV$260</definedName>
    <definedName name="r_108">Model!$CV$261</definedName>
    <definedName name="r_109">Model!$CV$262</definedName>
    <definedName name="r_11">Model!$CV$164</definedName>
    <definedName name="r_110">Model!$CV$263</definedName>
    <definedName name="r_111">Model!$CV$264</definedName>
    <definedName name="r_112">Model!$CV$265</definedName>
    <definedName name="r_113">Model!$CV$266</definedName>
    <definedName name="r_114">Model!$CV$267</definedName>
    <definedName name="r_115">Model!$CV$268</definedName>
    <definedName name="r_116">Model!$CV$269</definedName>
    <definedName name="r_117">Model!$CV$270</definedName>
    <definedName name="r_118">Model!$CV$271</definedName>
    <definedName name="r_119">Model!$CV$272</definedName>
    <definedName name="r_12">Model!$CV$165</definedName>
    <definedName name="r_120">Model!$CV$273</definedName>
    <definedName name="r_121">Model!$CV$274</definedName>
    <definedName name="r_122">Model!$CV$275</definedName>
    <definedName name="r_123">Model!$CV$276</definedName>
    <definedName name="r_124">Model!$CV$277</definedName>
    <definedName name="r_125">Model!$CV$278</definedName>
    <definedName name="r_126">Model!$CV$279</definedName>
    <definedName name="r_127">Model!$CV$280</definedName>
    <definedName name="r_128">Model!$CV$281</definedName>
    <definedName name="r_129">Model!$CV$282</definedName>
    <definedName name="r_13">Model!$CV$166</definedName>
    <definedName name="r_130">Model!$CV$283</definedName>
    <definedName name="r_14">Model!$CV$167</definedName>
    <definedName name="r_15">Model!$CV$168</definedName>
    <definedName name="r_16">Model!$CV$169</definedName>
    <definedName name="r_17">Model!$CV$170</definedName>
    <definedName name="r_18">Model!$CV$171</definedName>
    <definedName name="r_19">Model!$CV$172</definedName>
    <definedName name="r_2">Model!$CV$155</definedName>
    <definedName name="r_20">Model!$CV$173</definedName>
    <definedName name="r_21">Model!$CV$174</definedName>
    <definedName name="r_22">Model!$CV$175</definedName>
    <definedName name="r_23">Model!$CV$176</definedName>
    <definedName name="r_24">Model!$CV$177</definedName>
    <definedName name="r_25">Model!$CV$178</definedName>
    <definedName name="r_26">Model!$CV$179</definedName>
    <definedName name="r_27">Model!$CV$180</definedName>
    <definedName name="r_28">Model!$CV$181</definedName>
    <definedName name="r_29">Model!$CV$182</definedName>
    <definedName name="r_3">Model!$CV$156</definedName>
    <definedName name="r_30">Model!$CV$183</definedName>
    <definedName name="r_31">Model!$CV$184</definedName>
    <definedName name="r_32">Model!$CV$185</definedName>
    <definedName name="r_33">Model!$CV$186</definedName>
    <definedName name="r_34">Model!$CV$187</definedName>
    <definedName name="r_35">Model!$CV$188</definedName>
    <definedName name="r_36">Model!$CV$189</definedName>
    <definedName name="r_37">Model!$CV$190</definedName>
    <definedName name="r_38">Model!$CV$191</definedName>
    <definedName name="r_39">Model!$CV$192</definedName>
    <definedName name="r_4">Model!$CV$157</definedName>
    <definedName name="r_40">Model!$CV$193</definedName>
    <definedName name="r_41">Model!$CV$194</definedName>
    <definedName name="r_42">Model!$CV$195</definedName>
    <definedName name="r_43">Model!$CV$196</definedName>
    <definedName name="r_44">Model!$CV$197</definedName>
    <definedName name="r_45">Model!$CV$198</definedName>
    <definedName name="r_46">Model!$CV$199</definedName>
    <definedName name="r_47">Model!$CV$200</definedName>
    <definedName name="r_48">Model!$CV$201</definedName>
    <definedName name="r_49">Model!$CV$202</definedName>
    <definedName name="r_5">Model!$CV$158</definedName>
    <definedName name="r_50">Model!$CV$203</definedName>
    <definedName name="r_51">Model!$CV$204</definedName>
    <definedName name="r_52">Model!$CV$205</definedName>
    <definedName name="r_53">Model!$CV$206</definedName>
    <definedName name="r_54">Model!$CV$207</definedName>
    <definedName name="r_55">Model!$CV$208</definedName>
    <definedName name="r_56">Model!$CV$209</definedName>
    <definedName name="r_57">Model!$CV$210</definedName>
    <definedName name="r_58">Model!$CV$211</definedName>
    <definedName name="r_59">Model!$CV$212</definedName>
    <definedName name="r_6">Model!$CV$159</definedName>
    <definedName name="r_60">Model!$CV$213</definedName>
    <definedName name="r_61">Model!$CV$214</definedName>
    <definedName name="r_62">Model!$CV$215</definedName>
    <definedName name="r_63">Model!$CV$216</definedName>
    <definedName name="r_64">Model!$CV$217</definedName>
    <definedName name="r_65">Model!$CV$218</definedName>
    <definedName name="r_66">Model!$CV$219</definedName>
    <definedName name="r_67">Model!$CV$220</definedName>
    <definedName name="r_68">Model!$CV$221</definedName>
    <definedName name="r_69">Model!$CV$222</definedName>
    <definedName name="r_7">Model!$CV$160</definedName>
    <definedName name="r_70">Model!$CV$223</definedName>
    <definedName name="r_71">Model!$CV$224</definedName>
    <definedName name="r_72">Model!$CV$225</definedName>
    <definedName name="r_73">Model!$CV$226</definedName>
    <definedName name="r_74">Model!$CV$227</definedName>
    <definedName name="r_75">Model!$CV$228</definedName>
    <definedName name="r_76">Model!$CV$229</definedName>
    <definedName name="r_77">Model!$CV$230</definedName>
    <definedName name="r_78">Model!$CV$231</definedName>
    <definedName name="r_79">Model!$CV$232</definedName>
    <definedName name="r_8">Model!$CV$161</definedName>
    <definedName name="r_80">Model!$CV$233</definedName>
    <definedName name="r_81">Model!$CV$234</definedName>
    <definedName name="r_82">Model!$CV$235</definedName>
    <definedName name="r_83">Model!$CV$236</definedName>
    <definedName name="r_84">Model!$CV$237</definedName>
    <definedName name="r_85">Model!$CV$238</definedName>
    <definedName name="r_86">Model!$CV$239</definedName>
    <definedName name="r_87">Model!$CV$240</definedName>
    <definedName name="r_88">Model!$CV$241</definedName>
    <definedName name="r_89">Model!$CV$242</definedName>
    <definedName name="r_9">Model!$CV$162</definedName>
    <definedName name="r_90">Model!$CV$243</definedName>
    <definedName name="r_91">Model!$CV$244</definedName>
    <definedName name="r_92">Model!$CV$245</definedName>
    <definedName name="r_93">Model!$CV$246</definedName>
    <definedName name="r_94">Model!$CV$247</definedName>
    <definedName name="r_95">Model!$CV$248</definedName>
    <definedName name="r_96">Model!$CV$249</definedName>
    <definedName name="r_97">Model!$CV$250</definedName>
    <definedName name="r_98">Model!$CV$251</definedName>
    <definedName name="r_99">Model!$CV$252</definedName>
    <definedName name="R_air">systemcode_constants!$D$61</definedName>
    <definedName name="r_ate_DiffAer_ox_transf">'Calculated variables'!$E$928</definedName>
    <definedName name="r_ate_Hbio">'Calculated variables'!$E$867</definedName>
    <definedName name="r_ate_SCO2_ALGAE">'Calculated variables'!$E$922</definedName>
    <definedName name="r_ate_SCO2_Hydrolysis">'Calculated variables'!$E$923</definedName>
    <definedName name="r_ate_SCO2_NITOs">'Calculated variables'!$E$921</definedName>
    <definedName name="r_ate_SCO2_OHOs">'Calculated variables'!$E$920</definedName>
    <definedName name="r_ate_SCO2_Precipitation">'Calculated variables'!$E$924</definedName>
    <definedName name="r_ate_SCO2_stripping">'Calculated variables'!$E$919</definedName>
    <definedName name="r_ate_SNHx_ALGAE">'Calculated variables'!$E$900</definedName>
    <definedName name="r_ate_SNHx_Hydrolysis">'Calculated variables'!$E$901</definedName>
    <definedName name="r_ate_SNHx_NITOs">'Calculated variables'!$E$899</definedName>
    <definedName name="r_ate_SNHx_OHOs">'Calculated variables'!$E$898</definedName>
    <definedName name="r_ate_SNHx_stripping">'Calculated variables'!$E$883</definedName>
    <definedName name="r_ate_SNOx_ALGAE">'Calculated variables'!$E$907</definedName>
    <definedName name="r_ate_SNOx_NITOs">'Calculated variables'!$E$906</definedName>
    <definedName name="r_ate_SNOx_OHOs">'Calculated variables'!$E$905</definedName>
    <definedName name="r_ate_SO2_aerator">'Calculated variables'!$E$888</definedName>
    <definedName name="r_ate_SO2_ALGAE_resp">'Calculated variables'!$E$894</definedName>
    <definedName name="r_ate_SO2_C_oxidation">'Calculated variables'!$E$890</definedName>
    <definedName name="r_ate_SO2_Fe_oxidation">'Calculated variables'!$E$892</definedName>
    <definedName name="r_ate_SO2_nitrif">'Calculated variables'!$E$891</definedName>
    <definedName name="r_ate_SO2_photosynt">'Calculated variables'!$E$893</definedName>
    <definedName name="r_ate_SO2_sur">'Calculated variables'!$E$889</definedName>
    <definedName name="r_ate_SPO4_ALGAE">'Calculated variables'!$E$913</definedName>
    <definedName name="r_ate_SPO4_Hydrolysis">'Calculated variables'!$E$914</definedName>
    <definedName name="r_ate_SPO4_NITOs">'Calculated variables'!$E$912</definedName>
    <definedName name="r_ate_SPO4_OHOs">'Calculated variables'!$E$911</definedName>
    <definedName name="r_ate_SPO4_Precipitation">'Calculated variables'!$E$915</definedName>
    <definedName name="r_ate_SurfAer_ox_transf">'Calculated variables'!$E$929</definedName>
    <definedName name="r_ate_TCOD_autotrophs">'Calculated variables'!$E$879</definedName>
    <definedName name="r_ate_TCOD_oxydation_NO3">'Calculated variables'!$E$877</definedName>
    <definedName name="r_ate_TCOD_oxydation_O2">'Calculated variables'!$E$876</definedName>
    <definedName name="r_ate_TCOD_photosynt">'Calculated variables'!$E$878</definedName>
    <definedName name="r_ate_TCOD_stripping">'Calculated variables'!$E$875</definedName>
    <definedName name="r_ate_TN_denit">'Calculated variables'!$E$884</definedName>
    <definedName name="r_ate_TS_stripping">'Calculated variables'!$E$871</definedName>
    <definedName name="r_ateFLOC_CB_polymer">'other parameters'!$D$53</definedName>
    <definedName name="r_ateFLOC_CU_polymer">'other parameters'!$D$54</definedName>
    <definedName name="r_ategas_transfer">'Calculated variables'!$E$102</definedName>
    <definedName name="r_atioAAR_rbCODDR">'Calculated variables'!$E$83</definedName>
    <definedName name="r_atioVSS_TSS">'Calculated variables'!$E$56</definedName>
    <definedName name="r_bCODDR">'Calculated variables'!$E$151</definedName>
    <definedName name="r_transfer_MM_lim">Parameters!$D$268</definedName>
    <definedName name="S_ALK">'Calculated variables'!$E$678</definedName>
    <definedName name="S_ALK_calc">'Calculated variables'!$E$57</definedName>
    <definedName name="S_ALK_input">'other parameters'!$D$55</definedName>
    <definedName name="S_ALPHA">Components!$E$82</definedName>
    <definedName name="S_ALPHA_sat">Parameters!$D$509</definedName>
    <definedName name="S_AN">Components!$E$49</definedName>
    <definedName name="S_AN_ini">'other parameters'!$D$57</definedName>
    <definedName name="S_B">Components!$E$5</definedName>
    <definedName name="S_BOD_5">'Calculated variables'!$E$28</definedName>
    <definedName name="S_BOD_ult">'Calculated variables'!$E$25</definedName>
    <definedName name="S_Ca">Components!$E$50</definedName>
    <definedName name="S_CAT">Components!$E$48</definedName>
    <definedName name="S_CAT_ini">'other parameters'!$D$56</definedName>
    <definedName name="S_CCOD">'Calculated variables'!$E$32</definedName>
    <definedName name="S_CH4">Components!$E$44</definedName>
    <definedName name="S_CO2">Components!$E$46</definedName>
    <definedName name="S_COD">'Calculated variables'!$E$31</definedName>
    <definedName name="S_Fe2">Components!$E$56</definedName>
    <definedName name="S_GCH4_bub_sat">'other parameters'!$D$23</definedName>
    <definedName name="S_GCH4_sur_sat">'other parameters'!$D$40</definedName>
    <definedName name="S_GCO2_bub_sat">'other parameters'!$D$22</definedName>
    <definedName name="S_GCO2_sur_sat">'other parameters'!$D$39</definedName>
    <definedName name="S_GH2_bub_sat">'other parameters'!$D$24</definedName>
    <definedName name="S_GH2_sur_sat">'other parameters'!$D$41</definedName>
    <definedName name="S_GH2S_bub_sat">'other parameters'!$D$20</definedName>
    <definedName name="S_GH2S_sur_sat">'other parameters'!$D$37</definedName>
    <definedName name="S_GN2_bub_sat">'other parameters'!$D$26</definedName>
    <definedName name="S_GN2_sur_sat">'other parameters'!$D$43</definedName>
    <definedName name="S_GNH3_bub_sat">'other parameters'!$D$25</definedName>
    <definedName name="S_GNH3_sur_sat">'other parameters'!$D$42</definedName>
    <definedName name="S_GO2_bub_sat">'other parameters'!$D$21</definedName>
    <definedName name="S_GO2_sur_sat">'other parameters'!$D$38</definedName>
    <definedName name="S_H">Components!$E$81</definedName>
    <definedName name="S_H2">Components!$E$45</definedName>
    <definedName name="S_H2S">Components!$E$53</definedName>
    <definedName name="S_K">Components!$E$52</definedName>
    <definedName name="S_KN">'Calculated variables'!$E$40</definedName>
    <definedName name="s_lh_diff_α">Parameters!$D$514</definedName>
    <definedName name="S_lopeIS_corr">Parameters!$D$537</definedName>
    <definedName name="s_lORP_GAO_Half_T">'Calculated variables'!$E$90</definedName>
    <definedName name="s_lTSS_α_coarse">Parameters!$D$516</definedName>
    <definedName name="s_lTSS_α_def">Parameters!$D$515</definedName>
    <definedName name="S_MEOL">Components!$E$6</definedName>
    <definedName name="S_Mg">Components!$E$51</definedName>
    <definedName name="S_MM_index">Components!$E$98</definedName>
    <definedName name="S_N_B">Components!$E$33</definedName>
    <definedName name="S_N2">Components!$E$32</definedName>
    <definedName name="S_NHx">Components!$E$29</definedName>
    <definedName name="S_NO2">Components!$E$30</definedName>
    <definedName name="S_NO3">Components!$E$31</definedName>
    <definedName name="S_NOx">'Calculated variables'!$E$42</definedName>
    <definedName name="S_O2">Components!$E$43</definedName>
    <definedName name="S_ORPswitch">Components!$E$83</definedName>
    <definedName name="S_OTRaerator">'other parameters'!$D$47</definedName>
    <definedName name="S_OTRsur">'other parameters'!$D$48</definedName>
    <definedName name="S_OTRsur_min">'other parameters'!$D$49</definedName>
    <definedName name="S_OxR">'Calculated variables'!$E$149</definedName>
    <definedName name="S_P">'Calculated variables'!$E$45</definedName>
    <definedName name="S_P_B">Components!$E$39</definedName>
    <definedName name="S_PFOA">Components!$E$77</definedName>
    <definedName name="S_PFOS">Components!$E$79</definedName>
    <definedName name="S_PO4">Components!$E$37</definedName>
    <definedName name="S_rbCOD">'Calculated variables'!$E$7</definedName>
    <definedName name="S_RR">'Calculated variables'!$E$150</definedName>
    <definedName name="S_SO4">Components!$E$54</definedName>
    <definedName name="S_U">Components!$E$10</definedName>
    <definedName name="S_U_N">'Calculated variables'!$E$41</definedName>
    <definedName name="S_umo__MSatMin">'other parameters'!$D$4</definedName>
    <definedName name="S_umo__pHEffects">'other parameters'!$D$61</definedName>
    <definedName name="S_VFA">Components!$E$4</definedName>
    <definedName name="T__">'Calculated variables'!$E$863</definedName>
    <definedName name="T_Al">'Calculated variables'!$E$50</definedName>
    <definedName name="T_base">Parameters!$D$384</definedName>
    <definedName name="T_BOD_5">'Calculated variables'!$E$30</definedName>
    <definedName name="T_BOD_ult">'Calculated variables'!$E$27</definedName>
    <definedName name="T_Ca">'Calculated variables'!$E$51</definedName>
    <definedName name="T_COD">'Calculated variables'!$E$33</definedName>
    <definedName name="T_COD_Th">'Calculated variables'!$E$34</definedName>
    <definedName name="T_Fe">'Calculated variables'!$E$48</definedName>
    <definedName name="T_IN">'Calculated variables'!$E$37</definedName>
    <definedName name="T_K">'Calculated variables'!$E$862</definedName>
    <definedName name="T_KN">'Calculated variables'!$E$35</definedName>
    <definedName name="T_KN_B">'Calculated variables'!$E$36</definedName>
    <definedName name="T_Mg">'Calculated variables'!$E$52</definedName>
    <definedName name="T_N">'Calculated variables'!$E$38</definedName>
    <definedName name="T_NTP_K">systemcode_constants!$D$68</definedName>
    <definedName name="T_OC">'Calculated variables'!$E$58</definedName>
    <definedName name="T_P">'Calculated variables'!$E$43</definedName>
    <definedName name="T_PFOA">'Calculated variables'!$E$61</definedName>
    <definedName name="T_PFOS">'Calculated variables'!$E$62</definedName>
    <definedName name="T_S">'Calculated variables'!$E$46</definedName>
    <definedName name="T_st_K">systemcode_constants!$D$67</definedName>
    <definedName name="T_STP_K">systemcode_constants!$D$69</definedName>
    <definedName name="v_1_CB">Model!$H$154</definedName>
    <definedName name="v_1_CU">Model!$L$154</definedName>
    <definedName name="v_1_GCH4">Model!$CH$154</definedName>
    <definedName name="v_1_GCH4_atm">Model!$CO$154</definedName>
    <definedName name="v_1_GCO2">Model!$CG$154</definedName>
    <definedName name="v_1_GCO2_atm">Model!$CN$154</definedName>
    <definedName name="v_1_GH2">Model!$CI$154</definedName>
    <definedName name="v_1_GH2_atm">Model!$CP$154</definedName>
    <definedName name="v_1_GH2S">Model!$CM$154</definedName>
    <definedName name="v_1_GH2S_atm">Model!$CT$154</definedName>
    <definedName name="v_1_GN2">Model!$CL$154</definedName>
    <definedName name="v_1_GN2_atm">Model!$CS$154</definedName>
    <definedName name="v_1_GNH3">Model!$CK$154</definedName>
    <definedName name="v_1_GNH3_atm">Model!$CR$154</definedName>
    <definedName name="v_1_GO2">Model!$CJ$154</definedName>
    <definedName name="v_1_GO2_atm">Model!$CQ$154</definedName>
    <definedName name="v_1_SALPHA">Model!$CE$154</definedName>
    <definedName name="v_1_SAN">Model!$AX$154</definedName>
    <definedName name="v_1_SB">Model!$F$154</definedName>
    <definedName name="v_1_SCa">Model!$AY$154</definedName>
    <definedName name="v_1_SCAT">Model!$AW$154</definedName>
    <definedName name="v_1_SCH4">Model!$AS$154</definedName>
    <definedName name="v_1_SCO2">Model!$AU$154</definedName>
    <definedName name="v_1_SFe2">Model!$BE$154</definedName>
    <definedName name="v_1_SH">Model!$CD$154</definedName>
    <definedName name="v_1_SH2">Model!$AT$154</definedName>
    <definedName name="v_1_SH2S">Model!$BB$154</definedName>
    <definedName name="v_1_SK">Model!$BA$154</definedName>
    <definedName name="v_1_SMEOL">Model!$G$154</definedName>
    <definedName name="v_1_SMg">Model!$AZ$154</definedName>
    <definedName name="v_1_SMM_index">Model!$CU$154</definedName>
    <definedName name="v_1_SN_B">Model!$AH$154</definedName>
    <definedName name="v_1_SN2">Model!$AG$154</definedName>
    <definedName name="v_1_SNHx">Model!$AD$154</definedName>
    <definedName name="v_1_SNO2">Model!$AE$154</definedName>
    <definedName name="v_1_SNO3">Model!$AF$154</definedName>
    <definedName name="v_1_SO2">Model!$AR$154</definedName>
    <definedName name="v_1_SORPswitch">Model!$CF$154</definedName>
    <definedName name="v_1_SP_B">Model!$AN$154</definedName>
    <definedName name="v_1_SPFOA">Model!$BZ$154</definedName>
    <definedName name="v_1_SPFOS">Model!$CB$154</definedName>
    <definedName name="v_1_SPO4">Model!$AL$154</definedName>
    <definedName name="v_1_SSO4">Model!$BC$154</definedName>
    <definedName name="v_1_SU">Model!$K$154</definedName>
    <definedName name="v_1_SVFA">Model!$E$154</definedName>
    <definedName name="v_1_XACP">Model!$BU$154</definedName>
    <definedName name="v_1_XALGAE">Model!$AC$154</definedName>
    <definedName name="v_1_XAMETO">Model!$X$154</definedName>
    <definedName name="v_1_XAMX">Model!$W$154</definedName>
    <definedName name="v_1_XAOB">Model!$U$154</definedName>
    <definedName name="v_1_XASRO">Model!$Z$154</definedName>
    <definedName name="v_1_XB">Model!$I$154</definedName>
    <definedName name="v_1_XB_e">Model!$J$154</definedName>
    <definedName name="v_1_XBSH">Model!$BV$154</definedName>
    <definedName name="v_1_XCaCO3">Model!$BT$154</definedName>
    <definedName name="v_1_XCASTO">Model!$S$154</definedName>
    <definedName name="v_1_XE">Model!$P$154</definedName>
    <definedName name="v_1_XE_ana">Model!$Q$154</definedName>
    <definedName name="v_1_XFeS">Model!$BY$154</definedName>
    <definedName name="v_1_XHAO_H">Model!$BM$154</definedName>
    <definedName name="v_1_XHAO_H_P">Model!$BP$154</definedName>
    <definedName name="v_1_XHAO_H_P_old">Model!$BR$154</definedName>
    <definedName name="v_1_XHAO_L">Model!$BN$154</definedName>
    <definedName name="v_1_XHAO_L_P">Model!$BQ$154</definedName>
    <definedName name="v_1_XHAO_L_P_old">Model!$BS$154</definedName>
    <definedName name="v_1_XHAO_old">Model!$BO$154</definedName>
    <definedName name="v_1_XHFO_H">Model!$BF$154</definedName>
    <definedName name="v_1_XHFO_H_P">Model!$BI$154</definedName>
    <definedName name="v_1_XHFO_H_P_old">Model!$BK$154</definedName>
    <definedName name="v_1_XHFO_L">Model!$BG$154</definedName>
    <definedName name="v_1_XHFO_L_P">Model!$BJ$154</definedName>
    <definedName name="v_1_XHFO_L_P_old">Model!$BL$154</definedName>
    <definedName name="v_1_XHFO_old">Model!$BH$154</definedName>
    <definedName name="v_1_XHMETO">Model!$Y$154</definedName>
    <definedName name="v_1_XHSRO">Model!$AA$154</definedName>
    <definedName name="v_1_XINORG">Model!$AV$154</definedName>
    <definedName name="v_1_XMEOLO">Model!$T$154</definedName>
    <definedName name="v_1_XN_B">Model!$AI$154</definedName>
    <definedName name="v_1_XN_Be">Model!$AJ$154</definedName>
    <definedName name="v_1_XN_U">Model!$AK$154</definedName>
    <definedName name="v_1_XNOB">Model!$V$154</definedName>
    <definedName name="v_1_XOHO">Model!$R$154</definedName>
    <definedName name="v_1_XP_B">Model!$AO$154</definedName>
    <definedName name="v_1_XP_Be">Model!$AP$154</definedName>
    <definedName name="v_1_XP_U">Model!$AQ$154</definedName>
    <definedName name="v_1_XPFOA">Model!$CA$154</definedName>
    <definedName name="v_1_XPFOS">Model!$CC$154</definedName>
    <definedName name="v_1_XPHA_GAO">Model!$O$154</definedName>
    <definedName name="v_1_XPHA_PAO">Model!$N$154</definedName>
    <definedName name="v_1_XPP">Model!$AM$154</definedName>
    <definedName name="v_1_XS">Model!$BD$154</definedName>
    <definedName name="v_1_XSOO">Model!$AB$154</definedName>
    <definedName name="v_1_XSTR">Model!$BW$154</definedName>
    <definedName name="v_1_XU">Model!$M$154</definedName>
    <definedName name="v_1_XVivi">Model!$BX$154</definedName>
    <definedName name="v_10_CB">Model!$H$163</definedName>
    <definedName name="v_10_CU">Model!$L$163</definedName>
    <definedName name="v_10_GCH4">Model!$CH$163</definedName>
    <definedName name="v_10_GCH4_atm">Model!$CO$163</definedName>
    <definedName name="v_10_GCO2">Model!$CG$163</definedName>
    <definedName name="v_10_GCO2_atm">Model!$CN$163</definedName>
    <definedName name="v_10_GH2">Model!$CI$163</definedName>
    <definedName name="v_10_GH2_atm">Model!$CP$163</definedName>
    <definedName name="v_10_GH2S">Model!$CM$163</definedName>
    <definedName name="v_10_GH2S_atm">Model!$CT$163</definedName>
    <definedName name="v_10_GN2">Model!$CL$163</definedName>
    <definedName name="v_10_GN2_atm">Model!$CS$163</definedName>
    <definedName name="v_10_GNH3">Model!$CK$163</definedName>
    <definedName name="v_10_GNH3_atm">Model!$CR$163</definedName>
    <definedName name="v_10_GO2">Model!$CJ$163</definedName>
    <definedName name="v_10_GO2_atm">Model!$CQ$163</definedName>
    <definedName name="v_10_SALPHA">Model!$CE$163</definedName>
    <definedName name="v_10_SAN">Model!$AX$163</definedName>
    <definedName name="v_10_SB">Model!$F$163</definedName>
    <definedName name="v_10_SCa">Model!$AY$163</definedName>
    <definedName name="v_10_SCAT">Model!$AW$163</definedName>
    <definedName name="v_10_SCH4">Model!$AS$163</definedName>
    <definedName name="v_10_SCO2">Model!$AU$163</definedName>
    <definedName name="v_10_SFe2">Model!$BE$163</definedName>
    <definedName name="v_10_SH">Model!$CD$163</definedName>
    <definedName name="v_10_SH2">Model!$AT$163</definedName>
    <definedName name="v_10_SH2S">Model!$BB$163</definedName>
    <definedName name="v_10_SK">Model!$BA$163</definedName>
    <definedName name="v_10_SMEOL">Model!$G$163</definedName>
    <definedName name="v_10_SMg">Model!$AZ$163</definedName>
    <definedName name="v_10_SMM_index">Model!$CU$163</definedName>
    <definedName name="v_10_SN_B">Model!$AH$163</definedName>
    <definedName name="v_10_SN2">Model!$AG$163</definedName>
    <definedName name="v_10_SNHx">Model!$AD$163</definedName>
    <definedName name="v_10_SNO2">Model!$AE$163</definedName>
    <definedName name="v_10_SNO3">Model!$AF$163</definedName>
    <definedName name="v_10_SO2">Model!$AR$163</definedName>
    <definedName name="v_10_SORPswitch">Model!$CF$163</definedName>
    <definedName name="v_10_SP_B">Model!$AN$163</definedName>
    <definedName name="v_10_SPFOA">Model!$BZ$163</definedName>
    <definedName name="v_10_SPFOS">Model!$CB$163</definedName>
    <definedName name="v_10_SPO4">Model!$AL$163</definedName>
    <definedName name="v_10_SSO4">Model!$BC$163</definedName>
    <definedName name="v_10_SU">Model!$K$163</definedName>
    <definedName name="v_10_SVFA">Model!$E$163</definedName>
    <definedName name="v_10_XACP">Model!$BU$163</definedName>
    <definedName name="v_10_XALGAE">Model!$AC$163</definedName>
    <definedName name="v_10_XAMETO">Model!$X$163</definedName>
    <definedName name="v_10_XAMX">Model!$W$163</definedName>
    <definedName name="v_10_XAOB">Model!$U$163</definedName>
    <definedName name="v_10_XASRO">Model!$Z$163</definedName>
    <definedName name="v_10_XB">Model!$I$163</definedName>
    <definedName name="v_10_XB_e">Model!$J$163</definedName>
    <definedName name="v_10_XBSH">Model!$BV$163</definedName>
    <definedName name="v_10_XCaCO3">Model!$BT$163</definedName>
    <definedName name="v_10_XCASTO">Model!$S$163</definedName>
    <definedName name="v_10_XE">Model!$P$163</definedName>
    <definedName name="v_10_XE_ana">Model!$Q$163</definedName>
    <definedName name="v_10_XFeS">Model!$BY$163</definedName>
    <definedName name="v_10_XHAO_H">Model!$BM$163</definedName>
    <definedName name="v_10_XHAO_H_P">Model!$BP$163</definedName>
    <definedName name="v_10_XHAO_H_P_old">Model!$BR$163</definedName>
    <definedName name="v_10_XHAO_L">Model!$BN$163</definedName>
    <definedName name="v_10_XHAO_L_P">Model!$BQ$163</definedName>
    <definedName name="v_10_XHAO_L_P_old">Model!$BS$163</definedName>
    <definedName name="v_10_XHAO_old">Model!$BO$163</definedName>
    <definedName name="v_10_XHFO_H">Model!$BF$163</definedName>
    <definedName name="v_10_XHFO_H_P">Model!$BI$163</definedName>
    <definedName name="v_10_XHFO_H_P_old">Model!$BK$163</definedName>
    <definedName name="v_10_XHFO_L">Model!$BG$163</definedName>
    <definedName name="v_10_XHFO_L_P">Model!$BJ$163</definedName>
    <definedName name="v_10_XHFO_L_P_old">Model!$BL$163</definedName>
    <definedName name="v_10_XHFO_old">Model!$BH$163</definedName>
    <definedName name="v_10_XHMETO">Model!$Y$163</definedName>
    <definedName name="v_10_XHSRO">Model!$AA$163</definedName>
    <definedName name="v_10_XINORG">Model!$AV$163</definedName>
    <definedName name="v_10_XMEOLO">Model!$T$163</definedName>
    <definedName name="v_10_XN_B">Model!$AI$163</definedName>
    <definedName name="v_10_XN_Be">Model!$AJ$163</definedName>
    <definedName name="v_10_XN_U">Model!$AK$163</definedName>
    <definedName name="v_10_XNOB">Model!$V$163</definedName>
    <definedName name="v_10_XOHO">Model!$R$163</definedName>
    <definedName name="v_10_XP_B">Model!$AO$163</definedName>
    <definedName name="v_10_XP_Be">Model!$AP$163</definedName>
    <definedName name="v_10_XP_U">Model!$AQ$163</definedName>
    <definedName name="v_10_XPFOA">Model!$CA$163</definedName>
    <definedName name="v_10_XPFOS">Model!$CC$163</definedName>
    <definedName name="v_10_XPHA_GAO">Model!$O$163</definedName>
    <definedName name="v_10_XPHA_PAO">Model!$N$163</definedName>
    <definedName name="v_10_XPP">Model!$AM$163</definedName>
    <definedName name="v_10_XS">Model!$BD$163</definedName>
    <definedName name="v_10_XSOO">Model!$AB$163</definedName>
    <definedName name="v_10_XSTR">Model!$BW$163</definedName>
    <definedName name="v_10_XU">Model!$M$163</definedName>
    <definedName name="v_10_XVivi">Model!$BX$163</definedName>
    <definedName name="v_100_CB">Model!$H$253</definedName>
    <definedName name="v_100_CU">Model!$L$253</definedName>
    <definedName name="v_100_GCH4">Model!$CH$253</definedName>
    <definedName name="v_100_GCH4_atm">Model!$CO$253</definedName>
    <definedName name="v_100_GCO2">Model!$CG$253</definedName>
    <definedName name="v_100_GCO2_atm">Model!$CN$253</definedName>
    <definedName name="v_100_GH2">Model!$CI$253</definedName>
    <definedName name="v_100_GH2_atm">Model!$CP$253</definedName>
    <definedName name="v_100_GH2S">Model!$CM$253</definedName>
    <definedName name="v_100_GH2S_atm">Model!$CT$253</definedName>
    <definedName name="v_100_GN2">Model!$CL$253</definedName>
    <definedName name="v_100_GN2_atm">Model!$CS$253</definedName>
    <definedName name="v_100_GNH3">Model!$CK$253</definedName>
    <definedName name="v_100_GNH3_atm">Model!$CR$253</definedName>
    <definedName name="v_100_GO2">Model!$CJ$253</definedName>
    <definedName name="v_100_GO2_atm">Model!$CQ$253</definedName>
    <definedName name="v_100_SALPHA">Model!$CE$253</definedName>
    <definedName name="v_100_SAN">Model!$AX$253</definedName>
    <definedName name="v_100_SB">Model!$F$253</definedName>
    <definedName name="v_100_SCa">Model!$AY$253</definedName>
    <definedName name="v_100_SCAT">Model!$AW$253</definedName>
    <definedName name="v_100_SCH4">Model!$AS$253</definedName>
    <definedName name="v_100_SCO2">Model!$AU$253</definedName>
    <definedName name="v_100_SFe2">Model!$BE$253</definedName>
    <definedName name="v_100_SH">Model!$CD$253</definedName>
    <definedName name="v_100_SH2">Model!$AT$253</definedName>
    <definedName name="v_100_SH2S">Model!$BB$253</definedName>
    <definedName name="v_100_SK">Model!$BA$253</definedName>
    <definedName name="v_100_SMEOL">Model!$G$253</definedName>
    <definedName name="v_100_SMg">Model!$AZ$253</definedName>
    <definedName name="v_100_SMM_index">Model!$CU$253</definedName>
    <definedName name="v_100_SN_B">Model!$AH$253</definedName>
    <definedName name="v_100_SN2">Model!$AG$253</definedName>
    <definedName name="v_100_SNHx">Model!$AD$253</definedName>
    <definedName name="v_100_SNO2">Model!$AE$253</definedName>
    <definedName name="v_100_SNO3">Model!$AF$253</definedName>
    <definedName name="v_100_SO2">Model!$AR$253</definedName>
    <definedName name="v_100_SORPswitch">Model!$CF$253</definedName>
    <definedName name="v_100_SP_B">Model!$AN$253</definedName>
    <definedName name="v_100_SPFOA">Model!$BZ$253</definedName>
    <definedName name="v_100_SPFOS">Model!$CB$253</definedName>
    <definedName name="v_100_SPO4">Model!$AL$253</definedName>
    <definedName name="v_100_SSO4">Model!$BC$253</definedName>
    <definedName name="v_100_SU">Model!$K$253</definedName>
    <definedName name="v_100_SVFA">Model!$E$253</definedName>
    <definedName name="v_100_XACP">Model!$BU$253</definedName>
    <definedName name="v_100_XALGAE">Model!$AC$253</definedName>
    <definedName name="v_100_XAMETO">Model!$X$253</definedName>
    <definedName name="v_100_XAMX">Model!$W$253</definedName>
    <definedName name="v_100_XAOB">Model!$U$253</definedName>
    <definedName name="v_100_XASRO">Model!$Z$253</definedName>
    <definedName name="v_100_XB">Model!$I$253</definedName>
    <definedName name="v_100_XB_e">Model!$J$253</definedName>
    <definedName name="v_100_XBSH">Model!$BV$253</definedName>
    <definedName name="v_100_XCaCO3">Model!$BT$253</definedName>
    <definedName name="v_100_XCASTO">Model!$S$253</definedName>
    <definedName name="v_100_XE">Model!$P$253</definedName>
    <definedName name="v_100_XE_ana">Model!$Q$253</definedName>
    <definedName name="v_100_XFeS">Model!$BY$253</definedName>
    <definedName name="v_100_XHAO_H">Model!$BM$253</definedName>
    <definedName name="v_100_XHAO_H_P">Model!$BP$253</definedName>
    <definedName name="v_100_XHAO_H_P_old">Model!$BR$253</definedName>
    <definedName name="v_100_XHAO_L">Model!$BN$253</definedName>
    <definedName name="v_100_XHAO_L_P">Model!$BQ$253</definedName>
    <definedName name="v_100_XHAO_L_P_old">Model!$BS$253</definedName>
    <definedName name="v_100_XHAO_old">Model!$BO$253</definedName>
    <definedName name="v_100_XHFO_H">Model!$BF$253</definedName>
    <definedName name="v_100_XHFO_H_P">Model!$BI$253</definedName>
    <definedName name="v_100_XHFO_H_P_old">Model!$BK$253</definedName>
    <definedName name="v_100_XHFO_L">Model!$BG$253</definedName>
    <definedName name="v_100_XHFO_L_P">Model!$BJ$253</definedName>
    <definedName name="v_100_XHFO_L_P_old">Model!$BL$253</definedName>
    <definedName name="v_100_XHFO_old">Model!$BH$253</definedName>
    <definedName name="v_100_XHMETO">Model!$Y$253</definedName>
    <definedName name="v_100_XHSRO">Model!$AA$253</definedName>
    <definedName name="v_100_XINORG">Model!$AV$253</definedName>
    <definedName name="v_100_XMEOLO">Model!$T$253</definedName>
    <definedName name="v_100_XN_B">Model!$AI$253</definedName>
    <definedName name="v_100_XN_Be">Model!$AJ$253</definedName>
    <definedName name="v_100_XN_U">Model!$AK$253</definedName>
    <definedName name="v_100_XNOB">Model!$V$253</definedName>
    <definedName name="v_100_XOHO">Model!$R$253</definedName>
    <definedName name="v_100_XP_B">Model!$AO$253</definedName>
    <definedName name="v_100_XP_Be">Model!$AP$253</definedName>
    <definedName name="v_100_XP_U">Model!$AQ$253</definedName>
    <definedName name="v_100_XPFOA">Model!$CA$253</definedName>
    <definedName name="v_100_XPFOS">Model!$CC$253</definedName>
    <definedName name="v_100_XPHA_GAO">Model!$O$253</definedName>
    <definedName name="v_100_XPHA_PAO">Model!$N$253</definedName>
    <definedName name="v_100_XPP">Model!$AM$253</definedName>
    <definedName name="v_100_XS">Model!$BD$253</definedName>
    <definedName name="v_100_XSOO">Model!$AB$253</definedName>
    <definedName name="v_100_XSTR">Model!$BW$253</definedName>
    <definedName name="v_100_XU">Model!$M$253</definedName>
    <definedName name="v_100_XVivi">Model!$BX$253</definedName>
    <definedName name="v_101_CB">Model!$H$254</definedName>
    <definedName name="v_101_CU">Model!$L$254</definedName>
    <definedName name="v_101_GCH4">Model!$CH$254</definedName>
    <definedName name="v_101_GCH4_atm">Model!$CO$254</definedName>
    <definedName name="v_101_GCO2">Model!$CG$254</definedName>
    <definedName name="v_101_GCO2_atm">Model!$CN$254</definedName>
    <definedName name="v_101_GH2">Model!$CI$254</definedName>
    <definedName name="v_101_GH2_atm">Model!$CP$254</definedName>
    <definedName name="v_101_GH2S">Model!$CM$254</definedName>
    <definedName name="v_101_GH2S_atm">Model!$CT$254</definedName>
    <definedName name="v_101_GN2">Model!$CL$254</definedName>
    <definedName name="v_101_GN2_atm">Model!$CS$254</definedName>
    <definedName name="v_101_GNH3">Model!$CK$254</definedName>
    <definedName name="v_101_GNH3_atm">Model!$CR$254</definedName>
    <definedName name="v_101_GO2">Model!$CJ$254</definedName>
    <definedName name="v_101_GO2_atm">Model!$CQ$254</definedName>
    <definedName name="v_101_SALPHA">Model!$CE$254</definedName>
    <definedName name="v_101_SAN">Model!$AX$254</definedName>
    <definedName name="v_101_SB">Model!$F$254</definedName>
    <definedName name="v_101_SCa">Model!$AY$254</definedName>
    <definedName name="v_101_SCAT">Model!$AW$254</definedName>
    <definedName name="v_101_SCH4">Model!$AS$254</definedName>
    <definedName name="v_101_SCO2">Model!$AU$254</definedName>
    <definedName name="v_101_SFe2">Model!$BE$254</definedName>
    <definedName name="v_101_SH">Model!$CD$254</definedName>
    <definedName name="v_101_SH2">Model!$AT$254</definedName>
    <definedName name="v_101_SH2S">Model!$BB$254</definedName>
    <definedName name="v_101_SK">Model!$BA$254</definedName>
    <definedName name="v_101_SMEOL">Model!$G$254</definedName>
    <definedName name="v_101_SMg">Model!$AZ$254</definedName>
    <definedName name="v_101_SMM_index">Model!$CU$254</definedName>
    <definedName name="v_101_SN_B">Model!$AH$254</definedName>
    <definedName name="v_101_SN2">Model!$AG$254</definedName>
    <definedName name="v_101_SNHx">Model!$AD$254</definedName>
    <definedName name="v_101_SNO2">Model!$AE$254</definedName>
    <definedName name="v_101_SNO3">Model!$AF$254</definedName>
    <definedName name="v_101_SO2">Model!$AR$254</definedName>
    <definedName name="v_101_SORPswitch">Model!$CF$254</definedName>
    <definedName name="v_101_SP_B">Model!$AN$254</definedName>
    <definedName name="v_101_SPFOA">Model!$BZ$254</definedName>
    <definedName name="v_101_SPFOS">Model!$CB$254</definedName>
    <definedName name="v_101_SPO4">Model!$AL$254</definedName>
    <definedName name="v_101_SSO4">Model!$BC$254</definedName>
    <definedName name="v_101_SU">Model!$K$254</definedName>
    <definedName name="v_101_SVFA">Model!$E$254</definedName>
    <definedName name="v_101_XACP">Model!$BU$254</definedName>
    <definedName name="v_101_XALGAE">Model!$AC$254</definedName>
    <definedName name="v_101_XAMETO">Model!$X$254</definedName>
    <definedName name="v_101_XAMX">Model!$W$254</definedName>
    <definedName name="v_101_XAOB">Model!$U$254</definedName>
    <definedName name="v_101_XASRO">Model!$Z$254</definedName>
    <definedName name="v_101_XB">Model!$I$254</definedName>
    <definedName name="v_101_XB_e">Model!$J$254</definedName>
    <definedName name="v_101_XBSH">Model!$BV$254</definedName>
    <definedName name="v_101_XCaCO3">Model!$BT$254</definedName>
    <definedName name="v_101_XCASTO">Model!$S$254</definedName>
    <definedName name="v_101_XE">Model!$P$254</definedName>
    <definedName name="v_101_XE_ana">Model!$Q$254</definedName>
    <definedName name="v_101_XFeS">Model!$BY$254</definedName>
    <definedName name="v_101_XHAO_H">Model!$BM$254</definedName>
    <definedName name="v_101_XHAO_H_P">Model!$BP$254</definedName>
    <definedName name="v_101_XHAO_H_P_old">Model!$BR$254</definedName>
    <definedName name="v_101_XHAO_L">Model!$BN$254</definedName>
    <definedName name="v_101_XHAO_L_P">Model!$BQ$254</definedName>
    <definedName name="v_101_XHAO_L_P_old">Model!$BS$254</definedName>
    <definedName name="v_101_XHAO_old">Model!$BO$254</definedName>
    <definedName name="v_101_XHFO_H">Model!$BF$254</definedName>
    <definedName name="v_101_XHFO_H_P">Model!$BI$254</definedName>
    <definedName name="v_101_XHFO_H_P_old">Model!$BK$254</definedName>
    <definedName name="v_101_XHFO_L">Model!$BG$254</definedName>
    <definedName name="v_101_XHFO_L_P">Model!$BJ$254</definedName>
    <definedName name="v_101_XHFO_L_P_old">Model!$BL$254</definedName>
    <definedName name="v_101_XHFO_old">Model!$BH$254</definedName>
    <definedName name="v_101_XHMETO">Model!$Y$254</definedName>
    <definedName name="v_101_XHSRO">Model!$AA$254</definedName>
    <definedName name="v_101_XINORG">Model!$AV$254</definedName>
    <definedName name="v_101_XMEOLO">Model!$T$254</definedName>
    <definedName name="v_101_XN_B">Model!$AI$254</definedName>
    <definedName name="v_101_XN_Be">Model!$AJ$254</definedName>
    <definedName name="v_101_XN_U">Model!$AK$254</definedName>
    <definedName name="v_101_XNOB">Model!$V$254</definedName>
    <definedName name="v_101_XOHO">Model!$R$254</definedName>
    <definedName name="v_101_XP_B">Model!$AO$254</definedName>
    <definedName name="v_101_XP_Be">Model!$AP$254</definedName>
    <definedName name="v_101_XP_U">Model!$AQ$254</definedName>
    <definedName name="v_101_XPFOA">Model!$CA$254</definedName>
    <definedName name="v_101_XPFOS">Model!$CC$254</definedName>
    <definedName name="v_101_XPHA_GAO">Model!$O$254</definedName>
    <definedName name="v_101_XPHA_PAO">Model!$N$254</definedName>
    <definedName name="v_101_XPP">Model!$AM$254</definedName>
    <definedName name="v_101_XS">Model!$BD$254</definedName>
    <definedName name="v_101_XSOO">Model!$AB$254</definedName>
    <definedName name="v_101_XSTR">Model!$BW$254</definedName>
    <definedName name="v_101_XU">Model!$M$254</definedName>
    <definedName name="v_101_XVivi">Model!$BX$254</definedName>
    <definedName name="v_102_CB">Model!$H$255</definedName>
    <definedName name="v_102_CU">Model!$L$255</definedName>
    <definedName name="v_102_GCH4">Model!$CH$255</definedName>
    <definedName name="v_102_GCH4_atm">Model!$CO$255</definedName>
    <definedName name="v_102_GCO2">Model!$CG$255</definedName>
    <definedName name="v_102_GCO2_atm">Model!$CN$255</definedName>
    <definedName name="v_102_GH2">Model!$CI$255</definedName>
    <definedName name="v_102_GH2_atm">Model!$CP$255</definedName>
    <definedName name="v_102_GH2S">Model!$CM$255</definedName>
    <definedName name="v_102_GH2S_atm">Model!$CT$255</definedName>
    <definedName name="v_102_GN2">Model!$CL$255</definedName>
    <definedName name="v_102_GN2_atm">Model!$CS$255</definedName>
    <definedName name="v_102_GNH3">Model!$CK$255</definedName>
    <definedName name="v_102_GNH3_atm">Model!$CR$255</definedName>
    <definedName name="v_102_GO2">Model!$CJ$255</definedName>
    <definedName name="v_102_GO2_atm">Model!$CQ$255</definedName>
    <definedName name="v_102_SALPHA">Model!$CE$255</definedName>
    <definedName name="v_102_SAN">Model!$AX$255</definedName>
    <definedName name="v_102_SB">Model!$F$255</definedName>
    <definedName name="v_102_SCa">Model!$AY$255</definedName>
    <definedName name="v_102_SCAT">Model!$AW$255</definedName>
    <definedName name="v_102_SCH4">Model!$AS$255</definedName>
    <definedName name="v_102_SCO2">Model!$AU$255</definedName>
    <definedName name="v_102_SFe2">Model!$BE$255</definedName>
    <definedName name="v_102_SH">Model!$CD$255</definedName>
    <definedName name="v_102_SH2">Model!$AT$255</definedName>
    <definedName name="v_102_SH2S">Model!$BB$255</definedName>
    <definedName name="v_102_SK">Model!$BA$255</definedName>
    <definedName name="v_102_SMEOL">Model!$G$255</definedName>
    <definedName name="v_102_SMg">Model!$AZ$255</definedName>
    <definedName name="v_102_SMM_index">Model!$CU$255</definedName>
    <definedName name="v_102_SN_B">Model!$AH$255</definedName>
    <definedName name="v_102_SN2">Model!$AG$255</definedName>
    <definedName name="v_102_SNHx">Model!$AD$255</definedName>
    <definedName name="v_102_SNO2">Model!$AE$255</definedName>
    <definedName name="v_102_SNO3">Model!$AF$255</definedName>
    <definedName name="v_102_SO2">Model!$AR$255</definedName>
    <definedName name="v_102_SORPswitch">Model!$CF$255</definedName>
    <definedName name="v_102_SP_B">Model!$AN$255</definedName>
    <definedName name="v_102_SPFOA">Model!$BZ$255</definedName>
    <definedName name="v_102_SPFOS">Model!$CB$255</definedName>
    <definedName name="v_102_SPO4">Model!$AL$255</definedName>
    <definedName name="v_102_SSO4">Model!$BC$255</definedName>
    <definedName name="v_102_SU">Model!$K$255</definedName>
    <definedName name="v_102_SVFA">Model!$E$255</definedName>
    <definedName name="v_102_XACP">Model!$BU$255</definedName>
    <definedName name="v_102_XALGAE">Model!$AC$255</definedName>
    <definedName name="v_102_XAMETO">Model!$X$255</definedName>
    <definedName name="v_102_XAMX">Model!$W$255</definedName>
    <definedName name="v_102_XAOB">Model!$U$255</definedName>
    <definedName name="v_102_XASRO">Model!$Z$255</definedName>
    <definedName name="v_102_XB">Model!$I$255</definedName>
    <definedName name="v_102_XB_e">Model!$J$255</definedName>
    <definedName name="v_102_XBSH">Model!$BV$255</definedName>
    <definedName name="v_102_XCaCO3">Model!$BT$255</definedName>
    <definedName name="v_102_XCASTO">Model!$S$255</definedName>
    <definedName name="v_102_XE">Model!$P$255</definedName>
    <definedName name="v_102_XE_ana">Model!$Q$255</definedName>
    <definedName name="v_102_XFeS">Model!$BY$255</definedName>
    <definedName name="v_102_XHAO_H">Model!$BM$255</definedName>
    <definedName name="v_102_XHAO_H_P">Model!$BP$255</definedName>
    <definedName name="v_102_XHAO_H_P_old">Model!$BR$255</definedName>
    <definedName name="v_102_XHAO_L">Model!$BN$255</definedName>
    <definedName name="v_102_XHAO_L_P">Model!$BQ$255</definedName>
    <definedName name="v_102_XHAO_L_P_old">Model!$BS$255</definedName>
    <definedName name="v_102_XHAO_old">Model!$BO$255</definedName>
    <definedName name="v_102_XHFO_H">Model!$BF$255</definedName>
    <definedName name="v_102_XHFO_H_P">Model!$BI$255</definedName>
    <definedName name="v_102_XHFO_H_P_old">Model!$BK$255</definedName>
    <definedName name="v_102_XHFO_L">Model!$BG$255</definedName>
    <definedName name="v_102_XHFO_L_P">Model!$BJ$255</definedName>
    <definedName name="v_102_XHFO_L_P_old">Model!$BL$255</definedName>
    <definedName name="v_102_XHFO_old">Model!$BH$255</definedName>
    <definedName name="v_102_XHMETO">Model!$Y$255</definedName>
    <definedName name="v_102_XHSRO">Model!$AA$255</definedName>
    <definedName name="v_102_XINORG">Model!$AV$255</definedName>
    <definedName name="v_102_XMEOLO">Model!$T$255</definedName>
    <definedName name="v_102_XN_B">Model!$AI$255</definedName>
    <definedName name="v_102_XN_Be">Model!$AJ$255</definedName>
    <definedName name="v_102_XN_U">Model!$AK$255</definedName>
    <definedName name="v_102_XNOB">Model!$V$255</definedName>
    <definedName name="v_102_XOHO">Model!$R$255</definedName>
    <definedName name="v_102_XP_B">Model!$AO$255</definedName>
    <definedName name="v_102_XP_Be">Model!$AP$255</definedName>
    <definedName name="v_102_XP_U">Model!$AQ$255</definedName>
    <definedName name="v_102_XPFOA">Model!$CA$255</definedName>
    <definedName name="v_102_XPFOS">Model!$CC$255</definedName>
    <definedName name="v_102_XPHA_GAO">Model!$O$255</definedName>
    <definedName name="v_102_XPHA_PAO">Model!$N$255</definedName>
    <definedName name="v_102_XPP">Model!$AM$255</definedName>
    <definedName name="v_102_XS">Model!$BD$255</definedName>
    <definedName name="v_102_XSOO">Model!$AB$255</definedName>
    <definedName name="v_102_XSTR">Model!$BW$255</definedName>
    <definedName name="v_102_XU">Model!$M$255</definedName>
    <definedName name="v_102_XVivi">Model!$BX$255</definedName>
    <definedName name="v_103_CB">Model!$H$256</definedName>
    <definedName name="v_103_CU">Model!$L$256</definedName>
    <definedName name="v_103_GCH4">Model!$CH$256</definedName>
    <definedName name="v_103_GCH4_atm">Model!$CO$256</definedName>
    <definedName name="v_103_GCO2">Model!$CG$256</definedName>
    <definedName name="v_103_GCO2_atm">Model!$CN$256</definedName>
    <definedName name="v_103_GH2">Model!$CI$256</definedName>
    <definedName name="v_103_GH2_atm">Model!$CP$256</definedName>
    <definedName name="v_103_GH2S">Model!$CM$256</definedName>
    <definedName name="v_103_GH2S_atm">Model!$CT$256</definedName>
    <definedName name="v_103_GN2">Model!$CL$256</definedName>
    <definedName name="v_103_GN2_atm">Model!$CS$256</definedName>
    <definedName name="v_103_GNH3">Model!$CK$256</definedName>
    <definedName name="v_103_GNH3_atm">Model!$CR$256</definedName>
    <definedName name="v_103_GO2">Model!$CJ$256</definedName>
    <definedName name="v_103_GO2_atm">Model!$CQ$256</definedName>
    <definedName name="v_103_SALPHA">Model!$CE$256</definedName>
    <definedName name="v_103_SAN">Model!$AX$256</definedName>
    <definedName name="v_103_SB">Model!$F$256</definedName>
    <definedName name="v_103_SCa">Model!$AY$256</definedName>
    <definedName name="v_103_SCAT">Model!$AW$256</definedName>
    <definedName name="v_103_SCH4">Model!$AS$256</definedName>
    <definedName name="v_103_SCO2">Model!$AU$256</definedName>
    <definedName name="v_103_SFe2">Model!$BE$256</definedName>
    <definedName name="v_103_SH">Model!$CD$256</definedName>
    <definedName name="v_103_SH2">Model!$AT$256</definedName>
    <definedName name="v_103_SH2S">Model!$BB$256</definedName>
    <definedName name="v_103_SK">Model!$BA$256</definedName>
    <definedName name="v_103_SMEOL">Model!$G$256</definedName>
    <definedName name="v_103_SMg">Model!$AZ$256</definedName>
    <definedName name="v_103_SMM_index">Model!$CU$256</definedName>
    <definedName name="v_103_SN_B">Model!$AH$256</definedName>
    <definedName name="v_103_SN2">Model!$AG$256</definedName>
    <definedName name="v_103_SNHx">Model!$AD$256</definedName>
    <definedName name="v_103_SNO2">Model!$AE$256</definedName>
    <definedName name="v_103_SNO3">Model!$AF$256</definedName>
    <definedName name="v_103_SO2">Model!$AR$256</definedName>
    <definedName name="v_103_SORPswitch">Model!$CF$256</definedName>
    <definedName name="v_103_SP_B">Model!$AN$256</definedName>
    <definedName name="v_103_SPFOA">Model!$BZ$256</definedName>
    <definedName name="v_103_SPFOS">Model!$CB$256</definedName>
    <definedName name="v_103_SPO4">Model!$AL$256</definedName>
    <definedName name="v_103_SSO4">Model!$BC$256</definedName>
    <definedName name="v_103_SU">Model!$K$256</definedName>
    <definedName name="v_103_SVFA">Model!$E$256</definedName>
    <definedName name="v_103_XACP">Model!$BU$256</definedName>
    <definedName name="v_103_XALGAE">Model!$AC$256</definedName>
    <definedName name="v_103_XAMETO">Model!$X$256</definedName>
    <definedName name="v_103_XAMX">Model!$W$256</definedName>
    <definedName name="v_103_XAOB">Model!$U$256</definedName>
    <definedName name="v_103_XASRO">Model!$Z$256</definedName>
    <definedName name="v_103_XB">Model!$I$256</definedName>
    <definedName name="v_103_XB_e">Model!$J$256</definedName>
    <definedName name="v_103_XBSH">Model!$BV$256</definedName>
    <definedName name="v_103_XCaCO3">Model!$BT$256</definedName>
    <definedName name="v_103_XCASTO">Model!$S$256</definedName>
    <definedName name="v_103_XE">Model!$P$256</definedName>
    <definedName name="v_103_XE_ana">Model!$Q$256</definedName>
    <definedName name="v_103_XFeS">Model!$BY$256</definedName>
    <definedName name="v_103_XHAO_H">Model!$BM$256</definedName>
    <definedName name="v_103_XHAO_H_P">Model!$BP$256</definedName>
    <definedName name="v_103_XHAO_H_P_old">Model!$BR$256</definedName>
    <definedName name="v_103_XHAO_L">Model!$BN$256</definedName>
    <definedName name="v_103_XHAO_L_P">Model!$BQ$256</definedName>
    <definedName name="v_103_XHAO_L_P_old">Model!$BS$256</definedName>
    <definedName name="v_103_XHAO_old">Model!$BO$256</definedName>
    <definedName name="v_103_XHFO_H">Model!$BF$256</definedName>
    <definedName name="v_103_XHFO_H_P">Model!$BI$256</definedName>
    <definedName name="v_103_XHFO_H_P_old">Model!$BK$256</definedName>
    <definedName name="v_103_XHFO_L">Model!$BG$256</definedName>
    <definedName name="v_103_XHFO_L_P">Model!$BJ$256</definedName>
    <definedName name="v_103_XHFO_L_P_old">Model!$BL$256</definedName>
    <definedName name="v_103_XHFO_old">Model!$BH$256</definedName>
    <definedName name="v_103_XHMETO">Model!$Y$256</definedName>
    <definedName name="v_103_XHSRO">Model!$AA$256</definedName>
    <definedName name="v_103_XINORG">Model!$AV$256</definedName>
    <definedName name="v_103_XMEOLO">Model!$T$256</definedName>
    <definedName name="v_103_XN_B">Model!$AI$256</definedName>
    <definedName name="v_103_XN_Be">Model!$AJ$256</definedName>
    <definedName name="v_103_XN_U">Model!$AK$256</definedName>
    <definedName name="v_103_XNOB">Model!$V$256</definedName>
    <definedName name="v_103_XOHO">Model!$R$256</definedName>
    <definedName name="v_103_XP_B">Model!$AO$256</definedName>
    <definedName name="v_103_XP_Be">Model!$AP$256</definedName>
    <definedName name="v_103_XP_U">Model!$AQ$256</definedName>
    <definedName name="v_103_XPFOA">Model!$CA$256</definedName>
    <definedName name="v_103_XPFOS">Model!$CC$256</definedName>
    <definedName name="v_103_XPHA_GAO">Model!$O$256</definedName>
    <definedName name="v_103_XPHA_PAO">Model!$N$256</definedName>
    <definedName name="v_103_XPP">Model!$AM$256</definedName>
    <definedName name="v_103_XS">Model!$BD$256</definedName>
    <definedName name="v_103_XSOO">Model!$AB$256</definedName>
    <definedName name="v_103_XSTR">Model!$BW$256</definedName>
    <definedName name="v_103_XU">Model!$M$256</definedName>
    <definedName name="v_103_XVivi">Model!$BX$256</definedName>
    <definedName name="v_104_CB">Model!$H$257</definedName>
    <definedName name="v_104_CU">Model!$L$257</definedName>
    <definedName name="v_104_GCH4">Model!$CH$257</definedName>
    <definedName name="v_104_GCH4_atm">Model!$CO$257</definedName>
    <definedName name="v_104_GCO2">Model!$CG$257</definedName>
    <definedName name="v_104_GCO2_atm">Model!$CN$257</definedName>
    <definedName name="v_104_GH2">Model!$CI$257</definedName>
    <definedName name="v_104_GH2_atm">Model!$CP$257</definedName>
    <definedName name="v_104_GH2S">Model!$CM$257</definedName>
    <definedName name="v_104_GH2S_atm">Model!$CT$257</definedName>
    <definedName name="v_104_GN2">Model!$CL$257</definedName>
    <definedName name="v_104_GN2_atm">Model!$CS$257</definedName>
    <definedName name="v_104_GNH3">Model!$CK$257</definedName>
    <definedName name="v_104_GNH3_atm">Model!$CR$257</definedName>
    <definedName name="v_104_GO2">Model!$CJ$257</definedName>
    <definedName name="v_104_GO2_atm">Model!$CQ$257</definedName>
    <definedName name="v_104_SALPHA">Model!$CE$257</definedName>
    <definedName name="v_104_SAN">Model!$AX$257</definedName>
    <definedName name="v_104_SB">Model!$F$257</definedName>
    <definedName name="v_104_SCa">Model!$AY$257</definedName>
    <definedName name="v_104_SCAT">Model!$AW$257</definedName>
    <definedName name="v_104_SCH4">Model!$AS$257</definedName>
    <definedName name="v_104_SCO2">Model!$AU$257</definedName>
    <definedName name="v_104_SFe2">Model!$BE$257</definedName>
    <definedName name="v_104_SH">Model!$CD$257</definedName>
    <definedName name="v_104_SH2">Model!$AT$257</definedName>
    <definedName name="v_104_SH2S">Model!$BB$257</definedName>
    <definedName name="v_104_SK">Model!$BA$257</definedName>
    <definedName name="v_104_SMEOL">Model!$G$257</definedName>
    <definedName name="v_104_SMg">Model!$AZ$257</definedName>
    <definedName name="v_104_SMM_index">Model!$CU$257</definedName>
    <definedName name="v_104_SN_B">Model!$AH$257</definedName>
    <definedName name="v_104_SN2">Model!$AG$257</definedName>
    <definedName name="v_104_SNHx">Model!$AD$257</definedName>
    <definedName name="v_104_SNO2">Model!$AE$257</definedName>
    <definedName name="v_104_SNO3">Model!$AF$257</definedName>
    <definedName name="v_104_SO2">Model!$AR$257</definedName>
    <definedName name="v_104_SORPswitch">Model!$CF$257</definedName>
    <definedName name="v_104_SP_B">Model!$AN$257</definedName>
    <definedName name="v_104_SPFOA">Model!$BZ$257</definedName>
    <definedName name="v_104_SPFOS">Model!$CB$257</definedName>
    <definedName name="v_104_SPO4">Model!$AL$257</definedName>
    <definedName name="v_104_SSO4">Model!$BC$257</definedName>
    <definedName name="v_104_SU">Model!$K$257</definedName>
    <definedName name="v_104_SVFA">Model!$E$257</definedName>
    <definedName name="v_104_XACP">Model!$BU$257</definedName>
    <definedName name="v_104_XALGAE">Model!$AC$257</definedName>
    <definedName name="v_104_XAMETO">Model!$X$257</definedName>
    <definedName name="v_104_XAMX">Model!$W$257</definedName>
    <definedName name="v_104_XAOB">Model!$U$257</definedName>
    <definedName name="v_104_XASRO">Model!$Z$257</definedName>
    <definedName name="v_104_XB">Model!$I$257</definedName>
    <definedName name="v_104_XB_e">Model!$J$257</definedName>
    <definedName name="v_104_XBSH">Model!$BV$257</definedName>
    <definedName name="v_104_XCaCO3">Model!$BT$257</definedName>
    <definedName name="v_104_XCASTO">Model!$S$257</definedName>
    <definedName name="v_104_XE">Model!$P$257</definedName>
    <definedName name="v_104_XE_ana">Model!$Q$257</definedName>
    <definedName name="v_104_XFeS">Model!$BY$257</definedName>
    <definedName name="v_104_XHAO_H">Model!$BM$257</definedName>
    <definedName name="v_104_XHAO_H_P">Model!$BP$257</definedName>
    <definedName name="v_104_XHAO_H_P_old">Model!$BR$257</definedName>
    <definedName name="v_104_XHAO_L">Model!$BN$257</definedName>
    <definedName name="v_104_XHAO_L_P">Model!$BQ$257</definedName>
    <definedName name="v_104_XHAO_L_P_old">Model!$BS$257</definedName>
    <definedName name="v_104_XHAO_old">Model!$BO$257</definedName>
    <definedName name="v_104_XHFO_H">Model!$BF$257</definedName>
    <definedName name="v_104_XHFO_H_P">Model!$BI$257</definedName>
    <definedName name="v_104_XHFO_H_P_old">Model!$BK$257</definedName>
    <definedName name="v_104_XHFO_L">Model!$BG$257</definedName>
    <definedName name="v_104_XHFO_L_P">Model!$BJ$257</definedName>
    <definedName name="v_104_XHFO_L_P_old">Model!$BL$257</definedName>
    <definedName name="v_104_XHFO_old">Model!$BH$257</definedName>
    <definedName name="v_104_XHMETO">Model!$Y$257</definedName>
    <definedName name="v_104_XHSRO">Model!$AA$257</definedName>
    <definedName name="v_104_XINORG">Model!$AV$257</definedName>
    <definedName name="v_104_XMEOLO">Model!$T$257</definedName>
    <definedName name="v_104_XN_B">Model!$AI$257</definedName>
    <definedName name="v_104_XN_Be">Model!$AJ$257</definedName>
    <definedName name="v_104_XN_U">Model!$AK$257</definedName>
    <definedName name="v_104_XNOB">Model!$V$257</definedName>
    <definedName name="v_104_XOHO">Model!$R$257</definedName>
    <definedName name="v_104_XP_B">Model!$AO$257</definedName>
    <definedName name="v_104_XP_Be">Model!$AP$257</definedName>
    <definedName name="v_104_XP_U">Model!$AQ$257</definedName>
    <definedName name="v_104_XPFOA">Model!$CA$257</definedName>
    <definedName name="v_104_XPFOS">Model!$CC$257</definedName>
    <definedName name="v_104_XPHA_GAO">Model!$O$257</definedName>
    <definedName name="v_104_XPHA_PAO">Model!$N$257</definedName>
    <definedName name="v_104_XPP">Model!$AM$257</definedName>
    <definedName name="v_104_XS">Model!$BD$257</definedName>
    <definedName name="v_104_XSOO">Model!$AB$257</definedName>
    <definedName name="v_104_XSTR">Model!$BW$257</definedName>
    <definedName name="v_104_XU">Model!$M$257</definedName>
    <definedName name="v_104_XVivi">Model!$BX$257</definedName>
    <definedName name="v_105_CB">Model!$H$258</definedName>
    <definedName name="v_105_CU">Model!$L$258</definedName>
    <definedName name="v_105_GCH4">Model!$CH$258</definedName>
    <definedName name="v_105_GCH4_atm">Model!$CO$258</definedName>
    <definedName name="v_105_GCO2">Model!$CG$258</definedName>
    <definedName name="v_105_GCO2_atm">Model!$CN$258</definedName>
    <definedName name="v_105_GH2">Model!$CI$258</definedName>
    <definedName name="v_105_GH2_atm">Model!$CP$258</definedName>
    <definedName name="v_105_GH2S">Model!$CM$258</definedName>
    <definedName name="v_105_GH2S_atm">Model!$CT$258</definedName>
    <definedName name="v_105_GN2">Model!$CL$258</definedName>
    <definedName name="v_105_GN2_atm">Model!$CS$258</definedName>
    <definedName name="v_105_GNH3">Model!$CK$258</definedName>
    <definedName name="v_105_GNH3_atm">Model!$CR$258</definedName>
    <definedName name="v_105_GO2">Model!$CJ$258</definedName>
    <definedName name="v_105_GO2_atm">Model!$CQ$258</definedName>
    <definedName name="v_105_SALPHA">Model!$CE$258</definedName>
    <definedName name="v_105_SAN">Model!$AX$258</definedName>
    <definedName name="v_105_SB">Model!$F$258</definedName>
    <definedName name="v_105_SCa">Model!$AY$258</definedName>
    <definedName name="v_105_SCAT">Model!$AW$258</definedName>
    <definedName name="v_105_SCH4">Model!$AS$258</definedName>
    <definedName name="v_105_SCO2">Model!$AU$258</definedName>
    <definedName name="v_105_SFe2">Model!$BE$258</definedName>
    <definedName name="v_105_SH">Model!$CD$258</definedName>
    <definedName name="v_105_SH2">Model!$AT$258</definedName>
    <definedName name="v_105_SH2S">Model!$BB$258</definedName>
    <definedName name="v_105_SK">Model!$BA$258</definedName>
    <definedName name="v_105_SMEOL">Model!$G$258</definedName>
    <definedName name="v_105_SMg">Model!$AZ$258</definedName>
    <definedName name="v_105_SMM_index">Model!$CU$258</definedName>
    <definedName name="v_105_SN_B">Model!$AH$258</definedName>
    <definedName name="v_105_SN2">Model!$AG$258</definedName>
    <definedName name="v_105_SNHx">Model!$AD$258</definedName>
    <definedName name="v_105_SNO2">Model!$AE$258</definedName>
    <definedName name="v_105_SNO3">Model!$AF$258</definedName>
    <definedName name="v_105_SO2">Model!$AR$258</definedName>
    <definedName name="v_105_SORPswitch">Model!$CF$258</definedName>
    <definedName name="v_105_SP_B">Model!$AN$258</definedName>
    <definedName name="v_105_SPFOA">Model!$BZ$258</definedName>
    <definedName name="v_105_SPFOS">Model!$CB$258</definedName>
    <definedName name="v_105_SPO4">Model!$AL$258</definedName>
    <definedName name="v_105_SSO4">Model!$BC$258</definedName>
    <definedName name="v_105_SU">Model!$K$258</definedName>
    <definedName name="v_105_SVFA">Model!$E$258</definedName>
    <definedName name="v_105_XACP">Model!$BU$258</definedName>
    <definedName name="v_105_XALGAE">Model!$AC$258</definedName>
    <definedName name="v_105_XAMETO">Model!$X$258</definedName>
    <definedName name="v_105_XAMX">Model!$W$258</definedName>
    <definedName name="v_105_XAOB">Model!$U$258</definedName>
    <definedName name="v_105_XASRO">Model!$Z$258</definedName>
    <definedName name="v_105_XB">Model!$I$258</definedName>
    <definedName name="v_105_XB_e">Model!$J$258</definedName>
    <definedName name="v_105_XBSH">Model!$BV$258</definedName>
    <definedName name="v_105_XCaCO3">Model!$BT$258</definedName>
    <definedName name="v_105_XCASTO">Model!$S$258</definedName>
    <definedName name="v_105_XE">Model!$P$258</definedName>
    <definedName name="v_105_XE_ana">Model!$Q$258</definedName>
    <definedName name="v_105_XFeS">Model!$BY$258</definedName>
    <definedName name="v_105_XHAO_H">Model!$BM$258</definedName>
    <definedName name="v_105_XHAO_H_P">Model!$BP$258</definedName>
    <definedName name="v_105_XHAO_H_P_old">Model!$BR$258</definedName>
    <definedName name="v_105_XHAO_L">Model!$BN$258</definedName>
    <definedName name="v_105_XHAO_L_P">Model!$BQ$258</definedName>
    <definedName name="v_105_XHAO_L_P_old">Model!$BS$258</definedName>
    <definedName name="v_105_XHAO_old">Model!$BO$258</definedName>
    <definedName name="v_105_XHFO_H">Model!$BF$258</definedName>
    <definedName name="v_105_XHFO_H_P">Model!$BI$258</definedName>
    <definedName name="v_105_XHFO_H_P_old">Model!$BK$258</definedName>
    <definedName name="v_105_XHFO_L">Model!$BG$258</definedName>
    <definedName name="v_105_XHFO_L_P">Model!$BJ$258</definedName>
    <definedName name="v_105_XHFO_L_P_old">Model!$BL$258</definedName>
    <definedName name="v_105_XHFO_old">Model!$BH$258</definedName>
    <definedName name="v_105_XHMETO">Model!$Y$258</definedName>
    <definedName name="v_105_XHSRO">Model!$AA$258</definedName>
    <definedName name="v_105_XINORG">Model!$AV$258</definedName>
    <definedName name="v_105_XMEOLO">Model!$T$258</definedName>
    <definedName name="v_105_XN_B">Model!$AI$258</definedName>
    <definedName name="v_105_XN_Be">Model!$AJ$258</definedName>
    <definedName name="v_105_XN_U">Model!$AK$258</definedName>
    <definedName name="v_105_XNOB">Model!$V$258</definedName>
    <definedName name="v_105_XOHO">Model!$R$258</definedName>
    <definedName name="v_105_XP_B">Model!$AO$258</definedName>
    <definedName name="v_105_XP_Be">Model!$AP$258</definedName>
    <definedName name="v_105_XP_U">Model!$AQ$258</definedName>
    <definedName name="v_105_XPFOA">Model!$CA$258</definedName>
    <definedName name="v_105_XPFOS">Model!$CC$258</definedName>
    <definedName name="v_105_XPHA_GAO">Model!$O$258</definedName>
    <definedName name="v_105_XPHA_PAO">Model!$N$258</definedName>
    <definedName name="v_105_XPP">Model!$AM$258</definedName>
    <definedName name="v_105_XS">Model!$BD$258</definedName>
    <definedName name="v_105_XSOO">Model!$AB$258</definedName>
    <definedName name="v_105_XSTR">Model!$BW$258</definedName>
    <definedName name="v_105_XU">Model!$M$258</definedName>
    <definedName name="v_105_XVivi">Model!$BX$258</definedName>
    <definedName name="v_106_CB">Model!$H$259</definedName>
    <definedName name="v_106_CU">Model!$L$259</definedName>
    <definedName name="v_106_GCH4">Model!$CH$259</definedName>
    <definedName name="v_106_GCH4_atm">Model!$CO$259</definedName>
    <definedName name="v_106_GCO2">Model!$CG$259</definedName>
    <definedName name="v_106_GCO2_atm">Model!$CN$259</definedName>
    <definedName name="v_106_GH2">Model!$CI$259</definedName>
    <definedName name="v_106_GH2_atm">Model!$CP$259</definedName>
    <definedName name="v_106_GH2S">Model!$CM$259</definedName>
    <definedName name="v_106_GH2S_atm">Model!$CT$259</definedName>
    <definedName name="v_106_GN2">Model!$CL$259</definedName>
    <definedName name="v_106_GN2_atm">Model!$CS$259</definedName>
    <definedName name="v_106_GNH3">Model!$CK$259</definedName>
    <definedName name="v_106_GNH3_atm">Model!$CR$259</definedName>
    <definedName name="v_106_GO2">Model!$CJ$259</definedName>
    <definedName name="v_106_GO2_atm">Model!$CQ$259</definedName>
    <definedName name="v_106_SALPHA">Model!$CE$259</definedName>
    <definedName name="v_106_SAN">Model!$AX$259</definedName>
    <definedName name="v_106_SB">Model!$F$259</definedName>
    <definedName name="v_106_SCa">Model!$AY$259</definedName>
    <definedName name="v_106_SCAT">Model!$AW$259</definedName>
    <definedName name="v_106_SCH4">Model!$AS$259</definedName>
    <definedName name="v_106_SCO2">Model!$AU$259</definedName>
    <definedName name="v_106_SFe2">Model!$BE$259</definedName>
    <definedName name="v_106_SH">Model!$CD$259</definedName>
    <definedName name="v_106_SH2">Model!$AT$259</definedName>
    <definedName name="v_106_SH2S">Model!$BB$259</definedName>
    <definedName name="v_106_SK">Model!$BA$259</definedName>
    <definedName name="v_106_SMEOL">Model!$G$259</definedName>
    <definedName name="v_106_SMg">Model!$AZ$259</definedName>
    <definedName name="v_106_SMM_index">Model!$CU$259</definedName>
    <definedName name="v_106_SN_B">Model!$AH$259</definedName>
    <definedName name="v_106_SN2">Model!$AG$259</definedName>
    <definedName name="v_106_SNHx">Model!$AD$259</definedName>
    <definedName name="v_106_SNO2">Model!$AE$259</definedName>
    <definedName name="v_106_SNO3">Model!$AF$259</definedName>
    <definedName name="v_106_SO2">Model!$AR$259</definedName>
    <definedName name="v_106_SORPswitch">Model!$CF$259</definedName>
    <definedName name="v_106_SP_B">Model!$AN$259</definedName>
    <definedName name="v_106_SPFOA">Model!$BZ$259</definedName>
    <definedName name="v_106_SPFOS">Model!$CB$259</definedName>
    <definedName name="v_106_SPO4">Model!$AL$259</definedName>
    <definedName name="v_106_SSO4">Model!$BC$259</definedName>
    <definedName name="v_106_SU">Model!$K$259</definedName>
    <definedName name="v_106_SVFA">Model!$E$259</definedName>
    <definedName name="v_106_XACP">Model!$BU$259</definedName>
    <definedName name="v_106_XALGAE">Model!$AC$259</definedName>
    <definedName name="v_106_XAMETO">Model!$X$259</definedName>
    <definedName name="v_106_XAMX">Model!$W$259</definedName>
    <definedName name="v_106_XAOB">Model!$U$259</definedName>
    <definedName name="v_106_XASRO">Model!$Z$259</definedName>
    <definedName name="v_106_XB">Model!$I$259</definedName>
    <definedName name="v_106_XB_e">Model!$J$259</definedName>
    <definedName name="v_106_XBSH">Model!$BV$259</definedName>
    <definedName name="v_106_XCaCO3">Model!$BT$259</definedName>
    <definedName name="v_106_XCASTO">Model!$S$259</definedName>
    <definedName name="v_106_XE">Model!$P$259</definedName>
    <definedName name="v_106_XE_ana">Model!$Q$259</definedName>
    <definedName name="v_106_XFeS">Model!$BY$259</definedName>
    <definedName name="v_106_XHAO_H">Model!$BM$259</definedName>
    <definedName name="v_106_XHAO_H_P">Model!$BP$259</definedName>
    <definedName name="v_106_XHAO_H_P_old">Model!$BR$259</definedName>
    <definedName name="v_106_XHAO_L">Model!$BN$259</definedName>
    <definedName name="v_106_XHAO_L_P">Model!$BQ$259</definedName>
    <definedName name="v_106_XHAO_L_P_old">Model!$BS$259</definedName>
    <definedName name="v_106_XHAO_old">Model!$BO$259</definedName>
    <definedName name="v_106_XHFO_H">Model!$BF$259</definedName>
    <definedName name="v_106_XHFO_H_P">Model!$BI$259</definedName>
    <definedName name="v_106_XHFO_H_P_old">Model!$BK$259</definedName>
    <definedName name="v_106_XHFO_L">Model!$BG$259</definedName>
    <definedName name="v_106_XHFO_L_P">Model!$BJ$259</definedName>
    <definedName name="v_106_XHFO_L_P_old">Model!$BL$259</definedName>
    <definedName name="v_106_XHFO_old">Model!$BH$259</definedName>
    <definedName name="v_106_XHMETO">Model!$Y$259</definedName>
    <definedName name="v_106_XHSRO">Model!$AA$259</definedName>
    <definedName name="v_106_XINORG">Model!$AV$259</definedName>
    <definedName name="v_106_XMEOLO">Model!$T$259</definedName>
    <definedName name="v_106_XN_B">Model!$AI$259</definedName>
    <definedName name="v_106_XN_Be">Model!$AJ$259</definedName>
    <definedName name="v_106_XN_U">Model!$AK$259</definedName>
    <definedName name="v_106_XNOB">Model!$V$259</definedName>
    <definedName name="v_106_XOHO">Model!$R$259</definedName>
    <definedName name="v_106_XP_B">Model!$AO$259</definedName>
    <definedName name="v_106_XP_Be">Model!$AP$259</definedName>
    <definedName name="v_106_XP_U">Model!$AQ$259</definedName>
    <definedName name="v_106_XPFOA">Model!$CA$259</definedName>
    <definedName name="v_106_XPFOS">Model!$CC$259</definedName>
    <definedName name="v_106_XPHA_GAO">Model!$O$259</definedName>
    <definedName name="v_106_XPHA_PAO">Model!$N$259</definedName>
    <definedName name="v_106_XPP">Model!$AM$259</definedName>
    <definedName name="v_106_XS">Model!$BD$259</definedName>
    <definedName name="v_106_XSOO">Model!$AB$259</definedName>
    <definedName name="v_106_XSTR">Model!$BW$259</definedName>
    <definedName name="v_106_XU">Model!$M$259</definedName>
    <definedName name="v_106_XVivi">Model!$BX$259</definedName>
    <definedName name="v_107_CB">Model!$H$260</definedName>
    <definedName name="v_107_CU">Model!$L$260</definedName>
    <definedName name="v_107_GCH4">Model!$CH$260</definedName>
    <definedName name="v_107_GCH4_atm">Model!$CO$260</definedName>
    <definedName name="v_107_GCO2">Model!$CG$260</definedName>
    <definedName name="v_107_GCO2_atm">Model!$CN$260</definedName>
    <definedName name="v_107_GH2">Model!$CI$260</definedName>
    <definedName name="v_107_GH2_atm">Model!$CP$260</definedName>
    <definedName name="v_107_GH2S">Model!$CM$260</definedName>
    <definedName name="v_107_GH2S_atm">Model!$CT$260</definedName>
    <definedName name="v_107_GN2">Model!$CL$260</definedName>
    <definedName name="v_107_GN2_atm">Model!$CS$260</definedName>
    <definedName name="v_107_GNH3">Model!$CK$260</definedName>
    <definedName name="v_107_GNH3_atm">Model!$CR$260</definedName>
    <definedName name="v_107_GO2">Model!$CJ$260</definedName>
    <definedName name="v_107_GO2_atm">Model!$CQ$260</definedName>
    <definedName name="v_107_SALPHA">Model!$CE$260</definedName>
    <definedName name="v_107_SAN">Model!$AX$260</definedName>
    <definedName name="v_107_SB">Model!$F$260</definedName>
    <definedName name="v_107_SCa">Model!$AY$260</definedName>
    <definedName name="v_107_SCAT">Model!$AW$260</definedName>
    <definedName name="v_107_SCH4">Model!$AS$260</definedName>
    <definedName name="v_107_SCO2">Model!$AU$260</definedName>
    <definedName name="v_107_SFe2">Model!$BE$260</definedName>
    <definedName name="v_107_SH">Model!$CD$260</definedName>
    <definedName name="v_107_SH2">Model!$AT$260</definedName>
    <definedName name="v_107_SH2S">Model!$BB$260</definedName>
    <definedName name="v_107_SK">Model!$BA$260</definedName>
    <definedName name="v_107_SMEOL">Model!$G$260</definedName>
    <definedName name="v_107_SMg">Model!$AZ$260</definedName>
    <definedName name="v_107_SMM_index">Model!$CU$260</definedName>
    <definedName name="v_107_SN_B">Model!$AH$260</definedName>
    <definedName name="v_107_SN2">Model!$AG$260</definedName>
    <definedName name="v_107_SNHx">Model!$AD$260</definedName>
    <definedName name="v_107_SNO2">Model!$AE$260</definedName>
    <definedName name="v_107_SNO3">Model!$AF$260</definedName>
    <definedName name="v_107_SO2">Model!$AR$260</definedName>
    <definedName name="v_107_SORPswitch">Model!$CF$260</definedName>
    <definedName name="v_107_SP_B">Model!$AN$260</definedName>
    <definedName name="v_107_SPFOA">Model!$BZ$260</definedName>
    <definedName name="v_107_SPFOS">Model!$CB$260</definedName>
    <definedName name="v_107_SPO4">Model!$AL$260</definedName>
    <definedName name="v_107_SSO4">Model!$BC$260</definedName>
    <definedName name="v_107_SU">Model!$K$260</definedName>
    <definedName name="v_107_SVFA">Model!$E$260</definedName>
    <definedName name="v_107_XACP">Model!$BU$260</definedName>
    <definedName name="v_107_XALGAE">Model!$AC$260</definedName>
    <definedName name="v_107_XAMETO">Model!$X$260</definedName>
    <definedName name="v_107_XAMX">Model!$W$260</definedName>
    <definedName name="v_107_XAOB">Model!$U$260</definedName>
    <definedName name="v_107_XASRO">Model!$Z$260</definedName>
    <definedName name="v_107_XB">Model!$I$260</definedName>
    <definedName name="v_107_XB_e">Model!$J$260</definedName>
    <definedName name="v_107_XBSH">Model!$BV$260</definedName>
    <definedName name="v_107_XCaCO3">Model!$BT$260</definedName>
    <definedName name="v_107_XCASTO">Model!$S$260</definedName>
    <definedName name="v_107_XE">Model!$P$260</definedName>
    <definedName name="v_107_XE_ana">Model!$Q$260</definedName>
    <definedName name="v_107_XFeS">Model!$BY$260</definedName>
    <definedName name="v_107_XHAO_H">Model!$BM$260</definedName>
    <definedName name="v_107_XHAO_H_P">Model!$BP$260</definedName>
    <definedName name="v_107_XHAO_H_P_old">Model!$BR$260</definedName>
    <definedName name="v_107_XHAO_L">Model!$BN$260</definedName>
    <definedName name="v_107_XHAO_L_P">Model!$BQ$260</definedName>
    <definedName name="v_107_XHAO_L_P_old">Model!$BS$260</definedName>
    <definedName name="v_107_XHAO_old">Model!$BO$260</definedName>
    <definedName name="v_107_XHFO_H">Model!$BF$260</definedName>
    <definedName name="v_107_XHFO_H_P">Model!$BI$260</definedName>
    <definedName name="v_107_XHFO_H_P_old">Model!$BK$260</definedName>
    <definedName name="v_107_XHFO_L">Model!$BG$260</definedName>
    <definedName name="v_107_XHFO_L_P">Model!$BJ$260</definedName>
    <definedName name="v_107_XHFO_L_P_old">Model!$BL$260</definedName>
    <definedName name="v_107_XHFO_old">Model!$BH$260</definedName>
    <definedName name="v_107_XHMETO">Model!$Y$260</definedName>
    <definedName name="v_107_XHSRO">Model!$AA$260</definedName>
    <definedName name="v_107_XINORG">Model!$AV$260</definedName>
    <definedName name="v_107_XMEOLO">Model!$T$260</definedName>
    <definedName name="v_107_XN_B">Model!$AI$260</definedName>
    <definedName name="v_107_XN_Be">Model!$AJ$260</definedName>
    <definedName name="v_107_XN_U">Model!$AK$260</definedName>
    <definedName name="v_107_XNOB">Model!$V$260</definedName>
    <definedName name="v_107_XOHO">Model!$R$260</definedName>
    <definedName name="v_107_XP_B">Model!$AO$260</definedName>
    <definedName name="v_107_XP_Be">Model!$AP$260</definedName>
    <definedName name="v_107_XP_U">Model!$AQ$260</definedName>
    <definedName name="v_107_XPFOA">Model!$CA$260</definedName>
    <definedName name="v_107_XPFOS">Model!$CC$260</definedName>
    <definedName name="v_107_XPHA_GAO">Model!$O$260</definedName>
    <definedName name="v_107_XPHA_PAO">Model!$N$260</definedName>
    <definedName name="v_107_XPP">Model!$AM$260</definedName>
    <definedName name="v_107_XS">Model!$BD$260</definedName>
    <definedName name="v_107_XSOO">Model!$AB$260</definedName>
    <definedName name="v_107_XSTR">Model!$BW$260</definedName>
    <definedName name="v_107_XU">Model!$M$260</definedName>
    <definedName name="v_107_XVivi">Model!$BX$260</definedName>
    <definedName name="v_108_CB">Model!$H$261</definedName>
    <definedName name="v_108_CU">Model!$L$261</definedName>
    <definedName name="v_108_GCH4">Model!$CH$261</definedName>
    <definedName name="v_108_GCH4_atm">Model!$CO$261</definedName>
    <definedName name="v_108_GCO2">Model!$CG$261</definedName>
    <definedName name="v_108_GCO2_atm">Model!$CN$261</definedName>
    <definedName name="v_108_GH2">Model!$CI$261</definedName>
    <definedName name="v_108_GH2_atm">Model!$CP$261</definedName>
    <definedName name="v_108_GH2S">Model!$CM$261</definedName>
    <definedName name="v_108_GH2S_atm">Model!$CT$261</definedName>
    <definedName name="v_108_GN2">Model!$CL$261</definedName>
    <definedName name="v_108_GN2_atm">Model!$CS$261</definedName>
    <definedName name="v_108_GNH3">Model!$CK$261</definedName>
    <definedName name="v_108_GNH3_atm">Model!$CR$261</definedName>
    <definedName name="v_108_GO2">Model!$CJ$261</definedName>
    <definedName name="v_108_GO2_atm">Model!$CQ$261</definedName>
    <definedName name="v_108_SALPHA">Model!$CE$261</definedName>
    <definedName name="v_108_SAN">Model!$AX$261</definedName>
    <definedName name="v_108_SB">Model!$F$261</definedName>
    <definedName name="v_108_SCa">Model!$AY$261</definedName>
    <definedName name="v_108_SCAT">Model!$AW$261</definedName>
    <definedName name="v_108_SCH4">Model!$AS$261</definedName>
    <definedName name="v_108_SCO2">Model!$AU$261</definedName>
    <definedName name="v_108_SFe2">Model!$BE$261</definedName>
    <definedName name="v_108_SH">Model!$CD$261</definedName>
    <definedName name="v_108_SH2">Model!$AT$261</definedName>
    <definedName name="v_108_SH2S">Model!$BB$261</definedName>
    <definedName name="v_108_SK">Model!$BA$261</definedName>
    <definedName name="v_108_SMEOL">Model!$G$261</definedName>
    <definedName name="v_108_SMg">Model!$AZ$261</definedName>
    <definedName name="v_108_SMM_index">Model!$CU$261</definedName>
    <definedName name="v_108_SN_B">Model!$AH$261</definedName>
    <definedName name="v_108_SN2">Model!$AG$261</definedName>
    <definedName name="v_108_SNHx">Model!$AD$261</definedName>
    <definedName name="v_108_SNO2">Model!$AE$261</definedName>
    <definedName name="v_108_SNO3">Model!$AF$261</definedName>
    <definedName name="v_108_SO2">Model!$AR$261</definedName>
    <definedName name="v_108_SORPswitch">Model!$CF$261</definedName>
    <definedName name="v_108_SP_B">Model!$AN$261</definedName>
    <definedName name="v_108_SPFOA">Model!$BZ$261</definedName>
    <definedName name="v_108_SPFOS">Model!$CB$261</definedName>
    <definedName name="v_108_SPO4">Model!$AL$261</definedName>
    <definedName name="v_108_SSO4">Model!$BC$261</definedName>
    <definedName name="v_108_SU">Model!$K$261</definedName>
    <definedName name="v_108_SVFA">Model!$E$261</definedName>
    <definedName name="v_108_XACP">Model!$BU$261</definedName>
    <definedName name="v_108_XALGAE">Model!$AC$261</definedName>
    <definedName name="v_108_XAMETO">Model!$X$261</definedName>
    <definedName name="v_108_XAMX">Model!$W$261</definedName>
    <definedName name="v_108_XAOB">Model!$U$261</definedName>
    <definedName name="v_108_XASRO">Model!$Z$261</definedName>
    <definedName name="v_108_XB">Model!$I$261</definedName>
    <definedName name="v_108_XB_e">Model!$J$261</definedName>
    <definedName name="v_108_XBSH">Model!$BV$261</definedName>
    <definedName name="v_108_XCaCO3">Model!$BT$261</definedName>
    <definedName name="v_108_XCASTO">Model!$S$261</definedName>
    <definedName name="v_108_XE">Model!$P$261</definedName>
    <definedName name="v_108_XE_ana">Model!$Q$261</definedName>
    <definedName name="v_108_XFeS">Model!$BY$261</definedName>
    <definedName name="v_108_XHAO_H">Model!$BM$261</definedName>
    <definedName name="v_108_XHAO_H_P">Model!$BP$261</definedName>
    <definedName name="v_108_XHAO_H_P_old">Model!$BR$261</definedName>
    <definedName name="v_108_XHAO_L">Model!$BN$261</definedName>
    <definedName name="v_108_XHAO_L_P">Model!$BQ$261</definedName>
    <definedName name="v_108_XHAO_L_P_old">Model!$BS$261</definedName>
    <definedName name="v_108_XHAO_old">Model!$BO$261</definedName>
    <definedName name="v_108_XHFO_H">Model!$BF$261</definedName>
    <definedName name="v_108_XHFO_H_P">Model!$BI$261</definedName>
    <definedName name="v_108_XHFO_H_P_old">Model!$BK$261</definedName>
    <definedName name="v_108_XHFO_L">Model!$BG$261</definedName>
    <definedName name="v_108_XHFO_L_P">Model!$BJ$261</definedName>
    <definedName name="v_108_XHFO_L_P_old">Model!$BL$261</definedName>
    <definedName name="v_108_XHFO_old">Model!$BH$261</definedName>
    <definedName name="v_108_XHMETO">Model!$Y$261</definedName>
    <definedName name="v_108_XHSRO">Model!$AA$261</definedName>
    <definedName name="v_108_XINORG">Model!$AV$261</definedName>
    <definedName name="v_108_XMEOLO">Model!$T$261</definedName>
    <definedName name="v_108_XN_B">Model!$AI$261</definedName>
    <definedName name="v_108_XN_Be">Model!$AJ$261</definedName>
    <definedName name="v_108_XN_U">Model!$AK$261</definedName>
    <definedName name="v_108_XNOB">Model!$V$261</definedName>
    <definedName name="v_108_XOHO">Model!$R$261</definedName>
    <definedName name="v_108_XP_B">Model!$AO$261</definedName>
    <definedName name="v_108_XP_Be">Model!$AP$261</definedName>
    <definedName name="v_108_XP_U">Model!$AQ$261</definedName>
    <definedName name="v_108_XPFOA">Model!$CA$261</definedName>
    <definedName name="v_108_XPFOS">Model!$CC$261</definedName>
    <definedName name="v_108_XPHA_GAO">Model!$O$261</definedName>
    <definedName name="v_108_XPHA_PAO">Model!$N$261</definedName>
    <definedName name="v_108_XPP">Model!$AM$261</definedName>
    <definedName name="v_108_XS">Model!$BD$261</definedName>
    <definedName name="v_108_XSOO">Model!$AB$261</definedName>
    <definedName name="v_108_XSTR">Model!$BW$261</definedName>
    <definedName name="v_108_XU">Model!$M$261</definedName>
    <definedName name="v_108_XVivi">Model!$BX$261</definedName>
    <definedName name="v_109_CB">Model!$H$262</definedName>
    <definedName name="v_109_CU">Model!$L$262</definedName>
    <definedName name="v_109_GCH4">Model!$CH$262</definedName>
    <definedName name="v_109_GCH4_atm">Model!$CO$262</definedName>
    <definedName name="v_109_GCO2">Model!$CG$262</definedName>
    <definedName name="v_109_GCO2_atm">Model!$CN$262</definedName>
    <definedName name="v_109_GH2">Model!$CI$262</definedName>
    <definedName name="v_109_GH2_atm">Model!$CP$262</definedName>
    <definedName name="v_109_GH2S">Model!$CM$262</definedName>
    <definedName name="v_109_GH2S_atm">Model!$CT$262</definedName>
    <definedName name="v_109_GN2">Model!$CL$262</definedName>
    <definedName name="v_109_GN2_atm">Model!$CS$262</definedName>
    <definedName name="v_109_GNH3">Model!$CK$262</definedName>
    <definedName name="v_109_GNH3_atm">Model!$CR$262</definedName>
    <definedName name="v_109_GO2">Model!$CJ$262</definedName>
    <definedName name="v_109_GO2_atm">Model!$CQ$262</definedName>
    <definedName name="v_109_SALPHA">Model!$CE$262</definedName>
    <definedName name="v_109_SAN">Model!$AX$262</definedName>
    <definedName name="v_109_SB">Model!$F$262</definedName>
    <definedName name="v_109_SCa">Model!$AY$262</definedName>
    <definedName name="v_109_SCAT">Model!$AW$262</definedName>
    <definedName name="v_109_SCH4">Model!$AS$262</definedName>
    <definedName name="v_109_SCO2">Model!$AU$262</definedName>
    <definedName name="v_109_SFe2">Model!$BE$262</definedName>
    <definedName name="v_109_SH">Model!$CD$262</definedName>
    <definedName name="v_109_SH2">Model!$AT$262</definedName>
    <definedName name="v_109_SH2S">Model!$BB$262</definedName>
    <definedName name="v_109_SK">Model!$BA$262</definedName>
    <definedName name="v_109_SMEOL">Model!$G$262</definedName>
    <definedName name="v_109_SMg">Model!$AZ$262</definedName>
    <definedName name="v_109_SMM_index">Model!$CU$262</definedName>
    <definedName name="v_109_SN_B">Model!$AH$262</definedName>
    <definedName name="v_109_SN2">Model!$AG$262</definedName>
    <definedName name="v_109_SNHx">Model!$AD$262</definedName>
    <definedName name="v_109_SNO2">Model!$AE$262</definedName>
    <definedName name="v_109_SNO3">Model!$AF$262</definedName>
    <definedName name="v_109_SO2">Model!$AR$262</definedName>
    <definedName name="v_109_SORPswitch">Model!$CF$262</definedName>
    <definedName name="v_109_SP_B">Model!$AN$262</definedName>
    <definedName name="v_109_SPFOA">Model!$BZ$262</definedName>
    <definedName name="v_109_SPFOS">Model!$CB$262</definedName>
    <definedName name="v_109_SPO4">Model!$AL$262</definedName>
    <definedName name="v_109_SSO4">Model!$BC$262</definedName>
    <definedName name="v_109_SU">Model!$K$262</definedName>
    <definedName name="v_109_SVFA">Model!$E$262</definedName>
    <definedName name="v_109_XACP">Model!$BU$262</definedName>
    <definedName name="v_109_XALGAE">Model!$AC$262</definedName>
    <definedName name="v_109_XAMETO">Model!$X$262</definedName>
    <definedName name="v_109_XAMX">Model!$W$262</definedName>
    <definedName name="v_109_XAOB">Model!$U$262</definedName>
    <definedName name="v_109_XASRO">Model!$Z$262</definedName>
    <definedName name="v_109_XB">Model!$I$262</definedName>
    <definedName name="v_109_XB_e">Model!$J$262</definedName>
    <definedName name="v_109_XBSH">Model!$BV$262</definedName>
    <definedName name="v_109_XCaCO3">Model!$BT$262</definedName>
    <definedName name="v_109_XCASTO">Model!$S$262</definedName>
    <definedName name="v_109_XE">Model!$P$262</definedName>
    <definedName name="v_109_XE_ana">Model!$Q$262</definedName>
    <definedName name="v_109_XFeS">Model!$BY$262</definedName>
    <definedName name="v_109_XHAO_H">Model!$BM$262</definedName>
    <definedName name="v_109_XHAO_H_P">Model!$BP$262</definedName>
    <definedName name="v_109_XHAO_H_P_old">Model!$BR$262</definedName>
    <definedName name="v_109_XHAO_L">Model!$BN$262</definedName>
    <definedName name="v_109_XHAO_L_P">Model!$BQ$262</definedName>
    <definedName name="v_109_XHAO_L_P_old">Model!$BS$262</definedName>
    <definedName name="v_109_XHAO_old">Model!$BO$262</definedName>
    <definedName name="v_109_XHFO_H">Model!$BF$262</definedName>
    <definedName name="v_109_XHFO_H_P">Model!$BI$262</definedName>
    <definedName name="v_109_XHFO_H_P_old">Model!$BK$262</definedName>
    <definedName name="v_109_XHFO_L">Model!$BG$262</definedName>
    <definedName name="v_109_XHFO_L_P">Model!$BJ$262</definedName>
    <definedName name="v_109_XHFO_L_P_old">Model!$BL$262</definedName>
    <definedName name="v_109_XHFO_old">Model!$BH$262</definedName>
    <definedName name="v_109_XHMETO">Model!$Y$262</definedName>
    <definedName name="v_109_XHSRO">Model!$AA$262</definedName>
    <definedName name="v_109_XINORG">Model!$AV$262</definedName>
    <definedName name="v_109_XMEOLO">Model!$T$262</definedName>
    <definedName name="v_109_XN_B">Model!$AI$262</definedName>
    <definedName name="v_109_XN_Be">Model!$AJ$262</definedName>
    <definedName name="v_109_XN_U">Model!$AK$262</definedName>
    <definedName name="v_109_XNOB">Model!$V$262</definedName>
    <definedName name="v_109_XOHO">Model!$R$262</definedName>
    <definedName name="v_109_XP_B">Model!$AO$262</definedName>
    <definedName name="v_109_XP_Be">Model!$AP$262</definedName>
    <definedName name="v_109_XP_U">Model!$AQ$262</definedName>
    <definedName name="v_109_XPFOA">Model!$CA$262</definedName>
    <definedName name="v_109_XPFOS">Model!$CC$262</definedName>
    <definedName name="v_109_XPHA_GAO">Model!$O$262</definedName>
    <definedName name="v_109_XPHA_PAO">Model!$N$262</definedName>
    <definedName name="v_109_XPP">Model!$AM$262</definedName>
    <definedName name="v_109_XS">Model!$BD$262</definedName>
    <definedName name="v_109_XSOO">Model!$AB$262</definedName>
    <definedName name="v_109_XSTR">Model!$BW$262</definedName>
    <definedName name="v_109_XU">Model!$M$262</definedName>
    <definedName name="v_109_XVivi">Model!$BX$262</definedName>
    <definedName name="v_11_CB">Model!$H$164</definedName>
    <definedName name="v_11_CU">Model!$L$164</definedName>
    <definedName name="v_11_GCH4">Model!$CH$164</definedName>
    <definedName name="v_11_GCH4_atm">Model!$CO$164</definedName>
    <definedName name="v_11_GCO2">Model!$CG$164</definedName>
    <definedName name="v_11_GCO2_atm">Model!$CN$164</definedName>
    <definedName name="v_11_GH2">Model!$CI$164</definedName>
    <definedName name="v_11_GH2_atm">Model!$CP$164</definedName>
    <definedName name="v_11_GH2S">Model!$CM$164</definedName>
    <definedName name="v_11_GH2S_atm">Model!$CT$164</definedName>
    <definedName name="v_11_GN2">Model!$CL$164</definedName>
    <definedName name="v_11_GN2_atm">Model!$CS$164</definedName>
    <definedName name="v_11_GNH3">Model!$CK$164</definedName>
    <definedName name="v_11_GNH3_atm">Model!$CR$164</definedName>
    <definedName name="v_11_GO2">Model!$CJ$164</definedName>
    <definedName name="v_11_GO2_atm">Model!$CQ$164</definedName>
    <definedName name="v_11_SALPHA">Model!$CE$164</definedName>
    <definedName name="v_11_SAN">Model!$AX$164</definedName>
    <definedName name="v_11_SB">Model!$F$164</definedName>
    <definedName name="v_11_SCa">Model!$AY$164</definedName>
    <definedName name="v_11_SCAT">Model!$AW$164</definedName>
    <definedName name="v_11_SCH4">Model!$AS$164</definedName>
    <definedName name="v_11_SCO2">Model!$AU$164</definedName>
    <definedName name="v_11_SFe2">Model!$BE$164</definedName>
    <definedName name="v_11_SH">Model!$CD$164</definedName>
    <definedName name="v_11_SH2">Model!$AT$164</definedName>
    <definedName name="v_11_SH2S">Model!$BB$164</definedName>
    <definedName name="v_11_SK">Model!$BA$164</definedName>
    <definedName name="v_11_SMEOL">Model!$G$164</definedName>
    <definedName name="v_11_SMg">Model!$AZ$164</definedName>
    <definedName name="v_11_SMM_index">Model!$CU$164</definedName>
    <definedName name="v_11_SN_B">Model!$AH$164</definedName>
    <definedName name="v_11_SN2">Model!$AG$164</definedName>
    <definedName name="v_11_SNHx">Model!$AD$164</definedName>
    <definedName name="v_11_SNO2">Model!$AE$164</definedName>
    <definedName name="v_11_SNO3">Model!$AF$164</definedName>
    <definedName name="v_11_SO2">Model!$AR$164</definedName>
    <definedName name="v_11_SORPswitch">Model!$CF$164</definedName>
    <definedName name="v_11_SP_B">Model!$AN$164</definedName>
    <definedName name="v_11_SPFOA">Model!$BZ$164</definedName>
    <definedName name="v_11_SPFOS">Model!$CB$164</definedName>
    <definedName name="v_11_SPO4">Model!$AL$164</definedName>
    <definedName name="v_11_SSO4">Model!$BC$164</definedName>
    <definedName name="v_11_SU">Model!$K$164</definedName>
    <definedName name="v_11_SVFA">Model!$E$164</definedName>
    <definedName name="v_11_XACP">Model!$BU$164</definedName>
    <definedName name="v_11_XALGAE">Model!$AC$164</definedName>
    <definedName name="v_11_XAMETO">Model!$X$164</definedName>
    <definedName name="v_11_XAMX">Model!$W$164</definedName>
    <definedName name="v_11_XAOB">Model!$U$164</definedName>
    <definedName name="v_11_XASRO">Model!$Z$164</definedName>
    <definedName name="v_11_XB">Model!$I$164</definedName>
    <definedName name="v_11_XB_e">Model!$J$164</definedName>
    <definedName name="v_11_XBSH">Model!$BV$164</definedName>
    <definedName name="v_11_XCaCO3">Model!$BT$164</definedName>
    <definedName name="v_11_XCASTO">Model!$S$164</definedName>
    <definedName name="v_11_XE">Model!$P$164</definedName>
    <definedName name="v_11_XE_ana">Model!$Q$164</definedName>
    <definedName name="v_11_XFeS">Model!$BY$164</definedName>
    <definedName name="v_11_XHAO_H">Model!$BM$164</definedName>
    <definedName name="v_11_XHAO_H_P">Model!$BP$164</definedName>
    <definedName name="v_11_XHAO_H_P_old">Model!$BR$164</definedName>
    <definedName name="v_11_XHAO_L">Model!$BN$164</definedName>
    <definedName name="v_11_XHAO_L_P">Model!$BQ$164</definedName>
    <definedName name="v_11_XHAO_L_P_old">Model!$BS$164</definedName>
    <definedName name="v_11_XHAO_old">Model!$BO$164</definedName>
    <definedName name="v_11_XHFO_H">Model!$BF$164</definedName>
    <definedName name="v_11_XHFO_H_P">Model!$BI$164</definedName>
    <definedName name="v_11_XHFO_H_P_old">Model!$BK$164</definedName>
    <definedName name="v_11_XHFO_L">Model!$BG$164</definedName>
    <definedName name="v_11_XHFO_L_P">Model!$BJ$164</definedName>
    <definedName name="v_11_XHFO_L_P_old">Model!$BL$164</definedName>
    <definedName name="v_11_XHFO_old">Model!$BH$164</definedName>
    <definedName name="v_11_XHMETO">Model!$Y$164</definedName>
    <definedName name="v_11_XHSRO">Model!$AA$164</definedName>
    <definedName name="v_11_XINORG">Model!$AV$164</definedName>
    <definedName name="v_11_XMEOLO">Model!$T$164</definedName>
    <definedName name="v_11_XN_B">Model!$AI$164</definedName>
    <definedName name="v_11_XN_Be">Model!$AJ$164</definedName>
    <definedName name="v_11_XN_U">Model!$AK$164</definedName>
    <definedName name="v_11_XNOB">Model!$V$164</definedName>
    <definedName name="v_11_XOHO">Model!$R$164</definedName>
    <definedName name="v_11_XP_B">Model!$AO$164</definedName>
    <definedName name="v_11_XP_Be">Model!$AP$164</definedName>
    <definedName name="v_11_XP_U">Model!$AQ$164</definedName>
    <definedName name="v_11_XPFOA">Model!$CA$164</definedName>
    <definedName name="v_11_XPFOS">Model!$CC$164</definedName>
    <definedName name="v_11_XPHA_GAO">Model!$O$164</definedName>
    <definedName name="v_11_XPHA_PAO">Model!$N$164</definedName>
    <definedName name="v_11_XPP">Model!$AM$164</definedName>
    <definedName name="v_11_XS">Model!$BD$164</definedName>
    <definedName name="v_11_XSOO">Model!$AB$164</definedName>
    <definedName name="v_11_XSTR">Model!$BW$164</definedName>
    <definedName name="v_11_XU">Model!$M$164</definedName>
    <definedName name="v_11_XVivi">Model!$BX$164</definedName>
    <definedName name="v_110_CB">Model!$H$263</definedName>
    <definedName name="v_110_CU">Model!$L$263</definedName>
    <definedName name="v_110_GCH4">Model!$CH$263</definedName>
    <definedName name="v_110_GCH4_atm">Model!$CO$263</definedName>
    <definedName name="v_110_GCO2">Model!$CG$263</definedName>
    <definedName name="v_110_GCO2_atm">Model!$CN$263</definedName>
    <definedName name="v_110_GH2">Model!$CI$263</definedName>
    <definedName name="v_110_GH2_atm">Model!$CP$263</definedName>
    <definedName name="v_110_GH2S">Model!$CM$263</definedName>
    <definedName name="v_110_GH2S_atm">Model!$CT$263</definedName>
    <definedName name="v_110_GN2">Model!$CL$263</definedName>
    <definedName name="v_110_GN2_atm">Model!$CS$263</definedName>
    <definedName name="v_110_GNH3">Model!$CK$263</definedName>
    <definedName name="v_110_GNH3_atm">Model!$CR$263</definedName>
    <definedName name="v_110_GO2">Model!$CJ$263</definedName>
    <definedName name="v_110_GO2_atm">Model!$CQ$263</definedName>
    <definedName name="v_110_SALPHA">Model!$CE$263</definedName>
    <definedName name="v_110_SAN">Model!$AX$263</definedName>
    <definedName name="v_110_SB">Model!$F$263</definedName>
    <definedName name="v_110_SCa">Model!$AY$263</definedName>
    <definedName name="v_110_SCAT">Model!$AW$263</definedName>
    <definedName name="v_110_SCH4">Model!$AS$263</definedName>
    <definedName name="v_110_SCO2">Model!$AU$263</definedName>
    <definedName name="v_110_SFe2">Model!$BE$263</definedName>
    <definedName name="v_110_SH">Model!$CD$263</definedName>
    <definedName name="v_110_SH2">Model!$AT$263</definedName>
    <definedName name="v_110_SH2S">Model!$BB$263</definedName>
    <definedName name="v_110_SK">Model!$BA$263</definedName>
    <definedName name="v_110_SMEOL">Model!$G$263</definedName>
    <definedName name="v_110_SMg">Model!$AZ$263</definedName>
    <definedName name="v_110_SMM_index">Model!$CU$263</definedName>
    <definedName name="v_110_SN_B">Model!$AH$263</definedName>
    <definedName name="v_110_SN2">Model!$AG$263</definedName>
    <definedName name="v_110_SNHx">Model!$AD$263</definedName>
    <definedName name="v_110_SNO2">Model!$AE$263</definedName>
    <definedName name="v_110_SNO3">Model!$AF$263</definedName>
    <definedName name="v_110_SO2">Model!$AR$263</definedName>
    <definedName name="v_110_SORPswitch">Model!$CF$263</definedName>
    <definedName name="v_110_SP_B">Model!$AN$263</definedName>
    <definedName name="v_110_SPFOA">Model!$BZ$263</definedName>
    <definedName name="v_110_SPFOS">Model!$CB$263</definedName>
    <definedName name="v_110_SPO4">Model!$AL$263</definedName>
    <definedName name="v_110_SSO4">Model!$BC$263</definedName>
    <definedName name="v_110_SU">Model!$K$263</definedName>
    <definedName name="v_110_SVFA">Model!$E$263</definedName>
    <definedName name="v_110_XACP">Model!$BU$263</definedName>
    <definedName name="v_110_XALGAE">Model!$AC$263</definedName>
    <definedName name="v_110_XAMETO">Model!$X$263</definedName>
    <definedName name="v_110_XAMX">Model!$W$263</definedName>
    <definedName name="v_110_XAOB">Model!$U$263</definedName>
    <definedName name="v_110_XASRO">Model!$Z$263</definedName>
    <definedName name="v_110_XB">Model!$I$263</definedName>
    <definedName name="v_110_XB_e">Model!$J$263</definedName>
    <definedName name="v_110_XBSH">Model!$BV$263</definedName>
    <definedName name="v_110_XCaCO3">Model!$BT$263</definedName>
    <definedName name="v_110_XCASTO">Model!$S$263</definedName>
    <definedName name="v_110_XE">Model!$P$263</definedName>
    <definedName name="v_110_XE_ana">Model!$Q$263</definedName>
    <definedName name="v_110_XFeS">Model!$BY$263</definedName>
    <definedName name="v_110_XHAO_H">Model!$BM$263</definedName>
    <definedName name="v_110_XHAO_H_P">Model!$BP$263</definedName>
    <definedName name="v_110_XHAO_H_P_old">Model!$BR$263</definedName>
    <definedName name="v_110_XHAO_L">Model!$BN$263</definedName>
    <definedName name="v_110_XHAO_L_P">Model!$BQ$263</definedName>
    <definedName name="v_110_XHAO_L_P_old">Model!$BS$263</definedName>
    <definedName name="v_110_XHAO_old">Model!$BO$263</definedName>
    <definedName name="v_110_XHFO_H">Model!$BF$263</definedName>
    <definedName name="v_110_XHFO_H_P">Model!$BI$263</definedName>
    <definedName name="v_110_XHFO_H_P_old">Model!$BK$263</definedName>
    <definedName name="v_110_XHFO_L">Model!$BG$263</definedName>
    <definedName name="v_110_XHFO_L_P">Model!$BJ$263</definedName>
    <definedName name="v_110_XHFO_L_P_old">Model!$BL$263</definedName>
    <definedName name="v_110_XHFO_old">Model!$BH$263</definedName>
    <definedName name="v_110_XHMETO">Model!$Y$263</definedName>
    <definedName name="v_110_XHSRO">Model!$AA$263</definedName>
    <definedName name="v_110_XINORG">Model!$AV$263</definedName>
    <definedName name="v_110_XMEOLO">Model!$T$263</definedName>
    <definedName name="v_110_XN_B">Model!$AI$263</definedName>
    <definedName name="v_110_XN_Be">Model!$AJ$263</definedName>
    <definedName name="v_110_XN_U">Model!$AK$263</definedName>
    <definedName name="v_110_XNOB">Model!$V$263</definedName>
    <definedName name="v_110_XOHO">Model!$R$263</definedName>
    <definedName name="v_110_XP_B">Model!$AO$263</definedName>
    <definedName name="v_110_XP_Be">Model!$AP$263</definedName>
    <definedName name="v_110_XP_U">Model!$AQ$263</definedName>
    <definedName name="v_110_XPFOA">Model!$CA$263</definedName>
    <definedName name="v_110_XPFOS">Model!$CC$263</definedName>
    <definedName name="v_110_XPHA_GAO">Model!$O$263</definedName>
    <definedName name="v_110_XPHA_PAO">Model!$N$263</definedName>
    <definedName name="v_110_XPP">Model!$AM$263</definedName>
    <definedName name="v_110_XS">Model!$BD$263</definedName>
    <definedName name="v_110_XSOO">Model!$AB$263</definedName>
    <definedName name="v_110_XSTR">Model!$BW$263</definedName>
    <definedName name="v_110_XU">Model!$M$263</definedName>
    <definedName name="v_110_XVivi">Model!$BX$263</definedName>
    <definedName name="v_111_CB">Model!$H$264</definedName>
    <definedName name="v_111_CU">Model!$L$264</definedName>
    <definedName name="v_111_GCH4">Model!$CH$264</definedName>
    <definedName name="v_111_GCH4_atm">Model!$CO$264</definedName>
    <definedName name="v_111_GCO2">Model!$CG$264</definedName>
    <definedName name="v_111_GCO2_atm">Model!$CN$264</definedName>
    <definedName name="v_111_GH2">Model!$CI$264</definedName>
    <definedName name="v_111_GH2_atm">Model!$CP$264</definedName>
    <definedName name="v_111_GH2S">Model!$CM$264</definedName>
    <definedName name="v_111_GH2S_atm">Model!$CT$264</definedName>
    <definedName name="v_111_GN2">Model!$CL$264</definedName>
    <definedName name="v_111_GN2_atm">Model!$CS$264</definedName>
    <definedName name="v_111_GNH3">Model!$CK$264</definedName>
    <definedName name="v_111_GNH3_atm">Model!$CR$264</definedName>
    <definedName name="v_111_GO2">Model!$CJ$264</definedName>
    <definedName name="v_111_GO2_atm">Model!$CQ$264</definedName>
    <definedName name="v_111_SALPHA">Model!$CE$264</definedName>
    <definedName name="v_111_SAN">Model!$AX$264</definedName>
    <definedName name="v_111_SB">Model!$F$264</definedName>
    <definedName name="v_111_SCa">Model!$AY$264</definedName>
    <definedName name="v_111_SCAT">Model!$AW$264</definedName>
    <definedName name="v_111_SCH4">Model!$AS$264</definedName>
    <definedName name="v_111_SCO2">Model!$AU$264</definedName>
    <definedName name="v_111_SFe2">Model!$BE$264</definedName>
    <definedName name="v_111_SH">Model!$CD$264</definedName>
    <definedName name="v_111_SH2">Model!$AT$264</definedName>
    <definedName name="v_111_SH2S">Model!$BB$264</definedName>
    <definedName name="v_111_SK">Model!$BA$264</definedName>
    <definedName name="v_111_SMEOL">Model!$G$264</definedName>
    <definedName name="v_111_SMg">Model!$AZ$264</definedName>
    <definedName name="v_111_SMM_index">Model!$CU$264</definedName>
    <definedName name="v_111_SN_B">Model!$AH$264</definedName>
    <definedName name="v_111_SN2">Model!$AG$264</definedName>
    <definedName name="v_111_SNHx">Model!$AD$264</definedName>
    <definedName name="v_111_SNO2">Model!$AE$264</definedName>
    <definedName name="v_111_SNO3">Model!$AF$264</definedName>
    <definedName name="v_111_SO2">Model!$AR$264</definedName>
    <definedName name="v_111_SORPswitch">Model!$CF$264</definedName>
    <definedName name="v_111_SP_B">Model!$AN$264</definedName>
    <definedName name="v_111_SPFOA">Model!$BZ$264</definedName>
    <definedName name="v_111_SPFOS">Model!$CB$264</definedName>
    <definedName name="v_111_SPO4">Model!$AL$264</definedName>
    <definedName name="v_111_SSO4">Model!$BC$264</definedName>
    <definedName name="v_111_SU">Model!$K$264</definedName>
    <definedName name="v_111_SVFA">Model!$E$264</definedName>
    <definedName name="v_111_XACP">Model!$BU$264</definedName>
    <definedName name="v_111_XALGAE">Model!$AC$264</definedName>
    <definedName name="v_111_XAMETO">Model!$X$264</definedName>
    <definedName name="v_111_XAMX">Model!$W$264</definedName>
    <definedName name="v_111_XAOB">Model!$U$264</definedName>
    <definedName name="v_111_XASRO">Model!$Z$264</definedName>
    <definedName name="v_111_XB">Model!$I$264</definedName>
    <definedName name="v_111_XB_e">Model!$J$264</definedName>
    <definedName name="v_111_XBSH">Model!$BV$264</definedName>
    <definedName name="v_111_XCaCO3">Model!$BT$264</definedName>
    <definedName name="v_111_XCASTO">Model!$S$264</definedName>
    <definedName name="v_111_XE">Model!$P$264</definedName>
    <definedName name="v_111_XE_ana">Model!$Q$264</definedName>
    <definedName name="v_111_XFeS">Model!$BY$264</definedName>
    <definedName name="v_111_XHAO_H">Model!$BM$264</definedName>
    <definedName name="v_111_XHAO_H_P">Model!$BP$264</definedName>
    <definedName name="v_111_XHAO_H_P_old">Model!$BR$264</definedName>
    <definedName name="v_111_XHAO_L">Model!$BN$264</definedName>
    <definedName name="v_111_XHAO_L_P">Model!$BQ$264</definedName>
    <definedName name="v_111_XHAO_L_P_old">Model!$BS$264</definedName>
    <definedName name="v_111_XHAO_old">Model!$BO$264</definedName>
    <definedName name="v_111_XHFO_H">Model!$BF$264</definedName>
    <definedName name="v_111_XHFO_H_P">Model!$BI$264</definedName>
    <definedName name="v_111_XHFO_H_P_old">Model!$BK$264</definedName>
    <definedName name="v_111_XHFO_L">Model!$BG$264</definedName>
    <definedName name="v_111_XHFO_L_P">Model!$BJ$264</definedName>
    <definedName name="v_111_XHFO_L_P_old">Model!$BL$264</definedName>
    <definedName name="v_111_XHFO_old">Model!$BH$264</definedName>
    <definedName name="v_111_XHMETO">Model!$Y$264</definedName>
    <definedName name="v_111_XHSRO">Model!$AA$264</definedName>
    <definedName name="v_111_XINORG">Model!$AV$264</definedName>
    <definedName name="v_111_XMEOLO">Model!$T$264</definedName>
    <definedName name="v_111_XN_B">Model!$AI$264</definedName>
    <definedName name="v_111_XN_Be">Model!$AJ$264</definedName>
    <definedName name="v_111_XN_U">Model!$AK$264</definedName>
    <definedName name="v_111_XNOB">Model!$V$264</definedName>
    <definedName name="v_111_XOHO">Model!$R$264</definedName>
    <definedName name="v_111_XP_B">Model!$AO$264</definedName>
    <definedName name="v_111_XP_Be">Model!$AP$264</definedName>
    <definedName name="v_111_XP_U">Model!$AQ$264</definedName>
    <definedName name="v_111_XPFOA">Model!$CA$264</definedName>
    <definedName name="v_111_XPFOS">Model!$CC$264</definedName>
    <definedName name="v_111_XPHA_GAO">Model!$O$264</definedName>
    <definedName name="v_111_XPHA_PAO">Model!$N$264</definedName>
    <definedName name="v_111_XPP">Model!$AM$264</definedName>
    <definedName name="v_111_XS">Model!$BD$264</definedName>
    <definedName name="v_111_XSOO">Model!$AB$264</definedName>
    <definedName name="v_111_XSTR">Model!$BW$264</definedName>
    <definedName name="v_111_XU">Model!$M$264</definedName>
    <definedName name="v_111_XVivi">Model!$BX$264</definedName>
    <definedName name="v_112_CB">Model!$H$265</definedName>
    <definedName name="v_112_CU">Model!$L$265</definedName>
    <definedName name="v_112_GCH4">Model!$CH$265</definedName>
    <definedName name="v_112_GCH4_atm">Model!$CO$265</definedName>
    <definedName name="v_112_GCO2">Model!$CG$265</definedName>
    <definedName name="v_112_GCO2_atm">Model!$CN$265</definedName>
    <definedName name="v_112_GH2">Model!$CI$265</definedName>
    <definedName name="v_112_GH2_atm">Model!$CP$265</definedName>
    <definedName name="v_112_GH2S">Model!$CM$265</definedName>
    <definedName name="v_112_GH2S_atm">Model!$CT$265</definedName>
    <definedName name="v_112_GN2">Model!$CL$265</definedName>
    <definedName name="v_112_GN2_atm">Model!$CS$265</definedName>
    <definedName name="v_112_GNH3">Model!$CK$265</definedName>
    <definedName name="v_112_GNH3_atm">Model!$CR$265</definedName>
    <definedName name="v_112_GO2">Model!$CJ$265</definedName>
    <definedName name="v_112_GO2_atm">Model!$CQ$265</definedName>
    <definedName name="v_112_SALPHA">Model!$CE$265</definedName>
    <definedName name="v_112_SAN">Model!$AX$265</definedName>
    <definedName name="v_112_SB">Model!$F$265</definedName>
    <definedName name="v_112_SCa">Model!$AY$265</definedName>
    <definedName name="v_112_SCAT">Model!$AW$265</definedName>
    <definedName name="v_112_SCH4">Model!$AS$265</definedName>
    <definedName name="v_112_SCO2">Model!$AU$265</definedName>
    <definedName name="v_112_SFe2">Model!$BE$265</definedName>
    <definedName name="v_112_SH">Model!$CD$265</definedName>
    <definedName name="v_112_SH2">Model!$AT$265</definedName>
    <definedName name="v_112_SH2S">Model!$BB$265</definedName>
    <definedName name="v_112_SK">Model!$BA$265</definedName>
    <definedName name="v_112_SMEOL">Model!$G$265</definedName>
    <definedName name="v_112_SMg">Model!$AZ$265</definedName>
    <definedName name="v_112_SMM_index">Model!$CU$265</definedName>
    <definedName name="v_112_SN_B">Model!$AH$265</definedName>
    <definedName name="v_112_SN2">Model!$AG$265</definedName>
    <definedName name="v_112_SNHx">Model!$AD$265</definedName>
    <definedName name="v_112_SNO2">Model!$AE$265</definedName>
    <definedName name="v_112_SNO3">Model!$AF$265</definedName>
    <definedName name="v_112_SO2">Model!$AR$265</definedName>
    <definedName name="v_112_SORPswitch">Model!$CF$265</definedName>
    <definedName name="v_112_SP_B">Model!$AN$265</definedName>
    <definedName name="v_112_SPFOA">Model!$BZ$265</definedName>
    <definedName name="v_112_SPFOS">Model!$CB$265</definedName>
    <definedName name="v_112_SPO4">Model!$AL$265</definedName>
    <definedName name="v_112_SSO4">Model!$BC$265</definedName>
    <definedName name="v_112_SU">Model!$K$265</definedName>
    <definedName name="v_112_SVFA">Model!$E$265</definedName>
    <definedName name="v_112_XACP">Model!$BU$265</definedName>
    <definedName name="v_112_XALGAE">Model!$AC$265</definedName>
    <definedName name="v_112_XAMETO">Model!$X$265</definedName>
    <definedName name="v_112_XAMX">Model!$W$265</definedName>
    <definedName name="v_112_XAOB">Model!$U$265</definedName>
    <definedName name="v_112_XASRO">Model!$Z$265</definedName>
    <definedName name="v_112_XB">Model!$I$265</definedName>
    <definedName name="v_112_XB_e">Model!$J$265</definedName>
    <definedName name="v_112_XBSH">Model!$BV$265</definedName>
    <definedName name="v_112_XCaCO3">Model!$BT$265</definedName>
    <definedName name="v_112_XCASTO">Model!$S$265</definedName>
    <definedName name="v_112_XE">Model!$P$265</definedName>
    <definedName name="v_112_XE_ana">Model!$Q$265</definedName>
    <definedName name="v_112_XFeS">Model!$BY$265</definedName>
    <definedName name="v_112_XHAO_H">Model!$BM$265</definedName>
    <definedName name="v_112_XHAO_H_P">Model!$BP$265</definedName>
    <definedName name="v_112_XHAO_H_P_old">Model!$BR$265</definedName>
    <definedName name="v_112_XHAO_L">Model!$BN$265</definedName>
    <definedName name="v_112_XHAO_L_P">Model!$BQ$265</definedName>
    <definedName name="v_112_XHAO_L_P_old">Model!$BS$265</definedName>
    <definedName name="v_112_XHAO_old">Model!$BO$265</definedName>
    <definedName name="v_112_XHFO_H">Model!$BF$265</definedName>
    <definedName name="v_112_XHFO_H_P">Model!$BI$265</definedName>
    <definedName name="v_112_XHFO_H_P_old">Model!$BK$265</definedName>
    <definedName name="v_112_XHFO_L">Model!$BG$265</definedName>
    <definedName name="v_112_XHFO_L_P">Model!$BJ$265</definedName>
    <definedName name="v_112_XHFO_L_P_old">Model!$BL$265</definedName>
    <definedName name="v_112_XHFO_old">Model!$BH$265</definedName>
    <definedName name="v_112_XHMETO">Model!$Y$265</definedName>
    <definedName name="v_112_XHSRO">Model!$AA$265</definedName>
    <definedName name="v_112_XINORG">Model!$AV$265</definedName>
    <definedName name="v_112_XMEOLO">Model!$T$265</definedName>
    <definedName name="v_112_XN_B">Model!$AI$265</definedName>
    <definedName name="v_112_XN_Be">Model!$AJ$265</definedName>
    <definedName name="v_112_XN_U">Model!$AK$265</definedName>
    <definedName name="v_112_XNOB">Model!$V$265</definedName>
    <definedName name="v_112_XOHO">Model!$R$265</definedName>
    <definedName name="v_112_XP_B">Model!$AO$265</definedName>
    <definedName name="v_112_XP_Be">Model!$AP$265</definedName>
    <definedName name="v_112_XP_U">Model!$AQ$265</definedName>
    <definedName name="v_112_XPFOA">Model!$CA$265</definedName>
    <definedName name="v_112_XPFOS">Model!$CC$265</definedName>
    <definedName name="v_112_XPHA_GAO">Model!$O$265</definedName>
    <definedName name="v_112_XPHA_PAO">Model!$N$265</definedName>
    <definedName name="v_112_XPP">Model!$AM$265</definedName>
    <definedName name="v_112_XS">Model!$BD$265</definedName>
    <definedName name="v_112_XSOO">Model!$AB$265</definedName>
    <definedName name="v_112_XSTR">Model!$BW$265</definedName>
    <definedName name="v_112_XU">Model!$M$265</definedName>
    <definedName name="v_112_XVivi">Model!$BX$265</definedName>
    <definedName name="v_113_CB">Model!$H$266</definedName>
    <definedName name="v_113_CU">Model!$L$266</definedName>
    <definedName name="v_113_GCH4">Model!$CH$266</definedName>
    <definedName name="v_113_GCH4_atm">Model!$CO$266</definedName>
    <definedName name="v_113_GCO2">Model!$CG$266</definedName>
    <definedName name="v_113_GCO2_atm">Model!$CN$266</definedName>
    <definedName name="v_113_GH2">Model!$CI$266</definedName>
    <definedName name="v_113_GH2_atm">Model!$CP$266</definedName>
    <definedName name="v_113_GH2S">Model!$CM$266</definedName>
    <definedName name="v_113_GH2S_atm">Model!$CT$266</definedName>
    <definedName name="v_113_GN2">Model!$CL$266</definedName>
    <definedName name="v_113_GN2_atm">Model!$CS$266</definedName>
    <definedName name="v_113_GNH3">Model!$CK$266</definedName>
    <definedName name="v_113_GNH3_atm">Model!$CR$266</definedName>
    <definedName name="v_113_GO2">Model!$CJ$266</definedName>
    <definedName name="v_113_GO2_atm">Model!$CQ$266</definedName>
    <definedName name="v_113_SALPHA">Model!$CE$266</definedName>
    <definedName name="v_113_SAN">Model!$AX$266</definedName>
    <definedName name="v_113_SB">Model!$F$266</definedName>
    <definedName name="v_113_SCa">Model!$AY$266</definedName>
    <definedName name="v_113_SCAT">Model!$AW$266</definedName>
    <definedName name="v_113_SCH4">Model!$AS$266</definedName>
    <definedName name="v_113_SCO2">Model!$AU$266</definedName>
    <definedName name="v_113_SFe2">Model!$BE$266</definedName>
    <definedName name="v_113_SH">Model!$CD$266</definedName>
    <definedName name="v_113_SH2">Model!$AT$266</definedName>
    <definedName name="v_113_SH2S">Model!$BB$266</definedName>
    <definedName name="v_113_SK">Model!$BA$266</definedName>
    <definedName name="v_113_SMEOL">Model!$G$266</definedName>
    <definedName name="v_113_SMg">Model!$AZ$266</definedName>
    <definedName name="v_113_SMM_index">Model!$CU$266</definedName>
    <definedName name="v_113_SN_B">Model!$AH$266</definedName>
    <definedName name="v_113_SN2">Model!$AG$266</definedName>
    <definedName name="v_113_SNHx">Model!$AD$266</definedName>
    <definedName name="v_113_SNO2">Model!$AE$266</definedName>
    <definedName name="v_113_SNO3">Model!$AF$266</definedName>
    <definedName name="v_113_SO2">Model!$AR$266</definedName>
    <definedName name="v_113_SORPswitch">Model!$CF$266</definedName>
    <definedName name="v_113_SP_B">Model!$AN$266</definedName>
    <definedName name="v_113_SPFOA">Model!$BZ$266</definedName>
    <definedName name="v_113_SPFOS">Model!$CB$266</definedName>
    <definedName name="v_113_SPO4">Model!$AL$266</definedName>
    <definedName name="v_113_SSO4">Model!$BC$266</definedName>
    <definedName name="v_113_SU">Model!$K$266</definedName>
    <definedName name="v_113_SVFA">Model!$E$266</definedName>
    <definedName name="v_113_XACP">Model!$BU$266</definedName>
    <definedName name="v_113_XALGAE">Model!$AC$266</definedName>
    <definedName name="v_113_XAMETO">Model!$X$266</definedName>
    <definedName name="v_113_XAMX">Model!$W$266</definedName>
    <definedName name="v_113_XAOB">Model!$U$266</definedName>
    <definedName name="v_113_XASRO">Model!$Z$266</definedName>
    <definedName name="v_113_XB">Model!$I$266</definedName>
    <definedName name="v_113_XB_e">Model!$J$266</definedName>
    <definedName name="v_113_XBSH">Model!$BV$266</definedName>
    <definedName name="v_113_XCaCO3">Model!$BT$266</definedName>
    <definedName name="v_113_XCASTO">Model!$S$266</definedName>
    <definedName name="v_113_XE">Model!$P$266</definedName>
    <definedName name="v_113_XE_ana">Model!$Q$266</definedName>
    <definedName name="v_113_XFeS">Model!$BY$266</definedName>
    <definedName name="v_113_XHAO_H">Model!$BM$266</definedName>
    <definedName name="v_113_XHAO_H_P">Model!$BP$266</definedName>
    <definedName name="v_113_XHAO_H_P_old">Model!$BR$266</definedName>
    <definedName name="v_113_XHAO_L">Model!$BN$266</definedName>
    <definedName name="v_113_XHAO_L_P">Model!$BQ$266</definedName>
    <definedName name="v_113_XHAO_L_P_old">Model!$BS$266</definedName>
    <definedName name="v_113_XHAO_old">Model!$BO$266</definedName>
    <definedName name="v_113_XHFO_H">Model!$BF$266</definedName>
    <definedName name="v_113_XHFO_H_P">Model!$BI$266</definedName>
    <definedName name="v_113_XHFO_H_P_old">Model!$BK$266</definedName>
    <definedName name="v_113_XHFO_L">Model!$BG$266</definedName>
    <definedName name="v_113_XHFO_L_P">Model!$BJ$266</definedName>
    <definedName name="v_113_XHFO_L_P_old">Model!$BL$266</definedName>
    <definedName name="v_113_XHFO_old">Model!$BH$266</definedName>
    <definedName name="v_113_XHMETO">Model!$Y$266</definedName>
    <definedName name="v_113_XHSRO">Model!$AA$266</definedName>
    <definedName name="v_113_XINORG">Model!$AV$266</definedName>
    <definedName name="v_113_XMEOLO">Model!$T$266</definedName>
    <definedName name="v_113_XN_B">Model!$AI$266</definedName>
    <definedName name="v_113_XN_Be">Model!$AJ$266</definedName>
    <definedName name="v_113_XN_U">Model!$AK$266</definedName>
    <definedName name="v_113_XNOB">Model!$V$266</definedName>
    <definedName name="v_113_XOHO">Model!$R$266</definedName>
    <definedName name="v_113_XP_B">Model!$AO$266</definedName>
    <definedName name="v_113_XP_Be">Model!$AP$266</definedName>
    <definedName name="v_113_XP_U">Model!$AQ$266</definedName>
    <definedName name="v_113_XPFOA">Model!$CA$266</definedName>
    <definedName name="v_113_XPFOS">Model!$CC$266</definedName>
    <definedName name="v_113_XPHA_GAO">Model!$O$266</definedName>
    <definedName name="v_113_XPHA_PAO">Model!$N$266</definedName>
    <definedName name="v_113_XPP">Model!$AM$266</definedName>
    <definedName name="v_113_XS">Model!$BD$266</definedName>
    <definedName name="v_113_XSOO">Model!$AB$266</definedName>
    <definedName name="v_113_XSTR">Model!$BW$266</definedName>
    <definedName name="v_113_XU">Model!$M$266</definedName>
    <definedName name="v_113_XVivi">Model!$BX$266</definedName>
    <definedName name="v_114_CB">Model!$H$267</definedName>
    <definedName name="v_114_CU">Model!$L$267</definedName>
    <definedName name="v_114_GCH4">Model!$CH$267</definedName>
    <definedName name="v_114_GCH4_atm">Model!$CO$267</definedName>
    <definedName name="v_114_GCO2">Model!$CG$267</definedName>
    <definedName name="v_114_GCO2_atm">Model!$CN$267</definedName>
    <definedName name="v_114_GH2">Model!$CI$267</definedName>
    <definedName name="v_114_GH2_atm">Model!$CP$267</definedName>
    <definedName name="v_114_GH2S">Model!$CM$267</definedName>
    <definedName name="v_114_GH2S_atm">Model!$CT$267</definedName>
    <definedName name="v_114_GN2">Model!$CL$267</definedName>
    <definedName name="v_114_GN2_atm">Model!$CS$267</definedName>
    <definedName name="v_114_GNH3">Model!$CK$267</definedName>
    <definedName name="v_114_GNH3_atm">Model!$CR$267</definedName>
    <definedName name="v_114_GO2">Model!$CJ$267</definedName>
    <definedName name="v_114_GO2_atm">Model!$CQ$267</definedName>
    <definedName name="v_114_SALPHA">Model!$CE$267</definedName>
    <definedName name="v_114_SAN">Model!$AX$267</definedName>
    <definedName name="v_114_SB">Model!$F$267</definedName>
    <definedName name="v_114_SCa">Model!$AY$267</definedName>
    <definedName name="v_114_SCAT">Model!$AW$267</definedName>
    <definedName name="v_114_SCH4">Model!$AS$267</definedName>
    <definedName name="v_114_SCO2">Model!$AU$267</definedName>
    <definedName name="v_114_SFe2">Model!$BE$267</definedName>
    <definedName name="v_114_SH">Model!$CD$267</definedName>
    <definedName name="v_114_SH2">Model!$AT$267</definedName>
    <definedName name="v_114_SH2S">Model!$BB$267</definedName>
    <definedName name="v_114_SK">Model!$BA$267</definedName>
    <definedName name="v_114_SMEOL">Model!$G$267</definedName>
    <definedName name="v_114_SMg">Model!$AZ$267</definedName>
    <definedName name="v_114_SMM_index">Model!$CU$267</definedName>
    <definedName name="v_114_SN_B">Model!$AH$267</definedName>
    <definedName name="v_114_SN2">Model!$AG$267</definedName>
    <definedName name="v_114_SNHx">Model!$AD$267</definedName>
    <definedName name="v_114_SNO2">Model!$AE$267</definedName>
    <definedName name="v_114_SNO3">Model!$AF$267</definedName>
    <definedName name="v_114_SO2">Model!$AR$267</definedName>
    <definedName name="v_114_SORPswitch">Model!$CF$267</definedName>
    <definedName name="v_114_SP_B">Model!$AN$267</definedName>
    <definedName name="v_114_SPFOA">Model!$BZ$267</definedName>
    <definedName name="v_114_SPFOS">Model!$CB$267</definedName>
    <definedName name="v_114_SPO4">Model!$AL$267</definedName>
    <definedName name="v_114_SSO4">Model!$BC$267</definedName>
    <definedName name="v_114_SU">Model!$K$267</definedName>
    <definedName name="v_114_SVFA">Model!$E$267</definedName>
    <definedName name="v_114_XACP">Model!$BU$267</definedName>
    <definedName name="v_114_XALGAE">Model!$AC$267</definedName>
    <definedName name="v_114_XAMETO">Model!$X$267</definedName>
    <definedName name="v_114_XAMX">Model!$W$267</definedName>
    <definedName name="v_114_XAOB">Model!$U$267</definedName>
    <definedName name="v_114_XASRO">Model!$Z$267</definedName>
    <definedName name="v_114_XB">Model!$I$267</definedName>
    <definedName name="v_114_XB_e">Model!$J$267</definedName>
    <definedName name="v_114_XBSH">Model!$BV$267</definedName>
    <definedName name="v_114_XCaCO3">Model!$BT$267</definedName>
    <definedName name="v_114_XCASTO">Model!$S$267</definedName>
    <definedName name="v_114_XE">Model!$P$267</definedName>
    <definedName name="v_114_XE_ana">Model!$Q$267</definedName>
    <definedName name="v_114_XFeS">Model!$BY$267</definedName>
    <definedName name="v_114_XHAO_H">Model!$BM$267</definedName>
    <definedName name="v_114_XHAO_H_P">Model!$BP$267</definedName>
    <definedName name="v_114_XHAO_H_P_old">Model!$BR$267</definedName>
    <definedName name="v_114_XHAO_L">Model!$BN$267</definedName>
    <definedName name="v_114_XHAO_L_P">Model!$BQ$267</definedName>
    <definedName name="v_114_XHAO_L_P_old">Model!$BS$267</definedName>
    <definedName name="v_114_XHAO_old">Model!$BO$267</definedName>
    <definedName name="v_114_XHFO_H">Model!$BF$267</definedName>
    <definedName name="v_114_XHFO_H_P">Model!$BI$267</definedName>
    <definedName name="v_114_XHFO_H_P_old">Model!$BK$267</definedName>
    <definedName name="v_114_XHFO_L">Model!$BG$267</definedName>
    <definedName name="v_114_XHFO_L_P">Model!$BJ$267</definedName>
    <definedName name="v_114_XHFO_L_P_old">Model!$BL$267</definedName>
    <definedName name="v_114_XHFO_old">Model!$BH$267</definedName>
    <definedName name="v_114_XHMETO">Model!$Y$267</definedName>
    <definedName name="v_114_XHSRO">Model!$AA$267</definedName>
    <definedName name="v_114_XINORG">Model!$AV$267</definedName>
    <definedName name="v_114_XMEOLO">Model!$T$267</definedName>
    <definedName name="v_114_XN_B">Model!$AI$267</definedName>
    <definedName name="v_114_XN_Be">Model!$AJ$267</definedName>
    <definedName name="v_114_XN_U">Model!$AK$267</definedName>
    <definedName name="v_114_XNOB">Model!$V$267</definedName>
    <definedName name="v_114_XOHO">Model!$R$267</definedName>
    <definedName name="v_114_XP_B">Model!$AO$267</definedName>
    <definedName name="v_114_XP_Be">Model!$AP$267</definedName>
    <definedName name="v_114_XP_U">Model!$AQ$267</definedName>
    <definedName name="v_114_XPFOA">Model!$CA$267</definedName>
    <definedName name="v_114_XPFOS">Model!$CC$267</definedName>
    <definedName name="v_114_XPHA_GAO">Model!$O$267</definedName>
    <definedName name="v_114_XPHA_PAO">Model!$N$267</definedName>
    <definedName name="v_114_XPP">Model!$AM$267</definedName>
    <definedName name="v_114_XS">Model!$BD$267</definedName>
    <definedName name="v_114_XSOO">Model!$AB$267</definedName>
    <definedName name="v_114_XSTR">Model!$BW$267</definedName>
    <definedName name="v_114_XU">Model!$M$267</definedName>
    <definedName name="v_114_XVivi">Model!$BX$267</definedName>
    <definedName name="v_115_CB">Model!$H$268</definedName>
    <definedName name="v_115_CU">Model!$L$268</definedName>
    <definedName name="v_115_GCH4">Model!$CH$268</definedName>
    <definedName name="v_115_GCH4_atm">Model!$CO$268</definedName>
    <definedName name="v_115_GCO2">Model!$CG$268</definedName>
    <definedName name="v_115_GCO2_atm">Model!$CN$268</definedName>
    <definedName name="v_115_GH2">Model!$CI$268</definedName>
    <definedName name="v_115_GH2_atm">Model!$CP$268</definedName>
    <definedName name="v_115_GH2S">Model!$CM$268</definedName>
    <definedName name="v_115_GH2S_atm">Model!$CT$268</definedName>
    <definedName name="v_115_GN2">Model!$CL$268</definedName>
    <definedName name="v_115_GN2_atm">Model!$CS$268</definedName>
    <definedName name="v_115_GNH3">Model!$CK$268</definedName>
    <definedName name="v_115_GNH3_atm">Model!$CR$268</definedName>
    <definedName name="v_115_GO2">Model!$CJ$268</definedName>
    <definedName name="v_115_GO2_atm">Model!$CQ$268</definedName>
    <definedName name="v_115_SALPHA">Model!$CE$268</definedName>
    <definedName name="v_115_SAN">Model!$AX$268</definedName>
    <definedName name="v_115_SB">Model!$F$268</definedName>
    <definedName name="v_115_SCa">Model!$AY$268</definedName>
    <definedName name="v_115_SCAT">Model!$AW$268</definedName>
    <definedName name="v_115_SCH4">Model!$AS$268</definedName>
    <definedName name="v_115_SCO2">Model!$AU$268</definedName>
    <definedName name="v_115_SFe2">Model!$BE$268</definedName>
    <definedName name="v_115_SH">Model!$CD$268</definedName>
    <definedName name="v_115_SH2">Model!$AT$268</definedName>
    <definedName name="v_115_SH2S">Model!$BB$268</definedName>
    <definedName name="v_115_SK">Model!$BA$268</definedName>
    <definedName name="v_115_SMEOL">Model!$G$268</definedName>
    <definedName name="v_115_SMg">Model!$AZ$268</definedName>
    <definedName name="v_115_SMM_index">Model!$CU$268</definedName>
    <definedName name="v_115_SN_B">Model!$AH$268</definedName>
    <definedName name="v_115_SN2">Model!$AG$268</definedName>
    <definedName name="v_115_SNHx">Model!$AD$268</definedName>
    <definedName name="v_115_SNO2">Model!$AE$268</definedName>
    <definedName name="v_115_SNO3">Model!$AF$268</definedName>
    <definedName name="v_115_SO2">Model!$AR$268</definedName>
    <definedName name="v_115_SORPswitch">Model!$CF$268</definedName>
    <definedName name="v_115_SP_B">Model!$AN$268</definedName>
    <definedName name="v_115_SPFOA">Model!$BZ$268</definedName>
    <definedName name="v_115_SPFOS">Model!$CB$268</definedName>
    <definedName name="v_115_SPO4">Model!$AL$268</definedName>
    <definedName name="v_115_SSO4">Model!$BC$268</definedName>
    <definedName name="v_115_SU">Model!$K$268</definedName>
    <definedName name="v_115_SVFA">Model!$E$268</definedName>
    <definedName name="v_115_XACP">Model!$BU$268</definedName>
    <definedName name="v_115_XALGAE">Model!$AC$268</definedName>
    <definedName name="v_115_XAMETO">Model!$X$268</definedName>
    <definedName name="v_115_XAMX">Model!$W$268</definedName>
    <definedName name="v_115_XAOB">Model!$U$268</definedName>
    <definedName name="v_115_XASRO">Model!$Z$268</definedName>
    <definedName name="v_115_XB">Model!$I$268</definedName>
    <definedName name="v_115_XB_e">Model!$J$268</definedName>
    <definedName name="v_115_XBSH">Model!$BV$268</definedName>
    <definedName name="v_115_XCaCO3">Model!$BT$268</definedName>
    <definedName name="v_115_XCASTO">Model!$S$268</definedName>
    <definedName name="v_115_XE">Model!$P$268</definedName>
    <definedName name="v_115_XE_ana">Model!$Q$268</definedName>
    <definedName name="v_115_XFeS">Model!$BY$268</definedName>
    <definedName name="v_115_XHAO_H">Model!$BM$268</definedName>
    <definedName name="v_115_XHAO_H_P">Model!$BP$268</definedName>
    <definedName name="v_115_XHAO_H_P_old">Model!$BR$268</definedName>
    <definedName name="v_115_XHAO_L">Model!$BN$268</definedName>
    <definedName name="v_115_XHAO_L_P">Model!$BQ$268</definedName>
    <definedName name="v_115_XHAO_L_P_old">Model!$BS$268</definedName>
    <definedName name="v_115_XHAO_old">Model!$BO$268</definedName>
    <definedName name="v_115_XHFO_H">Model!$BF$268</definedName>
    <definedName name="v_115_XHFO_H_P">Model!$BI$268</definedName>
    <definedName name="v_115_XHFO_H_P_old">Model!$BK$268</definedName>
    <definedName name="v_115_XHFO_L">Model!$BG$268</definedName>
    <definedName name="v_115_XHFO_L_P">Model!$BJ$268</definedName>
    <definedName name="v_115_XHFO_L_P_old">Model!$BL$268</definedName>
    <definedName name="v_115_XHFO_old">Model!$BH$268</definedName>
    <definedName name="v_115_XHMETO">Model!$Y$268</definedName>
    <definedName name="v_115_XHSRO">Model!$AA$268</definedName>
    <definedName name="v_115_XINORG">Model!$AV$268</definedName>
    <definedName name="v_115_XMEOLO">Model!$T$268</definedName>
    <definedName name="v_115_XN_B">Model!$AI$268</definedName>
    <definedName name="v_115_XN_Be">Model!$AJ$268</definedName>
    <definedName name="v_115_XN_U">Model!$AK$268</definedName>
    <definedName name="v_115_XNOB">Model!$V$268</definedName>
    <definedName name="v_115_XOHO">Model!$R$268</definedName>
    <definedName name="v_115_XP_B">Model!$AO$268</definedName>
    <definedName name="v_115_XP_Be">Model!$AP$268</definedName>
    <definedName name="v_115_XP_U">Model!$AQ$268</definedName>
    <definedName name="v_115_XPFOA">Model!$CA$268</definedName>
    <definedName name="v_115_XPFOS">Model!$CC$268</definedName>
    <definedName name="v_115_XPHA_GAO">Model!$O$268</definedName>
    <definedName name="v_115_XPHA_PAO">Model!$N$268</definedName>
    <definedName name="v_115_XPP">Model!$AM$268</definedName>
    <definedName name="v_115_XS">Model!$BD$268</definedName>
    <definedName name="v_115_XSOO">Model!$AB$268</definedName>
    <definedName name="v_115_XSTR">Model!$BW$268</definedName>
    <definedName name="v_115_XU">Model!$M$268</definedName>
    <definedName name="v_115_XVivi">Model!$BX$268</definedName>
    <definedName name="v_116_CB">Model!$H$269</definedName>
    <definedName name="v_116_CU">Model!$L$269</definedName>
    <definedName name="v_116_GCH4">Model!$CH$269</definedName>
    <definedName name="v_116_GCH4_atm">Model!$CO$269</definedName>
    <definedName name="v_116_GCO2">Model!$CG$269</definedName>
    <definedName name="v_116_GCO2_atm">Model!$CN$269</definedName>
    <definedName name="v_116_GH2">Model!$CI$269</definedName>
    <definedName name="v_116_GH2_atm">Model!$CP$269</definedName>
    <definedName name="v_116_GH2S">Model!$CM$269</definedName>
    <definedName name="v_116_GH2S_atm">Model!$CT$269</definedName>
    <definedName name="v_116_GN2">Model!$CL$269</definedName>
    <definedName name="v_116_GN2_atm">Model!$CS$269</definedName>
    <definedName name="v_116_GNH3">Model!$CK$269</definedName>
    <definedName name="v_116_GNH3_atm">Model!$CR$269</definedName>
    <definedName name="v_116_GO2">Model!$CJ$269</definedName>
    <definedName name="v_116_GO2_atm">Model!$CQ$269</definedName>
    <definedName name="v_116_SALPHA">Model!$CE$269</definedName>
    <definedName name="v_116_SAN">Model!$AX$269</definedName>
    <definedName name="v_116_SB">Model!$F$269</definedName>
    <definedName name="v_116_SCa">Model!$AY$269</definedName>
    <definedName name="v_116_SCAT">Model!$AW$269</definedName>
    <definedName name="v_116_SCH4">Model!$AS$269</definedName>
    <definedName name="v_116_SCO2">Model!$AU$269</definedName>
    <definedName name="v_116_SFe2">Model!$BE$269</definedName>
    <definedName name="v_116_SH">Model!$CD$269</definedName>
    <definedName name="v_116_SH2">Model!$AT$269</definedName>
    <definedName name="v_116_SH2S">Model!$BB$269</definedName>
    <definedName name="v_116_SK">Model!$BA$269</definedName>
    <definedName name="v_116_SMEOL">Model!$G$269</definedName>
    <definedName name="v_116_SMg">Model!$AZ$269</definedName>
    <definedName name="v_116_SMM_index">Model!$CU$269</definedName>
    <definedName name="v_116_SN_B">Model!$AH$269</definedName>
    <definedName name="v_116_SN2">Model!$AG$269</definedName>
    <definedName name="v_116_SNHx">Model!$AD$269</definedName>
    <definedName name="v_116_SNO2">Model!$AE$269</definedName>
    <definedName name="v_116_SNO3">Model!$AF$269</definedName>
    <definedName name="v_116_SO2">Model!$AR$269</definedName>
    <definedName name="v_116_SORPswitch">Model!$CF$269</definedName>
    <definedName name="v_116_SP_B">Model!$AN$269</definedName>
    <definedName name="v_116_SPFOA">Model!$BZ$269</definedName>
    <definedName name="v_116_SPFOS">Model!$CB$269</definedName>
    <definedName name="v_116_SPO4">Model!$AL$269</definedName>
    <definedName name="v_116_SSO4">Model!$BC$269</definedName>
    <definedName name="v_116_SU">Model!$K$269</definedName>
    <definedName name="v_116_SVFA">Model!$E$269</definedName>
    <definedName name="v_116_XACP">Model!$BU$269</definedName>
    <definedName name="v_116_XALGAE">Model!$AC$269</definedName>
    <definedName name="v_116_XAMETO">Model!$X$269</definedName>
    <definedName name="v_116_XAMX">Model!$W$269</definedName>
    <definedName name="v_116_XAOB">Model!$U$269</definedName>
    <definedName name="v_116_XASRO">Model!$Z$269</definedName>
    <definedName name="v_116_XB">Model!$I$269</definedName>
    <definedName name="v_116_XB_e">Model!$J$269</definedName>
    <definedName name="v_116_XBSH">Model!$BV$269</definedName>
    <definedName name="v_116_XCaCO3">Model!$BT$269</definedName>
    <definedName name="v_116_XCASTO">Model!$S$269</definedName>
    <definedName name="v_116_XE">Model!$P$269</definedName>
    <definedName name="v_116_XE_ana">Model!$Q$269</definedName>
    <definedName name="v_116_XFeS">Model!$BY$269</definedName>
    <definedName name="v_116_XHAO_H">Model!$BM$269</definedName>
    <definedName name="v_116_XHAO_H_P">Model!$BP$269</definedName>
    <definedName name="v_116_XHAO_H_P_old">Model!$BR$269</definedName>
    <definedName name="v_116_XHAO_L">Model!$BN$269</definedName>
    <definedName name="v_116_XHAO_L_P">Model!$BQ$269</definedName>
    <definedName name="v_116_XHAO_L_P_old">Model!$BS$269</definedName>
    <definedName name="v_116_XHAO_old">Model!$BO$269</definedName>
    <definedName name="v_116_XHFO_H">Model!$BF$269</definedName>
    <definedName name="v_116_XHFO_H_P">Model!$BI$269</definedName>
    <definedName name="v_116_XHFO_H_P_old">Model!$BK$269</definedName>
    <definedName name="v_116_XHFO_L">Model!$BG$269</definedName>
    <definedName name="v_116_XHFO_L_P">Model!$BJ$269</definedName>
    <definedName name="v_116_XHFO_L_P_old">Model!$BL$269</definedName>
    <definedName name="v_116_XHFO_old">Model!$BH$269</definedName>
    <definedName name="v_116_XHMETO">Model!$Y$269</definedName>
    <definedName name="v_116_XHSRO">Model!$AA$269</definedName>
    <definedName name="v_116_XINORG">Model!$AV$269</definedName>
    <definedName name="v_116_XMEOLO">Model!$T$269</definedName>
    <definedName name="v_116_XN_B">Model!$AI$269</definedName>
    <definedName name="v_116_XN_Be">Model!$AJ$269</definedName>
    <definedName name="v_116_XN_U">Model!$AK$269</definedName>
    <definedName name="v_116_XNOB">Model!$V$269</definedName>
    <definedName name="v_116_XOHO">Model!$R$269</definedName>
    <definedName name="v_116_XP_B">Model!$AO$269</definedName>
    <definedName name="v_116_XP_Be">Model!$AP$269</definedName>
    <definedName name="v_116_XP_U">Model!$AQ$269</definedName>
    <definedName name="v_116_XPFOA">Model!$CA$269</definedName>
    <definedName name="v_116_XPFOS">Model!$CC$269</definedName>
    <definedName name="v_116_XPHA_GAO">Model!$O$269</definedName>
    <definedName name="v_116_XPHA_PAO">Model!$N$269</definedName>
    <definedName name="v_116_XPP">Model!$AM$269</definedName>
    <definedName name="v_116_XS">Model!$BD$269</definedName>
    <definedName name="v_116_XSOO">Model!$AB$269</definedName>
    <definedName name="v_116_XSTR">Model!$BW$269</definedName>
    <definedName name="v_116_XU">Model!$M$269</definedName>
    <definedName name="v_116_XVivi">Model!$BX$269</definedName>
    <definedName name="v_117_CB">Model!$H$270</definedName>
    <definedName name="v_117_CU">Model!$L$270</definedName>
    <definedName name="v_117_GCH4">Model!$CH$270</definedName>
    <definedName name="v_117_GCH4_atm">Model!$CO$270</definedName>
    <definedName name="v_117_GCO2">Model!$CG$270</definedName>
    <definedName name="v_117_GCO2_atm">Model!$CN$270</definedName>
    <definedName name="v_117_GH2">Model!$CI$270</definedName>
    <definedName name="v_117_GH2_atm">Model!$CP$270</definedName>
    <definedName name="v_117_GH2S">Model!$CM$270</definedName>
    <definedName name="v_117_GH2S_atm">Model!$CT$270</definedName>
    <definedName name="v_117_GN2">Model!$CL$270</definedName>
    <definedName name="v_117_GN2_atm">Model!$CS$270</definedName>
    <definedName name="v_117_GNH3">Model!$CK$270</definedName>
    <definedName name="v_117_GNH3_atm">Model!$CR$270</definedName>
    <definedName name="v_117_GO2">Model!$CJ$270</definedName>
    <definedName name="v_117_GO2_atm">Model!$CQ$270</definedName>
    <definedName name="v_117_SALPHA">Model!$CE$270</definedName>
    <definedName name="v_117_SAN">Model!$AX$270</definedName>
    <definedName name="v_117_SB">Model!$F$270</definedName>
    <definedName name="v_117_SCa">Model!$AY$270</definedName>
    <definedName name="v_117_SCAT">Model!$AW$270</definedName>
    <definedName name="v_117_SCH4">Model!$AS$270</definedName>
    <definedName name="v_117_SCO2">Model!$AU$270</definedName>
    <definedName name="v_117_SFe2">Model!$BE$270</definedName>
    <definedName name="v_117_SH">Model!$CD$270</definedName>
    <definedName name="v_117_SH2">Model!$AT$270</definedName>
    <definedName name="v_117_SH2S">Model!$BB$270</definedName>
    <definedName name="v_117_SK">Model!$BA$270</definedName>
    <definedName name="v_117_SMEOL">Model!$G$270</definedName>
    <definedName name="v_117_SMg">Model!$AZ$270</definedName>
    <definedName name="v_117_SMM_index">Model!$CU$270</definedName>
    <definedName name="v_117_SN_B">Model!$AH$270</definedName>
    <definedName name="v_117_SN2">Model!$AG$270</definedName>
    <definedName name="v_117_SNHx">Model!$AD$270</definedName>
    <definedName name="v_117_SNO2">Model!$AE$270</definedName>
    <definedName name="v_117_SNO3">Model!$AF$270</definedName>
    <definedName name="v_117_SO2">Model!$AR$270</definedName>
    <definedName name="v_117_SORPswitch">Model!$CF$270</definedName>
    <definedName name="v_117_SP_B">Model!$AN$270</definedName>
    <definedName name="v_117_SPFOA">Model!$BZ$270</definedName>
    <definedName name="v_117_SPFOS">Model!$CB$270</definedName>
    <definedName name="v_117_SPO4">Model!$AL$270</definedName>
    <definedName name="v_117_SSO4">Model!$BC$270</definedName>
    <definedName name="v_117_SU">Model!$K$270</definedName>
    <definedName name="v_117_SVFA">Model!$E$270</definedName>
    <definedName name="v_117_XACP">Model!$BU$270</definedName>
    <definedName name="v_117_XALGAE">Model!$AC$270</definedName>
    <definedName name="v_117_XAMETO">Model!$X$270</definedName>
    <definedName name="v_117_XAMX">Model!$W$270</definedName>
    <definedName name="v_117_XAOB">Model!$U$270</definedName>
    <definedName name="v_117_XASRO">Model!$Z$270</definedName>
    <definedName name="v_117_XB">Model!$I$270</definedName>
    <definedName name="v_117_XB_e">Model!$J$270</definedName>
    <definedName name="v_117_XBSH">Model!$BV$270</definedName>
    <definedName name="v_117_XCaCO3">Model!$BT$270</definedName>
    <definedName name="v_117_XCASTO">Model!$S$270</definedName>
    <definedName name="v_117_XE">Model!$P$270</definedName>
    <definedName name="v_117_XE_ana">Model!$Q$270</definedName>
    <definedName name="v_117_XFeS">Model!$BY$270</definedName>
    <definedName name="v_117_XHAO_H">Model!$BM$270</definedName>
    <definedName name="v_117_XHAO_H_P">Model!$BP$270</definedName>
    <definedName name="v_117_XHAO_H_P_old">Model!$BR$270</definedName>
    <definedName name="v_117_XHAO_L">Model!$BN$270</definedName>
    <definedName name="v_117_XHAO_L_P">Model!$BQ$270</definedName>
    <definedName name="v_117_XHAO_L_P_old">Model!$BS$270</definedName>
    <definedName name="v_117_XHAO_old">Model!$BO$270</definedName>
    <definedName name="v_117_XHFO_H">Model!$BF$270</definedName>
    <definedName name="v_117_XHFO_H_P">Model!$BI$270</definedName>
    <definedName name="v_117_XHFO_H_P_old">Model!$BK$270</definedName>
    <definedName name="v_117_XHFO_L">Model!$BG$270</definedName>
    <definedName name="v_117_XHFO_L_P">Model!$BJ$270</definedName>
    <definedName name="v_117_XHFO_L_P_old">Model!$BL$270</definedName>
    <definedName name="v_117_XHFO_old">Model!$BH$270</definedName>
    <definedName name="v_117_XHMETO">Model!$Y$270</definedName>
    <definedName name="v_117_XHSRO">Model!$AA$270</definedName>
    <definedName name="v_117_XINORG">Model!$AV$270</definedName>
    <definedName name="v_117_XMEOLO">Model!$T$270</definedName>
    <definedName name="v_117_XN_B">Model!$AI$270</definedName>
    <definedName name="v_117_XN_Be">Model!$AJ$270</definedName>
    <definedName name="v_117_XN_U">Model!$AK$270</definedName>
    <definedName name="v_117_XNOB">Model!$V$270</definedName>
    <definedName name="v_117_XOHO">Model!$R$270</definedName>
    <definedName name="v_117_XP_B">Model!$AO$270</definedName>
    <definedName name="v_117_XP_Be">Model!$AP$270</definedName>
    <definedName name="v_117_XP_U">Model!$AQ$270</definedName>
    <definedName name="v_117_XPFOA">Model!$CA$270</definedName>
    <definedName name="v_117_XPFOS">Model!$CC$270</definedName>
    <definedName name="v_117_XPHA_GAO">Model!$O$270</definedName>
    <definedName name="v_117_XPHA_PAO">Model!$N$270</definedName>
    <definedName name="v_117_XPP">Model!$AM$270</definedName>
    <definedName name="v_117_XS">Model!$BD$270</definedName>
    <definedName name="v_117_XSOO">Model!$AB$270</definedName>
    <definedName name="v_117_XSTR">Model!$BW$270</definedName>
    <definedName name="v_117_XU">Model!$M$270</definedName>
    <definedName name="v_117_XVivi">Model!$BX$270</definedName>
    <definedName name="v_118_CB">Model!$H$271</definedName>
    <definedName name="v_118_CU">Model!$L$271</definedName>
    <definedName name="v_118_GCH4">Model!$CH$271</definedName>
    <definedName name="v_118_GCH4_atm">Model!$CO$271</definedName>
    <definedName name="v_118_GCO2">Model!$CG$271</definedName>
    <definedName name="v_118_GCO2_atm">Model!$CN$271</definedName>
    <definedName name="v_118_GH2">Model!$CI$271</definedName>
    <definedName name="v_118_GH2_atm">Model!$CP$271</definedName>
    <definedName name="v_118_GH2S">Model!$CM$271</definedName>
    <definedName name="v_118_GH2S_atm">Model!$CT$271</definedName>
    <definedName name="v_118_GN2">Model!$CL$271</definedName>
    <definedName name="v_118_GN2_atm">Model!$CS$271</definedName>
    <definedName name="v_118_GNH3">Model!$CK$271</definedName>
    <definedName name="v_118_GNH3_atm">Model!$CR$271</definedName>
    <definedName name="v_118_GO2">Model!$CJ$271</definedName>
    <definedName name="v_118_GO2_atm">Model!$CQ$271</definedName>
    <definedName name="v_118_SALPHA">Model!$CE$271</definedName>
    <definedName name="v_118_SAN">Model!$AX$271</definedName>
    <definedName name="v_118_SB">Model!$F$271</definedName>
    <definedName name="v_118_SCa">Model!$AY$271</definedName>
    <definedName name="v_118_SCAT">Model!$AW$271</definedName>
    <definedName name="v_118_SCH4">Model!$AS$271</definedName>
    <definedName name="v_118_SCO2">Model!$AU$271</definedName>
    <definedName name="v_118_SFe2">Model!$BE$271</definedName>
    <definedName name="v_118_SH">Model!$CD$271</definedName>
    <definedName name="v_118_SH2">Model!$AT$271</definedName>
    <definedName name="v_118_SH2S">Model!$BB$271</definedName>
    <definedName name="v_118_SK">Model!$BA$271</definedName>
    <definedName name="v_118_SMEOL">Model!$G$271</definedName>
    <definedName name="v_118_SMg">Model!$AZ$271</definedName>
    <definedName name="v_118_SMM_index">Model!$CU$271</definedName>
    <definedName name="v_118_SN_B">Model!$AH$271</definedName>
    <definedName name="v_118_SN2">Model!$AG$271</definedName>
    <definedName name="v_118_SNHx">Model!$AD$271</definedName>
    <definedName name="v_118_SNO2">Model!$AE$271</definedName>
    <definedName name="v_118_SNO3">Model!$AF$271</definedName>
    <definedName name="v_118_SO2">Model!$AR$271</definedName>
    <definedName name="v_118_SORPswitch">Model!$CF$271</definedName>
    <definedName name="v_118_SP_B">Model!$AN$271</definedName>
    <definedName name="v_118_SPFOA">Model!$BZ$271</definedName>
    <definedName name="v_118_SPFOS">Model!$CB$271</definedName>
    <definedName name="v_118_SPO4">Model!$AL$271</definedName>
    <definedName name="v_118_SSO4">Model!$BC$271</definedName>
    <definedName name="v_118_SU">Model!$K$271</definedName>
    <definedName name="v_118_SVFA">Model!$E$271</definedName>
    <definedName name="v_118_XACP">Model!$BU$271</definedName>
    <definedName name="v_118_XALGAE">Model!$AC$271</definedName>
    <definedName name="v_118_XAMETO">Model!$X$271</definedName>
    <definedName name="v_118_XAMX">Model!$W$271</definedName>
    <definedName name="v_118_XAOB">Model!$U$271</definedName>
    <definedName name="v_118_XASRO">Model!$Z$271</definedName>
    <definedName name="v_118_XB">Model!$I$271</definedName>
    <definedName name="v_118_XB_e">Model!$J$271</definedName>
    <definedName name="v_118_XBSH">Model!$BV$271</definedName>
    <definedName name="v_118_XCaCO3">Model!$BT$271</definedName>
    <definedName name="v_118_XCASTO">Model!$S$271</definedName>
    <definedName name="v_118_XE">Model!$P$271</definedName>
    <definedName name="v_118_XE_ana">Model!$Q$271</definedName>
    <definedName name="v_118_XFeS">Model!$BY$271</definedName>
    <definedName name="v_118_XHAO_H">Model!$BM$271</definedName>
    <definedName name="v_118_XHAO_H_P">Model!$BP$271</definedName>
    <definedName name="v_118_XHAO_H_P_old">Model!$BR$271</definedName>
    <definedName name="v_118_XHAO_L">Model!$BN$271</definedName>
    <definedName name="v_118_XHAO_L_P">Model!$BQ$271</definedName>
    <definedName name="v_118_XHAO_L_P_old">Model!$BS$271</definedName>
    <definedName name="v_118_XHAO_old">Model!$BO$271</definedName>
    <definedName name="v_118_XHFO_H">Model!$BF$271</definedName>
    <definedName name="v_118_XHFO_H_P">Model!$BI$271</definedName>
    <definedName name="v_118_XHFO_H_P_old">Model!$BK$271</definedName>
    <definedName name="v_118_XHFO_L">Model!$BG$271</definedName>
    <definedName name="v_118_XHFO_L_P">Model!$BJ$271</definedName>
    <definedName name="v_118_XHFO_L_P_old">Model!$BL$271</definedName>
    <definedName name="v_118_XHFO_old">Model!$BH$271</definedName>
    <definedName name="v_118_XHMETO">Model!$Y$271</definedName>
    <definedName name="v_118_XHSRO">Model!$AA$271</definedName>
    <definedName name="v_118_XINORG">Model!$AV$271</definedName>
    <definedName name="v_118_XMEOLO">Model!$T$271</definedName>
    <definedName name="v_118_XN_B">Model!$AI$271</definedName>
    <definedName name="v_118_XN_Be">Model!$AJ$271</definedName>
    <definedName name="v_118_XN_U">Model!$AK$271</definedName>
    <definedName name="v_118_XNOB">Model!$V$271</definedName>
    <definedName name="v_118_XOHO">Model!$R$271</definedName>
    <definedName name="v_118_XP_B">Model!$AO$271</definedName>
    <definedName name="v_118_XP_Be">Model!$AP$271</definedName>
    <definedName name="v_118_XP_U">Model!$AQ$271</definedName>
    <definedName name="v_118_XPFOA">Model!$CA$271</definedName>
    <definedName name="v_118_XPFOS">Model!$CC$271</definedName>
    <definedName name="v_118_XPHA_GAO">Model!$O$271</definedName>
    <definedName name="v_118_XPHA_PAO">Model!$N$271</definedName>
    <definedName name="v_118_XPP">Model!$AM$271</definedName>
    <definedName name="v_118_XS">Model!$BD$271</definedName>
    <definedName name="v_118_XSOO">Model!$AB$271</definedName>
    <definedName name="v_118_XSTR">Model!$BW$271</definedName>
    <definedName name="v_118_XU">Model!$M$271</definedName>
    <definedName name="v_118_XVivi">Model!$BX$271</definedName>
    <definedName name="v_119_CB">Model!$H$272</definedName>
    <definedName name="v_119_CU">Model!$L$272</definedName>
    <definedName name="v_119_GCH4">Model!$CH$272</definedName>
    <definedName name="v_119_GCH4_atm">Model!$CO$272</definedName>
    <definedName name="v_119_GCO2">Model!$CG$272</definedName>
    <definedName name="v_119_GCO2_atm">Model!$CN$272</definedName>
    <definedName name="v_119_GH2">Model!$CI$272</definedName>
    <definedName name="v_119_GH2_atm">Model!$CP$272</definedName>
    <definedName name="v_119_GH2S">Model!$CM$272</definedName>
    <definedName name="v_119_GH2S_atm">Model!$CT$272</definedName>
    <definedName name="v_119_GN2">Model!$CL$272</definedName>
    <definedName name="v_119_GN2_atm">Model!$CS$272</definedName>
    <definedName name="v_119_GNH3">Model!$CK$272</definedName>
    <definedName name="v_119_GNH3_atm">Model!$CR$272</definedName>
    <definedName name="v_119_GO2">Model!$CJ$272</definedName>
    <definedName name="v_119_GO2_atm">Model!$CQ$272</definedName>
    <definedName name="v_119_SALPHA">Model!$CE$272</definedName>
    <definedName name="v_119_SAN">Model!$AX$272</definedName>
    <definedName name="v_119_SB">Model!$F$272</definedName>
    <definedName name="v_119_SCa">Model!$AY$272</definedName>
    <definedName name="v_119_SCAT">Model!$AW$272</definedName>
    <definedName name="v_119_SCH4">Model!$AS$272</definedName>
    <definedName name="v_119_SCO2">Model!$AU$272</definedName>
    <definedName name="v_119_SFe2">Model!$BE$272</definedName>
    <definedName name="v_119_SH">Model!$CD$272</definedName>
    <definedName name="v_119_SH2">Model!$AT$272</definedName>
    <definedName name="v_119_SH2S">Model!$BB$272</definedName>
    <definedName name="v_119_SK">Model!$BA$272</definedName>
    <definedName name="v_119_SMEOL">Model!$G$272</definedName>
    <definedName name="v_119_SMg">Model!$AZ$272</definedName>
    <definedName name="v_119_SMM_index">Model!$CU$272</definedName>
    <definedName name="v_119_SN_B">Model!$AH$272</definedName>
    <definedName name="v_119_SN2">Model!$AG$272</definedName>
    <definedName name="v_119_SNHx">Model!$AD$272</definedName>
    <definedName name="v_119_SNO2">Model!$AE$272</definedName>
    <definedName name="v_119_SNO3">Model!$AF$272</definedName>
    <definedName name="v_119_SO2">Model!$AR$272</definedName>
    <definedName name="v_119_SORPswitch">Model!$CF$272</definedName>
    <definedName name="v_119_SP_B">Model!$AN$272</definedName>
    <definedName name="v_119_SPFOA">Model!$BZ$272</definedName>
    <definedName name="v_119_SPFOS">Model!$CB$272</definedName>
    <definedName name="v_119_SPO4">Model!$AL$272</definedName>
    <definedName name="v_119_SSO4">Model!$BC$272</definedName>
    <definedName name="v_119_SU">Model!$K$272</definedName>
    <definedName name="v_119_SVFA">Model!$E$272</definedName>
    <definedName name="v_119_XACP">Model!$BU$272</definedName>
    <definedName name="v_119_XALGAE">Model!$AC$272</definedName>
    <definedName name="v_119_XAMETO">Model!$X$272</definedName>
    <definedName name="v_119_XAMX">Model!$W$272</definedName>
    <definedName name="v_119_XAOB">Model!$U$272</definedName>
    <definedName name="v_119_XASRO">Model!$Z$272</definedName>
    <definedName name="v_119_XB">Model!$I$272</definedName>
    <definedName name="v_119_XB_e">Model!$J$272</definedName>
    <definedName name="v_119_XBSH">Model!$BV$272</definedName>
    <definedName name="v_119_XCaCO3">Model!$BT$272</definedName>
    <definedName name="v_119_XCASTO">Model!$S$272</definedName>
    <definedName name="v_119_XE">Model!$P$272</definedName>
    <definedName name="v_119_XE_ana">Model!$Q$272</definedName>
    <definedName name="v_119_XFeS">Model!$BY$272</definedName>
    <definedName name="v_119_XHAO_H">Model!$BM$272</definedName>
    <definedName name="v_119_XHAO_H_P">Model!$BP$272</definedName>
    <definedName name="v_119_XHAO_H_P_old">Model!$BR$272</definedName>
    <definedName name="v_119_XHAO_L">Model!$BN$272</definedName>
    <definedName name="v_119_XHAO_L_P">Model!$BQ$272</definedName>
    <definedName name="v_119_XHAO_L_P_old">Model!$BS$272</definedName>
    <definedName name="v_119_XHAO_old">Model!$BO$272</definedName>
    <definedName name="v_119_XHFO_H">Model!$BF$272</definedName>
    <definedName name="v_119_XHFO_H_P">Model!$BI$272</definedName>
    <definedName name="v_119_XHFO_H_P_old">Model!$BK$272</definedName>
    <definedName name="v_119_XHFO_L">Model!$BG$272</definedName>
    <definedName name="v_119_XHFO_L_P">Model!$BJ$272</definedName>
    <definedName name="v_119_XHFO_L_P_old">Model!$BL$272</definedName>
    <definedName name="v_119_XHFO_old">Model!$BH$272</definedName>
    <definedName name="v_119_XHMETO">Model!$Y$272</definedName>
    <definedName name="v_119_XHSRO">Model!$AA$272</definedName>
    <definedName name="v_119_XINORG">Model!$AV$272</definedName>
    <definedName name="v_119_XMEOLO">Model!$T$272</definedName>
    <definedName name="v_119_XN_B">Model!$AI$272</definedName>
    <definedName name="v_119_XN_Be">Model!$AJ$272</definedName>
    <definedName name="v_119_XN_U">Model!$AK$272</definedName>
    <definedName name="v_119_XNOB">Model!$V$272</definedName>
    <definedName name="v_119_XOHO">Model!$R$272</definedName>
    <definedName name="v_119_XP_B">Model!$AO$272</definedName>
    <definedName name="v_119_XP_Be">Model!$AP$272</definedName>
    <definedName name="v_119_XP_U">Model!$AQ$272</definedName>
    <definedName name="v_119_XPFOA">Model!$CA$272</definedName>
    <definedName name="v_119_XPFOS">Model!$CC$272</definedName>
    <definedName name="v_119_XPHA_GAO">Model!$O$272</definedName>
    <definedName name="v_119_XPHA_PAO">Model!$N$272</definedName>
    <definedName name="v_119_XPP">Model!$AM$272</definedName>
    <definedName name="v_119_XS">Model!$BD$272</definedName>
    <definedName name="v_119_XSOO">Model!$AB$272</definedName>
    <definedName name="v_119_XSTR">Model!$BW$272</definedName>
    <definedName name="v_119_XU">Model!$M$272</definedName>
    <definedName name="v_119_XVivi">Model!$BX$272</definedName>
    <definedName name="v_12_CB">Model!$H$165</definedName>
    <definedName name="v_12_CU">Model!$L$165</definedName>
    <definedName name="v_12_GCH4">Model!$CH$165</definedName>
    <definedName name="v_12_GCH4_atm">Model!$CO$165</definedName>
    <definedName name="v_12_GCO2">Model!$CG$165</definedName>
    <definedName name="v_12_GCO2_atm">Model!$CN$165</definedName>
    <definedName name="v_12_GH2">Model!$CI$165</definedName>
    <definedName name="v_12_GH2_atm">Model!$CP$165</definedName>
    <definedName name="v_12_GH2S">Model!$CM$165</definedName>
    <definedName name="v_12_GH2S_atm">Model!$CT$165</definedName>
    <definedName name="v_12_GN2">Model!$CL$165</definedName>
    <definedName name="v_12_GN2_atm">Model!$CS$165</definedName>
    <definedName name="v_12_GNH3">Model!$CK$165</definedName>
    <definedName name="v_12_GNH3_atm">Model!$CR$165</definedName>
    <definedName name="v_12_GO2">Model!$CJ$165</definedName>
    <definedName name="v_12_GO2_atm">Model!$CQ$165</definedName>
    <definedName name="v_12_SALPHA">Model!$CE$165</definedName>
    <definedName name="v_12_SAN">Model!$AX$165</definedName>
    <definedName name="v_12_SB">Model!$F$165</definedName>
    <definedName name="v_12_SCa">Model!$AY$165</definedName>
    <definedName name="v_12_SCAT">Model!$AW$165</definedName>
    <definedName name="v_12_SCH4">Model!$AS$165</definedName>
    <definedName name="v_12_SCO2">Model!$AU$165</definedName>
    <definedName name="v_12_SFe2">Model!$BE$165</definedName>
    <definedName name="v_12_SH">Model!$CD$165</definedName>
    <definedName name="v_12_SH2">Model!$AT$165</definedName>
    <definedName name="v_12_SH2S">Model!$BB$165</definedName>
    <definedName name="v_12_SK">Model!$BA$165</definedName>
    <definedName name="v_12_SMEOL">Model!$G$165</definedName>
    <definedName name="v_12_SMg">Model!$AZ$165</definedName>
    <definedName name="v_12_SMM_index">Model!$CU$165</definedName>
    <definedName name="v_12_SN_B">Model!$AH$165</definedName>
    <definedName name="v_12_SN2">Model!$AG$165</definedName>
    <definedName name="v_12_SNHx">Model!$AD$165</definedName>
    <definedName name="v_12_SNO2">Model!$AE$165</definedName>
    <definedName name="v_12_SNO3">Model!$AF$165</definedName>
    <definedName name="v_12_SO2">Model!$AR$165</definedName>
    <definedName name="v_12_SORPswitch">Model!$CF$165</definedName>
    <definedName name="v_12_SP_B">Model!$AN$165</definedName>
    <definedName name="v_12_SPFOA">Model!$BZ$165</definedName>
    <definedName name="v_12_SPFOS">Model!$CB$165</definedName>
    <definedName name="v_12_SPO4">Model!$AL$165</definedName>
    <definedName name="v_12_SSO4">Model!$BC$165</definedName>
    <definedName name="v_12_SU">Model!$K$165</definedName>
    <definedName name="v_12_SVFA">Model!$E$165</definedName>
    <definedName name="v_12_XACP">Model!$BU$165</definedName>
    <definedName name="v_12_XALGAE">Model!$AC$165</definedName>
    <definedName name="v_12_XAMETO">Model!$X$165</definedName>
    <definedName name="v_12_XAMX">Model!$W$165</definedName>
    <definedName name="v_12_XAOB">Model!$U$165</definedName>
    <definedName name="v_12_XASRO">Model!$Z$165</definedName>
    <definedName name="v_12_XB">Model!$I$165</definedName>
    <definedName name="v_12_XB_e">Model!$J$165</definedName>
    <definedName name="v_12_XBSH">Model!$BV$165</definedName>
    <definedName name="v_12_XCaCO3">Model!$BT$165</definedName>
    <definedName name="v_12_XCASTO">Model!$S$165</definedName>
    <definedName name="v_12_XE">Model!$P$165</definedName>
    <definedName name="v_12_XE_ana">Model!$Q$165</definedName>
    <definedName name="v_12_XFeS">Model!$BY$165</definedName>
    <definedName name="v_12_XHAO_H">Model!$BM$165</definedName>
    <definedName name="v_12_XHAO_H_P">Model!$BP$165</definedName>
    <definedName name="v_12_XHAO_H_P_old">Model!$BR$165</definedName>
    <definedName name="v_12_XHAO_L">Model!$BN$165</definedName>
    <definedName name="v_12_XHAO_L_P">Model!$BQ$165</definedName>
    <definedName name="v_12_XHAO_L_P_old">Model!$BS$165</definedName>
    <definedName name="v_12_XHAO_old">Model!$BO$165</definedName>
    <definedName name="v_12_XHFO_H">Model!$BF$165</definedName>
    <definedName name="v_12_XHFO_H_P">Model!$BI$165</definedName>
    <definedName name="v_12_XHFO_H_P_old">Model!$BK$165</definedName>
    <definedName name="v_12_XHFO_L">Model!$BG$165</definedName>
    <definedName name="v_12_XHFO_L_P">Model!$BJ$165</definedName>
    <definedName name="v_12_XHFO_L_P_old">Model!$BL$165</definedName>
    <definedName name="v_12_XHFO_old">Model!$BH$165</definedName>
    <definedName name="v_12_XHMETO">Model!$Y$165</definedName>
    <definedName name="v_12_XHSRO">Model!$AA$165</definedName>
    <definedName name="v_12_XINORG">Model!$AV$165</definedName>
    <definedName name="v_12_XMEOLO">Model!$T$165</definedName>
    <definedName name="v_12_XN_B">Model!$AI$165</definedName>
    <definedName name="v_12_XN_Be">Model!$AJ$165</definedName>
    <definedName name="v_12_XN_U">Model!$AK$165</definedName>
    <definedName name="v_12_XNOB">Model!$V$165</definedName>
    <definedName name="v_12_XOHO">Model!$R$165</definedName>
    <definedName name="v_12_XP_B">Model!$AO$165</definedName>
    <definedName name="v_12_XP_Be">Model!$AP$165</definedName>
    <definedName name="v_12_XP_U">Model!$AQ$165</definedName>
    <definedName name="v_12_XPFOA">Model!$CA$165</definedName>
    <definedName name="v_12_XPFOS">Model!$CC$165</definedName>
    <definedName name="v_12_XPHA_GAO">Model!$O$165</definedName>
    <definedName name="v_12_XPHA_PAO">Model!$N$165</definedName>
    <definedName name="v_12_XPP">Model!$AM$165</definedName>
    <definedName name="v_12_XS">Model!$BD$165</definedName>
    <definedName name="v_12_XSOO">Model!$AB$165</definedName>
    <definedName name="v_12_XSTR">Model!$BW$165</definedName>
    <definedName name="v_12_XU">Model!$M$165</definedName>
    <definedName name="v_12_XVivi">Model!$BX$165</definedName>
    <definedName name="v_120_CB">Model!$H$273</definedName>
    <definedName name="v_120_CU">Model!$L$273</definedName>
    <definedName name="v_120_GCH4">Model!$CH$273</definedName>
    <definedName name="v_120_GCH4_atm">Model!$CO$273</definedName>
    <definedName name="v_120_GCO2">Model!$CG$273</definedName>
    <definedName name="v_120_GCO2_atm">Model!$CN$273</definedName>
    <definedName name="v_120_GH2">Model!$CI$273</definedName>
    <definedName name="v_120_GH2_atm">Model!$CP$273</definedName>
    <definedName name="v_120_GH2S">Model!$CM$273</definedName>
    <definedName name="v_120_GH2S_atm">Model!$CT$273</definedName>
    <definedName name="v_120_GN2">Model!$CL$273</definedName>
    <definedName name="v_120_GN2_atm">Model!$CS$273</definedName>
    <definedName name="v_120_GNH3">Model!$CK$273</definedName>
    <definedName name="v_120_GNH3_atm">Model!$CR$273</definedName>
    <definedName name="v_120_GO2">Model!$CJ$273</definedName>
    <definedName name="v_120_GO2_atm">Model!$CQ$273</definedName>
    <definedName name="v_120_SALPHA">Model!$CE$273</definedName>
    <definedName name="v_120_SAN">Model!$AX$273</definedName>
    <definedName name="v_120_SB">Model!$F$273</definedName>
    <definedName name="v_120_SCa">Model!$AY$273</definedName>
    <definedName name="v_120_SCAT">Model!$AW$273</definedName>
    <definedName name="v_120_SCH4">Model!$AS$273</definedName>
    <definedName name="v_120_SCO2">Model!$AU$273</definedName>
    <definedName name="v_120_SFe2">Model!$BE$273</definedName>
    <definedName name="v_120_SH">Model!$CD$273</definedName>
    <definedName name="v_120_SH2">Model!$AT$273</definedName>
    <definedName name="v_120_SH2S">Model!$BB$273</definedName>
    <definedName name="v_120_SK">Model!$BA$273</definedName>
    <definedName name="v_120_SMEOL">Model!$G$273</definedName>
    <definedName name="v_120_SMg">Model!$AZ$273</definedName>
    <definedName name="v_120_SMM_index">Model!$CU$273</definedName>
    <definedName name="v_120_SN_B">Model!$AH$273</definedName>
    <definedName name="v_120_SN2">Model!$AG$273</definedName>
    <definedName name="v_120_SNHx">Model!$AD$273</definedName>
    <definedName name="v_120_SNO2">Model!$AE$273</definedName>
    <definedName name="v_120_SNO3">Model!$AF$273</definedName>
    <definedName name="v_120_SO2">Model!$AR$273</definedName>
    <definedName name="v_120_SORPswitch">Model!$CF$273</definedName>
    <definedName name="v_120_SP_B">Model!$AN$273</definedName>
    <definedName name="v_120_SPFOA">Model!$BZ$273</definedName>
    <definedName name="v_120_SPFOS">Model!$CB$273</definedName>
    <definedName name="v_120_SPO4">Model!$AL$273</definedName>
    <definedName name="v_120_SSO4">Model!$BC$273</definedName>
    <definedName name="v_120_SU">Model!$K$273</definedName>
    <definedName name="v_120_SVFA">Model!$E$273</definedName>
    <definedName name="v_120_XACP">Model!$BU$273</definedName>
    <definedName name="v_120_XALGAE">Model!$AC$273</definedName>
    <definedName name="v_120_XAMETO">Model!$X$273</definedName>
    <definedName name="v_120_XAMX">Model!$W$273</definedName>
    <definedName name="v_120_XAOB">Model!$U$273</definedName>
    <definedName name="v_120_XASRO">Model!$Z$273</definedName>
    <definedName name="v_120_XB">Model!$I$273</definedName>
    <definedName name="v_120_XB_e">Model!$J$273</definedName>
    <definedName name="v_120_XBSH">Model!$BV$273</definedName>
    <definedName name="v_120_XCaCO3">Model!$BT$273</definedName>
    <definedName name="v_120_XCASTO">Model!$S$273</definedName>
    <definedName name="v_120_XE">Model!$P$273</definedName>
    <definedName name="v_120_XE_ana">Model!$Q$273</definedName>
    <definedName name="v_120_XFeS">Model!$BY$273</definedName>
    <definedName name="v_120_XHAO_H">Model!$BM$273</definedName>
    <definedName name="v_120_XHAO_H_P">Model!$BP$273</definedName>
    <definedName name="v_120_XHAO_H_P_old">Model!$BR$273</definedName>
    <definedName name="v_120_XHAO_L">Model!$BN$273</definedName>
    <definedName name="v_120_XHAO_L_P">Model!$BQ$273</definedName>
    <definedName name="v_120_XHAO_L_P_old">Model!$BS$273</definedName>
    <definedName name="v_120_XHAO_old">Model!$BO$273</definedName>
    <definedName name="v_120_XHFO_H">Model!$BF$273</definedName>
    <definedName name="v_120_XHFO_H_P">Model!$BI$273</definedName>
    <definedName name="v_120_XHFO_H_P_old">Model!$BK$273</definedName>
    <definedName name="v_120_XHFO_L">Model!$BG$273</definedName>
    <definedName name="v_120_XHFO_L_P">Model!$BJ$273</definedName>
    <definedName name="v_120_XHFO_L_P_old">Model!$BL$273</definedName>
    <definedName name="v_120_XHFO_old">Model!$BH$273</definedName>
    <definedName name="v_120_XHMETO">Model!$Y$273</definedName>
    <definedName name="v_120_XHSRO">Model!$AA$273</definedName>
    <definedName name="v_120_XINORG">Model!$AV$273</definedName>
    <definedName name="v_120_XMEOLO">Model!$T$273</definedName>
    <definedName name="v_120_XN_B">Model!$AI$273</definedName>
    <definedName name="v_120_XN_Be">Model!$AJ$273</definedName>
    <definedName name="v_120_XN_U">Model!$AK$273</definedName>
    <definedName name="v_120_XNOB">Model!$V$273</definedName>
    <definedName name="v_120_XOHO">Model!$R$273</definedName>
    <definedName name="v_120_XP_B">Model!$AO$273</definedName>
    <definedName name="v_120_XP_Be">Model!$AP$273</definedName>
    <definedName name="v_120_XP_U">Model!$AQ$273</definedName>
    <definedName name="v_120_XPFOA">Model!$CA$273</definedName>
    <definedName name="v_120_XPFOS">Model!$CC$273</definedName>
    <definedName name="v_120_XPHA_GAO">Model!$O$273</definedName>
    <definedName name="v_120_XPHA_PAO">Model!$N$273</definedName>
    <definedName name="v_120_XPP">Model!$AM$273</definedName>
    <definedName name="v_120_XS">Model!$BD$273</definedName>
    <definedName name="v_120_XSOO">Model!$AB$273</definedName>
    <definedName name="v_120_XSTR">Model!$BW$273</definedName>
    <definedName name="v_120_XU">Model!$M$273</definedName>
    <definedName name="v_120_XVivi">Model!$BX$273</definedName>
    <definedName name="v_121_CB">Model!$H$274</definedName>
    <definedName name="v_121_CU">Model!$L$274</definedName>
    <definedName name="v_121_GCH4">Model!$CH$274</definedName>
    <definedName name="v_121_GCH4_atm">Model!$CO$274</definedName>
    <definedName name="v_121_GCO2">Model!$CG$274</definedName>
    <definedName name="v_121_GCO2_atm">Model!$CN$274</definedName>
    <definedName name="v_121_GH2">Model!$CI$274</definedName>
    <definedName name="v_121_GH2_atm">Model!$CP$274</definedName>
    <definedName name="v_121_GH2S">Model!$CM$274</definedName>
    <definedName name="v_121_GH2S_atm">Model!$CT$274</definedName>
    <definedName name="v_121_GN2">Model!$CL$274</definedName>
    <definedName name="v_121_GN2_atm">Model!$CS$274</definedName>
    <definedName name="v_121_GNH3">Model!$CK$274</definedName>
    <definedName name="v_121_GNH3_atm">Model!$CR$274</definedName>
    <definedName name="v_121_GO2">Model!$CJ$274</definedName>
    <definedName name="v_121_GO2_atm">Model!$CQ$274</definedName>
    <definedName name="v_121_SALPHA">Model!$CE$274</definedName>
    <definedName name="v_121_SAN">Model!$AX$274</definedName>
    <definedName name="v_121_SB">Model!$F$274</definedName>
    <definedName name="v_121_SCa">Model!$AY$274</definedName>
    <definedName name="v_121_SCAT">Model!$AW$274</definedName>
    <definedName name="v_121_SCH4">Model!$AS$274</definedName>
    <definedName name="v_121_SCO2">Model!$AU$274</definedName>
    <definedName name="v_121_SFe2">Model!$BE$274</definedName>
    <definedName name="v_121_SH">Model!$CD$274</definedName>
    <definedName name="v_121_SH2">Model!$AT$274</definedName>
    <definedName name="v_121_SH2S">Model!$BB$274</definedName>
    <definedName name="v_121_SK">Model!$BA$274</definedName>
    <definedName name="v_121_SMEOL">Model!$G$274</definedName>
    <definedName name="v_121_SMg">Model!$AZ$274</definedName>
    <definedName name="v_121_SMM_index">Model!$CU$274</definedName>
    <definedName name="v_121_SN_B">Model!$AH$274</definedName>
    <definedName name="v_121_SN2">Model!$AG$274</definedName>
    <definedName name="v_121_SNHx">Model!$AD$274</definedName>
    <definedName name="v_121_SNO2">Model!$AE$274</definedName>
    <definedName name="v_121_SNO3">Model!$AF$274</definedName>
    <definedName name="v_121_SO2">Model!$AR$274</definedName>
    <definedName name="v_121_SORPswitch">Model!$CF$274</definedName>
    <definedName name="v_121_SP_B">Model!$AN$274</definedName>
    <definedName name="v_121_SPFOA">Model!$BZ$274</definedName>
    <definedName name="v_121_SPFOS">Model!$CB$274</definedName>
    <definedName name="v_121_SPO4">Model!$AL$274</definedName>
    <definedName name="v_121_SSO4">Model!$BC$274</definedName>
    <definedName name="v_121_SU">Model!$K$274</definedName>
    <definedName name="v_121_SVFA">Model!$E$274</definedName>
    <definedName name="v_121_XACP">Model!$BU$274</definedName>
    <definedName name="v_121_XALGAE">Model!$AC$274</definedName>
    <definedName name="v_121_XAMETO">Model!$X$274</definedName>
    <definedName name="v_121_XAMX">Model!$W$274</definedName>
    <definedName name="v_121_XAOB">Model!$U$274</definedName>
    <definedName name="v_121_XASRO">Model!$Z$274</definedName>
    <definedName name="v_121_XB">Model!$I$274</definedName>
    <definedName name="v_121_XB_e">Model!$J$274</definedName>
    <definedName name="v_121_XBSH">Model!$BV$274</definedName>
    <definedName name="v_121_XCaCO3">Model!$BT$274</definedName>
    <definedName name="v_121_XCASTO">Model!$S$274</definedName>
    <definedName name="v_121_XE">Model!$P$274</definedName>
    <definedName name="v_121_XE_ana">Model!$Q$274</definedName>
    <definedName name="v_121_XFeS">Model!$BY$274</definedName>
    <definedName name="v_121_XHAO_H">Model!$BM$274</definedName>
    <definedName name="v_121_XHAO_H_P">Model!$BP$274</definedName>
    <definedName name="v_121_XHAO_H_P_old">Model!$BR$274</definedName>
    <definedName name="v_121_XHAO_L">Model!$BN$274</definedName>
    <definedName name="v_121_XHAO_L_P">Model!$BQ$274</definedName>
    <definedName name="v_121_XHAO_L_P_old">Model!$BS$274</definedName>
    <definedName name="v_121_XHAO_old">Model!$BO$274</definedName>
    <definedName name="v_121_XHFO_H">Model!$BF$274</definedName>
    <definedName name="v_121_XHFO_H_P">Model!$BI$274</definedName>
    <definedName name="v_121_XHFO_H_P_old">Model!$BK$274</definedName>
    <definedName name="v_121_XHFO_L">Model!$BG$274</definedName>
    <definedName name="v_121_XHFO_L_P">Model!$BJ$274</definedName>
    <definedName name="v_121_XHFO_L_P_old">Model!$BL$274</definedName>
    <definedName name="v_121_XHFO_old">Model!$BH$274</definedName>
    <definedName name="v_121_XHMETO">Model!$Y$274</definedName>
    <definedName name="v_121_XHSRO">Model!$AA$274</definedName>
    <definedName name="v_121_XINORG">Model!$AV$274</definedName>
    <definedName name="v_121_XMEOLO">Model!$T$274</definedName>
    <definedName name="v_121_XN_B">Model!$AI$274</definedName>
    <definedName name="v_121_XN_Be">Model!$AJ$274</definedName>
    <definedName name="v_121_XN_U">Model!$AK$274</definedName>
    <definedName name="v_121_XNOB">Model!$V$274</definedName>
    <definedName name="v_121_XOHO">Model!$R$274</definedName>
    <definedName name="v_121_XP_B">Model!$AO$274</definedName>
    <definedName name="v_121_XP_Be">Model!$AP$274</definedName>
    <definedName name="v_121_XP_U">Model!$AQ$274</definedName>
    <definedName name="v_121_XPFOA">Model!$CA$274</definedName>
    <definedName name="v_121_XPFOS">Model!$CC$274</definedName>
    <definedName name="v_121_XPHA_GAO">Model!$O$274</definedName>
    <definedName name="v_121_XPHA_PAO">Model!$N$274</definedName>
    <definedName name="v_121_XPP">Model!$AM$274</definedName>
    <definedName name="v_121_XS">Model!$BD$274</definedName>
    <definedName name="v_121_XSOO">Model!$AB$274</definedName>
    <definedName name="v_121_XSTR">Model!$BW$274</definedName>
    <definedName name="v_121_XU">Model!$M$274</definedName>
    <definedName name="v_121_XVivi">Model!$BX$274</definedName>
    <definedName name="v_122_CB">Model!$H$275</definedName>
    <definedName name="v_122_CU">Model!$L$275</definedName>
    <definedName name="v_122_GCH4">Model!$CH$275</definedName>
    <definedName name="v_122_GCH4_atm">Model!$CO$275</definedName>
    <definedName name="v_122_GCO2">Model!$CG$275</definedName>
    <definedName name="v_122_GCO2_atm">Model!$CN$275</definedName>
    <definedName name="v_122_GH2">Model!$CI$275</definedName>
    <definedName name="v_122_GH2_atm">Model!$CP$275</definedName>
    <definedName name="v_122_GH2S">Model!$CM$275</definedName>
    <definedName name="v_122_GH2S_atm">Model!$CT$275</definedName>
    <definedName name="v_122_GN2">Model!$CL$275</definedName>
    <definedName name="v_122_GN2_atm">Model!$CS$275</definedName>
    <definedName name="v_122_GNH3">Model!$CK$275</definedName>
    <definedName name="v_122_GNH3_atm">Model!$CR$275</definedName>
    <definedName name="v_122_GO2">Model!$CJ$275</definedName>
    <definedName name="v_122_GO2_atm">Model!$CQ$275</definedName>
    <definedName name="v_122_SALPHA">Model!$CE$275</definedName>
    <definedName name="v_122_SAN">Model!$AX$275</definedName>
    <definedName name="v_122_SB">Model!$F$275</definedName>
    <definedName name="v_122_SCa">Model!$AY$275</definedName>
    <definedName name="v_122_SCAT">Model!$AW$275</definedName>
    <definedName name="v_122_SCH4">Model!$AS$275</definedName>
    <definedName name="v_122_SCO2">Model!$AU$275</definedName>
    <definedName name="v_122_SFe2">Model!$BE$275</definedName>
    <definedName name="v_122_SH">Model!$CD$275</definedName>
    <definedName name="v_122_SH2">Model!$AT$275</definedName>
    <definedName name="v_122_SH2S">Model!$BB$275</definedName>
    <definedName name="v_122_SK">Model!$BA$275</definedName>
    <definedName name="v_122_SMEOL">Model!$G$275</definedName>
    <definedName name="v_122_SMg">Model!$AZ$275</definedName>
    <definedName name="v_122_SMM_index">Model!$CU$275</definedName>
    <definedName name="v_122_SN_B">Model!$AH$275</definedName>
    <definedName name="v_122_SN2">Model!$AG$275</definedName>
    <definedName name="v_122_SNHx">Model!$AD$275</definedName>
    <definedName name="v_122_SNO2">Model!$AE$275</definedName>
    <definedName name="v_122_SNO3">Model!$AF$275</definedName>
    <definedName name="v_122_SO2">Model!$AR$275</definedName>
    <definedName name="v_122_SORPswitch">Model!$CF$275</definedName>
    <definedName name="v_122_SP_B">Model!$AN$275</definedName>
    <definedName name="v_122_SPFOA">Model!$BZ$275</definedName>
    <definedName name="v_122_SPFOS">Model!$CB$275</definedName>
    <definedName name="v_122_SPO4">Model!$AL$275</definedName>
    <definedName name="v_122_SSO4">Model!$BC$275</definedName>
    <definedName name="v_122_SU">Model!$K$275</definedName>
    <definedName name="v_122_SVFA">Model!$E$275</definedName>
    <definedName name="v_122_XACP">Model!$BU$275</definedName>
    <definedName name="v_122_XALGAE">Model!$AC$275</definedName>
    <definedName name="v_122_XAMETO">Model!$X$275</definedName>
    <definedName name="v_122_XAMX">Model!$W$275</definedName>
    <definedName name="v_122_XAOB">Model!$U$275</definedName>
    <definedName name="v_122_XASRO">Model!$Z$275</definedName>
    <definedName name="v_122_XB">Model!$I$275</definedName>
    <definedName name="v_122_XB_e">Model!$J$275</definedName>
    <definedName name="v_122_XBSH">Model!$BV$275</definedName>
    <definedName name="v_122_XCaCO3">Model!$BT$275</definedName>
    <definedName name="v_122_XCASTO">Model!$S$275</definedName>
    <definedName name="v_122_XE">Model!$P$275</definedName>
    <definedName name="v_122_XE_ana">Model!$Q$275</definedName>
    <definedName name="v_122_XFeS">Model!$BY$275</definedName>
    <definedName name="v_122_XHAO_H">Model!$BM$275</definedName>
    <definedName name="v_122_XHAO_H_P">Model!$BP$275</definedName>
    <definedName name="v_122_XHAO_H_P_old">Model!$BR$275</definedName>
    <definedName name="v_122_XHAO_L">Model!$BN$275</definedName>
    <definedName name="v_122_XHAO_L_P">Model!$BQ$275</definedName>
    <definedName name="v_122_XHAO_L_P_old">Model!$BS$275</definedName>
    <definedName name="v_122_XHAO_old">Model!$BO$275</definedName>
    <definedName name="v_122_XHFO_H">Model!$BF$275</definedName>
    <definedName name="v_122_XHFO_H_P">Model!$BI$275</definedName>
    <definedName name="v_122_XHFO_H_P_old">Model!$BK$275</definedName>
    <definedName name="v_122_XHFO_L">Model!$BG$275</definedName>
    <definedName name="v_122_XHFO_L_P">Model!$BJ$275</definedName>
    <definedName name="v_122_XHFO_L_P_old">Model!$BL$275</definedName>
    <definedName name="v_122_XHFO_old">Model!$BH$275</definedName>
    <definedName name="v_122_XHMETO">Model!$Y$275</definedName>
    <definedName name="v_122_XHSRO">Model!$AA$275</definedName>
    <definedName name="v_122_XINORG">Model!$AV$275</definedName>
    <definedName name="v_122_XMEOLO">Model!$T$275</definedName>
    <definedName name="v_122_XN_B">Model!$AI$275</definedName>
    <definedName name="v_122_XN_Be">Model!$AJ$275</definedName>
    <definedName name="v_122_XN_U">Model!$AK$275</definedName>
    <definedName name="v_122_XNOB">Model!$V$275</definedName>
    <definedName name="v_122_XOHO">Model!$R$275</definedName>
    <definedName name="v_122_XP_B">Model!$AO$275</definedName>
    <definedName name="v_122_XP_Be">Model!$AP$275</definedName>
    <definedName name="v_122_XP_U">Model!$AQ$275</definedName>
    <definedName name="v_122_XPFOA">Model!$CA$275</definedName>
    <definedName name="v_122_XPFOS">Model!$CC$275</definedName>
    <definedName name="v_122_XPHA_GAO">Model!$O$275</definedName>
    <definedName name="v_122_XPHA_PAO">Model!$N$275</definedName>
    <definedName name="v_122_XPP">Model!$AM$275</definedName>
    <definedName name="v_122_XS">Model!$BD$275</definedName>
    <definedName name="v_122_XSOO">Model!$AB$275</definedName>
    <definedName name="v_122_XSTR">Model!$BW$275</definedName>
    <definedName name="v_122_XU">Model!$M$275</definedName>
    <definedName name="v_122_XVivi">Model!$BX$275</definedName>
    <definedName name="v_123_CB">Model!$H$276</definedName>
    <definedName name="v_123_CU">Model!$L$276</definedName>
    <definedName name="v_123_GCH4">Model!$CH$276</definedName>
    <definedName name="v_123_GCH4_atm">Model!$CO$276</definedName>
    <definedName name="v_123_GCO2">Model!$CG$276</definedName>
    <definedName name="v_123_GCO2_atm">Model!$CN$276</definedName>
    <definedName name="v_123_GH2">Model!$CI$276</definedName>
    <definedName name="v_123_GH2_atm">Model!$CP$276</definedName>
    <definedName name="v_123_GH2S">Model!$CM$276</definedName>
    <definedName name="v_123_GH2S_atm">Model!$CT$276</definedName>
    <definedName name="v_123_GN2">Model!$CL$276</definedName>
    <definedName name="v_123_GN2_atm">Model!$CS$276</definedName>
    <definedName name="v_123_GNH3">Model!$CK$276</definedName>
    <definedName name="v_123_GNH3_atm">Model!$CR$276</definedName>
    <definedName name="v_123_GO2">Model!$CJ$276</definedName>
    <definedName name="v_123_GO2_atm">Model!$CQ$276</definedName>
    <definedName name="v_123_SALPHA">Model!$CE$276</definedName>
    <definedName name="v_123_SAN">Model!$AX$276</definedName>
    <definedName name="v_123_SB">Model!$F$276</definedName>
    <definedName name="v_123_SCa">Model!$AY$276</definedName>
    <definedName name="v_123_SCAT">Model!$AW$276</definedName>
    <definedName name="v_123_SCH4">Model!$AS$276</definedName>
    <definedName name="v_123_SCO2">Model!$AU$276</definedName>
    <definedName name="v_123_SFe2">Model!$BE$276</definedName>
    <definedName name="v_123_SH">Model!$CD$276</definedName>
    <definedName name="v_123_SH2">Model!$AT$276</definedName>
    <definedName name="v_123_SH2S">Model!$BB$276</definedName>
    <definedName name="v_123_SK">Model!$BA$276</definedName>
    <definedName name="v_123_SMEOL">Model!$G$276</definedName>
    <definedName name="v_123_SMg">Model!$AZ$276</definedName>
    <definedName name="v_123_SMM_index">Model!$CU$276</definedName>
    <definedName name="v_123_SN_B">Model!$AH$276</definedName>
    <definedName name="v_123_SN2">Model!$AG$276</definedName>
    <definedName name="v_123_SNHx">Model!$AD$276</definedName>
    <definedName name="v_123_SNO2">Model!$AE$276</definedName>
    <definedName name="v_123_SNO3">Model!$AF$276</definedName>
    <definedName name="v_123_SO2">Model!$AR$276</definedName>
    <definedName name="v_123_SORPswitch">Model!$CF$276</definedName>
    <definedName name="v_123_SP_B">Model!$AN$276</definedName>
    <definedName name="v_123_SPFOA">Model!$BZ$276</definedName>
    <definedName name="v_123_SPFOS">Model!$CB$276</definedName>
    <definedName name="v_123_SPO4">Model!$AL$276</definedName>
    <definedName name="v_123_SSO4">Model!$BC$276</definedName>
    <definedName name="v_123_SU">Model!$K$276</definedName>
    <definedName name="v_123_SVFA">Model!$E$276</definedName>
    <definedName name="v_123_XACP">Model!$BU$276</definedName>
    <definedName name="v_123_XALGAE">Model!$AC$276</definedName>
    <definedName name="v_123_XAMETO">Model!$X$276</definedName>
    <definedName name="v_123_XAMX">Model!$W$276</definedName>
    <definedName name="v_123_XAOB">Model!$U$276</definedName>
    <definedName name="v_123_XASRO">Model!$Z$276</definedName>
    <definedName name="v_123_XB">Model!$I$276</definedName>
    <definedName name="v_123_XB_e">Model!$J$276</definedName>
    <definedName name="v_123_XBSH">Model!$BV$276</definedName>
    <definedName name="v_123_XCaCO3">Model!$BT$276</definedName>
    <definedName name="v_123_XCASTO">Model!$S$276</definedName>
    <definedName name="v_123_XE">Model!$P$276</definedName>
    <definedName name="v_123_XE_ana">Model!$Q$276</definedName>
    <definedName name="v_123_XFeS">Model!$BY$276</definedName>
    <definedName name="v_123_XHAO_H">Model!$BM$276</definedName>
    <definedName name="v_123_XHAO_H_P">Model!$BP$276</definedName>
    <definedName name="v_123_XHAO_H_P_old">Model!$BR$276</definedName>
    <definedName name="v_123_XHAO_L">Model!$BN$276</definedName>
    <definedName name="v_123_XHAO_L_P">Model!$BQ$276</definedName>
    <definedName name="v_123_XHAO_L_P_old">Model!$BS$276</definedName>
    <definedName name="v_123_XHAO_old">Model!$BO$276</definedName>
    <definedName name="v_123_XHFO_H">Model!$BF$276</definedName>
    <definedName name="v_123_XHFO_H_P">Model!$BI$276</definedName>
    <definedName name="v_123_XHFO_H_P_old">Model!$BK$276</definedName>
    <definedName name="v_123_XHFO_L">Model!$BG$276</definedName>
    <definedName name="v_123_XHFO_L_P">Model!$BJ$276</definedName>
    <definedName name="v_123_XHFO_L_P_old">Model!$BL$276</definedName>
    <definedName name="v_123_XHFO_old">Model!$BH$276</definedName>
    <definedName name="v_123_XHMETO">Model!$Y$276</definedName>
    <definedName name="v_123_XHSRO">Model!$AA$276</definedName>
    <definedName name="v_123_XINORG">Model!$AV$276</definedName>
    <definedName name="v_123_XMEOLO">Model!$T$276</definedName>
    <definedName name="v_123_XN_B">Model!$AI$276</definedName>
    <definedName name="v_123_XN_Be">Model!$AJ$276</definedName>
    <definedName name="v_123_XN_U">Model!$AK$276</definedName>
    <definedName name="v_123_XNOB">Model!$V$276</definedName>
    <definedName name="v_123_XOHO">Model!$R$276</definedName>
    <definedName name="v_123_XP_B">Model!$AO$276</definedName>
    <definedName name="v_123_XP_Be">Model!$AP$276</definedName>
    <definedName name="v_123_XP_U">Model!$AQ$276</definedName>
    <definedName name="v_123_XPFOA">Model!$CA$276</definedName>
    <definedName name="v_123_XPFOS">Model!$CC$276</definedName>
    <definedName name="v_123_XPHA_GAO">Model!$O$276</definedName>
    <definedName name="v_123_XPHA_PAO">Model!$N$276</definedName>
    <definedName name="v_123_XPP">Model!$AM$276</definedName>
    <definedName name="v_123_XS">Model!$BD$276</definedName>
    <definedName name="v_123_XSOO">Model!$AB$276</definedName>
    <definedName name="v_123_XSTR">Model!$BW$276</definedName>
    <definedName name="v_123_XU">Model!$M$276</definedName>
    <definedName name="v_123_XVivi">Model!$BX$276</definedName>
    <definedName name="v_124_CB">Model!$H$277</definedName>
    <definedName name="v_124_CU">Model!$L$277</definedName>
    <definedName name="v_124_GCH4">Model!$CH$277</definedName>
    <definedName name="v_124_GCH4_atm">Model!$CO$277</definedName>
    <definedName name="v_124_GCO2">Model!$CG$277</definedName>
    <definedName name="v_124_GCO2_atm">Model!$CN$277</definedName>
    <definedName name="v_124_GH2">Model!$CI$277</definedName>
    <definedName name="v_124_GH2_atm">Model!$CP$277</definedName>
    <definedName name="v_124_GH2S">Model!$CM$277</definedName>
    <definedName name="v_124_GH2S_atm">Model!$CT$277</definedName>
    <definedName name="v_124_GN2">Model!$CL$277</definedName>
    <definedName name="v_124_GN2_atm">Model!$CS$277</definedName>
    <definedName name="v_124_GNH3">Model!$CK$277</definedName>
    <definedName name="v_124_GNH3_atm">Model!$CR$277</definedName>
    <definedName name="v_124_GO2">Model!$CJ$277</definedName>
    <definedName name="v_124_GO2_atm">Model!$CQ$277</definedName>
    <definedName name="v_124_SALPHA">Model!$CE$277</definedName>
    <definedName name="v_124_SAN">Model!$AX$277</definedName>
    <definedName name="v_124_SB">Model!$F$277</definedName>
    <definedName name="v_124_SCa">Model!$AY$277</definedName>
    <definedName name="v_124_SCAT">Model!$AW$277</definedName>
    <definedName name="v_124_SCH4">Model!$AS$277</definedName>
    <definedName name="v_124_SCO2">Model!$AU$277</definedName>
    <definedName name="v_124_SFe2">Model!$BE$277</definedName>
    <definedName name="v_124_SH">Model!$CD$277</definedName>
    <definedName name="v_124_SH2">Model!$AT$277</definedName>
    <definedName name="v_124_SH2S">Model!$BB$277</definedName>
    <definedName name="v_124_SK">Model!$BA$277</definedName>
    <definedName name="v_124_SMEOL">Model!$G$277</definedName>
    <definedName name="v_124_SMg">Model!$AZ$277</definedName>
    <definedName name="v_124_SMM_index">Model!$CU$277</definedName>
    <definedName name="v_124_SN_B">Model!$AH$277</definedName>
    <definedName name="v_124_SN2">Model!$AG$277</definedName>
    <definedName name="v_124_SNHx">Model!$AD$277</definedName>
    <definedName name="v_124_SNO2">Model!$AE$277</definedName>
    <definedName name="v_124_SNO3">Model!$AF$277</definedName>
    <definedName name="v_124_SO2">Model!$AR$277</definedName>
    <definedName name="v_124_SORPswitch">Model!$CF$277</definedName>
    <definedName name="v_124_SP_B">Model!$AN$277</definedName>
    <definedName name="v_124_SPFOA">Model!$BZ$277</definedName>
    <definedName name="v_124_SPFOS">Model!$CB$277</definedName>
    <definedName name="v_124_SPO4">Model!$AL$277</definedName>
    <definedName name="v_124_SSO4">Model!$BC$277</definedName>
    <definedName name="v_124_SU">Model!$K$277</definedName>
    <definedName name="v_124_SVFA">Model!$E$277</definedName>
    <definedName name="v_124_XACP">Model!$BU$277</definedName>
    <definedName name="v_124_XALGAE">Model!$AC$277</definedName>
    <definedName name="v_124_XAMETO">Model!$X$277</definedName>
    <definedName name="v_124_XAMX">Model!$W$277</definedName>
    <definedName name="v_124_XAOB">Model!$U$277</definedName>
    <definedName name="v_124_XASRO">Model!$Z$277</definedName>
    <definedName name="v_124_XB">Model!$I$277</definedName>
    <definedName name="v_124_XB_e">Model!$J$277</definedName>
    <definedName name="v_124_XBSH">Model!$BV$277</definedName>
    <definedName name="v_124_XCaCO3">Model!$BT$277</definedName>
    <definedName name="v_124_XCASTO">Model!$S$277</definedName>
    <definedName name="v_124_XE">Model!$P$277</definedName>
    <definedName name="v_124_XE_ana">Model!$Q$277</definedName>
    <definedName name="v_124_XFeS">Model!$BY$277</definedName>
    <definedName name="v_124_XHAO_H">Model!$BM$277</definedName>
    <definedName name="v_124_XHAO_H_P">Model!$BP$277</definedName>
    <definedName name="v_124_XHAO_H_P_old">Model!$BR$277</definedName>
    <definedName name="v_124_XHAO_L">Model!$BN$277</definedName>
    <definedName name="v_124_XHAO_L_P">Model!$BQ$277</definedName>
    <definedName name="v_124_XHAO_L_P_old">Model!$BS$277</definedName>
    <definedName name="v_124_XHAO_old">Model!$BO$277</definedName>
    <definedName name="v_124_XHFO_H">Model!$BF$277</definedName>
    <definedName name="v_124_XHFO_H_P">Model!$BI$277</definedName>
    <definedName name="v_124_XHFO_H_P_old">Model!$BK$277</definedName>
    <definedName name="v_124_XHFO_L">Model!$BG$277</definedName>
    <definedName name="v_124_XHFO_L_P">Model!$BJ$277</definedName>
    <definedName name="v_124_XHFO_L_P_old">Model!$BL$277</definedName>
    <definedName name="v_124_XHFO_old">Model!$BH$277</definedName>
    <definedName name="v_124_XHMETO">Model!$Y$277</definedName>
    <definedName name="v_124_XHSRO">Model!$AA$277</definedName>
    <definedName name="v_124_XINORG">Model!$AV$277</definedName>
    <definedName name="v_124_XMEOLO">Model!$T$277</definedName>
    <definedName name="v_124_XN_B">Model!$AI$277</definedName>
    <definedName name="v_124_XN_Be">Model!$AJ$277</definedName>
    <definedName name="v_124_XN_U">Model!$AK$277</definedName>
    <definedName name="v_124_XNOB">Model!$V$277</definedName>
    <definedName name="v_124_XOHO">Model!$R$277</definedName>
    <definedName name="v_124_XP_B">Model!$AO$277</definedName>
    <definedName name="v_124_XP_Be">Model!$AP$277</definedName>
    <definedName name="v_124_XP_U">Model!$AQ$277</definedName>
    <definedName name="v_124_XPFOA">Model!$CA$277</definedName>
    <definedName name="v_124_XPFOS">Model!$CC$277</definedName>
    <definedName name="v_124_XPHA_GAO">Model!$O$277</definedName>
    <definedName name="v_124_XPHA_PAO">Model!$N$277</definedName>
    <definedName name="v_124_XPP">Model!$AM$277</definedName>
    <definedName name="v_124_XS">Model!$BD$277</definedName>
    <definedName name="v_124_XSOO">Model!$AB$277</definedName>
    <definedName name="v_124_XSTR">Model!$BW$277</definedName>
    <definedName name="v_124_XU">Model!$M$277</definedName>
    <definedName name="v_124_XVivi">Model!$BX$277</definedName>
    <definedName name="v_125_CB">Model!$H$278</definedName>
    <definedName name="v_125_CU">Model!$L$278</definedName>
    <definedName name="v_125_GCH4">Model!$CH$278</definedName>
    <definedName name="v_125_GCH4_atm">Model!$CO$278</definedName>
    <definedName name="v_125_GCO2">Model!$CG$278</definedName>
    <definedName name="v_125_GCO2_atm">Model!$CN$278</definedName>
    <definedName name="v_125_GH2">Model!$CI$278</definedName>
    <definedName name="v_125_GH2_atm">Model!$CP$278</definedName>
    <definedName name="v_125_GH2S">Model!$CM$278</definedName>
    <definedName name="v_125_GH2S_atm">Model!$CT$278</definedName>
    <definedName name="v_125_GN2">Model!$CL$278</definedName>
    <definedName name="v_125_GN2_atm">Model!$CS$278</definedName>
    <definedName name="v_125_GNH3">Model!$CK$278</definedName>
    <definedName name="v_125_GNH3_atm">Model!$CR$278</definedName>
    <definedName name="v_125_GO2">Model!$CJ$278</definedName>
    <definedName name="v_125_GO2_atm">Model!$CQ$278</definedName>
    <definedName name="v_125_SALPHA">Model!$CE$278</definedName>
    <definedName name="v_125_SAN">Model!$AX$278</definedName>
    <definedName name="v_125_SB">Model!$F$278</definedName>
    <definedName name="v_125_SCa">Model!$AY$278</definedName>
    <definedName name="v_125_SCAT">Model!$AW$278</definedName>
    <definedName name="v_125_SCH4">Model!$AS$278</definedName>
    <definedName name="v_125_SCO2">Model!$AU$278</definedName>
    <definedName name="v_125_SFe2">Model!$BE$278</definedName>
    <definedName name="v_125_SH">Model!$CD$278</definedName>
    <definedName name="v_125_SH2">Model!$AT$278</definedName>
    <definedName name="v_125_SH2S">Model!$BB$278</definedName>
    <definedName name="v_125_SK">Model!$BA$278</definedName>
    <definedName name="v_125_SMEOL">Model!$G$278</definedName>
    <definedName name="v_125_SMg">Model!$AZ$278</definedName>
    <definedName name="v_125_SMM_index">Model!$CU$278</definedName>
    <definedName name="v_125_SN_B">Model!$AH$278</definedName>
    <definedName name="v_125_SN2">Model!$AG$278</definedName>
    <definedName name="v_125_SNHx">Model!$AD$278</definedName>
    <definedName name="v_125_SNO2">Model!$AE$278</definedName>
    <definedName name="v_125_SNO3">Model!$AF$278</definedName>
    <definedName name="v_125_SO2">Model!$AR$278</definedName>
    <definedName name="v_125_SORPswitch">Model!$CF$278</definedName>
    <definedName name="v_125_SP_B">Model!$AN$278</definedName>
    <definedName name="v_125_SPFOA">Model!$BZ$278</definedName>
    <definedName name="v_125_SPFOS">Model!$CB$278</definedName>
    <definedName name="v_125_SPO4">Model!$AL$278</definedName>
    <definedName name="v_125_SSO4">Model!$BC$278</definedName>
    <definedName name="v_125_SU">Model!$K$278</definedName>
    <definedName name="v_125_SVFA">Model!$E$278</definedName>
    <definedName name="v_125_XACP">Model!$BU$278</definedName>
    <definedName name="v_125_XALGAE">Model!$AC$278</definedName>
    <definedName name="v_125_XAMETO">Model!$X$278</definedName>
    <definedName name="v_125_XAMX">Model!$W$278</definedName>
    <definedName name="v_125_XAOB">Model!$U$278</definedName>
    <definedName name="v_125_XASRO">Model!$Z$278</definedName>
    <definedName name="v_125_XB">Model!$I$278</definedName>
    <definedName name="v_125_XB_e">Model!$J$278</definedName>
    <definedName name="v_125_XBSH">Model!$BV$278</definedName>
    <definedName name="v_125_XCaCO3">Model!$BT$278</definedName>
    <definedName name="v_125_XCASTO">Model!$S$278</definedName>
    <definedName name="v_125_XE">Model!$P$278</definedName>
    <definedName name="v_125_XE_ana">Model!$Q$278</definedName>
    <definedName name="v_125_XFeS">Model!$BY$278</definedName>
    <definedName name="v_125_XHAO_H">Model!$BM$278</definedName>
    <definedName name="v_125_XHAO_H_P">Model!$BP$278</definedName>
    <definedName name="v_125_XHAO_H_P_old">Model!$BR$278</definedName>
    <definedName name="v_125_XHAO_L">Model!$BN$278</definedName>
    <definedName name="v_125_XHAO_L_P">Model!$BQ$278</definedName>
    <definedName name="v_125_XHAO_L_P_old">Model!$BS$278</definedName>
    <definedName name="v_125_XHAO_old">Model!$BO$278</definedName>
    <definedName name="v_125_XHFO_H">Model!$BF$278</definedName>
    <definedName name="v_125_XHFO_H_P">Model!$BI$278</definedName>
    <definedName name="v_125_XHFO_H_P_old">Model!$BK$278</definedName>
    <definedName name="v_125_XHFO_L">Model!$BG$278</definedName>
    <definedName name="v_125_XHFO_L_P">Model!$BJ$278</definedName>
    <definedName name="v_125_XHFO_L_P_old">Model!$BL$278</definedName>
    <definedName name="v_125_XHFO_old">Model!$BH$278</definedName>
    <definedName name="v_125_XHMETO">Model!$Y$278</definedName>
    <definedName name="v_125_XHSRO">Model!$AA$278</definedName>
    <definedName name="v_125_XINORG">Model!$AV$278</definedName>
    <definedName name="v_125_XMEOLO">Model!$T$278</definedName>
    <definedName name="v_125_XN_B">Model!$AI$278</definedName>
    <definedName name="v_125_XN_Be">Model!$AJ$278</definedName>
    <definedName name="v_125_XN_U">Model!$AK$278</definedName>
    <definedName name="v_125_XNOB">Model!$V$278</definedName>
    <definedName name="v_125_XOHO">Model!$R$278</definedName>
    <definedName name="v_125_XP_B">Model!$AO$278</definedName>
    <definedName name="v_125_XP_Be">Model!$AP$278</definedName>
    <definedName name="v_125_XP_U">Model!$AQ$278</definedName>
    <definedName name="v_125_XPFOA">Model!$CA$278</definedName>
    <definedName name="v_125_XPFOS">Model!$CC$278</definedName>
    <definedName name="v_125_XPHA_GAO">Model!$O$278</definedName>
    <definedName name="v_125_XPHA_PAO">Model!$N$278</definedName>
    <definedName name="v_125_XPP">Model!$AM$278</definedName>
    <definedName name="v_125_XS">Model!$BD$278</definedName>
    <definedName name="v_125_XSOO">Model!$AB$278</definedName>
    <definedName name="v_125_XSTR">Model!$BW$278</definedName>
    <definedName name="v_125_XU">Model!$M$278</definedName>
    <definedName name="v_125_XVivi">Model!$BX$278</definedName>
    <definedName name="v_126_CB">Model!$H$279</definedName>
    <definedName name="v_126_CU">Model!$L$279</definedName>
    <definedName name="v_126_GCH4">Model!$CH$279</definedName>
    <definedName name="v_126_GCH4_atm">Model!$CO$279</definedName>
    <definedName name="v_126_GCO2">Model!$CG$279</definedName>
    <definedName name="v_126_GCO2_atm">Model!$CN$279</definedName>
    <definedName name="v_126_GH2">Model!$CI$279</definedName>
    <definedName name="v_126_GH2_atm">Model!$CP$279</definedName>
    <definedName name="v_126_GH2S">Model!$CM$279</definedName>
    <definedName name="v_126_GH2S_atm">Model!$CT$279</definedName>
    <definedName name="v_126_GN2">Model!$CL$279</definedName>
    <definedName name="v_126_GN2_atm">Model!$CS$279</definedName>
    <definedName name="v_126_GNH3">Model!$CK$279</definedName>
    <definedName name="v_126_GNH3_atm">Model!$CR$279</definedName>
    <definedName name="v_126_GO2">Model!$CJ$279</definedName>
    <definedName name="v_126_GO2_atm">Model!$CQ$279</definedName>
    <definedName name="v_126_SALPHA">Model!$CE$279</definedName>
    <definedName name="v_126_SAN">Model!$AX$279</definedName>
    <definedName name="v_126_SB">Model!$F$279</definedName>
    <definedName name="v_126_SCa">Model!$AY$279</definedName>
    <definedName name="v_126_SCAT">Model!$AW$279</definedName>
    <definedName name="v_126_SCH4">Model!$AS$279</definedName>
    <definedName name="v_126_SCO2">Model!$AU$279</definedName>
    <definedName name="v_126_SFe2">Model!$BE$279</definedName>
    <definedName name="v_126_SH">Model!$CD$279</definedName>
    <definedName name="v_126_SH2">Model!$AT$279</definedName>
    <definedName name="v_126_SH2S">Model!$BB$279</definedName>
    <definedName name="v_126_SK">Model!$BA$279</definedName>
    <definedName name="v_126_SMEOL">Model!$G$279</definedName>
    <definedName name="v_126_SMg">Model!$AZ$279</definedName>
    <definedName name="v_126_SMM_index">Model!$CU$279</definedName>
    <definedName name="v_126_SN_B">Model!$AH$279</definedName>
    <definedName name="v_126_SN2">Model!$AG$279</definedName>
    <definedName name="v_126_SNHx">Model!$AD$279</definedName>
    <definedName name="v_126_SNO2">Model!$AE$279</definedName>
    <definedName name="v_126_SNO3">Model!$AF$279</definedName>
    <definedName name="v_126_SO2">Model!$AR$279</definedName>
    <definedName name="v_126_SORPswitch">Model!$CF$279</definedName>
    <definedName name="v_126_SP_B">Model!$AN$279</definedName>
    <definedName name="v_126_SPFOA">Model!$BZ$279</definedName>
    <definedName name="v_126_SPFOS">Model!$CB$279</definedName>
    <definedName name="v_126_SPO4">Model!$AL$279</definedName>
    <definedName name="v_126_SSO4">Model!$BC$279</definedName>
    <definedName name="v_126_SU">Model!$K$279</definedName>
    <definedName name="v_126_SVFA">Model!$E$279</definedName>
    <definedName name="v_126_XACP">Model!$BU$279</definedName>
    <definedName name="v_126_XALGAE">Model!$AC$279</definedName>
    <definedName name="v_126_XAMETO">Model!$X$279</definedName>
    <definedName name="v_126_XAMX">Model!$W$279</definedName>
    <definedName name="v_126_XAOB">Model!$U$279</definedName>
    <definedName name="v_126_XASRO">Model!$Z$279</definedName>
    <definedName name="v_126_XB">Model!$I$279</definedName>
    <definedName name="v_126_XB_e">Model!$J$279</definedName>
    <definedName name="v_126_XBSH">Model!$BV$279</definedName>
    <definedName name="v_126_XCaCO3">Model!$BT$279</definedName>
    <definedName name="v_126_XCASTO">Model!$S$279</definedName>
    <definedName name="v_126_XE">Model!$P$279</definedName>
    <definedName name="v_126_XE_ana">Model!$Q$279</definedName>
    <definedName name="v_126_XFeS">Model!$BY$279</definedName>
    <definedName name="v_126_XHAO_H">Model!$BM$279</definedName>
    <definedName name="v_126_XHAO_H_P">Model!$BP$279</definedName>
    <definedName name="v_126_XHAO_H_P_old">Model!$BR$279</definedName>
    <definedName name="v_126_XHAO_L">Model!$BN$279</definedName>
    <definedName name="v_126_XHAO_L_P">Model!$BQ$279</definedName>
    <definedName name="v_126_XHAO_L_P_old">Model!$BS$279</definedName>
    <definedName name="v_126_XHAO_old">Model!$BO$279</definedName>
    <definedName name="v_126_XHFO_H">Model!$BF$279</definedName>
    <definedName name="v_126_XHFO_H_P">Model!$BI$279</definedName>
    <definedName name="v_126_XHFO_H_P_old">Model!$BK$279</definedName>
    <definedName name="v_126_XHFO_L">Model!$BG$279</definedName>
    <definedName name="v_126_XHFO_L_P">Model!$BJ$279</definedName>
    <definedName name="v_126_XHFO_L_P_old">Model!$BL$279</definedName>
    <definedName name="v_126_XHFO_old">Model!$BH$279</definedName>
    <definedName name="v_126_XHMETO">Model!$Y$279</definedName>
    <definedName name="v_126_XHSRO">Model!$AA$279</definedName>
    <definedName name="v_126_XINORG">Model!$AV$279</definedName>
    <definedName name="v_126_XMEOLO">Model!$T$279</definedName>
    <definedName name="v_126_XN_B">Model!$AI$279</definedName>
    <definedName name="v_126_XN_Be">Model!$AJ$279</definedName>
    <definedName name="v_126_XN_U">Model!$AK$279</definedName>
    <definedName name="v_126_XNOB">Model!$V$279</definedName>
    <definedName name="v_126_XOHO">Model!$R$279</definedName>
    <definedName name="v_126_XP_B">Model!$AO$279</definedName>
    <definedName name="v_126_XP_Be">Model!$AP$279</definedName>
    <definedName name="v_126_XP_U">Model!$AQ$279</definedName>
    <definedName name="v_126_XPFOA">Model!$CA$279</definedName>
    <definedName name="v_126_XPFOS">Model!$CC$279</definedName>
    <definedName name="v_126_XPHA_GAO">Model!$O$279</definedName>
    <definedName name="v_126_XPHA_PAO">Model!$N$279</definedName>
    <definedName name="v_126_XPP">Model!$AM$279</definedName>
    <definedName name="v_126_XS">Model!$BD$279</definedName>
    <definedName name="v_126_XSOO">Model!$AB$279</definedName>
    <definedName name="v_126_XSTR">Model!$BW$279</definedName>
    <definedName name="v_126_XU">Model!$M$279</definedName>
    <definedName name="v_126_XVivi">Model!$BX$279</definedName>
    <definedName name="v_127_CB">Model!$H$280</definedName>
    <definedName name="v_127_CU">Model!$L$280</definedName>
    <definedName name="v_127_GCH4">Model!$CH$280</definedName>
    <definedName name="v_127_GCH4_atm">Model!$CO$280</definedName>
    <definedName name="v_127_GCO2">Model!$CG$280</definedName>
    <definedName name="v_127_GCO2_atm">Model!$CN$280</definedName>
    <definedName name="v_127_GH2">Model!$CI$280</definedName>
    <definedName name="v_127_GH2_atm">Model!$CP$280</definedName>
    <definedName name="v_127_GH2S">Model!$CM$280</definedName>
    <definedName name="v_127_GH2S_atm">Model!$CT$280</definedName>
    <definedName name="v_127_GN2">Model!$CL$280</definedName>
    <definedName name="v_127_GN2_atm">Model!$CS$280</definedName>
    <definedName name="v_127_GNH3">Model!$CK$280</definedName>
    <definedName name="v_127_GNH3_atm">Model!$CR$280</definedName>
    <definedName name="v_127_GO2">Model!$CJ$280</definedName>
    <definedName name="v_127_GO2_atm">Model!$CQ$280</definedName>
    <definedName name="v_127_SALPHA">Model!$CE$280</definedName>
    <definedName name="v_127_SAN">Model!$AX$280</definedName>
    <definedName name="v_127_SB">Model!$F$280</definedName>
    <definedName name="v_127_SCa">Model!$AY$280</definedName>
    <definedName name="v_127_SCAT">Model!$AW$280</definedName>
    <definedName name="v_127_SCH4">Model!$AS$280</definedName>
    <definedName name="v_127_SCO2">Model!$AU$280</definedName>
    <definedName name="v_127_SFe2">Model!$BE$280</definedName>
    <definedName name="v_127_SH">Model!$CD$280</definedName>
    <definedName name="v_127_SH2">Model!$AT$280</definedName>
    <definedName name="v_127_SH2S">Model!$BB$280</definedName>
    <definedName name="v_127_SK">Model!$BA$280</definedName>
    <definedName name="v_127_SMEOL">Model!$G$280</definedName>
    <definedName name="v_127_SMg">Model!$AZ$280</definedName>
    <definedName name="v_127_SMM_index">Model!$CU$280</definedName>
    <definedName name="v_127_SN_B">Model!$AH$280</definedName>
    <definedName name="v_127_SN2">Model!$AG$280</definedName>
    <definedName name="v_127_SNHx">Model!$AD$280</definedName>
    <definedName name="v_127_SNO2">Model!$AE$280</definedName>
    <definedName name="v_127_SNO3">Model!$AF$280</definedName>
    <definedName name="v_127_SO2">Model!$AR$280</definedName>
    <definedName name="v_127_SORPswitch">Model!$CF$280</definedName>
    <definedName name="v_127_SP_B">Model!$AN$280</definedName>
    <definedName name="v_127_SPFOA">Model!$BZ$280</definedName>
    <definedName name="v_127_SPFOS">Model!$CB$280</definedName>
    <definedName name="v_127_SPO4">Model!$AL$280</definedName>
    <definedName name="v_127_SSO4">Model!$BC$280</definedName>
    <definedName name="v_127_SU">Model!$K$280</definedName>
    <definedName name="v_127_SVFA">Model!$E$280</definedName>
    <definedName name="v_127_XACP">Model!$BU$280</definedName>
    <definedName name="v_127_XALGAE">Model!$AC$280</definedName>
    <definedName name="v_127_XAMETO">Model!$X$280</definedName>
    <definedName name="v_127_XAMX">Model!$W$280</definedName>
    <definedName name="v_127_XAOB">Model!$U$280</definedName>
    <definedName name="v_127_XASRO">Model!$Z$280</definedName>
    <definedName name="v_127_XB">Model!$I$280</definedName>
    <definedName name="v_127_XB_e">Model!$J$280</definedName>
    <definedName name="v_127_XBSH">Model!$BV$280</definedName>
    <definedName name="v_127_XCaCO3">Model!$BT$280</definedName>
    <definedName name="v_127_XCASTO">Model!$S$280</definedName>
    <definedName name="v_127_XE">Model!$P$280</definedName>
    <definedName name="v_127_XE_ana">Model!$Q$280</definedName>
    <definedName name="v_127_XFeS">Model!$BY$280</definedName>
    <definedName name="v_127_XHAO_H">Model!$BM$280</definedName>
    <definedName name="v_127_XHAO_H_P">Model!$BP$280</definedName>
    <definedName name="v_127_XHAO_H_P_old">Model!$BR$280</definedName>
    <definedName name="v_127_XHAO_L">Model!$BN$280</definedName>
    <definedName name="v_127_XHAO_L_P">Model!$BQ$280</definedName>
    <definedName name="v_127_XHAO_L_P_old">Model!$BS$280</definedName>
    <definedName name="v_127_XHAO_old">Model!$BO$280</definedName>
    <definedName name="v_127_XHFO_H">Model!$BF$280</definedName>
    <definedName name="v_127_XHFO_H_P">Model!$BI$280</definedName>
    <definedName name="v_127_XHFO_H_P_old">Model!$BK$280</definedName>
    <definedName name="v_127_XHFO_L">Model!$BG$280</definedName>
    <definedName name="v_127_XHFO_L_P">Model!$BJ$280</definedName>
    <definedName name="v_127_XHFO_L_P_old">Model!$BL$280</definedName>
    <definedName name="v_127_XHFO_old">Model!$BH$280</definedName>
    <definedName name="v_127_XHMETO">Model!$Y$280</definedName>
    <definedName name="v_127_XHSRO">Model!$AA$280</definedName>
    <definedName name="v_127_XINORG">Model!$AV$280</definedName>
    <definedName name="v_127_XMEOLO">Model!$T$280</definedName>
    <definedName name="v_127_XN_B">Model!$AI$280</definedName>
    <definedName name="v_127_XN_Be">Model!$AJ$280</definedName>
    <definedName name="v_127_XN_U">Model!$AK$280</definedName>
    <definedName name="v_127_XNOB">Model!$V$280</definedName>
    <definedName name="v_127_XOHO">Model!$R$280</definedName>
    <definedName name="v_127_XP_B">Model!$AO$280</definedName>
    <definedName name="v_127_XP_Be">Model!$AP$280</definedName>
    <definedName name="v_127_XP_U">Model!$AQ$280</definedName>
    <definedName name="v_127_XPFOA">Model!$CA$280</definedName>
    <definedName name="v_127_XPFOS">Model!$CC$280</definedName>
    <definedName name="v_127_XPHA_GAO">Model!$O$280</definedName>
    <definedName name="v_127_XPHA_PAO">Model!$N$280</definedName>
    <definedName name="v_127_XPP">Model!$AM$280</definedName>
    <definedName name="v_127_XS">Model!$BD$280</definedName>
    <definedName name="v_127_XSOO">Model!$AB$280</definedName>
    <definedName name="v_127_XSTR">Model!$BW$280</definedName>
    <definedName name="v_127_XU">Model!$M$280</definedName>
    <definedName name="v_127_XVivi">Model!$BX$280</definedName>
    <definedName name="v_128_CB">Model!$H$281</definedName>
    <definedName name="v_128_CU">Model!$L$281</definedName>
    <definedName name="v_128_GCH4">Model!$CH$281</definedName>
    <definedName name="v_128_GCH4_atm">Model!$CO$281</definedName>
    <definedName name="v_128_GCO2">Model!$CG$281</definedName>
    <definedName name="v_128_GCO2_atm">Model!$CN$281</definedName>
    <definedName name="v_128_GH2">Model!$CI$281</definedName>
    <definedName name="v_128_GH2_atm">Model!$CP$281</definedName>
    <definedName name="v_128_GH2S">Model!$CM$281</definedName>
    <definedName name="v_128_GH2S_atm">Model!$CT$281</definedName>
    <definedName name="v_128_GN2">Model!$CL$281</definedName>
    <definedName name="v_128_GN2_atm">Model!$CS$281</definedName>
    <definedName name="v_128_GNH3">Model!$CK$281</definedName>
    <definedName name="v_128_GNH3_atm">Model!$CR$281</definedName>
    <definedName name="v_128_GO2">Model!$CJ$281</definedName>
    <definedName name="v_128_GO2_atm">Model!$CQ$281</definedName>
    <definedName name="v_128_SALPHA">Model!$CE$281</definedName>
    <definedName name="v_128_SAN">Model!$AX$281</definedName>
    <definedName name="v_128_SB">Model!$F$281</definedName>
    <definedName name="v_128_SCa">Model!$AY$281</definedName>
    <definedName name="v_128_SCAT">Model!$AW$281</definedName>
    <definedName name="v_128_SCH4">Model!$AS$281</definedName>
    <definedName name="v_128_SCO2">Model!$AU$281</definedName>
    <definedName name="v_128_SFe2">Model!$BE$281</definedName>
    <definedName name="v_128_SH">Model!$CD$281</definedName>
    <definedName name="v_128_SH2">Model!$AT$281</definedName>
    <definedName name="v_128_SH2S">Model!$BB$281</definedName>
    <definedName name="v_128_SK">Model!$BA$281</definedName>
    <definedName name="v_128_SMEOL">Model!$G$281</definedName>
    <definedName name="v_128_SMg">Model!$AZ$281</definedName>
    <definedName name="v_128_SMM_index">Model!$CU$281</definedName>
    <definedName name="v_128_SN_B">Model!$AH$281</definedName>
    <definedName name="v_128_SN2">Model!$AG$281</definedName>
    <definedName name="v_128_SNHx">Model!$AD$281</definedName>
    <definedName name="v_128_SNO2">Model!$AE$281</definedName>
    <definedName name="v_128_SNO3">Model!$AF$281</definedName>
    <definedName name="v_128_SO2">Model!$AR$281</definedName>
    <definedName name="v_128_SORPswitch">Model!$CF$281</definedName>
    <definedName name="v_128_SP_B">Model!$AN$281</definedName>
    <definedName name="v_128_SPFOA">Model!$BZ$281</definedName>
    <definedName name="v_128_SPFOS">Model!$CB$281</definedName>
    <definedName name="v_128_SPO4">Model!$AL$281</definedName>
    <definedName name="v_128_SSO4">Model!$BC$281</definedName>
    <definedName name="v_128_SU">Model!$K$281</definedName>
    <definedName name="v_128_SVFA">Model!$E$281</definedName>
    <definedName name="v_128_XACP">Model!$BU$281</definedName>
    <definedName name="v_128_XALGAE">Model!$AC$281</definedName>
    <definedName name="v_128_XAMETO">Model!$X$281</definedName>
    <definedName name="v_128_XAMX">Model!$W$281</definedName>
    <definedName name="v_128_XAOB">Model!$U$281</definedName>
    <definedName name="v_128_XASRO">Model!$Z$281</definedName>
    <definedName name="v_128_XB">Model!$I$281</definedName>
    <definedName name="v_128_XB_e">Model!$J$281</definedName>
    <definedName name="v_128_XBSH">Model!$BV$281</definedName>
    <definedName name="v_128_XCaCO3">Model!$BT$281</definedName>
    <definedName name="v_128_XCASTO">Model!$S$281</definedName>
    <definedName name="v_128_XE">Model!$P$281</definedName>
    <definedName name="v_128_XE_ana">Model!$Q$281</definedName>
    <definedName name="v_128_XFeS">Model!$BY$281</definedName>
    <definedName name="v_128_XHAO_H">Model!$BM$281</definedName>
    <definedName name="v_128_XHAO_H_P">Model!$BP$281</definedName>
    <definedName name="v_128_XHAO_H_P_old">Model!$BR$281</definedName>
    <definedName name="v_128_XHAO_L">Model!$BN$281</definedName>
    <definedName name="v_128_XHAO_L_P">Model!$BQ$281</definedName>
    <definedName name="v_128_XHAO_L_P_old">Model!$BS$281</definedName>
    <definedName name="v_128_XHAO_old">Model!$BO$281</definedName>
    <definedName name="v_128_XHFO_H">Model!$BF$281</definedName>
    <definedName name="v_128_XHFO_H_P">Model!$BI$281</definedName>
    <definedName name="v_128_XHFO_H_P_old">Model!$BK$281</definedName>
    <definedName name="v_128_XHFO_L">Model!$BG$281</definedName>
    <definedName name="v_128_XHFO_L_P">Model!$BJ$281</definedName>
    <definedName name="v_128_XHFO_L_P_old">Model!$BL$281</definedName>
    <definedName name="v_128_XHFO_old">Model!$BH$281</definedName>
    <definedName name="v_128_XHMETO">Model!$Y$281</definedName>
    <definedName name="v_128_XHSRO">Model!$AA$281</definedName>
    <definedName name="v_128_XINORG">Model!$AV$281</definedName>
    <definedName name="v_128_XMEOLO">Model!$T$281</definedName>
    <definedName name="v_128_XN_B">Model!$AI$281</definedName>
    <definedName name="v_128_XN_Be">Model!$AJ$281</definedName>
    <definedName name="v_128_XN_U">Model!$AK$281</definedName>
    <definedName name="v_128_XNOB">Model!$V$281</definedName>
    <definedName name="v_128_XOHO">Model!$R$281</definedName>
    <definedName name="v_128_XP_B">Model!$AO$281</definedName>
    <definedName name="v_128_XP_Be">Model!$AP$281</definedName>
    <definedName name="v_128_XP_U">Model!$AQ$281</definedName>
    <definedName name="v_128_XPFOA">Model!$CA$281</definedName>
    <definedName name="v_128_XPFOS">Model!$CC$281</definedName>
    <definedName name="v_128_XPHA_GAO">Model!$O$281</definedName>
    <definedName name="v_128_XPHA_PAO">Model!$N$281</definedName>
    <definedName name="v_128_XPP">Model!$AM$281</definedName>
    <definedName name="v_128_XS">Model!$BD$281</definedName>
    <definedName name="v_128_XSOO">Model!$AB$281</definedName>
    <definedName name="v_128_XSTR">Model!$BW$281</definedName>
    <definedName name="v_128_XU">Model!$M$281</definedName>
    <definedName name="v_128_XVivi">Model!$BX$281</definedName>
    <definedName name="v_129_CB">Model!$H$282</definedName>
    <definedName name="v_129_CU">Model!$L$282</definedName>
    <definedName name="v_129_GCH4">Model!$CH$282</definedName>
    <definedName name="v_129_GCH4_atm">Model!$CO$282</definedName>
    <definedName name="v_129_GCO2">Model!$CG$282</definedName>
    <definedName name="v_129_GCO2_atm">Model!$CN$282</definedName>
    <definedName name="v_129_GH2">Model!$CI$282</definedName>
    <definedName name="v_129_GH2_atm">Model!$CP$282</definedName>
    <definedName name="v_129_GH2S">Model!$CM$282</definedName>
    <definedName name="v_129_GH2S_atm">Model!$CT$282</definedName>
    <definedName name="v_129_GN2">Model!$CL$282</definedName>
    <definedName name="v_129_GN2_atm">Model!$CS$282</definedName>
    <definedName name="v_129_GNH3">Model!$CK$282</definedName>
    <definedName name="v_129_GNH3_atm">Model!$CR$282</definedName>
    <definedName name="v_129_GO2">Model!$CJ$282</definedName>
    <definedName name="v_129_GO2_atm">Model!$CQ$282</definedName>
    <definedName name="v_129_SALPHA">Model!$CE$282</definedName>
    <definedName name="v_129_SAN">Model!$AX$282</definedName>
    <definedName name="v_129_SB">Model!$F$282</definedName>
    <definedName name="v_129_SCa">Model!$AY$282</definedName>
    <definedName name="v_129_SCAT">Model!$AW$282</definedName>
    <definedName name="v_129_SCH4">Model!$AS$282</definedName>
    <definedName name="v_129_SCO2">Model!$AU$282</definedName>
    <definedName name="v_129_SFe2">Model!$BE$282</definedName>
    <definedName name="v_129_SH">Model!$CD$282</definedName>
    <definedName name="v_129_SH2">Model!$AT$282</definedName>
    <definedName name="v_129_SH2S">Model!$BB$282</definedName>
    <definedName name="v_129_SK">Model!$BA$282</definedName>
    <definedName name="v_129_SMEOL">Model!$G$282</definedName>
    <definedName name="v_129_SMg">Model!$AZ$282</definedName>
    <definedName name="v_129_SMM_index">Model!$CU$282</definedName>
    <definedName name="v_129_SN_B">Model!$AH$282</definedName>
    <definedName name="v_129_SN2">Model!$AG$282</definedName>
    <definedName name="v_129_SNHx">Model!$AD$282</definedName>
    <definedName name="v_129_SNO2">Model!$AE$282</definedName>
    <definedName name="v_129_SNO3">Model!$AF$282</definedName>
    <definedName name="v_129_SO2">Model!$AR$282</definedName>
    <definedName name="v_129_SORPswitch">Model!$CF$282</definedName>
    <definedName name="v_129_SP_B">Model!$AN$282</definedName>
    <definedName name="v_129_SPFOA">Model!$BZ$282</definedName>
    <definedName name="v_129_SPFOS">Model!$CB$282</definedName>
    <definedName name="v_129_SPO4">Model!$AL$282</definedName>
    <definedName name="v_129_SSO4">Model!$BC$282</definedName>
    <definedName name="v_129_SU">Model!$K$282</definedName>
    <definedName name="v_129_SVFA">Model!$E$282</definedName>
    <definedName name="v_129_XACP">Model!$BU$282</definedName>
    <definedName name="v_129_XALGAE">Model!$AC$282</definedName>
    <definedName name="v_129_XAMETO">Model!$X$282</definedName>
    <definedName name="v_129_XAMX">Model!$W$282</definedName>
    <definedName name="v_129_XAOB">Model!$U$282</definedName>
    <definedName name="v_129_XASRO">Model!$Z$282</definedName>
    <definedName name="v_129_XB">Model!$I$282</definedName>
    <definedName name="v_129_XB_e">Model!$J$282</definedName>
    <definedName name="v_129_XBSH">Model!$BV$282</definedName>
    <definedName name="v_129_XCaCO3">Model!$BT$282</definedName>
    <definedName name="v_129_XCASTO">Model!$S$282</definedName>
    <definedName name="v_129_XE">Model!$P$282</definedName>
    <definedName name="v_129_XE_ana">Model!$Q$282</definedName>
    <definedName name="v_129_XFeS">Model!$BY$282</definedName>
    <definedName name="v_129_XHAO_H">Model!$BM$282</definedName>
    <definedName name="v_129_XHAO_H_P">Model!$BP$282</definedName>
    <definedName name="v_129_XHAO_H_P_old">Model!$BR$282</definedName>
    <definedName name="v_129_XHAO_L">Model!$BN$282</definedName>
    <definedName name="v_129_XHAO_L_P">Model!$BQ$282</definedName>
    <definedName name="v_129_XHAO_L_P_old">Model!$BS$282</definedName>
    <definedName name="v_129_XHAO_old">Model!$BO$282</definedName>
    <definedName name="v_129_XHFO_H">Model!$BF$282</definedName>
    <definedName name="v_129_XHFO_H_P">Model!$BI$282</definedName>
    <definedName name="v_129_XHFO_H_P_old">Model!$BK$282</definedName>
    <definedName name="v_129_XHFO_L">Model!$BG$282</definedName>
    <definedName name="v_129_XHFO_L_P">Model!$BJ$282</definedName>
    <definedName name="v_129_XHFO_L_P_old">Model!$BL$282</definedName>
    <definedName name="v_129_XHFO_old">Model!$BH$282</definedName>
    <definedName name="v_129_XHMETO">Model!$Y$282</definedName>
    <definedName name="v_129_XHSRO">Model!$AA$282</definedName>
    <definedName name="v_129_XINORG">Model!$AV$282</definedName>
    <definedName name="v_129_XMEOLO">Model!$T$282</definedName>
    <definedName name="v_129_XN_B">Model!$AI$282</definedName>
    <definedName name="v_129_XN_Be">Model!$AJ$282</definedName>
    <definedName name="v_129_XN_U">Model!$AK$282</definedName>
    <definedName name="v_129_XNOB">Model!$V$282</definedName>
    <definedName name="v_129_XOHO">Model!$R$282</definedName>
    <definedName name="v_129_XP_B">Model!$AO$282</definedName>
    <definedName name="v_129_XP_Be">Model!$AP$282</definedName>
    <definedName name="v_129_XP_U">Model!$AQ$282</definedName>
    <definedName name="v_129_XPFOA">Model!$CA$282</definedName>
    <definedName name="v_129_XPFOS">Model!$CC$282</definedName>
    <definedName name="v_129_XPHA_GAO">Model!$O$282</definedName>
    <definedName name="v_129_XPHA_PAO">Model!$N$282</definedName>
    <definedName name="v_129_XPP">Model!$AM$282</definedName>
    <definedName name="v_129_XS">Model!$BD$282</definedName>
    <definedName name="v_129_XSOO">Model!$AB$282</definedName>
    <definedName name="v_129_XSTR">Model!$BW$282</definedName>
    <definedName name="v_129_XU">Model!$M$282</definedName>
    <definedName name="v_129_XVivi">Model!$BX$282</definedName>
    <definedName name="v_13_CB">Model!$H$166</definedName>
    <definedName name="v_13_CU">Model!$L$166</definedName>
    <definedName name="v_13_GCH4">Model!$CH$166</definedName>
    <definedName name="v_13_GCH4_atm">Model!$CO$166</definedName>
    <definedName name="v_13_GCO2">Model!$CG$166</definedName>
    <definedName name="v_13_GCO2_atm">Model!$CN$166</definedName>
    <definedName name="v_13_GH2">Model!$CI$166</definedName>
    <definedName name="v_13_GH2_atm">Model!$CP$166</definedName>
    <definedName name="v_13_GH2S">Model!$CM$166</definedName>
    <definedName name="v_13_GH2S_atm">Model!$CT$166</definedName>
    <definedName name="v_13_GN2">Model!$CL$166</definedName>
    <definedName name="v_13_GN2_atm">Model!$CS$166</definedName>
    <definedName name="v_13_GNH3">Model!$CK$166</definedName>
    <definedName name="v_13_GNH3_atm">Model!$CR$166</definedName>
    <definedName name="v_13_GO2">Model!$CJ$166</definedName>
    <definedName name="v_13_GO2_atm">Model!$CQ$166</definedName>
    <definedName name="v_13_SALPHA">Model!$CE$166</definedName>
    <definedName name="v_13_SAN">Model!$AX$166</definedName>
    <definedName name="v_13_SB">Model!$F$166</definedName>
    <definedName name="v_13_SCa">Model!$AY$166</definedName>
    <definedName name="v_13_SCAT">Model!$AW$166</definedName>
    <definedName name="v_13_SCH4">Model!$AS$166</definedName>
    <definedName name="v_13_SCO2">Model!$AU$166</definedName>
    <definedName name="v_13_SFe2">Model!$BE$166</definedName>
    <definedName name="v_13_SH">Model!$CD$166</definedName>
    <definedName name="v_13_SH2">Model!$AT$166</definedName>
    <definedName name="v_13_SH2S">Model!$BB$166</definedName>
    <definedName name="v_13_SK">Model!$BA$166</definedName>
    <definedName name="v_13_SMEOL">Model!$G$166</definedName>
    <definedName name="v_13_SMg">Model!$AZ$166</definedName>
    <definedName name="v_13_SMM_index">Model!$CU$166</definedName>
    <definedName name="v_13_SN_B">Model!$AH$166</definedName>
    <definedName name="v_13_SN2">Model!$AG$166</definedName>
    <definedName name="v_13_SNHx">Model!$AD$166</definedName>
    <definedName name="v_13_SNO2">Model!$AE$166</definedName>
    <definedName name="v_13_SNO3">Model!$AF$166</definedName>
    <definedName name="v_13_SO2">Model!$AR$166</definedName>
    <definedName name="v_13_SORPswitch">Model!$CF$166</definedName>
    <definedName name="v_13_SP_B">Model!$AN$166</definedName>
    <definedName name="v_13_SPFOA">Model!$BZ$166</definedName>
    <definedName name="v_13_SPFOS">Model!$CB$166</definedName>
    <definedName name="v_13_SPO4">Model!$AL$166</definedName>
    <definedName name="v_13_SSO4">Model!$BC$166</definedName>
    <definedName name="v_13_SU">Model!$K$166</definedName>
    <definedName name="v_13_SVFA">Model!$E$166</definedName>
    <definedName name="v_13_XACP">Model!$BU$166</definedName>
    <definedName name="v_13_XALGAE">Model!$AC$166</definedName>
    <definedName name="v_13_XAMETO">Model!$X$166</definedName>
    <definedName name="v_13_XAMX">Model!$W$166</definedName>
    <definedName name="v_13_XAOB">Model!$U$166</definedName>
    <definedName name="v_13_XASRO">Model!$Z$166</definedName>
    <definedName name="v_13_XB">Model!$I$166</definedName>
    <definedName name="v_13_XB_e">Model!$J$166</definedName>
    <definedName name="v_13_XBSH">Model!$BV$166</definedName>
    <definedName name="v_13_XCaCO3">Model!$BT$166</definedName>
    <definedName name="v_13_XCASTO">Model!$S$166</definedName>
    <definedName name="v_13_XE">Model!$P$166</definedName>
    <definedName name="v_13_XE_ana">Model!$Q$166</definedName>
    <definedName name="v_13_XFeS">Model!$BY$166</definedName>
    <definedName name="v_13_XHAO_H">Model!$BM$166</definedName>
    <definedName name="v_13_XHAO_H_P">Model!$BP$166</definedName>
    <definedName name="v_13_XHAO_H_P_old">Model!$BR$166</definedName>
    <definedName name="v_13_XHAO_L">Model!$BN$166</definedName>
    <definedName name="v_13_XHAO_L_P">Model!$BQ$166</definedName>
    <definedName name="v_13_XHAO_L_P_old">Model!$BS$166</definedName>
    <definedName name="v_13_XHAO_old">Model!$BO$166</definedName>
    <definedName name="v_13_XHFO_H">Model!$BF$166</definedName>
    <definedName name="v_13_XHFO_H_P">Model!$BI$166</definedName>
    <definedName name="v_13_XHFO_H_P_old">Model!$BK$166</definedName>
    <definedName name="v_13_XHFO_L">Model!$BG$166</definedName>
    <definedName name="v_13_XHFO_L_P">Model!$BJ$166</definedName>
    <definedName name="v_13_XHFO_L_P_old">Model!$BL$166</definedName>
    <definedName name="v_13_XHFO_old">Model!$BH$166</definedName>
    <definedName name="v_13_XHMETO">Model!$Y$166</definedName>
    <definedName name="v_13_XHSRO">Model!$AA$166</definedName>
    <definedName name="v_13_XINORG">Model!$AV$166</definedName>
    <definedName name="v_13_XMEOLO">Model!$T$166</definedName>
    <definedName name="v_13_XN_B">Model!$AI$166</definedName>
    <definedName name="v_13_XN_Be">Model!$AJ$166</definedName>
    <definedName name="v_13_XN_U">Model!$AK$166</definedName>
    <definedName name="v_13_XNOB">Model!$V$166</definedName>
    <definedName name="v_13_XOHO">Model!$R$166</definedName>
    <definedName name="v_13_XP_B">Model!$AO$166</definedName>
    <definedName name="v_13_XP_Be">Model!$AP$166</definedName>
    <definedName name="v_13_XP_U">Model!$AQ$166</definedName>
    <definedName name="v_13_XPFOA">Model!$CA$166</definedName>
    <definedName name="v_13_XPFOS">Model!$CC$166</definedName>
    <definedName name="v_13_XPHA_GAO">Model!$O$166</definedName>
    <definedName name="v_13_XPHA_PAO">Model!$N$166</definedName>
    <definedName name="v_13_XPP">Model!$AM$166</definedName>
    <definedName name="v_13_XS">Model!$BD$166</definedName>
    <definedName name="v_13_XSOO">Model!$AB$166</definedName>
    <definedName name="v_13_XSTR">Model!$BW$166</definedName>
    <definedName name="v_13_XU">Model!$M$166</definedName>
    <definedName name="v_13_XVivi">Model!$BX$166</definedName>
    <definedName name="v_130_CB">Model!$H$283</definedName>
    <definedName name="v_130_CU">Model!$L$283</definedName>
    <definedName name="v_130_GCH4">Model!$CH$283</definedName>
    <definedName name="v_130_GCH4_atm">Model!$CO$283</definedName>
    <definedName name="v_130_GCO2">Model!$CG$283</definedName>
    <definedName name="v_130_GCO2_atm">Model!$CN$283</definedName>
    <definedName name="v_130_GH2">Model!$CI$283</definedName>
    <definedName name="v_130_GH2_atm">Model!$CP$283</definedName>
    <definedName name="v_130_GH2S">Model!$CM$283</definedName>
    <definedName name="v_130_GH2S_atm">Model!$CT$283</definedName>
    <definedName name="v_130_GN2">Model!$CL$283</definedName>
    <definedName name="v_130_GN2_atm">Model!$CS$283</definedName>
    <definedName name="v_130_GNH3">Model!$CK$283</definedName>
    <definedName name="v_130_GNH3_atm">Model!$CR$283</definedName>
    <definedName name="v_130_GO2">Model!$CJ$283</definedName>
    <definedName name="v_130_GO2_atm">Model!$CQ$283</definedName>
    <definedName name="v_130_SALPHA">Model!$CE$283</definedName>
    <definedName name="v_130_SAN">Model!$AX$283</definedName>
    <definedName name="v_130_SB">Model!$F$283</definedName>
    <definedName name="v_130_SCa">Model!$AY$283</definedName>
    <definedName name="v_130_SCAT">Model!$AW$283</definedName>
    <definedName name="v_130_SCH4">Model!$AS$283</definedName>
    <definedName name="v_130_SCO2">Model!$AU$283</definedName>
    <definedName name="v_130_SFe2">Model!$BE$283</definedName>
    <definedName name="v_130_SH">Model!$CD$283</definedName>
    <definedName name="v_130_SH2">Model!$AT$283</definedName>
    <definedName name="v_130_SH2S">Model!$BB$283</definedName>
    <definedName name="v_130_SK">Model!$BA$283</definedName>
    <definedName name="v_130_SMEOL">Model!$G$283</definedName>
    <definedName name="v_130_SMg">Model!$AZ$283</definedName>
    <definedName name="v_130_SMM_index">Model!$CU$283</definedName>
    <definedName name="v_130_SN_B">Model!$AH$283</definedName>
    <definedName name="v_130_SN2">Model!$AG$283</definedName>
    <definedName name="v_130_SNHx">Model!$AD$283</definedName>
    <definedName name="v_130_SNO2">Model!$AE$283</definedName>
    <definedName name="v_130_SNO3">Model!$AF$283</definedName>
    <definedName name="v_130_SO2">Model!$AR$283</definedName>
    <definedName name="v_130_SORPswitch">Model!$CF$283</definedName>
    <definedName name="v_130_SP_B">Model!$AN$283</definedName>
    <definedName name="v_130_SPFOA">Model!$BZ$283</definedName>
    <definedName name="v_130_SPFOS">Model!$CB$283</definedName>
    <definedName name="v_130_SPO4">Model!$AL$283</definedName>
    <definedName name="v_130_SSO4">Model!$BC$283</definedName>
    <definedName name="v_130_SU">Model!$K$283</definedName>
    <definedName name="v_130_SVFA">Model!$E$283</definedName>
    <definedName name="v_130_XACP">Model!$BU$283</definedName>
    <definedName name="v_130_XALGAE">Model!$AC$283</definedName>
    <definedName name="v_130_XAMETO">Model!$X$283</definedName>
    <definedName name="v_130_XAMX">Model!$W$283</definedName>
    <definedName name="v_130_XAOB">Model!$U$283</definedName>
    <definedName name="v_130_XASRO">Model!$Z$283</definedName>
    <definedName name="v_130_XB">Model!$I$283</definedName>
    <definedName name="v_130_XB_e">Model!$J$283</definedName>
    <definedName name="v_130_XBSH">Model!$BV$283</definedName>
    <definedName name="v_130_XCaCO3">Model!$BT$283</definedName>
    <definedName name="v_130_XCASTO">Model!$S$283</definedName>
    <definedName name="v_130_XE">Model!$P$283</definedName>
    <definedName name="v_130_XE_ana">Model!$Q$283</definedName>
    <definedName name="v_130_XFeS">Model!$BY$283</definedName>
    <definedName name="v_130_XHAO_H">Model!$BM$283</definedName>
    <definedName name="v_130_XHAO_H_P">Model!$BP$283</definedName>
    <definedName name="v_130_XHAO_H_P_old">Model!$BR$283</definedName>
    <definedName name="v_130_XHAO_L">Model!$BN$283</definedName>
    <definedName name="v_130_XHAO_L_P">Model!$BQ$283</definedName>
    <definedName name="v_130_XHAO_L_P_old">Model!$BS$283</definedName>
    <definedName name="v_130_XHAO_old">Model!$BO$283</definedName>
    <definedName name="v_130_XHFO_H">Model!$BF$283</definedName>
    <definedName name="v_130_XHFO_H_P">Model!$BI$283</definedName>
    <definedName name="v_130_XHFO_H_P_old">Model!$BK$283</definedName>
    <definedName name="v_130_XHFO_L">Model!$BG$283</definedName>
    <definedName name="v_130_XHFO_L_P">Model!$BJ$283</definedName>
    <definedName name="v_130_XHFO_L_P_old">Model!$BL$283</definedName>
    <definedName name="v_130_XHFO_old">Model!$BH$283</definedName>
    <definedName name="v_130_XHMETO">Model!$Y$283</definedName>
    <definedName name="v_130_XHSRO">Model!$AA$283</definedName>
    <definedName name="v_130_XINORG">Model!$AV$283</definedName>
    <definedName name="v_130_XMEOLO">Model!$T$283</definedName>
    <definedName name="v_130_XN_B">Model!$AI$283</definedName>
    <definedName name="v_130_XN_Be">Model!$AJ$283</definedName>
    <definedName name="v_130_XN_U">Model!$AK$283</definedName>
    <definedName name="v_130_XNOB">Model!$V$283</definedName>
    <definedName name="v_130_XOHO">Model!$R$283</definedName>
    <definedName name="v_130_XP_B">Model!$AO$283</definedName>
    <definedName name="v_130_XP_Be">Model!$AP$283</definedName>
    <definedName name="v_130_XP_U">Model!$AQ$283</definedName>
    <definedName name="v_130_XPFOA">Model!$CA$283</definedName>
    <definedName name="v_130_XPFOS">Model!$CC$283</definedName>
    <definedName name="v_130_XPHA_GAO">Model!$O$283</definedName>
    <definedName name="v_130_XPHA_PAO">Model!$N$283</definedName>
    <definedName name="v_130_XPP">Model!$AM$283</definedName>
    <definedName name="v_130_XS">Model!$BD$283</definedName>
    <definedName name="v_130_XSOO">Model!$AB$283</definedName>
    <definedName name="v_130_XSTR">Model!$BW$283</definedName>
    <definedName name="v_130_XU">Model!$M$283</definedName>
    <definedName name="v_130_XVivi">Model!$BX$283</definedName>
    <definedName name="v_14_CB">Model!$H$167</definedName>
    <definedName name="v_14_CU">Model!$L$167</definedName>
    <definedName name="v_14_GCH4">Model!$CH$167</definedName>
    <definedName name="v_14_GCH4_atm">Model!$CO$167</definedName>
    <definedName name="v_14_GCO2">Model!$CG$167</definedName>
    <definedName name="v_14_GCO2_atm">Model!$CN$167</definedName>
    <definedName name="v_14_GH2">Model!$CI$167</definedName>
    <definedName name="v_14_GH2_atm">Model!$CP$167</definedName>
    <definedName name="v_14_GH2S">Model!$CM$167</definedName>
    <definedName name="v_14_GH2S_atm">Model!$CT$167</definedName>
    <definedName name="v_14_GN2">Model!$CL$167</definedName>
    <definedName name="v_14_GN2_atm">Model!$CS$167</definedName>
    <definedName name="v_14_GNH3">Model!$CK$167</definedName>
    <definedName name="v_14_GNH3_atm">Model!$CR$167</definedName>
    <definedName name="v_14_GO2">Model!$CJ$167</definedName>
    <definedName name="v_14_GO2_atm">Model!$CQ$167</definedName>
    <definedName name="v_14_SALPHA">Model!$CE$167</definedName>
    <definedName name="v_14_SAN">Model!$AX$167</definedName>
    <definedName name="v_14_SB">Model!$F$167</definedName>
    <definedName name="v_14_SCa">Model!$AY$167</definedName>
    <definedName name="v_14_SCAT">Model!$AW$167</definedName>
    <definedName name="v_14_SCH4">Model!$AS$167</definedName>
    <definedName name="v_14_SCO2">Model!$AU$167</definedName>
    <definedName name="v_14_SFe2">Model!$BE$167</definedName>
    <definedName name="v_14_SH">Model!$CD$167</definedName>
    <definedName name="v_14_SH2">Model!$AT$167</definedName>
    <definedName name="v_14_SH2S">Model!$BB$167</definedName>
    <definedName name="v_14_SK">Model!$BA$167</definedName>
    <definedName name="v_14_SMEOL">Model!$G$167</definedName>
    <definedName name="v_14_SMg">Model!$AZ$167</definedName>
    <definedName name="v_14_SMM_index">Model!$CU$167</definedName>
    <definedName name="v_14_SN_B">Model!$AH$167</definedName>
    <definedName name="v_14_SN2">Model!$AG$167</definedName>
    <definedName name="v_14_SNHx">Model!$AD$167</definedName>
    <definedName name="v_14_SNO2">Model!$AE$167</definedName>
    <definedName name="v_14_SNO3">Model!$AF$167</definedName>
    <definedName name="v_14_SO2">Model!$AR$167</definedName>
    <definedName name="v_14_SORPswitch">Model!$CF$167</definedName>
    <definedName name="v_14_SP_B">Model!$AN$167</definedName>
    <definedName name="v_14_SPFOA">Model!$BZ$167</definedName>
    <definedName name="v_14_SPFOS">Model!$CB$167</definedName>
    <definedName name="v_14_SPO4">Model!$AL$167</definedName>
    <definedName name="v_14_SSO4">Model!$BC$167</definedName>
    <definedName name="v_14_SU">Model!$K$167</definedName>
    <definedName name="v_14_SVFA">Model!$E$167</definedName>
    <definedName name="v_14_XACP">Model!$BU$167</definedName>
    <definedName name="v_14_XALGAE">Model!$AC$167</definedName>
    <definedName name="v_14_XAMETO">Model!$X$167</definedName>
    <definedName name="v_14_XAMX">Model!$W$167</definedName>
    <definedName name="v_14_XAOB">Model!$U$167</definedName>
    <definedName name="v_14_XASRO">Model!$Z$167</definedName>
    <definedName name="v_14_XB">Model!$I$167</definedName>
    <definedName name="v_14_XB_e">Model!$J$167</definedName>
    <definedName name="v_14_XBSH">Model!$BV$167</definedName>
    <definedName name="v_14_XCaCO3">Model!$BT$167</definedName>
    <definedName name="v_14_XCASTO">Model!$S$167</definedName>
    <definedName name="v_14_XE">Model!$P$167</definedName>
    <definedName name="v_14_XE_ana">Model!$Q$167</definedName>
    <definedName name="v_14_XFeS">Model!$BY$167</definedName>
    <definedName name="v_14_XHAO_H">Model!$BM$167</definedName>
    <definedName name="v_14_XHAO_H_P">Model!$BP$167</definedName>
    <definedName name="v_14_XHAO_H_P_old">Model!$BR$167</definedName>
    <definedName name="v_14_XHAO_L">Model!$BN$167</definedName>
    <definedName name="v_14_XHAO_L_P">Model!$BQ$167</definedName>
    <definedName name="v_14_XHAO_L_P_old">Model!$BS$167</definedName>
    <definedName name="v_14_XHAO_old">Model!$BO$167</definedName>
    <definedName name="v_14_XHFO_H">Model!$BF$167</definedName>
    <definedName name="v_14_XHFO_H_P">Model!$BI$167</definedName>
    <definedName name="v_14_XHFO_H_P_old">Model!$BK$167</definedName>
    <definedName name="v_14_XHFO_L">Model!$BG$167</definedName>
    <definedName name="v_14_XHFO_L_P">Model!$BJ$167</definedName>
    <definedName name="v_14_XHFO_L_P_old">Model!$BL$167</definedName>
    <definedName name="v_14_XHFO_old">Model!$BH$167</definedName>
    <definedName name="v_14_XHMETO">Model!$Y$167</definedName>
    <definedName name="v_14_XHSRO">Model!$AA$167</definedName>
    <definedName name="v_14_XINORG">Model!$AV$167</definedName>
    <definedName name="v_14_XMEOLO">Model!$T$167</definedName>
    <definedName name="v_14_XN_B">Model!$AI$167</definedName>
    <definedName name="v_14_XN_Be">Model!$AJ$167</definedName>
    <definedName name="v_14_XN_U">Model!$AK$167</definedName>
    <definedName name="v_14_XNOB">Model!$V$167</definedName>
    <definedName name="v_14_XOHO">Model!$R$167</definedName>
    <definedName name="v_14_XP_B">Model!$AO$167</definedName>
    <definedName name="v_14_XP_Be">Model!$AP$167</definedName>
    <definedName name="v_14_XP_U">Model!$AQ$167</definedName>
    <definedName name="v_14_XPFOA">Model!$CA$167</definedName>
    <definedName name="v_14_XPFOS">Model!$CC$167</definedName>
    <definedName name="v_14_XPHA_GAO">Model!$O$167</definedName>
    <definedName name="v_14_XPHA_PAO">Model!$N$167</definedName>
    <definedName name="v_14_XPP">Model!$AM$167</definedName>
    <definedName name="v_14_XS">Model!$BD$167</definedName>
    <definedName name="v_14_XSOO">Model!$AB$167</definedName>
    <definedName name="v_14_XSTR">Model!$BW$167</definedName>
    <definedName name="v_14_XU">Model!$M$167</definedName>
    <definedName name="v_14_XVivi">Model!$BX$167</definedName>
    <definedName name="v_15_CB">Model!$H$168</definedName>
    <definedName name="v_15_CU">Model!$L$168</definedName>
    <definedName name="v_15_GCH4">Model!$CH$168</definedName>
    <definedName name="v_15_GCH4_atm">Model!$CO$168</definedName>
    <definedName name="v_15_GCO2">Model!$CG$168</definedName>
    <definedName name="v_15_GCO2_atm">Model!$CN$168</definedName>
    <definedName name="v_15_GH2">Model!$CI$168</definedName>
    <definedName name="v_15_GH2_atm">Model!$CP$168</definedName>
    <definedName name="v_15_GH2S">Model!$CM$168</definedName>
    <definedName name="v_15_GH2S_atm">Model!$CT$168</definedName>
    <definedName name="v_15_GN2">Model!$CL$168</definedName>
    <definedName name="v_15_GN2_atm">Model!$CS$168</definedName>
    <definedName name="v_15_GNH3">Model!$CK$168</definedName>
    <definedName name="v_15_GNH3_atm">Model!$CR$168</definedName>
    <definedName name="v_15_GO2">Model!$CJ$168</definedName>
    <definedName name="v_15_GO2_atm">Model!$CQ$168</definedName>
    <definedName name="v_15_SALPHA">Model!$CE$168</definedName>
    <definedName name="v_15_SAN">Model!$AX$168</definedName>
    <definedName name="v_15_SB">Model!$F$168</definedName>
    <definedName name="v_15_SCa">Model!$AY$168</definedName>
    <definedName name="v_15_SCAT">Model!$AW$168</definedName>
    <definedName name="v_15_SCH4">Model!$AS$168</definedName>
    <definedName name="v_15_SCO2">Model!$AU$168</definedName>
    <definedName name="v_15_SFe2">Model!$BE$168</definedName>
    <definedName name="v_15_SH">Model!$CD$168</definedName>
    <definedName name="v_15_SH2">Model!$AT$168</definedName>
    <definedName name="v_15_SH2S">Model!$BB$168</definedName>
    <definedName name="v_15_SK">Model!$BA$168</definedName>
    <definedName name="v_15_SMEOL">Model!$G$168</definedName>
    <definedName name="v_15_SMg">Model!$AZ$168</definedName>
    <definedName name="v_15_SMM_index">Model!$CU$168</definedName>
    <definedName name="v_15_SN_B">Model!$AH$168</definedName>
    <definedName name="v_15_SN2">Model!$AG$168</definedName>
    <definedName name="v_15_SNHx">Model!$AD$168</definedName>
    <definedName name="v_15_SNO2">Model!$AE$168</definedName>
    <definedName name="v_15_SNO3">Model!$AF$168</definedName>
    <definedName name="v_15_SO2">Model!$AR$168</definedName>
    <definedName name="v_15_SORPswitch">Model!$CF$168</definedName>
    <definedName name="v_15_SP_B">Model!$AN$168</definedName>
    <definedName name="v_15_SPFOA">Model!$BZ$168</definedName>
    <definedName name="v_15_SPFOS">Model!$CB$168</definedName>
    <definedName name="v_15_SPO4">Model!$AL$168</definedName>
    <definedName name="v_15_SSO4">Model!$BC$168</definedName>
    <definedName name="v_15_SU">Model!$K$168</definedName>
    <definedName name="v_15_SVFA">Model!$E$168</definedName>
    <definedName name="v_15_XACP">Model!$BU$168</definedName>
    <definedName name="v_15_XALGAE">Model!$AC$168</definedName>
    <definedName name="v_15_XAMETO">Model!$X$168</definedName>
    <definedName name="v_15_XAMX">Model!$W$168</definedName>
    <definedName name="v_15_XAOB">Model!$U$168</definedName>
    <definedName name="v_15_XASRO">Model!$Z$168</definedName>
    <definedName name="v_15_XB">Model!$I$168</definedName>
    <definedName name="v_15_XB_e">Model!$J$168</definedName>
    <definedName name="v_15_XBSH">Model!$BV$168</definedName>
    <definedName name="v_15_XCaCO3">Model!$BT$168</definedName>
    <definedName name="v_15_XCASTO">Model!$S$168</definedName>
    <definedName name="v_15_XE">Model!$P$168</definedName>
    <definedName name="v_15_XE_ana">Model!$Q$168</definedName>
    <definedName name="v_15_XFeS">Model!$BY$168</definedName>
    <definedName name="v_15_XHAO_H">Model!$BM$168</definedName>
    <definedName name="v_15_XHAO_H_P">Model!$BP$168</definedName>
    <definedName name="v_15_XHAO_H_P_old">Model!$BR$168</definedName>
    <definedName name="v_15_XHAO_L">Model!$BN$168</definedName>
    <definedName name="v_15_XHAO_L_P">Model!$BQ$168</definedName>
    <definedName name="v_15_XHAO_L_P_old">Model!$BS$168</definedName>
    <definedName name="v_15_XHAO_old">Model!$BO$168</definedName>
    <definedName name="v_15_XHFO_H">Model!$BF$168</definedName>
    <definedName name="v_15_XHFO_H_P">Model!$BI$168</definedName>
    <definedName name="v_15_XHFO_H_P_old">Model!$BK$168</definedName>
    <definedName name="v_15_XHFO_L">Model!$BG$168</definedName>
    <definedName name="v_15_XHFO_L_P">Model!$BJ$168</definedName>
    <definedName name="v_15_XHFO_L_P_old">Model!$BL$168</definedName>
    <definedName name="v_15_XHFO_old">Model!$BH$168</definedName>
    <definedName name="v_15_XHMETO">Model!$Y$168</definedName>
    <definedName name="v_15_XHSRO">Model!$AA$168</definedName>
    <definedName name="v_15_XINORG">Model!$AV$168</definedName>
    <definedName name="v_15_XMEOLO">Model!$T$168</definedName>
    <definedName name="v_15_XN_B">Model!$AI$168</definedName>
    <definedName name="v_15_XN_Be">Model!$AJ$168</definedName>
    <definedName name="v_15_XN_U">Model!$AK$168</definedName>
    <definedName name="v_15_XNOB">Model!$V$168</definedName>
    <definedName name="v_15_XOHO">Model!$R$168</definedName>
    <definedName name="v_15_XP_B">Model!$AO$168</definedName>
    <definedName name="v_15_XP_Be">Model!$AP$168</definedName>
    <definedName name="v_15_XP_U">Model!$AQ$168</definedName>
    <definedName name="v_15_XPFOA">Model!$CA$168</definedName>
    <definedName name="v_15_XPFOS">Model!$CC$168</definedName>
    <definedName name="v_15_XPHA_GAO">Model!$O$168</definedName>
    <definedName name="v_15_XPHA_PAO">Model!$N$168</definedName>
    <definedName name="v_15_XPP">Model!$AM$168</definedName>
    <definedName name="v_15_XS">Model!$BD$168</definedName>
    <definedName name="v_15_XSOO">Model!$AB$168</definedName>
    <definedName name="v_15_XSTR">Model!$BW$168</definedName>
    <definedName name="v_15_XU">Model!$M$168</definedName>
    <definedName name="v_15_XVivi">Model!$BX$168</definedName>
    <definedName name="v_16_CB">Model!$H$169</definedName>
    <definedName name="v_16_CU">Model!$L$169</definedName>
    <definedName name="v_16_GCH4">Model!$CH$169</definedName>
    <definedName name="v_16_GCH4_atm">Model!$CO$169</definedName>
    <definedName name="v_16_GCO2">Model!$CG$169</definedName>
    <definedName name="v_16_GCO2_atm">Model!$CN$169</definedName>
    <definedName name="v_16_GH2">Model!$CI$169</definedName>
    <definedName name="v_16_GH2_atm">Model!$CP$169</definedName>
    <definedName name="v_16_GH2S">Model!$CM$169</definedName>
    <definedName name="v_16_GH2S_atm">Model!$CT$169</definedName>
    <definedName name="v_16_GN2">Model!$CL$169</definedName>
    <definedName name="v_16_GN2_atm">Model!$CS$169</definedName>
    <definedName name="v_16_GNH3">Model!$CK$169</definedName>
    <definedName name="v_16_GNH3_atm">Model!$CR$169</definedName>
    <definedName name="v_16_GO2">Model!$CJ$169</definedName>
    <definedName name="v_16_GO2_atm">Model!$CQ$169</definedName>
    <definedName name="v_16_SALPHA">Model!$CE$169</definedName>
    <definedName name="v_16_SAN">Model!$AX$169</definedName>
    <definedName name="v_16_SB">Model!$F$169</definedName>
    <definedName name="v_16_SCa">Model!$AY$169</definedName>
    <definedName name="v_16_SCAT">Model!$AW$169</definedName>
    <definedName name="v_16_SCH4">Model!$AS$169</definedName>
    <definedName name="v_16_SCO2">Model!$AU$169</definedName>
    <definedName name="v_16_SFe2">Model!$BE$169</definedName>
    <definedName name="v_16_SH">Model!$CD$169</definedName>
    <definedName name="v_16_SH2">Model!$AT$169</definedName>
    <definedName name="v_16_SH2S">Model!$BB$169</definedName>
    <definedName name="v_16_SK">Model!$BA$169</definedName>
    <definedName name="v_16_SMEOL">Model!$G$169</definedName>
    <definedName name="v_16_SMg">Model!$AZ$169</definedName>
    <definedName name="v_16_SMM_index">Model!$CU$169</definedName>
    <definedName name="v_16_SN_B">Model!$AH$169</definedName>
    <definedName name="v_16_SN2">Model!$AG$169</definedName>
    <definedName name="v_16_SNHx">Model!$AD$169</definedName>
    <definedName name="v_16_SNO2">Model!$AE$169</definedName>
    <definedName name="v_16_SNO3">Model!$AF$169</definedName>
    <definedName name="v_16_SO2">Model!$AR$169</definedName>
    <definedName name="v_16_SORPswitch">Model!$CF$169</definedName>
    <definedName name="v_16_SP_B">Model!$AN$169</definedName>
    <definedName name="v_16_SPFOA">Model!$BZ$169</definedName>
    <definedName name="v_16_SPFOS">Model!$CB$169</definedName>
    <definedName name="v_16_SPO4">Model!$AL$169</definedName>
    <definedName name="v_16_SSO4">Model!$BC$169</definedName>
    <definedName name="v_16_SU">Model!$K$169</definedName>
    <definedName name="v_16_SVFA">Model!$E$169</definedName>
    <definedName name="v_16_XACP">Model!$BU$169</definedName>
    <definedName name="v_16_XALGAE">Model!$AC$169</definedName>
    <definedName name="v_16_XAMETO">Model!$X$169</definedName>
    <definedName name="v_16_XAMX">Model!$W$169</definedName>
    <definedName name="v_16_XAOB">Model!$U$169</definedName>
    <definedName name="v_16_XASRO">Model!$Z$169</definedName>
    <definedName name="v_16_XB">Model!$I$169</definedName>
    <definedName name="v_16_XB_e">Model!$J$169</definedName>
    <definedName name="v_16_XBSH">Model!$BV$169</definedName>
    <definedName name="v_16_XCaCO3">Model!$BT$169</definedName>
    <definedName name="v_16_XCASTO">Model!$S$169</definedName>
    <definedName name="v_16_XE">Model!$P$169</definedName>
    <definedName name="v_16_XE_ana">Model!$Q$169</definedName>
    <definedName name="v_16_XFeS">Model!$BY$169</definedName>
    <definedName name="v_16_XHAO_H">Model!$BM$169</definedName>
    <definedName name="v_16_XHAO_H_P">Model!$BP$169</definedName>
    <definedName name="v_16_XHAO_H_P_old">Model!$BR$169</definedName>
    <definedName name="v_16_XHAO_L">Model!$BN$169</definedName>
    <definedName name="v_16_XHAO_L_P">Model!$BQ$169</definedName>
    <definedName name="v_16_XHAO_L_P_old">Model!$BS$169</definedName>
    <definedName name="v_16_XHAO_old">Model!$BO$169</definedName>
    <definedName name="v_16_XHFO_H">Model!$BF$169</definedName>
    <definedName name="v_16_XHFO_H_P">Model!$BI$169</definedName>
    <definedName name="v_16_XHFO_H_P_old">Model!$BK$169</definedName>
    <definedName name="v_16_XHFO_L">Model!$BG$169</definedName>
    <definedName name="v_16_XHFO_L_P">Model!$BJ$169</definedName>
    <definedName name="v_16_XHFO_L_P_old">Model!$BL$169</definedName>
    <definedName name="v_16_XHFO_old">Model!$BH$169</definedName>
    <definedName name="v_16_XHMETO">Model!$Y$169</definedName>
    <definedName name="v_16_XHSRO">Model!$AA$169</definedName>
    <definedName name="v_16_XINORG">Model!$AV$169</definedName>
    <definedName name="v_16_XMEOLO">Model!$T$169</definedName>
    <definedName name="v_16_XN_B">Model!$AI$169</definedName>
    <definedName name="v_16_XN_Be">Model!$AJ$169</definedName>
    <definedName name="v_16_XN_U">Model!$AK$169</definedName>
    <definedName name="v_16_XNOB">Model!$V$169</definedName>
    <definedName name="v_16_XOHO">Model!$R$169</definedName>
    <definedName name="v_16_XP_B">Model!$AO$169</definedName>
    <definedName name="v_16_XP_Be">Model!$AP$169</definedName>
    <definedName name="v_16_XP_U">Model!$AQ$169</definedName>
    <definedName name="v_16_XPFOA">Model!$CA$169</definedName>
    <definedName name="v_16_XPFOS">Model!$CC$169</definedName>
    <definedName name="v_16_XPHA_GAO">Model!$O$169</definedName>
    <definedName name="v_16_XPHA_PAO">Model!$N$169</definedName>
    <definedName name="v_16_XPP">Model!$AM$169</definedName>
    <definedName name="v_16_XS">Model!$BD$169</definedName>
    <definedName name="v_16_XSOO">Model!$AB$169</definedName>
    <definedName name="v_16_XSTR">Model!$BW$169</definedName>
    <definedName name="v_16_XU">Model!$M$169</definedName>
    <definedName name="v_16_XVivi">Model!$BX$169</definedName>
    <definedName name="v_17_CB">Model!$H$170</definedName>
    <definedName name="v_17_CU">Model!$L$170</definedName>
    <definedName name="v_17_GCH4">Model!$CH$170</definedName>
    <definedName name="v_17_GCH4_atm">Model!$CO$170</definedName>
    <definedName name="v_17_GCO2">Model!$CG$170</definedName>
    <definedName name="v_17_GCO2_atm">Model!$CN$170</definedName>
    <definedName name="v_17_GH2">Model!$CI$170</definedName>
    <definedName name="v_17_GH2_atm">Model!$CP$170</definedName>
    <definedName name="v_17_GH2S">Model!$CM$170</definedName>
    <definedName name="v_17_GH2S_atm">Model!$CT$170</definedName>
    <definedName name="v_17_GN2">Model!$CL$170</definedName>
    <definedName name="v_17_GN2_atm">Model!$CS$170</definedName>
    <definedName name="v_17_GNH3">Model!$CK$170</definedName>
    <definedName name="v_17_GNH3_atm">Model!$CR$170</definedName>
    <definedName name="v_17_GO2">Model!$CJ$170</definedName>
    <definedName name="v_17_GO2_atm">Model!$CQ$170</definedName>
    <definedName name="v_17_SALPHA">Model!$CE$170</definedName>
    <definedName name="v_17_SAN">Model!$AX$170</definedName>
    <definedName name="v_17_SB">Model!$F$170</definedName>
    <definedName name="v_17_SCa">Model!$AY$170</definedName>
    <definedName name="v_17_SCAT">Model!$AW$170</definedName>
    <definedName name="v_17_SCH4">Model!$AS$170</definedName>
    <definedName name="v_17_SCO2">Model!$AU$170</definedName>
    <definedName name="v_17_SFe2">Model!$BE$170</definedName>
    <definedName name="v_17_SH">Model!$CD$170</definedName>
    <definedName name="v_17_SH2">Model!$AT$170</definedName>
    <definedName name="v_17_SH2S">Model!$BB$170</definedName>
    <definedName name="v_17_SK">Model!$BA$170</definedName>
    <definedName name="v_17_SMEOL">Model!$G$170</definedName>
    <definedName name="v_17_SMg">Model!$AZ$170</definedName>
    <definedName name="v_17_SMM_index">Model!$CU$170</definedName>
    <definedName name="v_17_SN_B">Model!$AH$170</definedName>
    <definedName name="v_17_SN2">Model!$AG$170</definedName>
    <definedName name="v_17_SNHx">Model!$AD$170</definedName>
    <definedName name="v_17_SNO2">Model!$AE$170</definedName>
    <definedName name="v_17_SNO3">Model!$AF$170</definedName>
    <definedName name="v_17_SO2">Model!$AR$170</definedName>
    <definedName name="v_17_SORPswitch">Model!$CF$170</definedName>
    <definedName name="v_17_SP_B">Model!$AN$170</definedName>
    <definedName name="v_17_SPFOA">Model!$BZ$170</definedName>
    <definedName name="v_17_SPFOS">Model!$CB$170</definedName>
    <definedName name="v_17_SPO4">Model!$AL$170</definedName>
    <definedName name="v_17_SSO4">Model!$BC$170</definedName>
    <definedName name="v_17_SU">Model!$K$170</definedName>
    <definedName name="v_17_SVFA">Model!$E$170</definedName>
    <definedName name="v_17_XACP">Model!$BU$170</definedName>
    <definedName name="v_17_XALGAE">Model!$AC$170</definedName>
    <definedName name="v_17_XAMETO">Model!$X$170</definedName>
    <definedName name="v_17_XAMX">Model!$W$170</definedName>
    <definedName name="v_17_XAOB">Model!$U$170</definedName>
    <definedName name="v_17_XASRO">Model!$Z$170</definedName>
    <definedName name="v_17_XB">Model!$I$170</definedName>
    <definedName name="v_17_XB_e">Model!$J$170</definedName>
    <definedName name="v_17_XBSH">Model!$BV$170</definedName>
    <definedName name="v_17_XCaCO3">Model!$BT$170</definedName>
    <definedName name="v_17_XCASTO">Model!$S$170</definedName>
    <definedName name="v_17_XE">Model!$P$170</definedName>
    <definedName name="v_17_XE_ana">Model!$Q$170</definedName>
    <definedName name="v_17_XFeS">Model!$BY$170</definedName>
    <definedName name="v_17_XHAO_H">Model!$BM$170</definedName>
    <definedName name="v_17_XHAO_H_P">Model!$BP$170</definedName>
    <definedName name="v_17_XHAO_H_P_old">Model!$BR$170</definedName>
    <definedName name="v_17_XHAO_L">Model!$BN$170</definedName>
    <definedName name="v_17_XHAO_L_P">Model!$BQ$170</definedName>
    <definedName name="v_17_XHAO_L_P_old">Model!$BS$170</definedName>
    <definedName name="v_17_XHAO_old">Model!$BO$170</definedName>
    <definedName name="v_17_XHFO_H">Model!$BF$170</definedName>
    <definedName name="v_17_XHFO_H_P">Model!$BI$170</definedName>
    <definedName name="v_17_XHFO_H_P_old">Model!$BK$170</definedName>
    <definedName name="v_17_XHFO_L">Model!$BG$170</definedName>
    <definedName name="v_17_XHFO_L_P">Model!$BJ$170</definedName>
    <definedName name="v_17_XHFO_L_P_old">Model!$BL$170</definedName>
    <definedName name="v_17_XHFO_old">Model!$BH$170</definedName>
    <definedName name="v_17_XHMETO">Model!$Y$170</definedName>
    <definedName name="v_17_XHSRO">Model!$AA$170</definedName>
    <definedName name="v_17_XINORG">Model!$AV$170</definedName>
    <definedName name="v_17_XMEOLO">Model!$T$170</definedName>
    <definedName name="v_17_XN_B">Model!$AI$170</definedName>
    <definedName name="v_17_XN_Be">Model!$AJ$170</definedName>
    <definedName name="v_17_XN_U">Model!$AK$170</definedName>
    <definedName name="v_17_XNOB">Model!$V$170</definedName>
    <definedName name="v_17_XOHO">Model!$R$170</definedName>
    <definedName name="v_17_XP_B">Model!$AO$170</definedName>
    <definedName name="v_17_XP_Be">Model!$AP$170</definedName>
    <definedName name="v_17_XP_U">Model!$AQ$170</definedName>
    <definedName name="v_17_XPFOA">Model!$CA$170</definedName>
    <definedName name="v_17_XPFOS">Model!$CC$170</definedName>
    <definedName name="v_17_XPHA_GAO">Model!$O$170</definedName>
    <definedName name="v_17_XPHA_PAO">Model!$N$170</definedName>
    <definedName name="v_17_XPP">Model!$AM$170</definedName>
    <definedName name="v_17_XS">Model!$BD$170</definedName>
    <definedName name="v_17_XSOO">Model!$AB$170</definedName>
    <definedName name="v_17_XSTR">Model!$BW$170</definedName>
    <definedName name="v_17_XU">Model!$M$170</definedName>
    <definedName name="v_17_XVivi">Model!$BX$170</definedName>
    <definedName name="v_18_CB">Model!$H$171</definedName>
    <definedName name="v_18_CU">Model!$L$171</definedName>
    <definedName name="v_18_GCH4">Model!$CH$171</definedName>
    <definedName name="v_18_GCH4_atm">Model!$CO$171</definedName>
    <definedName name="v_18_GCO2">Model!$CG$171</definedName>
    <definedName name="v_18_GCO2_atm">Model!$CN$171</definedName>
    <definedName name="v_18_GH2">Model!$CI$171</definedName>
    <definedName name="v_18_GH2_atm">Model!$CP$171</definedName>
    <definedName name="v_18_GH2S">Model!$CM$171</definedName>
    <definedName name="v_18_GH2S_atm">Model!$CT$171</definedName>
    <definedName name="v_18_GN2">Model!$CL$171</definedName>
    <definedName name="v_18_GN2_atm">Model!$CS$171</definedName>
    <definedName name="v_18_GNH3">Model!$CK$171</definedName>
    <definedName name="v_18_GNH3_atm">Model!$CR$171</definedName>
    <definedName name="v_18_GO2">Model!$CJ$171</definedName>
    <definedName name="v_18_GO2_atm">Model!$CQ$171</definedName>
    <definedName name="v_18_SALPHA">Model!$CE$171</definedName>
    <definedName name="v_18_SAN">Model!$AX$171</definedName>
    <definedName name="v_18_SB">Model!$F$171</definedName>
    <definedName name="v_18_SCa">Model!$AY$171</definedName>
    <definedName name="v_18_SCAT">Model!$AW$171</definedName>
    <definedName name="v_18_SCH4">Model!$AS$171</definedName>
    <definedName name="v_18_SCO2">Model!$AU$171</definedName>
    <definedName name="v_18_SFe2">Model!$BE$171</definedName>
    <definedName name="v_18_SH">Model!$CD$171</definedName>
    <definedName name="v_18_SH2">Model!$AT$171</definedName>
    <definedName name="v_18_SH2S">Model!$BB$171</definedName>
    <definedName name="v_18_SK">Model!$BA$171</definedName>
    <definedName name="v_18_SMEOL">Model!$G$171</definedName>
    <definedName name="v_18_SMg">Model!$AZ$171</definedName>
    <definedName name="v_18_SMM_index">Model!$CU$171</definedName>
    <definedName name="v_18_SN_B">Model!$AH$171</definedName>
    <definedName name="v_18_SN2">Model!$AG$171</definedName>
    <definedName name="v_18_SNHx">Model!$AD$171</definedName>
    <definedName name="v_18_SNO2">Model!$AE$171</definedName>
    <definedName name="v_18_SNO3">Model!$AF$171</definedName>
    <definedName name="v_18_SO2">Model!$AR$171</definedName>
    <definedName name="v_18_SORPswitch">Model!$CF$171</definedName>
    <definedName name="v_18_SP_B">Model!$AN$171</definedName>
    <definedName name="v_18_SPFOA">Model!$BZ$171</definedName>
    <definedName name="v_18_SPFOS">Model!$CB$171</definedName>
    <definedName name="v_18_SPO4">Model!$AL$171</definedName>
    <definedName name="v_18_SSO4">Model!$BC$171</definedName>
    <definedName name="v_18_SU">Model!$K$171</definedName>
    <definedName name="v_18_SVFA">Model!$E$171</definedName>
    <definedName name="v_18_XACP">Model!$BU$171</definedName>
    <definedName name="v_18_XALGAE">Model!$AC$171</definedName>
    <definedName name="v_18_XAMETO">Model!$X$171</definedName>
    <definedName name="v_18_XAMX">Model!$W$171</definedName>
    <definedName name="v_18_XAOB">Model!$U$171</definedName>
    <definedName name="v_18_XASRO">Model!$Z$171</definedName>
    <definedName name="v_18_XB">Model!$I$171</definedName>
    <definedName name="v_18_XB_e">Model!$J$171</definedName>
    <definedName name="v_18_XBSH">Model!$BV$171</definedName>
    <definedName name="v_18_XCaCO3">Model!$BT$171</definedName>
    <definedName name="v_18_XCASTO">Model!$S$171</definedName>
    <definedName name="v_18_XE">Model!$P$171</definedName>
    <definedName name="v_18_XE_ana">Model!$Q$171</definedName>
    <definedName name="v_18_XFeS">Model!$BY$171</definedName>
    <definedName name="v_18_XHAO_H">Model!$BM$171</definedName>
    <definedName name="v_18_XHAO_H_P">Model!$BP$171</definedName>
    <definedName name="v_18_XHAO_H_P_old">Model!$BR$171</definedName>
    <definedName name="v_18_XHAO_L">Model!$BN$171</definedName>
    <definedName name="v_18_XHAO_L_P">Model!$BQ$171</definedName>
    <definedName name="v_18_XHAO_L_P_old">Model!$BS$171</definedName>
    <definedName name="v_18_XHAO_old">Model!$BO$171</definedName>
    <definedName name="v_18_XHFO_H">Model!$BF$171</definedName>
    <definedName name="v_18_XHFO_H_P">Model!$BI$171</definedName>
    <definedName name="v_18_XHFO_H_P_old">Model!$BK$171</definedName>
    <definedName name="v_18_XHFO_L">Model!$BG$171</definedName>
    <definedName name="v_18_XHFO_L_P">Model!$BJ$171</definedName>
    <definedName name="v_18_XHFO_L_P_old">Model!$BL$171</definedName>
    <definedName name="v_18_XHFO_old">Model!$BH$171</definedName>
    <definedName name="v_18_XHMETO">Model!$Y$171</definedName>
    <definedName name="v_18_XHSRO">Model!$AA$171</definedName>
    <definedName name="v_18_XINORG">Model!$AV$171</definedName>
    <definedName name="v_18_XMEOLO">Model!$T$171</definedName>
    <definedName name="v_18_XN_B">Model!$AI$171</definedName>
    <definedName name="v_18_XN_Be">Model!$AJ$171</definedName>
    <definedName name="v_18_XN_U">Model!$AK$171</definedName>
    <definedName name="v_18_XNOB">Model!$V$171</definedName>
    <definedName name="v_18_XOHO">Model!$R$171</definedName>
    <definedName name="v_18_XP_B">Model!$AO$171</definedName>
    <definedName name="v_18_XP_Be">Model!$AP$171</definedName>
    <definedName name="v_18_XP_U">Model!$AQ$171</definedName>
    <definedName name="v_18_XPFOA">Model!$CA$171</definedName>
    <definedName name="v_18_XPFOS">Model!$CC$171</definedName>
    <definedName name="v_18_XPHA_GAO">Model!$O$171</definedName>
    <definedName name="v_18_XPHA_PAO">Model!$N$171</definedName>
    <definedName name="v_18_XPP">Model!$AM$171</definedName>
    <definedName name="v_18_XS">Model!$BD$171</definedName>
    <definedName name="v_18_XSOO">Model!$AB$171</definedName>
    <definedName name="v_18_XSTR">Model!$BW$171</definedName>
    <definedName name="v_18_XU">Model!$M$171</definedName>
    <definedName name="v_18_XVivi">Model!$BX$171</definedName>
    <definedName name="v_19_CB">Model!$H$172</definedName>
    <definedName name="v_19_CU">Model!$L$172</definedName>
    <definedName name="v_19_GCH4">Model!$CH$172</definedName>
    <definedName name="v_19_GCH4_atm">Model!$CO$172</definedName>
    <definedName name="v_19_GCO2">Model!$CG$172</definedName>
    <definedName name="v_19_GCO2_atm">Model!$CN$172</definedName>
    <definedName name="v_19_GH2">Model!$CI$172</definedName>
    <definedName name="v_19_GH2_atm">Model!$CP$172</definedName>
    <definedName name="v_19_GH2S">Model!$CM$172</definedName>
    <definedName name="v_19_GH2S_atm">Model!$CT$172</definedName>
    <definedName name="v_19_GN2">Model!$CL$172</definedName>
    <definedName name="v_19_GN2_atm">Model!$CS$172</definedName>
    <definedName name="v_19_GNH3">Model!$CK$172</definedName>
    <definedName name="v_19_GNH3_atm">Model!$CR$172</definedName>
    <definedName name="v_19_GO2">Model!$CJ$172</definedName>
    <definedName name="v_19_GO2_atm">Model!$CQ$172</definedName>
    <definedName name="v_19_SALPHA">Model!$CE$172</definedName>
    <definedName name="v_19_SAN">Model!$AX$172</definedName>
    <definedName name="v_19_SB">Model!$F$172</definedName>
    <definedName name="v_19_SCa">Model!$AY$172</definedName>
    <definedName name="v_19_SCAT">Model!$AW$172</definedName>
    <definedName name="v_19_SCH4">Model!$AS$172</definedName>
    <definedName name="v_19_SCO2">Model!$AU$172</definedName>
    <definedName name="v_19_SFe2">Model!$BE$172</definedName>
    <definedName name="v_19_SH">Model!$CD$172</definedName>
    <definedName name="v_19_SH2">Model!$AT$172</definedName>
    <definedName name="v_19_SH2S">Model!$BB$172</definedName>
    <definedName name="v_19_SK">Model!$BA$172</definedName>
    <definedName name="v_19_SMEOL">Model!$G$172</definedName>
    <definedName name="v_19_SMg">Model!$AZ$172</definedName>
    <definedName name="v_19_SMM_index">Model!$CU$172</definedName>
    <definedName name="v_19_SN_B">Model!$AH$172</definedName>
    <definedName name="v_19_SN2">Model!$AG$172</definedName>
    <definedName name="v_19_SNHx">Model!$AD$172</definedName>
    <definedName name="v_19_SNO2">Model!$AE$172</definedName>
    <definedName name="v_19_SNO3">Model!$AF$172</definedName>
    <definedName name="v_19_SO2">Model!$AR$172</definedName>
    <definedName name="v_19_SORPswitch">Model!$CF$172</definedName>
    <definedName name="v_19_SP_B">Model!$AN$172</definedName>
    <definedName name="v_19_SPFOA">Model!$BZ$172</definedName>
    <definedName name="v_19_SPFOS">Model!$CB$172</definedName>
    <definedName name="v_19_SPO4">Model!$AL$172</definedName>
    <definedName name="v_19_SSO4">Model!$BC$172</definedName>
    <definedName name="v_19_SU">Model!$K$172</definedName>
    <definedName name="v_19_SVFA">Model!$E$172</definedName>
    <definedName name="v_19_XACP">Model!$BU$172</definedName>
    <definedName name="v_19_XALGAE">Model!$AC$172</definedName>
    <definedName name="v_19_XAMETO">Model!$X$172</definedName>
    <definedName name="v_19_XAMX">Model!$W$172</definedName>
    <definedName name="v_19_XAOB">Model!$U$172</definedName>
    <definedName name="v_19_XASRO">Model!$Z$172</definedName>
    <definedName name="v_19_XB">Model!$I$172</definedName>
    <definedName name="v_19_XB_e">Model!$J$172</definedName>
    <definedName name="v_19_XBSH">Model!$BV$172</definedName>
    <definedName name="v_19_XCaCO3">Model!$BT$172</definedName>
    <definedName name="v_19_XCASTO">Model!$S$172</definedName>
    <definedName name="v_19_XE">Model!$P$172</definedName>
    <definedName name="v_19_XE_ana">Model!$Q$172</definedName>
    <definedName name="v_19_XFeS">Model!$BY$172</definedName>
    <definedName name="v_19_XHAO_H">Model!$BM$172</definedName>
    <definedName name="v_19_XHAO_H_P">Model!$BP$172</definedName>
    <definedName name="v_19_XHAO_H_P_old">Model!$BR$172</definedName>
    <definedName name="v_19_XHAO_L">Model!$BN$172</definedName>
    <definedName name="v_19_XHAO_L_P">Model!$BQ$172</definedName>
    <definedName name="v_19_XHAO_L_P_old">Model!$BS$172</definedName>
    <definedName name="v_19_XHAO_old">Model!$BO$172</definedName>
    <definedName name="v_19_XHFO_H">Model!$BF$172</definedName>
    <definedName name="v_19_XHFO_H_P">Model!$BI$172</definedName>
    <definedName name="v_19_XHFO_H_P_old">Model!$BK$172</definedName>
    <definedName name="v_19_XHFO_L">Model!$BG$172</definedName>
    <definedName name="v_19_XHFO_L_P">Model!$BJ$172</definedName>
    <definedName name="v_19_XHFO_L_P_old">Model!$BL$172</definedName>
    <definedName name="v_19_XHFO_old">Model!$BH$172</definedName>
    <definedName name="v_19_XHMETO">Model!$Y$172</definedName>
    <definedName name="v_19_XHSRO">Model!$AA$172</definedName>
    <definedName name="v_19_XINORG">Model!$AV$172</definedName>
    <definedName name="v_19_XMEOLO">Model!$T$172</definedName>
    <definedName name="v_19_XN_B">Model!$AI$172</definedName>
    <definedName name="v_19_XN_Be">Model!$AJ$172</definedName>
    <definedName name="v_19_XN_U">Model!$AK$172</definedName>
    <definedName name="v_19_XNOB">Model!$V$172</definedName>
    <definedName name="v_19_XOHO">Model!$R$172</definedName>
    <definedName name="v_19_XP_B">Model!$AO$172</definedName>
    <definedName name="v_19_XP_Be">Model!$AP$172</definedName>
    <definedName name="v_19_XP_U">Model!$AQ$172</definedName>
    <definedName name="v_19_XPFOA">Model!$CA$172</definedName>
    <definedName name="v_19_XPFOS">Model!$CC$172</definedName>
    <definedName name="v_19_XPHA_GAO">Model!$O$172</definedName>
    <definedName name="v_19_XPHA_PAO">Model!$N$172</definedName>
    <definedName name="v_19_XPP">Model!$AM$172</definedName>
    <definedName name="v_19_XS">Model!$BD$172</definedName>
    <definedName name="v_19_XSOO">Model!$AB$172</definedName>
    <definedName name="v_19_XSTR">Model!$BW$172</definedName>
    <definedName name="v_19_XU">Model!$M$172</definedName>
    <definedName name="v_19_XVivi">Model!$BX$172</definedName>
    <definedName name="v_2_CB">Model!$H$155</definedName>
    <definedName name="v_2_CU">Model!$L$155</definedName>
    <definedName name="v_2_GCH4">Model!$CH$155</definedName>
    <definedName name="v_2_GCH4_atm">Model!$CO$155</definedName>
    <definedName name="v_2_GCO2">Model!$CG$155</definedName>
    <definedName name="v_2_GCO2_atm">Model!$CN$155</definedName>
    <definedName name="v_2_GH2">Model!$CI$155</definedName>
    <definedName name="v_2_GH2_atm">Model!$CP$155</definedName>
    <definedName name="v_2_GH2S">Model!$CM$155</definedName>
    <definedName name="v_2_GH2S_atm">Model!$CT$155</definedName>
    <definedName name="v_2_GN2">Model!$CL$155</definedName>
    <definedName name="v_2_GN2_atm">Model!$CS$155</definedName>
    <definedName name="v_2_GNH3">Model!$CK$155</definedName>
    <definedName name="v_2_GNH3_atm">Model!$CR$155</definedName>
    <definedName name="v_2_GO2">Model!$CJ$155</definedName>
    <definedName name="v_2_GO2_atm">Model!$CQ$155</definedName>
    <definedName name="v_2_SALPHA">Model!$CE$155</definedName>
    <definedName name="v_2_SAN">Model!$AX$155</definedName>
    <definedName name="v_2_SB">Model!$F$155</definedName>
    <definedName name="v_2_SCa">Model!$AY$155</definedName>
    <definedName name="v_2_SCAT">Model!$AW$155</definedName>
    <definedName name="v_2_SCH4">Model!$AS$155</definedName>
    <definedName name="v_2_SCO2">Model!$AU$155</definedName>
    <definedName name="v_2_SFe2">Model!$BE$155</definedName>
    <definedName name="v_2_SH">Model!$CD$155</definedName>
    <definedName name="v_2_SH2">Model!$AT$155</definedName>
    <definedName name="v_2_SH2S">Model!$BB$155</definedName>
    <definedName name="v_2_SK">Model!$BA$155</definedName>
    <definedName name="v_2_SMEOL">Model!$G$155</definedName>
    <definedName name="v_2_SMg">Model!$AZ$155</definedName>
    <definedName name="v_2_SMM_index">Model!$CU$155</definedName>
    <definedName name="v_2_SN_B">Model!$AH$155</definedName>
    <definedName name="v_2_SN2">Model!$AG$155</definedName>
    <definedName name="v_2_SNHx">Model!$AD$155</definedName>
    <definedName name="v_2_SNO2">Model!$AE$155</definedName>
    <definedName name="v_2_SNO3">Model!$AF$155</definedName>
    <definedName name="v_2_SO2">Model!$AR$155</definedName>
    <definedName name="v_2_SORPswitch">Model!$CF$155</definedName>
    <definedName name="v_2_SP_B">Model!$AN$155</definedName>
    <definedName name="v_2_SPFOA">Model!$BZ$155</definedName>
    <definedName name="v_2_SPFOS">Model!$CB$155</definedName>
    <definedName name="v_2_SPO4">Model!$AL$155</definedName>
    <definedName name="v_2_SSO4">Model!$BC$155</definedName>
    <definedName name="v_2_SU">Model!$K$155</definedName>
    <definedName name="v_2_SVFA">Model!$E$155</definedName>
    <definedName name="v_2_XACP">Model!$BU$155</definedName>
    <definedName name="v_2_XALGAE">Model!$AC$155</definedName>
    <definedName name="v_2_XAMETO">Model!$X$155</definedName>
    <definedName name="v_2_XAMX">Model!$W$155</definedName>
    <definedName name="v_2_XAOB">Model!$U$155</definedName>
    <definedName name="v_2_XASRO">Model!$Z$155</definedName>
    <definedName name="v_2_XB">Model!$I$155</definedName>
    <definedName name="v_2_XB_e">Model!$J$155</definedName>
    <definedName name="v_2_XBSH">Model!$BV$155</definedName>
    <definedName name="v_2_XCaCO3">Model!$BT$155</definedName>
    <definedName name="v_2_XCASTO">Model!$S$155</definedName>
    <definedName name="v_2_XE">Model!$P$155</definedName>
    <definedName name="v_2_XE_ana">Model!$Q$155</definedName>
    <definedName name="v_2_XFeS">Model!$BY$155</definedName>
    <definedName name="v_2_XHAO_H">Model!$BM$155</definedName>
    <definedName name="v_2_XHAO_H_P">Model!$BP$155</definedName>
    <definedName name="v_2_XHAO_H_P_old">Model!$BR$155</definedName>
    <definedName name="v_2_XHAO_L">Model!$BN$155</definedName>
    <definedName name="v_2_XHAO_L_P">Model!$BQ$155</definedName>
    <definedName name="v_2_XHAO_L_P_old">Model!$BS$155</definedName>
    <definedName name="v_2_XHAO_old">Model!$BO$155</definedName>
    <definedName name="v_2_XHFO_H">Model!$BF$155</definedName>
    <definedName name="v_2_XHFO_H_P">Model!$BI$155</definedName>
    <definedName name="v_2_XHFO_H_P_old">Model!$BK$155</definedName>
    <definedName name="v_2_XHFO_L">Model!$BG$155</definedName>
    <definedName name="v_2_XHFO_L_P">Model!$BJ$155</definedName>
    <definedName name="v_2_XHFO_L_P_old">Model!$BL$155</definedName>
    <definedName name="v_2_XHFO_old">Model!$BH$155</definedName>
    <definedName name="v_2_XHMETO">Model!$Y$155</definedName>
    <definedName name="v_2_XHSRO">Model!$AA$155</definedName>
    <definedName name="v_2_XINORG">Model!$AV$155</definedName>
    <definedName name="v_2_XMEOLO">Model!$T$155</definedName>
    <definedName name="v_2_XN_B">Model!$AI$155</definedName>
    <definedName name="v_2_XN_Be">Model!$AJ$155</definedName>
    <definedName name="v_2_XN_U">Model!$AK$155</definedName>
    <definedName name="v_2_XNOB">Model!$V$155</definedName>
    <definedName name="v_2_XOHO">Model!$R$155</definedName>
    <definedName name="v_2_XP_B">Model!$AO$155</definedName>
    <definedName name="v_2_XP_Be">Model!$AP$155</definedName>
    <definedName name="v_2_XP_U">Model!$AQ$155</definedName>
    <definedName name="v_2_XPFOA">Model!$CA$155</definedName>
    <definedName name="v_2_XPFOS">Model!$CC$155</definedName>
    <definedName name="v_2_XPHA_GAO">Model!$O$155</definedName>
    <definedName name="v_2_XPHA_PAO">Model!$N$155</definedName>
    <definedName name="v_2_XPP">Model!$AM$155</definedName>
    <definedName name="v_2_XS">Model!$BD$155</definedName>
    <definedName name="v_2_XSOO">Model!$AB$155</definedName>
    <definedName name="v_2_XSTR">Model!$BW$155</definedName>
    <definedName name="v_2_XU">Model!$M$155</definedName>
    <definedName name="v_2_XVivi">Model!$BX$155</definedName>
    <definedName name="v_20_CB">Model!$H$173</definedName>
    <definedName name="v_20_CU">Model!$L$173</definedName>
    <definedName name="v_20_GCH4">Model!$CH$173</definedName>
    <definedName name="v_20_GCH4_atm">Model!$CO$173</definedName>
    <definedName name="v_20_GCO2">Model!$CG$173</definedName>
    <definedName name="v_20_GCO2_atm">Model!$CN$173</definedName>
    <definedName name="v_20_GH2">Model!$CI$173</definedName>
    <definedName name="v_20_GH2_atm">Model!$CP$173</definedName>
    <definedName name="v_20_GH2S">Model!$CM$173</definedName>
    <definedName name="v_20_GH2S_atm">Model!$CT$173</definedName>
    <definedName name="v_20_GN2">Model!$CL$173</definedName>
    <definedName name="v_20_GN2_atm">Model!$CS$173</definedName>
    <definedName name="v_20_GNH3">Model!$CK$173</definedName>
    <definedName name="v_20_GNH3_atm">Model!$CR$173</definedName>
    <definedName name="v_20_GO2">Model!$CJ$173</definedName>
    <definedName name="v_20_GO2_atm">Model!$CQ$173</definedName>
    <definedName name="v_20_SALPHA">Model!$CE$173</definedName>
    <definedName name="v_20_SAN">Model!$AX$173</definedName>
    <definedName name="v_20_SB">Model!$F$173</definedName>
    <definedName name="v_20_SCa">Model!$AY$173</definedName>
    <definedName name="v_20_SCAT">Model!$AW$173</definedName>
    <definedName name="v_20_SCH4">Model!$AS$173</definedName>
    <definedName name="v_20_SCO2">Model!$AU$173</definedName>
    <definedName name="v_20_SFe2">Model!$BE$173</definedName>
    <definedName name="v_20_SH">Model!$CD$173</definedName>
    <definedName name="v_20_SH2">Model!$AT$173</definedName>
    <definedName name="v_20_SH2S">Model!$BB$173</definedName>
    <definedName name="v_20_SK">Model!$BA$173</definedName>
    <definedName name="v_20_SMEOL">Model!$G$173</definedName>
    <definedName name="v_20_SMg">Model!$AZ$173</definedName>
    <definedName name="v_20_SMM_index">Model!$CU$173</definedName>
    <definedName name="v_20_SN_B">Model!$AH$173</definedName>
    <definedName name="v_20_SN2">Model!$AG$173</definedName>
    <definedName name="v_20_SNHx">Model!$AD$173</definedName>
    <definedName name="v_20_SNO2">Model!$AE$173</definedName>
    <definedName name="v_20_SNO3">Model!$AF$173</definedName>
    <definedName name="v_20_SO2">Model!$AR$173</definedName>
    <definedName name="v_20_SORPswitch">Model!$CF$173</definedName>
    <definedName name="v_20_SP_B">Model!$AN$173</definedName>
    <definedName name="v_20_SPFOA">Model!$BZ$173</definedName>
    <definedName name="v_20_SPFOS">Model!$CB$173</definedName>
    <definedName name="v_20_SPO4">Model!$AL$173</definedName>
    <definedName name="v_20_SSO4">Model!$BC$173</definedName>
    <definedName name="v_20_SU">Model!$K$173</definedName>
    <definedName name="v_20_SVFA">Model!$E$173</definedName>
    <definedName name="v_20_XACP">Model!$BU$173</definedName>
    <definedName name="v_20_XALGAE">Model!$AC$173</definedName>
    <definedName name="v_20_XAMETO">Model!$X$173</definedName>
    <definedName name="v_20_XAMX">Model!$W$173</definedName>
    <definedName name="v_20_XAOB">Model!$U$173</definedName>
    <definedName name="v_20_XASRO">Model!$Z$173</definedName>
    <definedName name="v_20_XB">Model!$I$173</definedName>
    <definedName name="v_20_XB_e">Model!$J$173</definedName>
    <definedName name="v_20_XBSH">Model!$BV$173</definedName>
    <definedName name="v_20_XCaCO3">Model!$BT$173</definedName>
    <definedName name="v_20_XCASTO">Model!$S$173</definedName>
    <definedName name="v_20_XE">Model!$P$173</definedName>
    <definedName name="v_20_XE_ana">Model!$Q$173</definedName>
    <definedName name="v_20_XFeS">Model!$BY$173</definedName>
    <definedName name="v_20_XHAO_H">Model!$BM$173</definedName>
    <definedName name="v_20_XHAO_H_P">Model!$BP$173</definedName>
    <definedName name="v_20_XHAO_H_P_old">Model!$BR$173</definedName>
    <definedName name="v_20_XHAO_L">Model!$BN$173</definedName>
    <definedName name="v_20_XHAO_L_P">Model!$BQ$173</definedName>
    <definedName name="v_20_XHAO_L_P_old">Model!$BS$173</definedName>
    <definedName name="v_20_XHAO_old">Model!$BO$173</definedName>
    <definedName name="v_20_XHFO_H">Model!$BF$173</definedName>
    <definedName name="v_20_XHFO_H_P">Model!$BI$173</definedName>
    <definedName name="v_20_XHFO_H_P_old">Model!$BK$173</definedName>
    <definedName name="v_20_XHFO_L">Model!$BG$173</definedName>
    <definedName name="v_20_XHFO_L_P">Model!$BJ$173</definedName>
    <definedName name="v_20_XHFO_L_P_old">Model!$BL$173</definedName>
    <definedName name="v_20_XHFO_old">Model!$BH$173</definedName>
    <definedName name="v_20_XHMETO">Model!$Y$173</definedName>
    <definedName name="v_20_XHSRO">Model!$AA$173</definedName>
    <definedName name="v_20_XINORG">Model!$AV$173</definedName>
    <definedName name="v_20_XMEOLO">Model!$T$173</definedName>
    <definedName name="v_20_XN_B">Model!$AI$173</definedName>
    <definedName name="v_20_XN_Be">Model!$AJ$173</definedName>
    <definedName name="v_20_XN_U">Model!$AK$173</definedName>
    <definedName name="v_20_XNOB">Model!$V$173</definedName>
    <definedName name="v_20_XOHO">Model!$R$173</definedName>
    <definedName name="v_20_XP_B">Model!$AO$173</definedName>
    <definedName name="v_20_XP_Be">Model!$AP$173</definedName>
    <definedName name="v_20_XP_U">Model!$AQ$173</definedName>
    <definedName name="v_20_XPFOA">Model!$CA$173</definedName>
    <definedName name="v_20_XPFOS">Model!$CC$173</definedName>
    <definedName name="v_20_XPHA_GAO">Model!$O$173</definedName>
    <definedName name="v_20_XPHA_PAO">Model!$N$173</definedName>
    <definedName name="v_20_XPP">Model!$AM$173</definedName>
    <definedName name="v_20_XS">Model!$BD$173</definedName>
    <definedName name="v_20_XSOO">Model!$AB$173</definedName>
    <definedName name="v_20_XSTR">Model!$BW$173</definedName>
    <definedName name="v_20_XU">Model!$M$173</definedName>
    <definedName name="v_20_XVivi">Model!$BX$173</definedName>
    <definedName name="v_21_CB">Model!$H$174</definedName>
    <definedName name="v_21_CU">Model!$L$174</definedName>
    <definedName name="v_21_GCH4">Model!$CH$174</definedName>
    <definedName name="v_21_GCH4_atm">Model!$CO$174</definedName>
    <definedName name="v_21_GCO2">Model!$CG$174</definedName>
    <definedName name="v_21_GCO2_atm">Model!$CN$174</definedName>
    <definedName name="v_21_GH2">Model!$CI$174</definedName>
    <definedName name="v_21_GH2_atm">Model!$CP$174</definedName>
    <definedName name="v_21_GH2S">Model!$CM$174</definedName>
    <definedName name="v_21_GH2S_atm">Model!$CT$174</definedName>
    <definedName name="v_21_GN2">Model!$CL$174</definedName>
    <definedName name="v_21_GN2_atm">Model!$CS$174</definedName>
    <definedName name="v_21_GNH3">Model!$CK$174</definedName>
    <definedName name="v_21_GNH3_atm">Model!$CR$174</definedName>
    <definedName name="v_21_GO2">Model!$CJ$174</definedName>
    <definedName name="v_21_GO2_atm">Model!$CQ$174</definedName>
    <definedName name="v_21_SALPHA">Model!$CE$174</definedName>
    <definedName name="v_21_SAN">Model!$AX$174</definedName>
    <definedName name="v_21_SB">Model!$F$174</definedName>
    <definedName name="v_21_SCa">Model!$AY$174</definedName>
    <definedName name="v_21_SCAT">Model!$AW$174</definedName>
    <definedName name="v_21_SCH4">Model!$AS$174</definedName>
    <definedName name="v_21_SCO2">Model!$AU$174</definedName>
    <definedName name="v_21_SFe2">Model!$BE$174</definedName>
    <definedName name="v_21_SH">Model!$CD$174</definedName>
    <definedName name="v_21_SH2">Model!$AT$174</definedName>
    <definedName name="v_21_SH2S">Model!$BB$174</definedName>
    <definedName name="v_21_SK">Model!$BA$174</definedName>
    <definedName name="v_21_SMEOL">Model!$G$174</definedName>
    <definedName name="v_21_SMg">Model!$AZ$174</definedName>
    <definedName name="v_21_SMM_index">Model!$CU$174</definedName>
    <definedName name="v_21_SN_B">Model!$AH$174</definedName>
    <definedName name="v_21_SN2">Model!$AG$174</definedName>
    <definedName name="v_21_SNHx">Model!$AD$174</definedName>
    <definedName name="v_21_SNO2">Model!$AE$174</definedName>
    <definedName name="v_21_SNO3">Model!$AF$174</definedName>
    <definedName name="v_21_SO2">Model!$AR$174</definedName>
    <definedName name="v_21_SORPswitch">Model!$CF$174</definedName>
    <definedName name="v_21_SP_B">Model!$AN$174</definedName>
    <definedName name="v_21_SPFOA">Model!$BZ$174</definedName>
    <definedName name="v_21_SPFOS">Model!$CB$174</definedName>
    <definedName name="v_21_SPO4">Model!$AL$174</definedName>
    <definedName name="v_21_SSO4">Model!$BC$174</definedName>
    <definedName name="v_21_SU">Model!$K$174</definedName>
    <definedName name="v_21_SVFA">Model!$E$174</definedName>
    <definedName name="v_21_XACP">Model!$BU$174</definedName>
    <definedName name="v_21_XALGAE">Model!$AC$174</definedName>
    <definedName name="v_21_XAMETO">Model!$X$174</definedName>
    <definedName name="v_21_XAMX">Model!$W$174</definedName>
    <definedName name="v_21_XAOB">Model!$U$174</definedName>
    <definedName name="v_21_XASRO">Model!$Z$174</definedName>
    <definedName name="v_21_XB">Model!$I$174</definedName>
    <definedName name="v_21_XB_e">Model!$J$174</definedName>
    <definedName name="v_21_XBSH">Model!$BV$174</definedName>
    <definedName name="v_21_XCaCO3">Model!$BT$174</definedName>
    <definedName name="v_21_XCASTO">Model!$S$174</definedName>
    <definedName name="v_21_XE">Model!$P$174</definedName>
    <definedName name="v_21_XE_ana">Model!$Q$174</definedName>
    <definedName name="v_21_XFeS">Model!$BY$174</definedName>
    <definedName name="v_21_XHAO_H">Model!$BM$174</definedName>
    <definedName name="v_21_XHAO_H_P">Model!$BP$174</definedName>
    <definedName name="v_21_XHAO_H_P_old">Model!$BR$174</definedName>
    <definedName name="v_21_XHAO_L">Model!$BN$174</definedName>
    <definedName name="v_21_XHAO_L_P">Model!$BQ$174</definedName>
    <definedName name="v_21_XHAO_L_P_old">Model!$BS$174</definedName>
    <definedName name="v_21_XHAO_old">Model!$BO$174</definedName>
    <definedName name="v_21_XHFO_H">Model!$BF$174</definedName>
    <definedName name="v_21_XHFO_H_P">Model!$BI$174</definedName>
    <definedName name="v_21_XHFO_H_P_old">Model!$BK$174</definedName>
    <definedName name="v_21_XHFO_L">Model!$BG$174</definedName>
    <definedName name="v_21_XHFO_L_P">Model!$BJ$174</definedName>
    <definedName name="v_21_XHFO_L_P_old">Model!$BL$174</definedName>
    <definedName name="v_21_XHFO_old">Model!$BH$174</definedName>
    <definedName name="v_21_XHMETO">Model!$Y$174</definedName>
    <definedName name="v_21_XHSRO">Model!$AA$174</definedName>
    <definedName name="v_21_XINORG">Model!$AV$174</definedName>
    <definedName name="v_21_XMEOLO">Model!$T$174</definedName>
    <definedName name="v_21_XN_B">Model!$AI$174</definedName>
    <definedName name="v_21_XN_Be">Model!$AJ$174</definedName>
    <definedName name="v_21_XN_U">Model!$AK$174</definedName>
    <definedName name="v_21_XNOB">Model!$V$174</definedName>
    <definedName name="v_21_XOHO">Model!$R$174</definedName>
    <definedName name="v_21_XP_B">Model!$AO$174</definedName>
    <definedName name="v_21_XP_Be">Model!$AP$174</definedName>
    <definedName name="v_21_XP_U">Model!$AQ$174</definedName>
    <definedName name="v_21_XPFOA">Model!$CA$174</definedName>
    <definedName name="v_21_XPFOS">Model!$CC$174</definedName>
    <definedName name="v_21_XPHA_GAO">Model!$O$174</definedName>
    <definedName name="v_21_XPHA_PAO">Model!$N$174</definedName>
    <definedName name="v_21_XPP">Model!$AM$174</definedName>
    <definedName name="v_21_XS">Model!$BD$174</definedName>
    <definedName name="v_21_XSOO">Model!$AB$174</definedName>
    <definedName name="v_21_XSTR">Model!$BW$174</definedName>
    <definedName name="v_21_XU">Model!$M$174</definedName>
    <definedName name="v_21_XVivi">Model!$BX$174</definedName>
    <definedName name="v_22_CB">Model!$H$175</definedName>
    <definedName name="v_22_CU">Model!$L$175</definedName>
    <definedName name="v_22_GCH4">Model!$CH$175</definedName>
    <definedName name="v_22_GCH4_atm">Model!$CO$175</definedName>
    <definedName name="v_22_GCO2">Model!$CG$175</definedName>
    <definedName name="v_22_GCO2_atm">Model!$CN$175</definedName>
    <definedName name="v_22_GH2">Model!$CI$175</definedName>
    <definedName name="v_22_GH2_atm">Model!$CP$175</definedName>
    <definedName name="v_22_GH2S">Model!$CM$175</definedName>
    <definedName name="v_22_GH2S_atm">Model!$CT$175</definedName>
    <definedName name="v_22_GN2">Model!$CL$175</definedName>
    <definedName name="v_22_GN2_atm">Model!$CS$175</definedName>
    <definedName name="v_22_GNH3">Model!$CK$175</definedName>
    <definedName name="v_22_GNH3_atm">Model!$CR$175</definedName>
    <definedName name="v_22_GO2">Model!$CJ$175</definedName>
    <definedName name="v_22_GO2_atm">Model!$CQ$175</definedName>
    <definedName name="v_22_SALPHA">Model!$CE$175</definedName>
    <definedName name="v_22_SAN">Model!$AX$175</definedName>
    <definedName name="v_22_SB">Model!$F$175</definedName>
    <definedName name="v_22_SCa">Model!$AY$175</definedName>
    <definedName name="v_22_SCAT">Model!$AW$175</definedName>
    <definedName name="v_22_SCH4">Model!$AS$175</definedName>
    <definedName name="v_22_SCO2">Model!$AU$175</definedName>
    <definedName name="v_22_SFe2">Model!$BE$175</definedName>
    <definedName name="v_22_SH">Model!$CD$175</definedName>
    <definedName name="v_22_SH2">Model!$AT$175</definedName>
    <definedName name="v_22_SH2S">Model!$BB$175</definedName>
    <definedName name="v_22_SK">Model!$BA$175</definedName>
    <definedName name="v_22_SMEOL">Model!$G$175</definedName>
    <definedName name="v_22_SMg">Model!$AZ$175</definedName>
    <definedName name="v_22_SMM_index">Model!$CU$175</definedName>
    <definedName name="v_22_SN_B">Model!$AH$175</definedName>
    <definedName name="v_22_SN2">Model!$AG$175</definedName>
    <definedName name="v_22_SNHx">Model!$AD$175</definedName>
    <definedName name="v_22_SNO2">Model!$AE$175</definedName>
    <definedName name="v_22_SNO3">Model!$AF$175</definedName>
    <definedName name="v_22_SO2">Model!$AR$175</definedName>
    <definedName name="v_22_SORPswitch">Model!$CF$175</definedName>
    <definedName name="v_22_SP_B">Model!$AN$175</definedName>
    <definedName name="v_22_SPFOA">Model!$BZ$175</definedName>
    <definedName name="v_22_SPFOS">Model!$CB$175</definedName>
    <definedName name="v_22_SPO4">Model!$AL$175</definedName>
    <definedName name="v_22_SSO4">Model!$BC$175</definedName>
    <definedName name="v_22_SU">Model!$K$175</definedName>
    <definedName name="v_22_SVFA">Model!$E$175</definedName>
    <definedName name="v_22_XACP">Model!$BU$175</definedName>
    <definedName name="v_22_XALGAE">Model!$AC$175</definedName>
    <definedName name="v_22_XAMETO">Model!$X$175</definedName>
    <definedName name="v_22_XAMX">Model!$W$175</definedName>
    <definedName name="v_22_XAOB">Model!$U$175</definedName>
    <definedName name="v_22_XASRO">Model!$Z$175</definedName>
    <definedName name="v_22_XB">Model!$I$175</definedName>
    <definedName name="v_22_XB_e">Model!$J$175</definedName>
    <definedName name="v_22_XBSH">Model!$BV$175</definedName>
    <definedName name="v_22_XCaCO3">Model!$BT$175</definedName>
    <definedName name="v_22_XCASTO">Model!$S$175</definedName>
    <definedName name="v_22_XE">Model!$P$175</definedName>
    <definedName name="v_22_XE_ana">Model!$Q$175</definedName>
    <definedName name="v_22_XFeS">Model!$BY$175</definedName>
    <definedName name="v_22_XHAO_H">Model!$BM$175</definedName>
    <definedName name="v_22_XHAO_H_P">Model!$BP$175</definedName>
    <definedName name="v_22_XHAO_H_P_old">Model!$BR$175</definedName>
    <definedName name="v_22_XHAO_L">Model!$BN$175</definedName>
    <definedName name="v_22_XHAO_L_P">Model!$BQ$175</definedName>
    <definedName name="v_22_XHAO_L_P_old">Model!$BS$175</definedName>
    <definedName name="v_22_XHAO_old">Model!$BO$175</definedName>
    <definedName name="v_22_XHFO_H">Model!$BF$175</definedName>
    <definedName name="v_22_XHFO_H_P">Model!$BI$175</definedName>
    <definedName name="v_22_XHFO_H_P_old">Model!$BK$175</definedName>
    <definedName name="v_22_XHFO_L">Model!$BG$175</definedName>
    <definedName name="v_22_XHFO_L_P">Model!$BJ$175</definedName>
    <definedName name="v_22_XHFO_L_P_old">Model!$BL$175</definedName>
    <definedName name="v_22_XHFO_old">Model!$BH$175</definedName>
    <definedName name="v_22_XHMETO">Model!$Y$175</definedName>
    <definedName name="v_22_XHSRO">Model!$AA$175</definedName>
    <definedName name="v_22_XINORG">Model!$AV$175</definedName>
    <definedName name="v_22_XMEOLO">Model!$T$175</definedName>
    <definedName name="v_22_XN_B">Model!$AI$175</definedName>
    <definedName name="v_22_XN_Be">Model!$AJ$175</definedName>
    <definedName name="v_22_XN_U">Model!$AK$175</definedName>
    <definedName name="v_22_XNOB">Model!$V$175</definedName>
    <definedName name="v_22_XOHO">Model!$R$175</definedName>
    <definedName name="v_22_XP_B">Model!$AO$175</definedName>
    <definedName name="v_22_XP_Be">Model!$AP$175</definedName>
    <definedName name="v_22_XP_U">Model!$AQ$175</definedName>
    <definedName name="v_22_XPFOA">Model!$CA$175</definedName>
    <definedName name="v_22_XPFOS">Model!$CC$175</definedName>
    <definedName name="v_22_XPHA_GAO">Model!$O$175</definedName>
    <definedName name="v_22_XPHA_PAO">Model!$N$175</definedName>
    <definedName name="v_22_XPP">Model!$AM$175</definedName>
    <definedName name="v_22_XS">Model!$BD$175</definedName>
    <definedName name="v_22_XSOO">Model!$AB$175</definedName>
    <definedName name="v_22_XSTR">Model!$BW$175</definedName>
    <definedName name="v_22_XU">Model!$M$175</definedName>
    <definedName name="v_22_XVivi">Model!$BX$175</definedName>
    <definedName name="v_23_CB">Model!$H$176</definedName>
    <definedName name="v_23_CU">Model!$L$176</definedName>
    <definedName name="v_23_GCH4">Model!$CH$176</definedName>
    <definedName name="v_23_GCH4_atm">Model!$CO$176</definedName>
    <definedName name="v_23_GCO2">Model!$CG$176</definedName>
    <definedName name="v_23_GCO2_atm">Model!$CN$176</definedName>
    <definedName name="v_23_GH2">Model!$CI$176</definedName>
    <definedName name="v_23_GH2_atm">Model!$CP$176</definedName>
    <definedName name="v_23_GH2S">Model!$CM$176</definedName>
    <definedName name="v_23_GH2S_atm">Model!$CT$176</definedName>
    <definedName name="v_23_GN2">Model!$CL$176</definedName>
    <definedName name="v_23_GN2_atm">Model!$CS$176</definedName>
    <definedName name="v_23_GNH3">Model!$CK$176</definedName>
    <definedName name="v_23_GNH3_atm">Model!$CR$176</definedName>
    <definedName name="v_23_GO2">Model!$CJ$176</definedName>
    <definedName name="v_23_GO2_atm">Model!$CQ$176</definedName>
    <definedName name="v_23_SALPHA">Model!$CE$176</definedName>
    <definedName name="v_23_SAN">Model!$AX$176</definedName>
    <definedName name="v_23_SB">Model!$F$176</definedName>
    <definedName name="v_23_SCa">Model!$AY$176</definedName>
    <definedName name="v_23_SCAT">Model!$AW$176</definedName>
    <definedName name="v_23_SCH4">Model!$AS$176</definedName>
    <definedName name="v_23_SCO2">Model!$AU$176</definedName>
    <definedName name="v_23_SFe2">Model!$BE$176</definedName>
    <definedName name="v_23_SH">Model!$CD$176</definedName>
    <definedName name="v_23_SH2">Model!$AT$176</definedName>
    <definedName name="v_23_SH2S">Model!$BB$176</definedName>
    <definedName name="v_23_SK">Model!$BA$176</definedName>
    <definedName name="v_23_SMEOL">Model!$G$176</definedName>
    <definedName name="v_23_SMg">Model!$AZ$176</definedName>
    <definedName name="v_23_SMM_index">Model!$CU$176</definedName>
    <definedName name="v_23_SN_B">Model!$AH$176</definedName>
    <definedName name="v_23_SN2">Model!$AG$176</definedName>
    <definedName name="v_23_SNHx">Model!$AD$176</definedName>
    <definedName name="v_23_SNO2">Model!$AE$176</definedName>
    <definedName name="v_23_SNO3">Model!$AF$176</definedName>
    <definedName name="v_23_SO2">Model!$AR$176</definedName>
    <definedName name="v_23_SORPswitch">Model!$CF$176</definedName>
    <definedName name="v_23_SP_B">Model!$AN$176</definedName>
    <definedName name="v_23_SPFOA">Model!$BZ$176</definedName>
    <definedName name="v_23_SPFOS">Model!$CB$176</definedName>
    <definedName name="v_23_SPO4">Model!$AL$176</definedName>
    <definedName name="v_23_SSO4">Model!$BC$176</definedName>
    <definedName name="v_23_SU">Model!$K$176</definedName>
    <definedName name="v_23_SVFA">Model!$E$176</definedName>
    <definedName name="v_23_XACP">Model!$BU$176</definedName>
    <definedName name="v_23_XALGAE">Model!$AC$176</definedName>
    <definedName name="v_23_XAMETO">Model!$X$176</definedName>
    <definedName name="v_23_XAMX">Model!$W$176</definedName>
    <definedName name="v_23_XAOB">Model!$U$176</definedName>
    <definedName name="v_23_XASRO">Model!$Z$176</definedName>
    <definedName name="v_23_XB">Model!$I$176</definedName>
    <definedName name="v_23_XB_e">Model!$J$176</definedName>
    <definedName name="v_23_XBSH">Model!$BV$176</definedName>
    <definedName name="v_23_XCaCO3">Model!$BT$176</definedName>
    <definedName name="v_23_XCASTO">Model!$S$176</definedName>
    <definedName name="v_23_XE">Model!$P$176</definedName>
    <definedName name="v_23_XE_ana">Model!$Q$176</definedName>
    <definedName name="v_23_XFeS">Model!$BY$176</definedName>
    <definedName name="v_23_XHAO_H">Model!$BM$176</definedName>
    <definedName name="v_23_XHAO_H_P">Model!$BP$176</definedName>
    <definedName name="v_23_XHAO_H_P_old">Model!$BR$176</definedName>
    <definedName name="v_23_XHAO_L">Model!$BN$176</definedName>
    <definedName name="v_23_XHAO_L_P">Model!$BQ$176</definedName>
    <definedName name="v_23_XHAO_L_P_old">Model!$BS$176</definedName>
    <definedName name="v_23_XHAO_old">Model!$BO$176</definedName>
    <definedName name="v_23_XHFO_H">Model!$BF$176</definedName>
    <definedName name="v_23_XHFO_H_P">Model!$BI$176</definedName>
    <definedName name="v_23_XHFO_H_P_old">Model!$BK$176</definedName>
    <definedName name="v_23_XHFO_L">Model!$BG$176</definedName>
    <definedName name="v_23_XHFO_L_P">Model!$BJ$176</definedName>
    <definedName name="v_23_XHFO_L_P_old">Model!$BL$176</definedName>
    <definedName name="v_23_XHFO_old">Model!$BH$176</definedName>
    <definedName name="v_23_XHMETO">Model!$Y$176</definedName>
    <definedName name="v_23_XHSRO">Model!$AA$176</definedName>
    <definedName name="v_23_XINORG">Model!$AV$176</definedName>
    <definedName name="v_23_XMEOLO">Model!$T$176</definedName>
    <definedName name="v_23_XN_B">Model!$AI$176</definedName>
    <definedName name="v_23_XN_Be">Model!$AJ$176</definedName>
    <definedName name="v_23_XN_U">Model!$AK$176</definedName>
    <definedName name="v_23_XNOB">Model!$V$176</definedName>
    <definedName name="v_23_XOHO">Model!$R$176</definedName>
    <definedName name="v_23_XP_B">Model!$AO$176</definedName>
    <definedName name="v_23_XP_Be">Model!$AP$176</definedName>
    <definedName name="v_23_XP_U">Model!$AQ$176</definedName>
    <definedName name="v_23_XPFOA">Model!$CA$176</definedName>
    <definedName name="v_23_XPFOS">Model!$CC$176</definedName>
    <definedName name="v_23_XPHA_GAO">Model!$O$176</definedName>
    <definedName name="v_23_XPHA_PAO">Model!$N$176</definedName>
    <definedName name="v_23_XPP">Model!$AM$176</definedName>
    <definedName name="v_23_XS">Model!$BD$176</definedName>
    <definedName name="v_23_XSOO">Model!$AB$176</definedName>
    <definedName name="v_23_XSTR">Model!$BW$176</definedName>
    <definedName name="v_23_XU">Model!$M$176</definedName>
    <definedName name="v_23_XVivi">Model!$BX$176</definedName>
    <definedName name="v_24_CB">Model!$H$177</definedName>
    <definedName name="v_24_CU">Model!$L$177</definedName>
    <definedName name="v_24_GCH4">Model!$CH$177</definedName>
    <definedName name="v_24_GCH4_atm">Model!$CO$177</definedName>
    <definedName name="v_24_GCO2">Model!$CG$177</definedName>
    <definedName name="v_24_GCO2_atm">Model!$CN$177</definedName>
    <definedName name="v_24_GH2">Model!$CI$177</definedName>
    <definedName name="v_24_GH2_atm">Model!$CP$177</definedName>
    <definedName name="v_24_GH2S">Model!$CM$177</definedName>
    <definedName name="v_24_GH2S_atm">Model!$CT$177</definedName>
    <definedName name="v_24_GN2">Model!$CL$177</definedName>
    <definedName name="v_24_GN2_atm">Model!$CS$177</definedName>
    <definedName name="v_24_GNH3">Model!$CK$177</definedName>
    <definedName name="v_24_GNH3_atm">Model!$CR$177</definedName>
    <definedName name="v_24_GO2">Model!$CJ$177</definedName>
    <definedName name="v_24_GO2_atm">Model!$CQ$177</definedName>
    <definedName name="v_24_SALPHA">Model!$CE$177</definedName>
    <definedName name="v_24_SAN">Model!$AX$177</definedName>
    <definedName name="v_24_SB">Model!$F$177</definedName>
    <definedName name="v_24_SCa">Model!$AY$177</definedName>
    <definedName name="v_24_SCAT">Model!$AW$177</definedName>
    <definedName name="v_24_SCH4">Model!$AS$177</definedName>
    <definedName name="v_24_SCO2">Model!$AU$177</definedName>
    <definedName name="v_24_SFe2">Model!$BE$177</definedName>
    <definedName name="v_24_SH">Model!$CD$177</definedName>
    <definedName name="v_24_SH2">Model!$AT$177</definedName>
    <definedName name="v_24_SH2S">Model!$BB$177</definedName>
    <definedName name="v_24_SK">Model!$BA$177</definedName>
    <definedName name="v_24_SMEOL">Model!$G$177</definedName>
    <definedName name="v_24_SMg">Model!$AZ$177</definedName>
    <definedName name="v_24_SMM_index">Model!$CU$177</definedName>
    <definedName name="v_24_SN_B">Model!$AH$177</definedName>
    <definedName name="v_24_SN2">Model!$AG$177</definedName>
    <definedName name="v_24_SNHx">Model!$AD$177</definedName>
    <definedName name="v_24_SNO2">Model!$AE$177</definedName>
    <definedName name="v_24_SNO3">Model!$AF$177</definedName>
    <definedName name="v_24_SO2">Model!$AR$177</definedName>
    <definedName name="v_24_SORPswitch">Model!$CF$177</definedName>
    <definedName name="v_24_SP_B">Model!$AN$177</definedName>
    <definedName name="v_24_SPFOA">Model!$BZ$177</definedName>
    <definedName name="v_24_SPFOS">Model!$CB$177</definedName>
    <definedName name="v_24_SPO4">Model!$AL$177</definedName>
    <definedName name="v_24_SSO4">Model!$BC$177</definedName>
    <definedName name="v_24_SU">Model!$K$177</definedName>
    <definedName name="v_24_SVFA">Model!$E$177</definedName>
    <definedName name="v_24_XACP">Model!$BU$177</definedName>
    <definedName name="v_24_XALGAE">Model!$AC$177</definedName>
    <definedName name="v_24_XAMETO">Model!$X$177</definedName>
    <definedName name="v_24_XAMX">Model!$W$177</definedName>
    <definedName name="v_24_XAOB">Model!$U$177</definedName>
    <definedName name="v_24_XASRO">Model!$Z$177</definedName>
    <definedName name="v_24_XB">Model!$I$177</definedName>
    <definedName name="v_24_XB_e">Model!$J$177</definedName>
    <definedName name="v_24_XBSH">Model!$BV$177</definedName>
    <definedName name="v_24_XCaCO3">Model!$BT$177</definedName>
    <definedName name="v_24_XCASTO">Model!$S$177</definedName>
    <definedName name="v_24_XE">Model!$P$177</definedName>
    <definedName name="v_24_XE_ana">Model!$Q$177</definedName>
    <definedName name="v_24_XFeS">Model!$BY$177</definedName>
    <definedName name="v_24_XHAO_H">Model!$BM$177</definedName>
    <definedName name="v_24_XHAO_H_P">Model!$BP$177</definedName>
    <definedName name="v_24_XHAO_H_P_old">Model!$BR$177</definedName>
    <definedName name="v_24_XHAO_L">Model!$BN$177</definedName>
    <definedName name="v_24_XHAO_L_P">Model!$BQ$177</definedName>
    <definedName name="v_24_XHAO_L_P_old">Model!$BS$177</definedName>
    <definedName name="v_24_XHAO_old">Model!$BO$177</definedName>
    <definedName name="v_24_XHFO_H">Model!$BF$177</definedName>
    <definedName name="v_24_XHFO_H_P">Model!$BI$177</definedName>
    <definedName name="v_24_XHFO_H_P_old">Model!$BK$177</definedName>
    <definedName name="v_24_XHFO_L">Model!$BG$177</definedName>
    <definedName name="v_24_XHFO_L_P">Model!$BJ$177</definedName>
    <definedName name="v_24_XHFO_L_P_old">Model!$BL$177</definedName>
    <definedName name="v_24_XHFO_old">Model!$BH$177</definedName>
    <definedName name="v_24_XHMETO">Model!$Y$177</definedName>
    <definedName name="v_24_XHSRO">Model!$AA$177</definedName>
    <definedName name="v_24_XINORG">Model!$AV$177</definedName>
    <definedName name="v_24_XMEOLO">Model!$T$177</definedName>
    <definedName name="v_24_XN_B">Model!$AI$177</definedName>
    <definedName name="v_24_XN_Be">Model!$AJ$177</definedName>
    <definedName name="v_24_XN_U">Model!$AK$177</definedName>
    <definedName name="v_24_XNOB">Model!$V$177</definedName>
    <definedName name="v_24_XOHO">Model!$R$177</definedName>
    <definedName name="v_24_XP_B">Model!$AO$177</definedName>
    <definedName name="v_24_XP_Be">Model!$AP$177</definedName>
    <definedName name="v_24_XP_U">Model!$AQ$177</definedName>
    <definedName name="v_24_XPFOA">Model!$CA$177</definedName>
    <definedName name="v_24_XPFOS">Model!$CC$177</definedName>
    <definedName name="v_24_XPHA_GAO">Model!$O$177</definedName>
    <definedName name="v_24_XPHA_PAO">Model!$N$177</definedName>
    <definedName name="v_24_XPP">Model!$AM$177</definedName>
    <definedName name="v_24_XS">Model!$BD$177</definedName>
    <definedName name="v_24_XSOO">Model!$AB$177</definedName>
    <definedName name="v_24_XSTR">Model!$BW$177</definedName>
    <definedName name="v_24_XU">Model!$M$177</definedName>
    <definedName name="v_24_XVivi">Model!$BX$177</definedName>
    <definedName name="v_25_CB">Model!$H$178</definedName>
    <definedName name="v_25_CU">Model!$L$178</definedName>
    <definedName name="v_25_GCH4">Model!$CH$178</definedName>
    <definedName name="v_25_GCH4_atm">Model!$CO$178</definedName>
    <definedName name="v_25_GCO2">Model!$CG$178</definedName>
    <definedName name="v_25_GCO2_atm">Model!$CN$178</definedName>
    <definedName name="v_25_GH2">Model!$CI$178</definedName>
    <definedName name="v_25_GH2_atm">Model!$CP$178</definedName>
    <definedName name="v_25_GH2S">Model!$CM$178</definedName>
    <definedName name="v_25_GH2S_atm">Model!$CT$178</definedName>
    <definedName name="v_25_GN2">Model!$CL$178</definedName>
    <definedName name="v_25_GN2_atm">Model!$CS$178</definedName>
    <definedName name="v_25_GNH3">Model!$CK$178</definedName>
    <definedName name="v_25_GNH3_atm">Model!$CR$178</definedName>
    <definedName name="v_25_GO2">Model!$CJ$178</definedName>
    <definedName name="v_25_GO2_atm">Model!$CQ$178</definedName>
    <definedName name="v_25_SALPHA">Model!$CE$178</definedName>
    <definedName name="v_25_SAN">Model!$AX$178</definedName>
    <definedName name="v_25_SB">Model!$F$178</definedName>
    <definedName name="v_25_SCa">Model!$AY$178</definedName>
    <definedName name="v_25_SCAT">Model!$AW$178</definedName>
    <definedName name="v_25_SCH4">Model!$AS$178</definedName>
    <definedName name="v_25_SCO2">Model!$AU$178</definedName>
    <definedName name="v_25_SFe2">Model!$BE$178</definedName>
    <definedName name="v_25_SH">Model!$CD$178</definedName>
    <definedName name="v_25_SH2">Model!$AT$178</definedName>
    <definedName name="v_25_SH2S">Model!$BB$178</definedName>
    <definedName name="v_25_SK">Model!$BA$178</definedName>
    <definedName name="v_25_SMEOL">Model!$G$178</definedName>
    <definedName name="v_25_SMg">Model!$AZ$178</definedName>
    <definedName name="v_25_SMM_index">Model!$CU$178</definedName>
    <definedName name="v_25_SN_B">Model!$AH$178</definedName>
    <definedName name="v_25_SN2">Model!$AG$178</definedName>
    <definedName name="v_25_SNHx">Model!$AD$178</definedName>
    <definedName name="v_25_SNO2">Model!$AE$178</definedName>
    <definedName name="v_25_SNO3">Model!$AF$178</definedName>
    <definedName name="v_25_SO2">Model!$AR$178</definedName>
    <definedName name="v_25_SORPswitch">Model!$CF$178</definedName>
    <definedName name="v_25_SP_B">Model!$AN$178</definedName>
    <definedName name="v_25_SPFOA">Model!$BZ$178</definedName>
    <definedName name="v_25_SPFOS">Model!$CB$178</definedName>
    <definedName name="v_25_SPO4">Model!$AL$178</definedName>
    <definedName name="v_25_SSO4">Model!$BC$178</definedName>
    <definedName name="v_25_SU">Model!$K$178</definedName>
    <definedName name="v_25_SVFA">Model!$E$178</definedName>
    <definedName name="v_25_XACP">Model!$BU$178</definedName>
    <definedName name="v_25_XALGAE">Model!$AC$178</definedName>
    <definedName name="v_25_XAMETO">Model!$X$178</definedName>
    <definedName name="v_25_XAMX">Model!$W$178</definedName>
    <definedName name="v_25_XAOB">Model!$U$178</definedName>
    <definedName name="v_25_XASRO">Model!$Z$178</definedName>
    <definedName name="v_25_XB">Model!$I$178</definedName>
    <definedName name="v_25_XB_e">Model!$J$178</definedName>
    <definedName name="v_25_XBSH">Model!$BV$178</definedName>
    <definedName name="v_25_XCaCO3">Model!$BT$178</definedName>
    <definedName name="v_25_XCASTO">Model!$S$178</definedName>
    <definedName name="v_25_XE">Model!$P$178</definedName>
    <definedName name="v_25_XE_ana">Model!$Q$178</definedName>
    <definedName name="v_25_XFeS">Model!$BY$178</definedName>
    <definedName name="v_25_XHAO_H">Model!$BM$178</definedName>
    <definedName name="v_25_XHAO_H_P">Model!$BP$178</definedName>
    <definedName name="v_25_XHAO_H_P_old">Model!$BR$178</definedName>
    <definedName name="v_25_XHAO_L">Model!$BN$178</definedName>
    <definedName name="v_25_XHAO_L_P">Model!$BQ$178</definedName>
    <definedName name="v_25_XHAO_L_P_old">Model!$BS$178</definedName>
    <definedName name="v_25_XHAO_old">Model!$BO$178</definedName>
    <definedName name="v_25_XHFO_H">Model!$BF$178</definedName>
    <definedName name="v_25_XHFO_H_P">Model!$BI$178</definedName>
    <definedName name="v_25_XHFO_H_P_old">Model!$BK$178</definedName>
    <definedName name="v_25_XHFO_L">Model!$BG$178</definedName>
    <definedName name="v_25_XHFO_L_P">Model!$BJ$178</definedName>
    <definedName name="v_25_XHFO_L_P_old">Model!$BL$178</definedName>
    <definedName name="v_25_XHFO_old">Model!$BH$178</definedName>
    <definedName name="v_25_XHMETO">Model!$Y$178</definedName>
    <definedName name="v_25_XHSRO">Model!$AA$178</definedName>
    <definedName name="v_25_XINORG">Model!$AV$178</definedName>
    <definedName name="v_25_XMEOLO">Model!$T$178</definedName>
    <definedName name="v_25_XN_B">Model!$AI$178</definedName>
    <definedName name="v_25_XN_Be">Model!$AJ$178</definedName>
    <definedName name="v_25_XN_U">Model!$AK$178</definedName>
    <definedName name="v_25_XNOB">Model!$V$178</definedName>
    <definedName name="v_25_XOHO">Model!$R$178</definedName>
    <definedName name="v_25_XP_B">Model!$AO$178</definedName>
    <definedName name="v_25_XP_Be">Model!$AP$178</definedName>
    <definedName name="v_25_XP_U">Model!$AQ$178</definedName>
    <definedName name="v_25_XPFOA">Model!$CA$178</definedName>
    <definedName name="v_25_XPFOS">Model!$CC$178</definedName>
    <definedName name="v_25_XPHA_GAO">Model!$O$178</definedName>
    <definedName name="v_25_XPHA_PAO">Model!$N$178</definedName>
    <definedName name="v_25_XPP">Model!$AM$178</definedName>
    <definedName name="v_25_XS">Model!$BD$178</definedName>
    <definedName name="v_25_XSOO">Model!$AB$178</definedName>
    <definedName name="v_25_XSTR">Model!$BW$178</definedName>
    <definedName name="v_25_XU">Model!$M$178</definedName>
    <definedName name="v_25_XVivi">Model!$BX$178</definedName>
    <definedName name="v_26_CB">Model!$H$179</definedName>
    <definedName name="v_26_CU">Model!$L$179</definedName>
    <definedName name="v_26_GCH4">Model!$CH$179</definedName>
    <definedName name="v_26_GCH4_atm">Model!$CO$179</definedName>
    <definedName name="v_26_GCO2">Model!$CG$179</definedName>
    <definedName name="v_26_GCO2_atm">Model!$CN$179</definedName>
    <definedName name="v_26_GH2">Model!$CI$179</definedName>
    <definedName name="v_26_GH2_atm">Model!$CP$179</definedName>
    <definedName name="v_26_GH2S">Model!$CM$179</definedName>
    <definedName name="v_26_GH2S_atm">Model!$CT$179</definedName>
    <definedName name="v_26_GN2">Model!$CL$179</definedName>
    <definedName name="v_26_GN2_atm">Model!$CS$179</definedName>
    <definedName name="v_26_GNH3">Model!$CK$179</definedName>
    <definedName name="v_26_GNH3_atm">Model!$CR$179</definedName>
    <definedName name="v_26_GO2">Model!$CJ$179</definedName>
    <definedName name="v_26_GO2_atm">Model!$CQ$179</definedName>
    <definedName name="v_26_SALPHA">Model!$CE$179</definedName>
    <definedName name="v_26_SAN">Model!$AX$179</definedName>
    <definedName name="v_26_SB">Model!$F$179</definedName>
    <definedName name="v_26_SCa">Model!$AY$179</definedName>
    <definedName name="v_26_SCAT">Model!$AW$179</definedName>
    <definedName name="v_26_SCH4">Model!$AS$179</definedName>
    <definedName name="v_26_SCO2">Model!$AU$179</definedName>
    <definedName name="v_26_SFe2">Model!$BE$179</definedName>
    <definedName name="v_26_SH">Model!$CD$179</definedName>
    <definedName name="v_26_SH2">Model!$AT$179</definedName>
    <definedName name="v_26_SH2S">Model!$BB$179</definedName>
    <definedName name="v_26_SK">Model!$BA$179</definedName>
    <definedName name="v_26_SMEOL">Model!$G$179</definedName>
    <definedName name="v_26_SMg">Model!$AZ$179</definedName>
    <definedName name="v_26_SMM_index">Model!$CU$179</definedName>
    <definedName name="v_26_SN_B">Model!$AH$179</definedName>
    <definedName name="v_26_SN2">Model!$AG$179</definedName>
    <definedName name="v_26_SNHx">Model!$AD$179</definedName>
    <definedName name="v_26_SNO2">Model!$AE$179</definedName>
    <definedName name="v_26_SNO3">Model!$AF$179</definedName>
    <definedName name="v_26_SO2">Model!$AR$179</definedName>
    <definedName name="v_26_SORPswitch">Model!$CF$179</definedName>
    <definedName name="v_26_SP_B">Model!$AN$179</definedName>
    <definedName name="v_26_SPFOA">Model!$BZ$179</definedName>
    <definedName name="v_26_SPFOS">Model!$CB$179</definedName>
    <definedName name="v_26_SPO4">Model!$AL$179</definedName>
    <definedName name="v_26_SSO4">Model!$BC$179</definedName>
    <definedName name="v_26_SU">Model!$K$179</definedName>
    <definedName name="v_26_SVFA">Model!$E$179</definedName>
    <definedName name="v_26_XACP">Model!$BU$179</definedName>
    <definedName name="v_26_XALGAE">Model!$AC$179</definedName>
    <definedName name="v_26_XAMETO">Model!$X$179</definedName>
    <definedName name="v_26_XAMX">Model!$W$179</definedName>
    <definedName name="v_26_XAOB">Model!$U$179</definedName>
    <definedName name="v_26_XASRO">Model!$Z$179</definedName>
    <definedName name="v_26_XB">Model!$I$179</definedName>
    <definedName name="v_26_XB_e">Model!$J$179</definedName>
    <definedName name="v_26_XBSH">Model!$BV$179</definedName>
    <definedName name="v_26_XCaCO3">Model!$BT$179</definedName>
    <definedName name="v_26_XCASTO">Model!$S$179</definedName>
    <definedName name="v_26_XE">Model!$P$179</definedName>
    <definedName name="v_26_XE_ana">Model!$Q$179</definedName>
    <definedName name="v_26_XFeS">Model!$BY$179</definedName>
    <definedName name="v_26_XHAO_H">Model!$BM$179</definedName>
    <definedName name="v_26_XHAO_H_P">Model!$BP$179</definedName>
    <definedName name="v_26_XHAO_H_P_old">Model!$BR$179</definedName>
    <definedName name="v_26_XHAO_L">Model!$BN$179</definedName>
    <definedName name="v_26_XHAO_L_P">Model!$BQ$179</definedName>
    <definedName name="v_26_XHAO_L_P_old">Model!$BS$179</definedName>
    <definedName name="v_26_XHAO_old">Model!$BO$179</definedName>
    <definedName name="v_26_XHFO_H">Model!$BF$179</definedName>
    <definedName name="v_26_XHFO_H_P">Model!$BI$179</definedName>
    <definedName name="v_26_XHFO_H_P_old">Model!$BK$179</definedName>
    <definedName name="v_26_XHFO_L">Model!$BG$179</definedName>
    <definedName name="v_26_XHFO_L_P">Model!$BJ$179</definedName>
    <definedName name="v_26_XHFO_L_P_old">Model!$BL$179</definedName>
    <definedName name="v_26_XHFO_old">Model!$BH$179</definedName>
    <definedName name="v_26_XHMETO">Model!$Y$179</definedName>
    <definedName name="v_26_XHSRO">Model!$AA$179</definedName>
    <definedName name="v_26_XINORG">Model!$AV$179</definedName>
    <definedName name="v_26_XMEOLO">Model!$T$179</definedName>
    <definedName name="v_26_XN_B">Model!$AI$179</definedName>
    <definedName name="v_26_XN_Be">Model!$AJ$179</definedName>
    <definedName name="v_26_XN_U">Model!$AK$179</definedName>
    <definedName name="v_26_XNOB">Model!$V$179</definedName>
    <definedName name="v_26_XOHO">Model!$R$179</definedName>
    <definedName name="v_26_XP_B">Model!$AO$179</definedName>
    <definedName name="v_26_XP_Be">Model!$AP$179</definedName>
    <definedName name="v_26_XP_U">Model!$AQ$179</definedName>
    <definedName name="v_26_XPFOA">Model!$CA$179</definedName>
    <definedName name="v_26_XPFOS">Model!$CC$179</definedName>
    <definedName name="v_26_XPHA_GAO">Model!$O$179</definedName>
    <definedName name="v_26_XPHA_PAO">Model!$N$179</definedName>
    <definedName name="v_26_XPP">Model!$AM$179</definedName>
    <definedName name="v_26_XS">Model!$BD$179</definedName>
    <definedName name="v_26_XSOO">Model!$AB$179</definedName>
    <definedName name="v_26_XSTR">Model!$BW$179</definedName>
    <definedName name="v_26_XU">Model!$M$179</definedName>
    <definedName name="v_26_XVivi">Model!$BX$179</definedName>
    <definedName name="v_27_CB">Model!$H$180</definedName>
    <definedName name="v_27_CU">Model!$L$180</definedName>
    <definedName name="v_27_GCH4">Model!$CH$180</definedName>
    <definedName name="v_27_GCH4_atm">Model!$CO$180</definedName>
    <definedName name="v_27_GCO2">Model!$CG$180</definedName>
    <definedName name="v_27_GCO2_atm">Model!$CN$180</definedName>
    <definedName name="v_27_GH2">Model!$CI$180</definedName>
    <definedName name="v_27_GH2_atm">Model!$CP$180</definedName>
    <definedName name="v_27_GH2S">Model!$CM$180</definedName>
    <definedName name="v_27_GH2S_atm">Model!$CT$180</definedName>
    <definedName name="v_27_GN2">Model!$CL$180</definedName>
    <definedName name="v_27_GN2_atm">Model!$CS$180</definedName>
    <definedName name="v_27_GNH3">Model!$CK$180</definedName>
    <definedName name="v_27_GNH3_atm">Model!$CR$180</definedName>
    <definedName name="v_27_GO2">Model!$CJ$180</definedName>
    <definedName name="v_27_GO2_atm">Model!$CQ$180</definedName>
    <definedName name="v_27_SALPHA">Model!$CE$180</definedName>
    <definedName name="v_27_SAN">Model!$AX$180</definedName>
    <definedName name="v_27_SB">Model!$F$180</definedName>
    <definedName name="v_27_SCa">Model!$AY$180</definedName>
    <definedName name="v_27_SCAT">Model!$AW$180</definedName>
    <definedName name="v_27_SCH4">Model!$AS$180</definedName>
    <definedName name="v_27_SCO2">Model!$AU$180</definedName>
    <definedName name="v_27_SFe2">Model!$BE$180</definedName>
    <definedName name="v_27_SH">Model!$CD$180</definedName>
    <definedName name="v_27_SH2">Model!$AT$180</definedName>
    <definedName name="v_27_SH2S">Model!$BB$180</definedName>
    <definedName name="v_27_SK">Model!$BA$180</definedName>
    <definedName name="v_27_SMEOL">Model!$G$180</definedName>
    <definedName name="v_27_SMg">Model!$AZ$180</definedName>
    <definedName name="v_27_SMM_index">Model!$CU$180</definedName>
    <definedName name="v_27_SN_B">Model!$AH$180</definedName>
    <definedName name="v_27_SN2">Model!$AG$180</definedName>
    <definedName name="v_27_SNHx">Model!$AD$180</definedName>
    <definedName name="v_27_SNO2">Model!$AE$180</definedName>
    <definedName name="v_27_SNO3">Model!$AF$180</definedName>
    <definedName name="v_27_SO2">Model!$AR$180</definedName>
    <definedName name="v_27_SORPswitch">Model!$CF$180</definedName>
    <definedName name="v_27_SP_B">Model!$AN$180</definedName>
    <definedName name="v_27_SPFOA">Model!$BZ$180</definedName>
    <definedName name="v_27_SPFOS">Model!$CB$180</definedName>
    <definedName name="v_27_SPO4">Model!$AL$180</definedName>
    <definedName name="v_27_SSO4">Model!$BC$180</definedName>
    <definedName name="v_27_SU">Model!$K$180</definedName>
    <definedName name="v_27_SVFA">Model!$E$180</definedName>
    <definedName name="v_27_XACP">Model!$BU$180</definedName>
    <definedName name="v_27_XALGAE">Model!$AC$180</definedName>
    <definedName name="v_27_XAMETO">Model!$X$180</definedName>
    <definedName name="v_27_XAMX">Model!$W$180</definedName>
    <definedName name="v_27_XAOB">Model!$U$180</definedName>
    <definedName name="v_27_XASRO">Model!$Z$180</definedName>
    <definedName name="v_27_XB">Model!$I$180</definedName>
    <definedName name="v_27_XB_e">Model!$J$180</definedName>
    <definedName name="v_27_XBSH">Model!$BV$180</definedName>
    <definedName name="v_27_XCaCO3">Model!$BT$180</definedName>
    <definedName name="v_27_XCASTO">Model!$S$180</definedName>
    <definedName name="v_27_XE">Model!$P$180</definedName>
    <definedName name="v_27_XE_ana">Model!$Q$180</definedName>
    <definedName name="v_27_XFeS">Model!$BY$180</definedName>
    <definedName name="v_27_XHAO_H">Model!$BM$180</definedName>
    <definedName name="v_27_XHAO_H_P">Model!$BP$180</definedName>
    <definedName name="v_27_XHAO_H_P_old">Model!$BR$180</definedName>
    <definedName name="v_27_XHAO_L">Model!$BN$180</definedName>
    <definedName name="v_27_XHAO_L_P">Model!$BQ$180</definedName>
    <definedName name="v_27_XHAO_L_P_old">Model!$BS$180</definedName>
    <definedName name="v_27_XHAO_old">Model!$BO$180</definedName>
    <definedName name="v_27_XHFO_H">Model!$BF$180</definedName>
    <definedName name="v_27_XHFO_H_P">Model!$BI$180</definedName>
    <definedName name="v_27_XHFO_H_P_old">Model!$BK$180</definedName>
    <definedName name="v_27_XHFO_L">Model!$BG$180</definedName>
    <definedName name="v_27_XHFO_L_P">Model!$BJ$180</definedName>
    <definedName name="v_27_XHFO_L_P_old">Model!$BL$180</definedName>
    <definedName name="v_27_XHFO_old">Model!$BH$180</definedName>
    <definedName name="v_27_XHMETO">Model!$Y$180</definedName>
    <definedName name="v_27_XHSRO">Model!$AA$180</definedName>
    <definedName name="v_27_XINORG">Model!$AV$180</definedName>
    <definedName name="v_27_XMEOLO">Model!$T$180</definedName>
    <definedName name="v_27_XN_B">Model!$AI$180</definedName>
    <definedName name="v_27_XN_Be">Model!$AJ$180</definedName>
    <definedName name="v_27_XN_U">Model!$AK$180</definedName>
    <definedName name="v_27_XNOB">Model!$V$180</definedName>
    <definedName name="v_27_XOHO">Model!$R$180</definedName>
    <definedName name="v_27_XP_B">Model!$AO$180</definedName>
    <definedName name="v_27_XP_Be">Model!$AP$180</definedName>
    <definedName name="v_27_XP_U">Model!$AQ$180</definedName>
    <definedName name="v_27_XPFOA">Model!$CA$180</definedName>
    <definedName name="v_27_XPFOS">Model!$CC$180</definedName>
    <definedName name="v_27_XPHA_GAO">Model!$O$180</definedName>
    <definedName name="v_27_XPHA_PAO">Model!$N$180</definedName>
    <definedName name="v_27_XPP">Model!$AM$180</definedName>
    <definedName name="v_27_XS">Model!$BD$180</definedName>
    <definedName name="v_27_XSOO">Model!$AB$180</definedName>
    <definedName name="v_27_XSTR">Model!$BW$180</definedName>
    <definedName name="v_27_XU">Model!$M$180</definedName>
    <definedName name="v_27_XVivi">Model!$BX$180</definedName>
    <definedName name="v_28_CB">Model!$H$181</definedName>
    <definedName name="v_28_CU">Model!$L$181</definedName>
    <definedName name="v_28_GCH4">Model!$CH$181</definedName>
    <definedName name="v_28_GCH4_atm">Model!$CO$181</definedName>
    <definedName name="v_28_GCO2">Model!$CG$181</definedName>
    <definedName name="v_28_GCO2_atm">Model!$CN$181</definedName>
    <definedName name="v_28_GH2">Model!$CI$181</definedName>
    <definedName name="v_28_GH2_atm">Model!$CP$181</definedName>
    <definedName name="v_28_GH2S">Model!$CM$181</definedName>
    <definedName name="v_28_GH2S_atm">Model!$CT$181</definedName>
    <definedName name="v_28_GN2">Model!$CL$181</definedName>
    <definedName name="v_28_GN2_atm">Model!$CS$181</definedName>
    <definedName name="v_28_GNH3">Model!$CK$181</definedName>
    <definedName name="v_28_GNH3_atm">Model!$CR$181</definedName>
    <definedName name="v_28_GO2">Model!$CJ$181</definedName>
    <definedName name="v_28_GO2_atm">Model!$CQ$181</definedName>
    <definedName name="v_28_SALPHA">Model!$CE$181</definedName>
    <definedName name="v_28_SAN">Model!$AX$181</definedName>
    <definedName name="v_28_SB">Model!$F$181</definedName>
    <definedName name="v_28_SCa">Model!$AY$181</definedName>
    <definedName name="v_28_SCAT">Model!$AW$181</definedName>
    <definedName name="v_28_SCH4">Model!$AS$181</definedName>
    <definedName name="v_28_SCO2">Model!$AU$181</definedName>
    <definedName name="v_28_SFe2">Model!$BE$181</definedName>
    <definedName name="v_28_SH">Model!$CD$181</definedName>
    <definedName name="v_28_SH2">Model!$AT$181</definedName>
    <definedName name="v_28_SH2S">Model!$BB$181</definedName>
    <definedName name="v_28_SK">Model!$BA$181</definedName>
    <definedName name="v_28_SMEOL">Model!$G$181</definedName>
    <definedName name="v_28_SMg">Model!$AZ$181</definedName>
    <definedName name="v_28_SMM_index">Model!$CU$181</definedName>
    <definedName name="v_28_SN_B">Model!$AH$181</definedName>
    <definedName name="v_28_SN2">Model!$AG$181</definedName>
    <definedName name="v_28_SNHx">Model!$AD$181</definedName>
    <definedName name="v_28_SNO2">Model!$AE$181</definedName>
    <definedName name="v_28_SNO3">Model!$AF$181</definedName>
    <definedName name="v_28_SO2">Model!$AR$181</definedName>
    <definedName name="v_28_SORPswitch">Model!$CF$181</definedName>
    <definedName name="v_28_SP_B">Model!$AN$181</definedName>
    <definedName name="v_28_SPFOA">Model!$BZ$181</definedName>
    <definedName name="v_28_SPFOS">Model!$CB$181</definedName>
    <definedName name="v_28_SPO4">Model!$AL$181</definedName>
    <definedName name="v_28_SSO4">Model!$BC$181</definedName>
    <definedName name="v_28_SU">Model!$K$181</definedName>
    <definedName name="v_28_SVFA">Model!$E$181</definedName>
    <definedName name="v_28_XACP">Model!$BU$181</definedName>
    <definedName name="v_28_XALGAE">Model!$AC$181</definedName>
    <definedName name="v_28_XAMETO">Model!$X$181</definedName>
    <definedName name="v_28_XAMX">Model!$W$181</definedName>
    <definedName name="v_28_XAOB">Model!$U$181</definedName>
    <definedName name="v_28_XASRO">Model!$Z$181</definedName>
    <definedName name="v_28_XB">Model!$I$181</definedName>
    <definedName name="v_28_XB_e">Model!$J$181</definedName>
    <definedName name="v_28_XBSH">Model!$BV$181</definedName>
    <definedName name="v_28_XCaCO3">Model!$BT$181</definedName>
    <definedName name="v_28_XCASTO">Model!$S$181</definedName>
    <definedName name="v_28_XE">Model!$P$181</definedName>
    <definedName name="v_28_XE_ana">Model!$Q$181</definedName>
    <definedName name="v_28_XFeS">Model!$BY$181</definedName>
    <definedName name="v_28_XHAO_H">Model!$BM$181</definedName>
    <definedName name="v_28_XHAO_H_P">Model!$BP$181</definedName>
    <definedName name="v_28_XHAO_H_P_old">Model!$BR$181</definedName>
    <definedName name="v_28_XHAO_L">Model!$BN$181</definedName>
    <definedName name="v_28_XHAO_L_P">Model!$BQ$181</definedName>
    <definedName name="v_28_XHAO_L_P_old">Model!$BS$181</definedName>
    <definedName name="v_28_XHAO_old">Model!$BO$181</definedName>
    <definedName name="v_28_XHFO_H">Model!$BF$181</definedName>
    <definedName name="v_28_XHFO_H_P">Model!$BI$181</definedName>
    <definedName name="v_28_XHFO_H_P_old">Model!$BK$181</definedName>
    <definedName name="v_28_XHFO_L">Model!$BG$181</definedName>
    <definedName name="v_28_XHFO_L_P">Model!$BJ$181</definedName>
    <definedName name="v_28_XHFO_L_P_old">Model!$BL$181</definedName>
    <definedName name="v_28_XHFO_old">Model!$BH$181</definedName>
    <definedName name="v_28_XHMETO">Model!$Y$181</definedName>
    <definedName name="v_28_XHSRO">Model!$AA$181</definedName>
    <definedName name="v_28_XINORG">Model!$AV$181</definedName>
    <definedName name="v_28_XMEOLO">Model!$T$181</definedName>
    <definedName name="v_28_XN_B">Model!$AI$181</definedName>
    <definedName name="v_28_XN_Be">Model!$AJ$181</definedName>
    <definedName name="v_28_XN_U">Model!$AK$181</definedName>
    <definedName name="v_28_XNOB">Model!$V$181</definedName>
    <definedName name="v_28_XOHO">Model!$R$181</definedName>
    <definedName name="v_28_XP_B">Model!$AO$181</definedName>
    <definedName name="v_28_XP_Be">Model!$AP$181</definedName>
    <definedName name="v_28_XP_U">Model!$AQ$181</definedName>
    <definedName name="v_28_XPFOA">Model!$CA$181</definedName>
    <definedName name="v_28_XPFOS">Model!$CC$181</definedName>
    <definedName name="v_28_XPHA_GAO">Model!$O$181</definedName>
    <definedName name="v_28_XPHA_PAO">Model!$N$181</definedName>
    <definedName name="v_28_XPP">Model!$AM$181</definedName>
    <definedName name="v_28_XS">Model!$BD$181</definedName>
    <definedName name="v_28_XSOO">Model!$AB$181</definedName>
    <definedName name="v_28_XSTR">Model!$BW$181</definedName>
    <definedName name="v_28_XU">Model!$M$181</definedName>
    <definedName name="v_28_XVivi">Model!$BX$181</definedName>
    <definedName name="v_29_CB">Model!$H$182</definedName>
    <definedName name="v_29_CU">Model!$L$182</definedName>
    <definedName name="v_29_GCH4">Model!$CH$182</definedName>
    <definedName name="v_29_GCH4_atm">Model!$CO$182</definedName>
    <definedName name="v_29_GCO2">Model!$CG$182</definedName>
    <definedName name="v_29_GCO2_atm">Model!$CN$182</definedName>
    <definedName name="v_29_GH2">Model!$CI$182</definedName>
    <definedName name="v_29_GH2_atm">Model!$CP$182</definedName>
    <definedName name="v_29_GH2S">Model!$CM$182</definedName>
    <definedName name="v_29_GH2S_atm">Model!$CT$182</definedName>
    <definedName name="v_29_GN2">Model!$CL$182</definedName>
    <definedName name="v_29_GN2_atm">Model!$CS$182</definedName>
    <definedName name="v_29_GNH3">Model!$CK$182</definedName>
    <definedName name="v_29_GNH3_atm">Model!$CR$182</definedName>
    <definedName name="v_29_GO2">Model!$CJ$182</definedName>
    <definedName name="v_29_GO2_atm">Model!$CQ$182</definedName>
    <definedName name="v_29_SALPHA">Model!$CE$182</definedName>
    <definedName name="v_29_SAN">Model!$AX$182</definedName>
    <definedName name="v_29_SB">Model!$F$182</definedName>
    <definedName name="v_29_SCa">Model!$AY$182</definedName>
    <definedName name="v_29_SCAT">Model!$AW$182</definedName>
    <definedName name="v_29_SCH4">Model!$AS$182</definedName>
    <definedName name="v_29_SCO2">Model!$AU$182</definedName>
    <definedName name="v_29_SFe2">Model!$BE$182</definedName>
    <definedName name="v_29_SH">Model!$CD$182</definedName>
    <definedName name="v_29_SH2">Model!$AT$182</definedName>
    <definedName name="v_29_SH2S">Model!$BB$182</definedName>
    <definedName name="v_29_SK">Model!$BA$182</definedName>
    <definedName name="v_29_SMEOL">Model!$G$182</definedName>
    <definedName name="v_29_SMg">Model!$AZ$182</definedName>
    <definedName name="v_29_SMM_index">Model!$CU$182</definedName>
    <definedName name="v_29_SN_B">Model!$AH$182</definedName>
    <definedName name="v_29_SN2">Model!$AG$182</definedName>
    <definedName name="v_29_SNHx">Model!$AD$182</definedName>
    <definedName name="v_29_SNO2">Model!$AE$182</definedName>
    <definedName name="v_29_SNO3">Model!$AF$182</definedName>
    <definedName name="v_29_SO2">Model!$AR$182</definedName>
    <definedName name="v_29_SORPswitch">Model!$CF$182</definedName>
    <definedName name="v_29_SP_B">Model!$AN$182</definedName>
    <definedName name="v_29_SPFOA">Model!$BZ$182</definedName>
    <definedName name="v_29_SPFOS">Model!$CB$182</definedName>
    <definedName name="v_29_SPO4">Model!$AL$182</definedName>
    <definedName name="v_29_SSO4">Model!$BC$182</definedName>
    <definedName name="v_29_SU">Model!$K$182</definedName>
    <definedName name="v_29_SVFA">Model!$E$182</definedName>
    <definedName name="v_29_XACP">Model!$BU$182</definedName>
    <definedName name="v_29_XALGAE">Model!$AC$182</definedName>
    <definedName name="v_29_XAMETO">Model!$X$182</definedName>
    <definedName name="v_29_XAMX">Model!$W$182</definedName>
    <definedName name="v_29_XAOB">Model!$U$182</definedName>
    <definedName name="v_29_XASRO">Model!$Z$182</definedName>
    <definedName name="v_29_XB">Model!$I$182</definedName>
    <definedName name="v_29_XB_e">Model!$J$182</definedName>
    <definedName name="v_29_XBSH">Model!$BV$182</definedName>
    <definedName name="v_29_XCaCO3">Model!$BT$182</definedName>
    <definedName name="v_29_XCASTO">Model!$S$182</definedName>
    <definedName name="v_29_XE">Model!$P$182</definedName>
    <definedName name="v_29_XE_ana">Model!$Q$182</definedName>
    <definedName name="v_29_XFeS">Model!$BY$182</definedName>
    <definedName name="v_29_XHAO_H">Model!$BM$182</definedName>
    <definedName name="v_29_XHAO_H_P">Model!$BP$182</definedName>
    <definedName name="v_29_XHAO_H_P_old">Model!$BR$182</definedName>
    <definedName name="v_29_XHAO_L">Model!$BN$182</definedName>
    <definedName name="v_29_XHAO_L_P">Model!$BQ$182</definedName>
    <definedName name="v_29_XHAO_L_P_old">Model!$BS$182</definedName>
    <definedName name="v_29_XHAO_old">Model!$BO$182</definedName>
    <definedName name="v_29_XHFO_H">Model!$BF$182</definedName>
    <definedName name="v_29_XHFO_H_P">Model!$BI$182</definedName>
    <definedName name="v_29_XHFO_H_P_old">Model!$BK$182</definedName>
    <definedName name="v_29_XHFO_L">Model!$BG$182</definedName>
    <definedName name="v_29_XHFO_L_P">Model!$BJ$182</definedName>
    <definedName name="v_29_XHFO_L_P_old">Model!$BL$182</definedName>
    <definedName name="v_29_XHFO_old">Model!$BH$182</definedName>
    <definedName name="v_29_XHMETO">Model!$Y$182</definedName>
    <definedName name="v_29_XHSRO">Model!$AA$182</definedName>
    <definedName name="v_29_XINORG">Model!$AV$182</definedName>
    <definedName name="v_29_XMEOLO">Model!$T$182</definedName>
    <definedName name="v_29_XN_B">Model!$AI$182</definedName>
    <definedName name="v_29_XN_Be">Model!$AJ$182</definedName>
    <definedName name="v_29_XN_U">Model!$AK$182</definedName>
    <definedName name="v_29_XNOB">Model!$V$182</definedName>
    <definedName name="v_29_XOHO">Model!$R$182</definedName>
    <definedName name="v_29_XP_B">Model!$AO$182</definedName>
    <definedName name="v_29_XP_Be">Model!$AP$182</definedName>
    <definedName name="v_29_XP_U">Model!$AQ$182</definedName>
    <definedName name="v_29_XPFOA">Model!$CA$182</definedName>
    <definedName name="v_29_XPFOS">Model!$CC$182</definedName>
    <definedName name="v_29_XPHA_GAO">Model!$O$182</definedName>
    <definedName name="v_29_XPHA_PAO">Model!$N$182</definedName>
    <definedName name="v_29_XPP">Model!$AM$182</definedName>
    <definedName name="v_29_XS">Model!$BD$182</definedName>
    <definedName name="v_29_XSOO">Model!$AB$182</definedName>
    <definedName name="v_29_XSTR">Model!$BW$182</definedName>
    <definedName name="v_29_XU">Model!$M$182</definedName>
    <definedName name="v_29_XVivi">Model!$BX$182</definedName>
    <definedName name="v_3_CB">Model!$H$156</definedName>
    <definedName name="v_3_CU">Model!$L$156</definedName>
    <definedName name="v_3_GCH4">Model!$CH$156</definedName>
    <definedName name="v_3_GCH4_atm">Model!$CO$156</definedName>
    <definedName name="v_3_GCO2">Model!$CG$156</definedName>
    <definedName name="v_3_GCO2_atm">Model!$CN$156</definedName>
    <definedName name="v_3_GH2">Model!$CI$156</definedName>
    <definedName name="v_3_GH2_atm">Model!$CP$156</definedName>
    <definedName name="v_3_GH2S">Model!$CM$156</definedName>
    <definedName name="v_3_GH2S_atm">Model!$CT$156</definedName>
    <definedName name="v_3_GN2">Model!$CL$156</definedName>
    <definedName name="v_3_GN2_atm">Model!$CS$156</definedName>
    <definedName name="v_3_GNH3">Model!$CK$156</definedName>
    <definedName name="v_3_GNH3_atm">Model!$CR$156</definedName>
    <definedName name="v_3_GO2">Model!$CJ$156</definedName>
    <definedName name="v_3_GO2_atm">Model!$CQ$156</definedName>
    <definedName name="v_3_SALPHA">Model!$CE$156</definedName>
    <definedName name="v_3_SAN">Model!$AX$156</definedName>
    <definedName name="v_3_SB">Model!$F$156</definedName>
    <definedName name="v_3_SCa">Model!$AY$156</definedName>
    <definedName name="v_3_SCAT">Model!$AW$156</definedName>
    <definedName name="v_3_SCH4">Model!$AS$156</definedName>
    <definedName name="v_3_SCO2">Model!$AU$156</definedName>
    <definedName name="v_3_SFe2">Model!$BE$156</definedName>
    <definedName name="v_3_SH">Model!$CD$156</definedName>
    <definedName name="v_3_SH2">Model!$AT$156</definedName>
    <definedName name="v_3_SH2S">Model!$BB$156</definedName>
    <definedName name="v_3_SK">Model!$BA$156</definedName>
    <definedName name="v_3_SMEOL">Model!$G$156</definedName>
    <definedName name="v_3_SMg">Model!$AZ$156</definedName>
    <definedName name="v_3_SMM_index">Model!$CU$156</definedName>
    <definedName name="v_3_SN_B">Model!$AH$156</definedName>
    <definedName name="v_3_SN2">Model!$AG$156</definedName>
    <definedName name="v_3_SNHx">Model!$AD$156</definedName>
    <definedName name="v_3_SNO2">Model!$AE$156</definedName>
    <definedName name="v_3_SNO3">Model!$AF$156</definedName>
    <definedName name="v_3_SO2">Model!$AR$156</definedName>
    <definedName name="v_3_SORPswitch">Model!$CF$156</definedName>
    <definedName name="v_3_SP_B">Model!$AN$156</definedName>
    <definedName name="v_3_SPFOA">Model!$BZ$156</definedName>
    <definedName name="v_3_SPFOS">Model!$CB$156</definedName>
    <definedName name="v_3_SPO4">Model!$AL$156</definedName>
    <definedName name="v_3_SSO4">Model!$BC$156</definedName>
    <definedName name="v_3_SU">Model!$K$156</definedName>
    <definedName name="v_3_SVFA">Model!$E$156</definedName>
    <definedName name="v_3_XACP">Model!$BU$156</definedName>
    <definedName name="v_3_XALGAE">Model!$AC$156</definedName>
    <definedName name="v_3_XAMETO">Model!$X$156</definedName>
    <definedName name="v_3_XAMX">Model!$W$156</definedName>
    <definedName name="v_3_XAOB">Model!$U$156</definedName>
    <definedName name="v_3_XASRO">Model!$Z$156</definedName>
    <definedName name="v_3_XB">Model!$I$156</definedName>
    <definedName name="v_3_XB_e">Model!$J$156</definedName>
    <definedName name="v_3_XBSH">Model!$BV$156</definedName>
    <definedName name="v_3_XCaCO3">Model!$BT$156</definedName>
    <definedName name="v_3_XCASTO">Model!$S$156</definedName>
    <definedName name="v_3_XE">Model!$P$156</definedName>
    <definedName name="v_3_XE_ana">Model!$Q$156</definedName>
    <definedName name="v_3_XFeS">Model!$BY$156</definedName>
    <definedName name="v_3_XHAO_H">Model!$BM$156</definedName>
    <definedName name="v_3_XHAO_H_P">Model!$BP$156</definedName>
    <definedName name="v_3_XHAO_H_P_old">Model!$BR$156</definedName>
    <definedName name="v_3_XHAO_L">Model!$BN$156</definedName>
    <definedName name="v_3_XHAO_L_P">Model!$BQ$156</definedName>
    <definedName name="v_3_XHAO_L_P_old">Model!$BS$156</definedName>
    <definedName name="v_3_XHAO_old">Model!$BO$156</definedName>
    <definedName name="v_3_XHFO_H">Model!$BF$156</definedName>
    <definedName name="v_3_XHFO_H_P">Model!$BI$156</definedName>
    <definedName name="v_3_XHFO_H_P_old">Model!$BK$156</definedName>
    <definedName name="v_3_XHFO_L">Model!$BG$156</definedName>
    <definedName name="v_3_XHFO_L_P">Model!$BJ$156</definedName>
    <definedName name="v_3_XHFO_L_P_old">Model!$BL$156</definedName>
    <definedName name="v_3_XHFO_old">Model!$BH$156</definedName>
    <definedName name="v_3_XHMETO">Model!$Y$156</definedName>
    <definedName name="v_3_XHSRO">Model!$AA$156</definedName>
    <definedName name="v_3_XINORG">Model!$AV$156</definedName>
    <definedName name="v_3_XMEOLO">Model!$T$156</definedName>
    <definedName name="v_3_XN_B">Model!$AI$156</definedName>
    <definedName name="v_3_XN_Be">Model!$AJ$156</definedName>
    <definedName name="v_3_XN_U">Model!$AK$156</definedName>
    <definedName name="v_3_XNOB">Model!$V$156</definedName>
    <definedName name="v_3_XOHO">Model!$R$156</definedName>
    <definedName name="v_3_XP_B">Model!$AO$156</definedName>
    <definedName name="v_3_XP_Be">Model!$AP$156</definedName>
    <definedName name="v_3_XP_U">Model!$AQ$156</definedName>
    <definedName name="v_3_XPFOA">Model!$CA$156</definedName>
    <definedName name="v_3_XPFOS">Model!$CC$156</definedName>
    <definedName name="v_3_XPHA_GAO">Model!$O$156</definedName>
    <definedName name="v_3_XPHA_PAO">Model!$N$156</definedName>
    <definedName name="v_3_XPP">Model!$AM$156</definedName>
    <definedName name="v_3_XS">Model!$BD$156</definedName>
    <definedName name="v_3_XSOO">Model!$AB$156</definedName>
    <definedName name="v_3_XSTR">Model!$BW$156</definedName>
    <definedName name="v_3_XU">Model!$M$156</definedName>
    <definedName name="v_3_XVivi">Model!$BX$156</definedName>
    <definedName name="v_30_CB">Model!$H$183</definedName>
    <definedName name="v_30_CU">Model!$L$183</definedName>
    <definedName name="v_30_GCH4">Model!$CH$183</definedName>
    <definedName name="v_30_GCH4_atm">Model!$CO$183</definedName>
    <definedName name="v_30_GCO2">Model!$CG$183</definedName>
    <definedName name="v_30_GCO2_atm">Model!$CN$183</definedName>
    <definedName name="v_30_GH2">Model!$CI$183</definedName>
    <definedName name="v_30_GH2_atm">Model!$CP$183</definedName>
    <definedName name="v_30_GH2S">Model!$CM$183</definedName>
    <definedName name="v_30_GH2S_atm">Model!$CT$183</definedName>
    <definedName name="v_30_GN2">Model!$CL$183</definedName>
    <definedName name="v_30_GN2_atm">Model!$CS$183</definedName>
    <definedName name="v_30_GNH3">Model!$CK$183</definedName>
    <definedName name="v_30_GNH3_atm">Model!$CR$183</definedName>
    <definedName name="v_30_GO2">Model!$CJ$183</definedName>
    <definedName name="v_30_GO2_atm">Model!$CQ$183</definedName>
    <definedName name="v_30_SALPHA">Model!$CE$183</definedName>
    <definedName name="v_30_SAN">Model!$AX$183</definedName>
    <definedName name="v_30_SB">Model!$F$183</definedName>
    <definedName name="v_30_SCa">Model!$AY$183</definedName>
    <definedName name="v_30_SCAT">Model!$AW$183</definedName>
    <definedName name="v_30_SCH4">Model!$AS$183</definedName>
    <definedName name="v_30_SCO2">Model!$AU$183</definedName>
    <definedName name="v_30_SFe2">Model!$BE$183</definedName>
    <definedName name="v_30_SH">Model!$CD$183</definedName>
    <definedName name="v_30_SH2">Model!$AT$183</definedName>
    <definedName name="v_30_SH2S">Model!$BB$183</definedName>
    <definedName name="v_30_SK">Model!$BA$183</definedName>
    <definedName name="v_30_SMEOL">Model!$G$183</definedName>
    <definedName name="v_30_SMg">Model!$AZ$183</definedName>
    <definedName name="v_30_SMM_index">Model!$CU$183</definedName>
    <definedName name="v_30_SN_B">Model!$AH$183</definedName>
    <definedName name="v_30_SN2">Model!$AG$183</definedName>
    <definedName name="v_30_SNHx">Model!$AD$183</definedName>
    <definedName name="v_30_SNO2">Model!$AE$183</definedName>
    <definedName name="v_30_SNO3">Model!$AF$183</definedName>
    <definedName name="v_30_SO2">Model!$AR$183</definedName>
    <definedName name="v_30_SORPswitch">Model!$CF$183</definedName>
    <definedName name="v_30_SP_B">Model!$AN$183</definedName>
    <definedName name="v_30_SPFOA">Model!$BZ$183</definedName>
    <definedName name="v_30_SPFOS">Model!$CB$183</definedName>
    <definedName name="v_30_SPO4">Model!$AL$183</definedName>
    <definedName name="v_30_SSO4">Model!$BC$183</definedName>
    <definedName name="v_30_SU">Model!$K$183</definedName>
    <definedName name="v_30_SVFA">Model!$E$183</definedName>
    <definedName name="v_30_XACP">Model!$BU$183</definedName>
    <definedName name="v_30_XALGAE">Model!$AC$183</definedName>
    <definedName name="v_30_XAMETO">Model!$X$183</definedName>
    <definedName name="v_30_XAMX">Model!$W$183</definedName>
    <definedName name="v_30_XAOB">Model!$U$183</definedName>
    <definedName name="v_30_XASRO">Model!$Z$183</definedName>
    <definedName name="v_30_XB">Model!$I$183</definedName>
    <definedName name="v_30_XB_e">Model!$J$183</definedName>
    <definedName name="v_30_XBSH">Model!$BV$183</definedName>
    <definedName name="v_30_XCaCO3">Model!$BT$183</definedName>
    <definedName name="v_30_XCASTO">Model!$S$183</definedName>
    <definedName name="v_30_XE">Model!$P$183</definedName>
    <definedName name="v_30_XE_ana">Model!$Q$183</definedName>
    <definedName name="v_30_XFeS">Model!$BY$183</definedName>
    <definedName name="v_30_XHAO_H">Model!$BM$183</definedName>
    <definedName name="v_30_XHAO_H_P">Model!$BP$183</definedName>
    <definedName name="v_30_XHAO_H_P_old">Model!$BR$183</definedName>
    <definedName name="v_30_XHAO_L">Model!$BN$183</definedName>
    <definedName name="v_30_XHAO_L_P">Model!$BQ$183</definedName>
    <definedName name="v_30_XHAO_L_P_old">Model!$BS$183</definedName>
    <definedName name="v_30_XHAO_old">Model!$BO$183</definedName>
    <definedName name="v_30_XHFO_H">Model!$BF$183</definedName>
    <definedName name="v_30_XHFO_H_P">Model!$BI$183</definedName>
    <definedName name="v_30_XHFO_H_P_old">Model!$BK$183</definedName>
    <definedName name="v_30_XHFO_L">Model!$BG$183</definedName>
    <definedName name="v_30_XHFO_L_P">Model!$BJ$183</definedName>
    <definedName name="v_30_XHFO_L_P_old">Model!$BL$183</definedName>
    <definedName name="v_30_XHFO_old">Model!$BH$183</definedName>
    <definedName name="v_30_XHMETO">Model!$Y$183</definedName>
    <definedName name="v_30_XHSRO">Model!$AA$183</definedName>
    <definedName name="v_30_XINORG">Model!$AV$183</definedName>
    <definedName name="v_30_XMEOLO">Model!$T$183</definedName>
    <definedName name="v_30_XN_B">Model!$AI$183</definedName>
    <definedName name="v_30_XN_Be">Model!$AJ$183</definedName>
    <definedName name="v_30_XN_U">Model!$AK$183</definedName>
    <definedName name="v_30_XNOB">Model!$V$183</definedName>
    <definedName name="v_30_XOHO">Model!$R$183</definedName>
    <definedName name="v_30_XP_B">Model!$AO$183</definedName>
    <definedName name="v_30_XP_Be">Model!$AP$183</definedName>
    <definedName name="v_30_XP_U">Model!$AQ$183</definedName>
    <definedName name="v_30_XPFOA">Model!$CA$183</definedName>
    <definedName name="v_30_XPFOS">Model!$CC$183</definedName>
    <definedName name="v_30_XPHA_GAO">Model!$O$183</definedName>
    <definedName name="v_30_XPHA_PAO">Model!$N$183</definedName>
    <definedName name="v_30_XPP">Model!$AM$183</definedName>
    <definedName name="v_30_XS">Model!$BD$183</definedName>
    <definedName name="v_30_XSOO">Model!$AB$183</definedName>
    <definedName name="v_30_XSTR">Model!$BW$183</definedName>
    <definedName name="v_30_XU">Model!$M$183</definedName>
    <definedName name="v_30_XVivi">Model!$BX$183</definedName>
    <definedName name="v_31_CB">Model!$H$184</definedName>
    <definedName name="v_31_CU">Model!$L$184</definedName>
    <definedName name="v_31_GCH4">Model!$CH$184</definedName>
    <definedName name="v_31_GCH4_atm">Model!$CO$184</definedName>
    <definedName name="v_31_GCO2">Model!$CG$184</definedName>
    <definedName name="v_31_GCO2_atm">Model!$CN$184</definedName>
    <definedName name="v_31_GH2">Model!$CI$184</definedName>
    <definedName name="v_31_GH2_atm">Model!$CP$184</definedName>
    <definedName name="v_31_GH2S">Model!$CM$184</definedName>
    <definedName name="v_31_GH2S_atm">Model!$CT$184</definedName>
    <definedName name="v_31_GN2">Model!$CL$184</definedName>
    <definedName name="v_31_GN2_atm">Model!$CS$184</definedName>
    <definedName name="v_31_GNH3">Model!$CK$184</definedName>
    <definedName name="v_31_GNH3_atm">Model!$CR$184</definedName>
    <definedName name="v_31_GO2">Model!$CJ$184</definedName>
    <definedName name="v_31_GO2_atm">Model!$CQ$184</definedName>
    <definedName name="v_31_SALPHA">Model!$CE$184</definedName>
    <definedName name="v_31_SAN">Model!$AX$184</definedName>
    <definedName name="v_31_SB">Model!$F$184</definedName>
    <definedName name="v_31_SCa">Model!$AY$184</definedName>
    <definedName name="v_31_SCAT">Model!$AW$184</definedName>
    <definedName name="v_31_SCH4">Model!$AS$184</definedName>
    <definedName name="v_31_SCO2">Model!$AU$184</definedName>
    <definedName name="v_31_SFe2">Model!$BE$184</definedName>
    <definedName name="v_31_SH">Model!$CD$184</definedName>
    <definedName name="v_31_SH2">Model!$AT$184</definedName>
    <definedName name="v_31_SH2S">Model!$BB$184</definedName>
    <definedName name="v_31_SK">Model!$BA$184</definedName>
    <definedName name="v_31_SMEOL">Model!$G$184</definedName>
    <definedName name="v_31_SMg">Model!$AZ$184</definedName>
    <definedName name="v_31_SMM_index">Model!$CU$184</definedName>
    <definedName name="v_31_SN_B">Model!$AH$184</definedName>
    <definedName name="v_31_SN2">Model!$AG$184</definedName>
    <definedName name="v_31_SNHx">Model!$AD$184</definedName>
    <definedName name="v_31_SNO2">Model!$AE$184</definedName>
    <definedName name="v_31_SNO3">Model!$AF$184</definedName>
    <definedName name="v_31_SO2">Model!$AR$184</definedName>
    <definedName name="v_31_SORPswitch">Model!$CF$184</definedName>
    <definedName name="v_31_SP_B">Model!$AN$184</definedName>
    <definedName name="v_31_SPFOA">Model!$BZ$184</definedName>
    <definedName name="v_31_SPFOS">Model!$CB$184</definedName>
    <definedName name="v_31_SPO4">Model!$AL$184</definedName>
    <definedName name="v_31_SSO4">Model!$BC$184</definedName>
    <definedName name="v_31_SU">Model!$K$184</definedName>
    <definedName name="v_31_SVFA">Model!$E$184</definedName>
    <definedName name="v_31_XACP">Model!$BU$184</definedName>
    <definedName name="v_31_XALGAE">Model!$AC$184</definedName>
    <definedName name="v_31_XAMETO">Model!$X$184</definedName>
    <definedName name="v_31_XAMX">Model!$W$184</definedName>
    <definedName name="v_31_XAOB">Model!$U$184</definedName>
    <definedName name="v_31_XASRO">Model!$Z$184</definedName>
    <definedName name="v_31_XB">Model!$I$184</definedName>
    <definedName name="v_31_XB_e">Model!$J$184</definedName>
    <definedName name="v_31_XBSH">Model!$BV$184</definedName>
    <definedName name="v_31_XCaCO3">Model!$BT$184</definedName>
    <definedName name="v_31_XCASTO">Model!$S$184</definedName>
    <definedName name="v_31_XE">Model!$P$184</definedName>
    <definedName name="v_31_XE_ana">Model!$Q$184</definedName>
    <definedName name="v_31_XFeS">Model!$BY$184</definedName>
    <definedName name="v_31_XHAO_H">Model!$BM$184</definedName>
    <definedName name="v_31_XHAO_H_P">Model!$BP$184</definedName>
    <definedName name="v_31_XHAO_H_P_old">Model!$BR$184</definedName>
    <definedName name="v_31_XHAO_L">Model!$BN$184</definedName>
    <definedName name="v_31_XHAO_L_P">Model!$BQ$184</definedName>
    <definedName name="v_31_XHAO_L_P_old">Model!$BS$184</definedName>
    <definedName name="v_31_XHAO_old">Model!$BO$184</definedName>
    <definedName name="v_31_XHFO_H">Model!$BF$184</definedName>
    <definedName name="v_31_XHFO_H_P">Model!$BI$184</definedName>
    <definedName name="v_31_XHFO_H_P_old">Model!$BK$184</definedName>
    <definedName name="v_31_XHFO_L">Model!$BG$184</definedName>
    <definedName name="v_31_XHFO_L_P">Model!$BJ$184</definedName>
    <definedName name="v_31_XHFO_L_P_old">Model!$BL$184</definedName>
    <definedName name="v_31_XHFO_old">Model!$BH$184</definedName>
    <definedName name="v_31_XHMETO">Model!$Y$184</definedName>
    <definedName name="v_31_XHSRO">Model!$AA$184</definedName>
    <definedName name="v_31_XINORG">Model!$AV$184</definedName>
    <definedName name="v_31_XMEOLO">Model!$T$184</definedName>
    <definedName name="v_31_XN_B">Model!$AI$184</definedName>
    <definedName name="v_31_XN_Be">Model!$AJ$184</definedName>
    <definedName name="v_31_XN_U">Model!$AK$184</definedName>
    <definedName name="v_31_XNOB">Model!$V$184</definedName>
    <definedName name="v_31_XOHO">Model!$R$184</definedName>
    <definedName name="v_31_XP_B">Model!$AO$184</definedName>
    <definedName name="v_31_XP_Be">Model!$AP$184</definedName>
    <definedName name="v_31_XP_U">Model!$AQ$184</definedName>
    <definedName name="v_31_XPFOA">Model!$CA$184</definedName>
    <definedName name="v_31_XPFOS">Model!$CC$184</definedName>
    <definedName name="v_31_XPHA_GAO">Model!$O$184</definedName>
    <definedName name="v_31_XPHA_PAO">Model!$N$184</definedName>
    <definedName name="v_31_XPP">Model!$AM$184</definedName>
    <definedName name="v_31_XS">Model!$BD$184</definedName>
    <definedName name="v_31_XSOO">Model!$AB$184</definedName>
    <definedName name="v_31_XSTR">Model!$BW$184</definedName>
    <definedName name="v_31_XU">Model!$M$184</definedName>
    <definedName name="v_31_XVivi">Model!$BX$184</definedName>
    <definedName name="v_32_CB">Model!$H$185</definedName>
    <definedName name="v_32_CU">Model!$L$185</definedName>
    <definedName name="v_32_GCH4">Model!$CH$185</definedName>
    <definedName name="v_32_GCH4_atm">Model!$CO$185</definedName>
    <definedName name="v_32_GCO2">Model!$CG$185</definedName>
    <definedName name="v_32_GCO2_atm">Model!$CN$185</definedName>
    <definedName name="v_32_GH2">Model!$CI$185</definedName>
    <definedName name="v_32_GH2_atm">Model!$CP$185</definedName>
    <definedName name="v_32_GH2S">Model!$CM$185</definedName>
    <definedName name="v_32_GH2S_atm">Model!$CT$185</definedName>
    <definedName name="v_32_GN2">Model!$CL$185</definedName>
    <definedName name="v_32_GN2_atm">Model!$CS$185</definedName>
    <definedName name="v_32_GNH3">Model!$CK$185</definedName>
    <definedName name="v_32_GNH3_atm">Model!$CR$185</definedName>
    <definedName name="v_32_GO2">Model!$CJ$185</definedName>
    <definedName name="v_32_GO2_atm">Model!$CQ$185</definedName>
    <definedName name="v_32_SALPHA">Model!$CE$185</definedName>
    <definedName name="v_32_SAN">Model!$AX$185</definedName>
    <definedName name="v_32_SB">Model!$F$185</definedName>
    <definedName name="v_32_SCa">Model!$AY$185</definedName>
    <definedName name="v_32_SCAT">Model!$AW$185</definedName>
    <definedName name="v_32_SCH4">Model!$AS$185</definedName>
    <definedName name="v_32_SCO2">Model!$AU$185</definedName>
    <definedName name="v_32_SFe2">Model!$BE$185</definedName>
    <definedName name="v_32_SH">Model!$CD$185</definedName>
    <definedName name="v_32_SH2">Model!$AT$185</definedName>
    <definedName name="v_32_SH2S">Model!$BB$185</definedName>
    <definedName name="v_32_SK">Model!$BA$185</definedName>
    <definedName name="v_32_SMEOL">Model!$G$185</definedName>
    <definedName name="v_32_SMg">Model!$AZ$185</definedName>
    <definedName name="v_32_SMM_index">Model!$CU$185</definedName>
    <definedName name="v_32_SN_B">Model!$AH$185</definedName>
    <definedName name="v_32_SN2">Model!$AG$185</definedName>
    <definedName name="v_32_SNHx">Model!$AD$185</definedName>
    <definedName name="v_32_SNO2">Model!$AE$185</definedName>
    <definedName name="v_32_SNO3">Model!$AF$185</definedName>
    <definedName name="v_32_SO2">Model!$AR$185</definedName>
    <definedName name="v_32_SORPswitch">Model!$CF$185</definedName>
    <definedName name="v_32_SP_B">Model!$AN$185</definedName>
    <definedName name="v_32_SPFOA">Model!$BZ$185</definedName>
    <definedName name="v_32_SPFOS">Model!$CB$185</definedName>
    <definedName name="v_32_SPO4">Model!$AL$185</definedName>
    <definedName name="v_32_SSO4">Model!$BC$185</definedName>
    <definedName name="v_32_SU">Model!$K$185</definedName>
    <definedName name="v_32_SVFA">Model!$E$185</definedName>
    <definedName name="v_32_XACP">Model!$BU$185</definedName>
    <definedName name="v_32_XALGAE">Model!$AC$185</definedName>
    <definedName name="v_32_XAMETO">Model!$X$185</definedName>
    <definedName name="v_32_XAMX">Model!$W$185</definedName>
    <definedName name="v_32_XAOB">Model!$U$185</definedName>
    <definedName name="v_32_XASRO">Model!$Z$185</definedName>
    <definedName name="v_32_XB">Model!$I$185</definedName>
    <definedName name="v_32_XB_e">Model!$J$185</definedName>
    <definedName name="v_32_XBSH">Model!$BV$185</definedName>
    <definedName name="v_32_XCaCO3">Model!$BT$185</definedName>
    <definedName name="v_32_XCASTO">Model!$S$185</definedName>
    <definedName name="v_32_XE">Model!$P$185</definedName>
    <definedName name="v_32_XE_ana">Model!$Q$185</definedName>
    <definedName name="v_32_XFeS">Model!$BY$185</definedName>
    <definedName name="v_32_XHAO_H">Model!$BM$185</definedName>
    <definedName name="v_32_XHAO_H_P">Model!$BP$185</definedName>
    <definedName name="v_32_XHAO_H_P_old">Model!$BR$185</definedName>
    <definedName name="v_32_XHAO_L">Model!$BN$185</definedName>
    <definedName name="v_32_XHAO_L_P">Model!$BQ$185</definedName>
    <definedName name="v_32_XHAO_L_P_old">Model!$BS$185</definedName>
    <definedName name="v_32_XHAO_old">Model!$BO$185</definedName>
    <definedName name="v_32_XHFO_H">Model!$BF$185</definedName>
    <definedName name="v_32_XHFO_H_P">Model!$BI$185</definedName>
    <definedName name="v_32_XHFO_H_P_old">Model!$BK$185</definedName>
    <definedName name="v_32_XHFO_L">Model!$BG$185</definedName>
    <definedName name="v_32_XHFO_L_P">Model!$BJ$185</definedName>
    <definedName name="v_32_XHFO_L_P_old">Model!$BL$185</definedName>
    <definedName name="v_32_XHFO_old">Model!$BH$185</definedName>
    <definedName name="v_32_XHMETO">Model!$Y$185</definedName>
    <definedName name="v_32_XHSRO">Model!$AA$185</definedName>
    <definedName name="v_32_XINORG">Model!$AV$185</definedName>
    <definedName name="v_32_XMEOLO">Model!$T$185</definedName>
    <definedName name="v_32_XN_B">Model!$AI$185</definedName>
    <definedName name="v_32_XN_Be">Model!$AJ$185</definedName>
    <definedName name="v_32_XN_U">Model!$AK$185</definedName>
    <definedName name="v_32_XNOB">Model!$V$185</definedName>
    <definedName name="v_32_XOHO">Model!$R$185</definedName>
    <definedName name="v_32_XP_B">Model!$AO$185</definedName>
    <definedName name="v_32_XP_Be">Model!$AP$185</definedName>
    <definedName name="v_32_XP_U">Model!$AQ$185</definedName>
    <definedName name="v_32_XPFOA">Model!$CA$185</definedName>
    <definedName name="v_32_XPFOS">Model!$CC$185</definedName>
    <definedName name="v_32_XPHA_GAO">Model!$O$185</definedName>
    <definedName name="v_32_XPHA_PAO">Model!$N$185</definedName>
    <definedName name="v_32_XPP">Model!$AM$185</definedName>
    <definedName name="v_32_XS">Model!$BD$185</definedName>
    <definedName name="v_32_XSOO">Model!$AB$185</definedName>
    <definedName name="v_32_XSTR">Model!$BW$185</definedName>
    <definedName name="v_32_XU">Model!$M$185</definedName>
    <definedName name="v_32_XVivi">Model!$BX$185</definedName>
    <definedName name="v_33_CB">Model!$H$186</definedName>
    <definedName name="v_33_CU">Model!$L$186</definedName>
    <definedName name="v_33_GCH4">Model!$CH$186</definedName>
    <definedName name="v_33_GCH4_atm">Model!$CO$186</definedName>
    <definedName name="v_33_GCO2">Model!$CG$186</definedName>
    <definedName name="v_33_GCO2_atm">Model!$CN$186</definedName>
    <definedName name="v_33_GH2">Model!$CI$186</definedName>
    <definedName name="v_33_GH2_atm">Model!$CP$186</definedName>
    <definedName name="v_33_GH2S">Model!$CM$186</definedName>
    <definedName name="v_33_GH2S_atm">Model!$CT$186</definedName>
    <definedName name="v_33_GN2">Model!$CL$186</definedName>
    <definedName name="v_33_GN2_atm">Model!$CS$186</definedName>
    <definedName name="v_33_GNH3">Model!$CK$186</definedName>
    <definedName name="v_33_GNH3_atm">Model!$CR$186</definedName>
    <definedName name="v_33_GO2">Model!$CJ$186</definedName>
    <definedName name="v_33_GO2_atm">Model!$CQ$186</definedName>
    <definedName name="v_33_SALPHA">Model!$CE$186</definedName>
    <definedName name="v_33_SAN">Model!$AX$186</definedName>
    <definedName name="v_33_SB">Model!$F$186</definedName>
    <definedName name="v_33_SCa">Model!$AY$186</definedName>
    <definedName name="v_33_SCAT">Model!$AW$186</definedName>
    <definedName name="v_33_SCH4">Model!$AS$186</definedName>
    <definedName name="v_33_SCO2">Model!$AU$186</definedName>
    <definedName name="v_33_SFe2">Model!$BE$186</definedName>
    <definedName name="v_33_SH">Model!$CD$186</definedName>
    <definedName name="v_33_SH2">Model!$AT$186</definedName>
    <definedName name="v_33_SH2S">Model!$BB$186</definedName>
    <definedName name="v_33_SK">Model!$BA$186</definedName>
    <definedName name="v_33_SMEOL">Model!$G$186</definedName>
    <definedName name="v_33_SMg">Model!$AZ$186</definedName>
    <definedName name="v_33_SMM_index">Model!$CU$186</definedName>
    <definedName name="v_33_SN_B">Model!$AH$186</definedName>
    <definedName name="v_33_SN2">Model!$AG$186</definedName>
    <definedName name="v_33_SNHx">Model!$AD$186</definedName>
    <definedName name="v_33_SNO2">Model!$AE$186</definedName>
    <definedName name="v_33_SNO3">Model!$AF$186</definedName>
    <definedName name="v_33_SO2">Model!$AR$186</definedName>
    <definedName name="v_33_SORPswitch">Model!$CF$186</definedName>
    <definedName name="v_33_SP_B">Model!$AN$186</definedName>
    <definedName name="v_33_SPFOA">Model!$BZ$186</definedName>
    <definedName name="v_33_SPFOS">Model!$CB$186</definedName>
    <definedName name="v_33_SPO4">Model!$AL$186</definedName>
    <definedName name="v_33_SSO4">Model!$BC$186</definedName>
    <definedName name="v_33_SU">Model!$K$186</definedName>
    <definedName name="v_33_SVFA">Model!$E$186</definedName>
    <definedName name="v_33_XACP">Model!$BU$186</definedName>
    <definedName name="v_33_XALGAE">Model!$AC$186</definedName>
    <definedName name="v_33_XAMETO">Model!$X$186</definedName>
    <definedName name="v_33_XAMX">Model!$W$186</definedName>
    <definedName name="v_33_XAOB">Model!$U$186</definedName>
    <definedName name="v_33_XASRO">Model!$Z$186</definedName>
    <definedName name="v_33_XB">Model!$I$186</definedName>
    <definedName name="v_33_XB_e">Model!$J$186</definedName>
    <definedName name="v_33_XBSH">Model!$BV$186</definedName>
    <definedName name="v_33_XCaCO3">Model!$BT$186</definedName>
    <definedName name="v_33_XCASTO">Model!$S$186</definedName>
    <definedName name="v_33_XE">Model!$P$186</definedName>
    <definedName name="v_33_XE_ana">Model!$Q$186</definedName>
    <definedName name="v_33_XFeS">Model!$BY$186</definedName>
    <definedName name="v_33_XHAO_H">Model!$BM$186</definedName>
    <definedName name="v_33_XHAO_H_P">Model!$BP$186</definedName>
    <definedName name="v_33_XHAO_H_P_old">Model!$BR$186</definedName>
    <definedName name="v_33_XHAO_L">Model!$BN$186</definedName>
    <definedName name="v_33_XHAO_L_P">Model!$BQ$186</definedName>
    <definedName name="v_33_XHAO_L_P_old">Model!$BS$186</definedName>
    <definedName name="v_33_XHAO_old">Model!$BO$186</definedName>
    <definedName name="v_33_XHFO_H">Model!$BF$186</definedName>
    <definedName name="v_33_XHFO_H_P">Model!$BI$186</definedName>
    <definedName name="v_33_XHFO_H_P_old">Model!$BK$186</definedName>
    <definedName name="v_33_XHFO_L">Model!$BG$186</definedName>
    <definedName name="v_33_XHFO_L_P">Model!$BJ$186</definedName>
    <definedName name="v_33_XHFO_L_P_old">Model!$BL$186</definedName>
    <definedName name="v_33_XHFO_old">Model!$BH$186</definedName>
    <definedName name="v_33_XHMETO">Model!$Y$186</definedName>
    <definedName name="v_33_XHSRO">Model!$AA$186</definedName>
    <definedName name="v_33_XINORG">Model!$AV$186</definedName>
    <definedName name="v_33_XMEOLO">Model!$T$186</definedName>
    <definedName name="v_33_XN_B">Model!$AI$186</definedName>
    <definedName name="v_33_XN_Be">Model!$AJ$186</definedName>
    <definedName name="v_33_XN_U">Model!$AK$186</definedName>
    <definedName name="v_33_XNOB">Model!$V$186</definedName>
    <definedName name="v_33_XOHO">Model!$R$186</definedName>
    <definedName name="v_33_XP_B">Model!$AO$186</definedName>
    <definedName name="v_33_XP_Be">Model!$AP$186</definedName>
    <definedName name="v_33_XP_U">Model!$AQ$186</definedName>
    <definedName name="v_33_XPFOA">Model!$CA$186</definedName>
    <definedName name="v_33_XPFOS">Model!$CC$186</definedName>
    <definedName name="v_33_XPHA_GAO">Model!$O$186</definedName>
    <definedName name="v_33_XPHA_PAO">Model!$N$186</definedName>
    <definedName name="v_33_XPP">Model!$AM$186</definedName>
    <definedName name="v_33_XS">Model!$BD$186</definedName>
    <definedName name="v_33_XSOO">Model!$AB$186</definedName>
    <definedName name="v_33_XSTR">Model!$BW$186</definedName>
    <definedName name="v_33_XU">Model!$M$186</definedName>
    <definedName name="v_33_XVivi">Model!$BX$186</definedName>
    <definedName name="v_34_CB">Model!$H$187</definedName>
    <definedName name="v_34_CU">Model!$L$187</definedName>
    <definedName name="v_34_GCH4">Model!$CH$187</definedName>
    <definedName name="v_34_GCH4_atm">Model!$CO$187</definedName>
    <definedName name="v_34_GCO2">Model!$CG$187</definedName>
    <definedName name="v_34_GCO2_atm">Model!$CN$187</definedName>
    <definedName name="v_34_GH2">Model!$CI$187</definedName>
    <definedName name="v_34_GH2_atm">Model!$CP$187</definedName>
    <definedName name="v_34_GH2S">Model!$CM$187</definedName>
    <definedName name="v_34_GH2S_atm">Model!$CT$187</definedName>
    <definedName name="v_34_GN2">Model!$CL$187</definedName>
    <definedName name="v_34_GN2_atm">Model!$CS$187</definedName>
    <definedName name="v_34_GNH3">Model!$CK$187</definedName>
    <definedName name="v_34_GNH3_atm">Model!$CR$187</definedName>
    <definedName name="v_34_GO2">Model!$CJ$187</definedName>
    <definedName name="v_34_GO2_atm">Model!$CQ$187</definedName>
    <definedName name="v_34_SALPHA">Model!$CE$187</definedName>
    <definedName name="v_34_SAN">Model!$AX$187</definedName>
    <definedName name="v_34_SB">Model!$F$187</definedName>
    <definedName name="v_34_SCa">Model!$AY$187</definedName>
    <definedName name="v_34_SCAT">Model!$AW$187</definedName>
    <definedName name="v_34_SCH4">Model!$AS$187</definedName>
    <definedName name="v_34_SCO2">Model!$AU$187</definedName>
    <definedName name="v_34_SFe2">Model!$BE$187</definedName>
    <definedName name="v_34_SH">Model!$CD$187</definedName>
    <definedName name="v_34_SH2">Model!$AT$187</definedName>
    <definedName name="v_34_SH2S">Model!$BB$187</definedName>
    <definedName name="v_34_SK">Model!$BA$187</definedName>
    <definedName name="v_34_SMEOL">Model!$G$187</definedName>
    <definedName name="v_34_SMg">Model!$AZ$187</definedName>
    <definedName name="v_34_SMM_index">Model!$CU$187</definedName>
    <definedName name="v_34_SN_B">Model!$AH$187</definedName>
    <definedName name="v_34_SN2">Model!$AG$187</definedName>
    <definedName name="v_34_SNHx">Model!$AD$187</definedName>
    <definedName name="v_34_SNO2">Model!$AE$187</definedName>
    <definedName name="v_34_SNO3">Model!$AF$187</definedName>
    <definedName name="v_34_SO2">Model!$AR$187</definedName>
    <definedName name="v_34_SORPswitch">Model!$CF$187</definedName>
    <definedName name="v_34_SP_B">Model!$AN$187</definedName>
    <definedName name="v_34_SPFOA">Model!$BZ$187</definedName>
    <definedName name="v_34_SPFOS">Model!$CB$187</definedName>
    <definedName name="v_34_SPO4">Model!$AL$187</definedName>
    <definedName name="v_34_SSO4">Model!$BC$187</definedName>
    <definedName name="v_34_SU">Model!$K$187</definedName>
    <definedName name="v_34_SVFA">Model!$E$187</definedName>
    <definedName name="v_34_XACP">Model!$BU$187</definedName>
    <definedName name="v_34_XALGAE">Model!$AC$187</definedName>
    <definedName name="v_34_XAMETO">Model!$X$187</definedName>
    <definedName name="v_34_XAMX">Model!$W$187</definedName>
    <definedName name="v_34_XAOB">Model!$U$187</definedName>
    <definedName name="v_34_XASRO">Model!$Z$187</definedName>
    <definedName name="v_34_XB">Model!$I$187</definedName>
    <definedName name="v_34_XB_e">Model!$J$187</definedName>
    <definedName name="v_34_XBSH">Model!$BV$187</definedName>
    <definedName name="v_34_XCaCO3">Model!$BT$187</definedName>
    <definedName name="v_34_XCASTO">Model!$S$187</definedName>
    <definedName name="v_34_XE">Model!$P$187</definedName>
    <definedName name="v_34_XE_ana">Model!$Q$187</definedName>
    <definedName name="v_34_XFeS">Model!$BY$187</definedName>
    <definedName name="v_34_XHAO_H">Model!$BM$187</definedName>
    <definedName name="v_34_XHAO_H_P">Model!$BP$187</definedName>
    <definedName name="v_34_XHAO_H_P_old">Model!$BR$187</definedName>
    <definedName name="v_34_XHAO_L">Model!$BN$187</definedName>
    <definedName name="v_34_XHAO_L_P">Model!$BQ$187</definedName>
    <definedName name="v_34_XHAO_L_P_old">Model!$BS$187</definedName>
    <definedName name="v_34_XHAO_old">Model!$BO$187</definedName>
    <definedName name="v_34_XHFO_H">Model!$BF$187</definedName>
    <definedName name="v_34_XHFO_H_P">Model!$BI$187</definedName>
    <definedName name="v_34_XHFO_H_P_old">Model!$BK$187</definedName>
    <definedName name="v_34_XHFO_L">Model!$BG$187</definedName>
    <definedName name="v_34_XHFO_L_P">Model!$BJ$187</definedName>
    <definedName name="v_34_XHFO_L_P_old">Model!$BL$187</definedName>
    <definedName name="v_34_XHFO_old">Model!$BH$187</definedName>
    <definedName name="v_34_XHMETO">Model!$Y$187</definedName>
    <definedName name="v_34_XHSRO">Model!$AA$187</definedName>
    <definedName name="v_34_XINORG">Model!$AV$187</definedName>
    <definedName name="v_34_XMEOLO">Model!$T$187</definedName>
    <definedName name="v_34_XN_B">Model!$AI$187</definedName>
    <definedName name="v_34_XN_Be">Model!$AJ$187</definedName>
    <definedName name="v_34_XN_U">Model!$AK$187</definedName>
    <definedName name="v_34_XNOB">Model!$V$187</definedName>
    <definedName name="v_34_XOHO">Model!$R$187</definedName>
    <definedName name="v_34_XP_B">Model!$AO$187</definedName>
    <definedName name="v_34_XP_Be">Model!$AP$187</definedName>
    <definedName name="v_34_XP_U">Model!$AQ$187</definedName>
    <definedName name="v_34_XPFOA">Model!$CA$187</definedName>
    <definedName name="v_34_XPFOS">Model!$CC$187</definedName>
    <definedName name="v_34_XPHA_GAO">Model!$O$187</definedName>
    <definedName name="v_34_XPHA_PAO">Model!$N$187</definedName>
    <definedName name="v_34_XPP">Model!$AM$187</definedName>
    <definedName name="v_34_XS">Model!$BD$187</definedName>
    <definedName name="v_34_XSOO">Model!$AB$187</definedName>
    <definedName name="v_34_XSTR">Model!$BW$187</definedName>
    <definedName name="v_34_XU">Model!$M$187</definedName>
    <definedName name="v_34_XVivi">Model!$BX$187</definedName>
    <definedName name="v_35_CB">Model!$H$188</definedName>
    <definedName name="v_35_CU">Model!$L$188</definedName>
    <definedName name="v_35_GCH4">Model!$CH$188</definedName>
    <definedName name="v_35_GCH4_atm">Model!$CO$188</definedName>
    <definedName name="v_35_GCO2">Model!$CG$188</definedName>
    <definedName name="v_35_GCO2_atm">Model!$CN$188</definedName>
    <definedName name="v_35_GH2">Model!$CI$188</definedName>
    <definedName name="v_35_GH2_atm">Model!$CP$188</definedName>
    <definedName name="v_35_GH2S">Model!$CM$188</definedName>
    <definedName name="v_35_GH2S_atm">Model!$CT$188</definedName>
    <definedName name="v_35_GN2">Model!$CL$188</definedName>
    <definedName name="v_35_GN2_atm">Model!$CS$188</definedName>
    <definedName name="v_35_GNH3">Model!$CK$188</definedName>
    <definedName name="v_35_GNH3_atm">Model!$CR$188</definedName>
    <definedName name="v_35_GO2">Model!$CJ$188</definedName>
    <definedName name="v_35_GO2_atm">Model!$CQ$188</definedName>
    <definedName name="v_35_SALPHA">Model!$CE$188</definedName>
    <definedName name="v_35_SAN">Model!$AX$188</definedName>
    <definedName name="v_35_SB">Model!$F$188</definedName>
    <definedName name="v_35_SCa">Model!$AY$188</definedName>
    <definedName name="v_35_SCAT">Model!$AW$188</definedName>
    <definedName name="v_35_SCH4">Model!$AS$188</definedName>
    <definedName name="v_35_SCO2">Model!$AU$188</definedName>
    <definedName name="v_35_SFe2">Model!$BE$188</definedName>
    <definedName name="v_35_SH">Model!$CD$188</definedName>
    <definedName name="v_35_SH2">Model!$AT$188</definedName>
    <definedName name="v_35_SH2S">Model!$BB$188</definedName>
    <definedName name="v_35_SK">Model!$BA$188</definedName>
    <definedName name="v_35_SMEOL">Model!$G$188</definedName>
    <definedName name="v_35_SMg">Model!$AZ$188</definedName>
    <definedName name="v_35_SMM_index">Model!$CU$188</definedName>
    <definedName name="v_35_SN_B">Model!$AH$188</definedName>
    <definedName name="v_35_SN2">Model!$AG$188</definedName>
    <definedName name="v_35_SNHx">Model!$AD$188</definedName>
    <definedName name="v_35_SNO2">Model!$AE$188</definedName>
    <definedName name="v_35_SNO3">Model!$AF$188</definedName>
    <definedName name="v_35_SO2">Model!$AR$188</definedName>
    <definedName name="v_35_SORPswitch">Model!$CF$188</definedName>
    <definedName name="v_35_SP_B">Model!$AN$188</definedName>
    <definedName name="v_35_SPFOA">Model!$BZ$188</definedName>
    <definedName name="v_35_SPFOS">Model!$CB$188</definedName>
    <definedName name="v_35_SPO4">Model!$AL$188</definedName>
    <definedName name="v_35_SSO4">Model!$BC$188</definedName>
    <definedName name="v_35_SU">Model!$K$188</definedName>
    <definedName name="v_35_SVFA">Model!$E$188</definedName>
    <definedName name="v_35_XACP">Model!$BU$188</definedName>
    <definedName name="v_35_XALGAE">Model!$AC$188</definedName>
    <definedName name="v_35_XAMETO">Model!$X$188</definedName>
    <definedName name="v_35_XAMX">Model!$W$188</definedName>
    <definedName name="v_35_XAOB">Model!$U$188</definedName>
    <definedName name="v_35_XASRO">Model!$Z$188</definedName>
    <definedName name="v_35_XB">Model!$I$188</definedName>
    <definedName name="v_35_XB_e">Model!$J$188</definedName>
    <definedName name="v_35_XBSH">Model!$BV$188</definedName>
    <definedName name="v_35_XCaCO3">Model!$BT$188</definedName>
    <definedName name="v_35_XCASTO">Model!$S$188</definedName>
    <definedName name="v_35_XE">Model!$P$188</definedName>
    <definedName name="v_35_XE_ana">Model!$Q$188</definedName>
    <definedName name="v_35_XFeS">Model!$BY$188</definedName>
    <definedName name="v_35_XHAO_H">Model!$BM$188</definedName>
    <definedName name="v_35_XHAO_H_P">Model!$BP$188</definedName>
    <definedName name="v_35_XHAO_H_P_old">Model!$BR$188</definedName>
    <definedName name="v_35_XHAO_L">Model!$BN$188</definedName>
    <definedName name="v_35_XHAO_L_P">Model!$BQ$188</definedName>
    <definedName name="v_35_XHAO_L_P_old">Model!$BS$188</definedName>
    <definedName name="v_35_XHAO_old">Model!$BO$188</definedName>
    <definedName name="v_35_XHFO_H">Model!$BF$188</definedName>
    <definedName name="v_35_XHFO_H_P">Model!$BI$188</definedName>
    <definedName name="v_35_XHFO_H_P_old">Model!$BK$188</definedName>
    <definedName name="v_35_XHFO_L">Model!$BG$188</definedName>
    <definedName name="v_35_XHFO_L_P">Model!$BJ$188</definedName>
    <definedName name="v_35_XHFO_L_P_old">Model!$BL$188</definedName>
    <definedName name="v_35_XHFO_old">Model!$BH$188</definedName>
    <definedName name="v_35_XHMETO">Model!$Y$188</definedName>
    <definedName name="v_35_XHSRO">Model!$AA$188</definedName>
    <definedName name="v_35_XINORG">Model!$AV$188</definedName>
    <definedName name="v_35_XMEOLO">Model!$T$188</definedName>
    <definedName name="v_35_XN_B">Model!$AI$188</definedName>
    <definedName name="v_35_XN_Be">Model!$AJ$188</definedName>
    <definedName name="v_35_XN_U">Model!$AK$188</definedName>
    <definedName name="v_35_XNOB">Model!$V$188</definedName>
    <definedName name="v_35_XOHO">Model!$R$188</definedName>
    <definedName name="v_35_XP_B">Model!$AO$188</definedName>
    <definedName name="v_35_XP_Be">Model!$AP$188</definedName>
    <definedName name="v_35_XP_U">Model!$AQ$188</definedName>
    <definedName name="v_35_XPFOA">Model!$CA$188</definedName>
    <definedName name="v_35_XPFOS">Model!$CC$188</definedName>
    <definedName name="v_35_XPHA_GAO">Model!$O$188</definedName>
    <definedName name="v_35_XPHA_PAO">Model!$N$188</definedName>
    <definedName name="v_35_XPP">Model!$AM$188</definedName>
    <definedName name="v_35_XS">Model!$BD$188</definedName>
    <definedName name="v_35_XSOO">Model!$AB$188</definedName>
    <definedName name="v_35_XSTR">Model!$BW$188</definedName>
    <definedName name="v_35_XU">Model!$M$188</definedName>
    <definedName name="v_35_XVivi">Model!$BX$188</definedName>
    <definedName name="v_36_CB">Model!$H$189</definedName>
    <definedName name="v_36_CU">Model!$L$189</definedName>
    <definedName name="v_36_GCH4">Model!$CH$189</definedName>
    <definedName name="v_36_GCH4_atm">Model!$CO$189</definedName>
    <definedName name="v_36_GCO2">Model!$CG$189</definedName>
    <definedName name="v_36_GCO2_atm">Model!$CN$189</definedName>
    <definedName name="v_36_GH2">Model!$CI$189</definedName>
    <definedName name="v_36_GH2_atm">Model!$CP$189</definedName>
    <definedName name="v_36_GH2S">Model!$CM$189</definedName>
    <definedName name="v_36_GH2S_atm">Model!$CT$189</definedName>
    <definedName name="v_36_GN2">Model!$CL$189</definedName>
    <definedName name="v_36_GN2_atm">Model!$CS$189</definedName>
    <definedName name="v_36_GNH3">Model!$CK$189</definedName>
    <definedName name="v_36_GNH3_atm">Model!$CR$189</definedName>
    <definedName name="v_36_GO2">Model!$CJ$189</definedName>
    <definedName name="v_36_GO2_atm">Model!$CQ$189</definedName>
    <definedName name="v_36_SALPHA">Model!$CE$189</definedName>
    <definedName name="v_36_SAN">Model!$AX$189</definedName>
    <definedName name="v_36_SB">Model!$F$189</definedName>
    <definedName name="v_36_SCa">Model!$AY$189</definedName>
    <definedName name="v_36_SCAT">Model!$AW$189</definedName>
    <definedName name="v_36_SCH4">Model!$AS$189</definedName>
    <definedName name="v_36_SCO2">Model!$AU$189</definedName>
    <definedName name="v_36_SFe2">Model!$BE$189</definedName>
    <definedName name="v_36_SH">Model!$CD$189</definedName>
    <definedName name="v_36_SH2">Model!$AT$189</definedName>
    <definedName name="v_36_SH2S">Model!$BB$189</definedName>
    <definedName name="v_36_SK">Model!$BA$189</definedName>
    <definedName name="v_36_SMEOL">Model!$G$189</definedName>
    <definedName name="v_36_SMg">Model!$AZ$189</definedName>
    <definedName name="v_36_SMM_index">Model!$CU$189</definedName>
    <definedName name="v_36_SN_B">Model!$AH$189</definedName>
    <definedName name="v_36_SN2">Model!$AG$189</definedName>
    <definedName name="v_36_SNHx">Model!$AD$189</definedName>
    <definedName name="v_36_SNO2">Model!$AE$189</definedName>
    <definedName name="v_36_SNO3">Model!$AF$189</definedName>
    <definedName name="v_36_SO2">Model!$AR$189</definedName>
    <definedName name="v_36_SORPswitch">Model!$CF$189</definedName>
    <definedName name="v_36_SP_B">Model!$AN$189</definedName>
    <definedName name="v_36_SPFOA">Model!$BZ$189</definedName>
    <definedName name="v_36_SPFOS">Model!$CB$189</definedName>
    <definedName name="v_36_SPO4">Model!$AL$189</definedName>
    <definedName name="v_36_SSO4">Model!$BC$189</definedName>
    <definedName name="v_36_SU">Model!$K$189</definedName>
    <definedName name="v_36_SVFA">Model!$E$189</definedName>
    <definedName name="v_36_XACP">Model!$BU$189</definedName>
    <definedName name="v_36_XALGAE">Model!$AC$189</definedName>
    <definedName name="v_36_XAMETO">Model!$X$189</definedName>
    <definedName name="v_36_XAMX">Model!$W$189</definedName>
    <definedName name="v_36_XAOB">Model!$U$189</definedName>
    <definedName name="v_36_XASRO">Model!$Z$189</definedName>
    <definedName name="v_36_XB">Model!$I$189</definedName>
    <definedName name="v_36_XB_e">Model!$J$189</definedName>
    <definedName name="v_36_XBSH">Model!$BV$189</definedName>
    <definedName name="v_36_XCaCO3">Model!$BT$189</definedName>
    <definedName name="v_36_XCASTO">Model!$S$189</definedName>
    <definedName name="v_36_XE">Model!$P$189</definedName>
    <definedName name="v_36_XE_ana">Model!$Q$189</definedName>
    <definedName name="v_36_XFeS">Model!$BY$189</definedName>
    <definedName name="v_36_XHAO_H">Model!$BM$189</definedName>
    <definedName name="v_36_XHAO_H_P">Model!$BP$189</definedName>
    <definedName name="v_36_XHAO_H_P_old">Model!$BR$189</definedName>
    <definedName name="v_36_XHAO_L">Model!$BN$189</definedName>
    <definedName name="v_36_XHAO_L_P">Model!$BQ$189</definedName>
    <definedName name="v_36_XHAO_L_P_old">Model!$BS$189</definedName>
    <definedName name="v_36_XHAO_old">Model!$BO$189</definedName>
    <definedName name="v_36_XHFO_H">Model!$BF$189</definedName>
    <definedName name="v_36_XHFO_H_P">Model!$BI$189</definedName>
    <definedName name="v_36_XHFO_H_P_old">Model!$BK$189</definedName>
    <definedName name="v_36_XHFO_L">Model!$BG$189</definedName>
    <definedName name="v_36_XHFO_L_P">Model!$BJ$189</definedName>
    <definedName name="v_36_XHFO_L_P_old">Model!$BL$189</definedName>
    <definedName name="v_36_XHFO_old">Model!$BH$189</definedName>
    <definedName name="v_36_XHMETO">Model!$Y$189</definedName>
    <definedName name="v_36_XHSRO">Model!$AA$189</definedName>
    <definedName name="v_36_XINORG">Model!$AV$189</definedName>
    <definedName name="v_36_XMEOLO">Model!$T$189</definedName>
    <definedName name="v_36_XN_B">Model!$AI$189</definedName>
    <definedName name="v_36_XN_Be">Model!$AJ$189</definedName>
    <definedName name="v_36_XN_U">Model!$AK$189</definedName>
    <definedName name="v_36_XNOB">Model!$V$189</definedName>
    <definedName name="v_36_XOHO">Model!$R$189</definedName>
    <definedName name="v_36_XP_B">Model!$AO$189</definedName>
    <definedName name="v_36_XP_Be">Model!$AP$189</definedName>
    <definedName name="v_36_XP_U">Model!$AQ$189</definedName>
    <definedName name="v_36_XPFOA">Model!$CA$189</definedName>
    <definedName name="v_36_XPFOS">Model!$CC$189</definedName>
    <definedName name="v_36_XPHA_GAO">Model!$O$189</definedName>
    <definedName name="v_36_XPHA_PAO">Model!$N$189</definedName>
    <definedName name="v_36_XPP">Model!$AM$189</definedName>
    <definedName name="v_36_XS">Model!$BD$189</definedName>
    <definedName name="v_36_XSOO">Model!$AB$189</definedName>
    <definedName name="v_36_XSTR">Model!$BW$189</definedName>
    <definedName name="v_36_XU">Model!$M$189</definedName>
    <definedName name="v_36_XVivi">Model!$BX$189</definedName>
    <definedName name="v_37_CB">Model!$H$190</definedName>
    <definedName name="v_37_CU">Model!$L$190</definedName>
    <definedName name="v_37_GCH4">Model!$CH$190</definedName>
    <definedName name="v_37_GCH4_atm">Model!$CO$190</definedName>
    <definedName name="v_37_GCO2">Model!$CG$190</definedName>
    <definedName name="v_37_GCO2_atm">Model!$CN$190</definedName>
    <definedName name="v_37_GH2">Model!$CI$190</definedName>
    <definedName name="v_37_GH2_atm">Model!$CP$190</definedName>
    <definedName name="v_37_GH2S">Model!$CM$190</definedName>
    <definedName name="v_37_GH2S_atm">Model!$CT$190</definedName>
    <definedName name="v_37_GN2">Model!$CL$190</definedName>
    <definedName name="v_37_GN2_atm">Model!$CS$190</definedName>
    <definedName name="v_37_GNH3">Model!$CK$190</definedName>
    <definedName name="v_37_GNH3_atm">Model!$CR$190</definedName>
    <definedName name="v_37_GO2">Model!$CJ$190</definedName>
    <definedName name="v_37_GO2_atm">Model!$CQ$190</definedName>
    <definedName name="v_37_SALPHA">Model!$CE$190</definedName>
    <definedName name="v_37_SAN">Model!$AX$190</definedName>
    <definedName name="v_37_SB">Model!$F$190</definedName>
    <definedName name="v_37_SCa">Model!$AY$190</definedName>
    <definedName name="v_37_SCAT">Model!$AW$190</definedName>
    <definedName name="v_37_SCH4">Model!$AS$190</definedName>
    <definedName name="v_37_SCO2">Model!$AU$190</definedName>
    <definedName name="v_37_SFe2">Model!$BE$190</definedName>
    <definedName name="v_37_SH">Model!$CD$190</definedName>
    <definedName name="v_37_SH2">Model!$AT$190</definedName>
    <definedName name="v_37_SH2S">Model!$BB$190</definedName>
    <definedName name="v_37_SK">Model!$BA$190</definedName>
    <definedName name="v_37_SMEOL">Model!$G$190</definedName>
    <definedName name="v_37_SMg">Model!$AZ$190</definedName>
    <definedName name="v_37_SMM_index">Model!$CU$190</definedName>
    <definedName name="v_37_SN_B">Model!$AH$190</definedName>
    <definedName name="v_37_SN2">Model!$AG$190</definedName>
    <definedName name="v_37_SNHx">Model!$AD$190</definedName>
    <definedName name="v_37_SNO2">Model!$AE$190</definedName>
    <definedName name="v_37_SNO3">Model!$AF$190</definedName>
    <definedName name="v_37_SO2">Model!$AR$190</definedName>
    <definedName name="v_37_SORPswitch">Model!$CF$190</definedName>
    <definedName name="v_37_SP_B">Model!$AN$190</definedName>
    <definedName name="v_37_SPFOA">Model!$BZ$190</definedName>
    <definedName name="v_37_SPFOS">Model!$CB$190</definedName>
    <definedName name="v_37_SPO4">Model!$AL$190</definedName>
    <definedName name="v_37_SSO4">Model!$BC$190</definedName>
    <definedName name="v_37_SU">Model!$K$190</definedName>
    <definedName name="v_37_SVFA">Model!$E$190</definedName>
    <definedName name="v_37_XACP">Model!$BU$190</definedName>
    <definedName name="v_37_XALGAE">Model!$AC$190</definedName>
    <definedName name="v_37_XAMETO">Model!$X$190</definedName>
    <definedName name="v_37_XAMX">Model!$W$190</definedName>
    <definedName name="v_37_XAOB">Model!$U$190</definedName>
    <definedName name="v_37_XASRO">Model!$Z$190</definedName>
    <definedName name="v_37_XB">Model!$I$190</definedName>
    <definedName name="v_37_XB_e">Model!$J$190</definedName>
    <definedName name="v_37_XBSH">Model!$BV$190</definedName>
    <definedName name="v_37_XCaCO3">Model!$BT$190</definedName>
    <definedName name="v_37_XCASTO">Model!$S$190</definedName>
    <definedName name="v_37_XE">Model!$P$190</definedName>
    <definedName name="v_37_XE_ana">Model!$Q$190</definedName>
    <definedName name="v_37_XFeS">Model!$BY$190</definedName>
    <definedName name="v_37_XHAO_H">Model!$BM$190</definedName>
    <definedName name="v_37_XHAO_H_P">Model!$BP$190</definedName>
    <definedName name="v_37_XHAO_H_P_old">Model!$BR$190</definedName>
    <definedName name="v_37_XHAO_L">Model!$BN$190</definedName>
    <definedName name="v_37_XHAO_L_P">Model!$BQ$190</definedName>
    <definedName name="v_37_XHAO_L_P_old">Model!$BS$190</definedName>
    <definedName name="v_37_XHAO_old">Model!$BO$190</definedName>
    <definedName name="v_37_XHFO_H">Model!$BF$190</definedName>
    <definedName name="v_37_XHFO_H_P">Model!$BI$190</definedName>
    <definedName name="v_37_XHFO_H_P_old">Model!$BK$190</definedName>
    <definedName name="v_37_XHFO_L">Model!$BG$190</definedName>
    <definedName name="v_37_XHFO_L_P">Model!$BJ$190</definedName>
    <definedName name="v_37_XHFO_L_P_old">Model!$BL$190</definedName>
    <definedName name="v_37_XHFO_old">Model!$BH$190</definedName>
    <definedName name="v_37_XHMETO">Model!$Y$190</definedName>
    <definedName name="v_37_XHSRO">Model!$AA$190</definedName>
    <definedName name="v_37_XINORG">Model!$AV$190</definedName>
    <definedName name="v_37_XMEOLO">Model!$T$190</definedName>
    <definedName name="v_37_XN_B">Model!$AI$190</definedName>
    <definedName name="v_37_XN_Be">Model!$AJ$190</definedName>
    <definedName name="v_37_XN_U">Model!$AK$190</definedName>
    <definedName name="v_37_XNOB">Model!$V$190</definedName>
    <definedName name="v_37_XOHO">Model!$R$190</definedName>
    <definedName name="v_37_XP_B">Model!$AO$190</definedName>
    <definedName name="v_37_XP_Be">Model!$AP$190</definedName>
    <definedName name="v_37_XP_U">Model!$AQ$190</definedName>
    <definedName name="v_37_XPFOA">Model!$CA$190</definedName>
    <definedName name="v_37_XPFOS">Model!$CC$190</definedName>
    <definedName name="v_37_XPHA_GAO">Model!$O$190</definedName>
    <definedName name="v_37_XPHA_PAO">Model!$N$190</definedName>
    <definedName name="v_37_XPP">Model!$AM$190</definedName>
    <definedName name="v_37_XS">Model!$BD$190</definedName>
    <definedName name="v_37_XSOO">Model!$AB$190</definedName>
    <definedName name="v_37_XSTR">Model!$BW$190</definedName>
    <definedName name="v_37_XU">Model!$M$190</definedName>
    <definedName name="v_37_XVivi">Model!$BX$190</definedName>
    <definedName name="v_38_CB">Model!$H$191</definedName>
    <definedName name="v_38_CU">Model!$L$191</definedName>
    <definedName name="v_38_GCH4">Model!$CH$191</definedName>
    <definedName name="v_38_GCH4_atm">Model!$CO$191</definedName>
    <definedName name="v_38_GCO2">Model!$CG$191</definedName>
    <definedName name="v_38_GCO2_atm">Model!$CN$191</definedName>
    <definedName name="v_38_GH2">Model!$CI$191</definedName>
    <definedName name="v_38_GH2_atm">Model!$CP$191</definedName>
    <definedName name="v_38_GH2S">Model!$CM$191</definedName>
    <definedName name="v_38_GH2S_atm">Model!$CT$191</definedName>
    <definedName name="v_38_GN2">Model!$CL$191</definedName>
    <definedName name="v_38_GN2_atm">Model!$CS$191</definedName>
    <definedName name="v_38_GNH3">Model!$CK$191</definedName>
    <definedName name="v_38_GNH3_atm">Model!$CR$191</definedName>
    <definedName name="v_38_GO2">Model!$CJ$191</definedName>
    <definedName name="v_38_GO2_atm">Model!$CQ$191</definedName>
    <definedName name="v_38_SALPHA">Model!$CE$191</definedName>
    <definedName name="v_38_SAN">Model!$AX$191</definedName>
    <definedName name="v_38_SB">Model!$F$191</definedName>
    <definedName name="v_38_SCa">Model!$AY$191</definedName>
    <definedName name="v_38_SCAT">Model!$AW$191</definedName>
    <definedName name="v_38_SCH4">Model!$AS$191</definedName>
    <definedName name="v_38_SCO2">Model!$AU$191</definedName>
    <definedName name="v_38_SFe2">Model!$BE$191</definedName>
    <definedName name="v_38_SH">Model!$CD$191</definedName>
    <definedName name="v_38_SH2">Model!$AT$191</definedName>
    <definedName name="v_38_SH2S">Model!$BB$191</definedName>
    <definedName name="v_38_SK">Model!$BA$191</definedName>
    <definedName name="v_38_SMEOL">Model!$G$191</definedName>
    <definedName name="v_38_SMg">Model!$AZ$191</definedName>
    <definedName name="v_38_SMM_index">Model!$CU$191</definedName>
    <definedName name="v_38_SN_B">Model!$AH$191</definedName>
    <definedName name="v_38_SN2">Model!$AG$191</definedName>
    <definedName name="v_38_SNHx">Model!$AD$191</definedName>
    <definedName name="v_38_SNO2">Model!$AE$191</definedName>
    <definedName name="v_38_SNO3">Model!$AF$191</definedName>
    <definedName name="v_38_SO2">Model!$AR$191</definedName>
    <definedName name="v_38_SORPswitch">Model!$CF$191</definedName>
    <definedName name="v_38_SP_B">Model!$AN$191</definedName>
    <definedName name="v_38_SPFOA">Model!$BZ$191</definedName>
    <definedName name="v_38_SPFOS">Model!$CB$191</definedName>
    <definedName name="v_38_SPO4">Model!$AL$191</definedName>
    <definedName name="v_38_SSO4">Model!$BC$191</definedName>
    <definedName name="v_38_SU">Model!$K$191</definedName>
    <definedName name="v_38_SVFA">Model!$E$191</definedName>
    <definedName name="v_38_XACP">Model!$BU$191</definedName>
    <definedName name="v_38_XALGAE">Model!$AC$191</definedName>
    <definedName name="v_38_XAMETO">Model!$X$191</definedName>
    <definedName name="v_38_XAMX">Model!$W$191</definedName>
    <definedName name="v_38_XAOB">Model!$U$191</definedName>
    <definedName name="v_38_XASRO">Model!$Z$191</definedName>
    <definedName name="v_38_XB">Model!$I$191</definedName>
    <definedName name="v_38_XB_e">Model!$J$191</definedName>
    <definedName name="v_38_XBSH">Model!$BV$191</definedName>
    <definedName name="v_38_XCaCO3">Model!$BT$191</definedName>
    <definedName name="v_38_XCASTO">Model!$S$191</definedName>
    <definedName name="v_38_XE">Model!$P$191</definedName>
    <definedName name="v_38_XE_ana">Model!$Q$191</definedName>
    <definedName name="v_38_XFeS">Model!$BY$191</definedName>
    <definedName name="v_38_XHAO_H">Model!$BM$191</definedName>
    <definedName name="v_38_XHAO_H_P">Model!$BP$191</definedName>
    <definedName name="v_38_XHAO_H_P_old">Model!$BR$191</definedName>
    <definedName name="v_38_XHAO_L">Model!$BN$191</definedName>
    <definedName name="v_38_XHAO_L_P">Model!$BQ$191</definedName>
    <definedName name="v_38_XHAO_L_P_old">Model!$BS$191</definedName>
    <definedName name="v_38_XHAO_old">Model!$BO$191</definedName>
    <definedName name="v_38_XHFO_H">Model!$BF$191</definedName>
    <definedName name="v_38_XHFO_H_P">Model!$BI$191</definedName>
    <definedName name="v_38_XHFO_H_P_old">Model!$BK$191</definedName>
    <definedName name="v_38_XHFO_L">Model!$BG$191</definedName>
    <definedName name="v_38_XHFO_L_P">Model!$BJ$191</definedName>
    <definedName name="v_38_XHFO_L_P_old">Model!$BL$191</definedName>
    <definedName name="v_38_XHFO_old">Model!$BH$191</definedName>
    <definedName name="v_38_XHMETO">Model!$Y$191</definedName>
    <definedName name="v_38_XHSRO">Model!$AA$191</definedName>
    <definedName name="v_38_XINORG">Model!$AV$191</definedName>
    <definedName name="v_38_XMEOLO">Model!$T$191</definedName>
    <definedName name="v_38_XN_B">Model!$AI$191</definedName>
    <definedName name="v_38_XN_Be">Model!$AJ$191</definedName>
    <definedName name="v_38_XN_U">Model!$AK$191</definedName>
    <definedName name="v_38_XNOB">Model!$V$191</definedName>
    <definedName name="v_38_XOHO">Model!$R$191</definedName>
    <definedName name="v_38_XP_B">Model!$AO$191</definedName>
    <definedName name="v_38_XP_Be">Model!$AP$191</definedName>
    <definedName name="v_38_XP_U">Model!$AQ$191</definedName>
    <definedName name="v_38_XPFOA">Model!$CA$191</definedName>
    <definedName name="v_38_XPFOS">Model!$CC$191</definedName>
    <definedName name="v_38_XPHA_GAO">Model!$O$191</definedName>
    <definedName name="v_38_XPHA_PAO">Model!$N$191</definedName>
    <definedName name="v_38_XPP">Model!$AM$191</definedName>
    <definedName name="v_38_XS">Model!$BD$191</definedName>
    <definedName name="v_38_XSOO">Model!$AB$191</definedName>
    <definedName name="v_38_XSTR">Model!$BW$191</definedName>
    <definedName name="v_38_XU">Model!$M$191</definedName>
    <definedName name="v_38_XVivi">Model!$BX$191</definedName>
    <definedName name="v_39_CB">Model!$H$192</definedName>
    <definedName name="v_39_CU">Model!$L$192</definedName>
    <definedName name="v_39_GCH4">Model!$CH$192</definedName>
    <definedName name="v_39_GCH4_atm">Model!$CO$192</definedName>
    <definedName name="v_39_GCO2">Model!$CG$192</definedName>
    <definedName name="v_39_GCO2_atm">Model!$CN$192</definedName>
    <definedName name="v_39_GH2">Model!$CI$192</definedName>
    <definedName name="v_39_GH2_atm">Model!$CP$192</definedName>
    <definedName name="v_39_GH2S">Model!$CM$192</definedName>
    <definedName name="v_39_GH2S_atm">Model!$CT$192</definedName>
    <definedName name="v_39_GN2">Model!$CL$192</definedName>
    <definedName name="v_39_GN2_atm">Model!$CS$192</definedName>
    <definedName name="v_39_GNH3">Model!$CK$192</definedName>
    <definedName name="v_39_GNH3_atm">Model!$CR$192</definedName>
    <definedName name="v_39_GO2">Model!$CJ$192</definedName>
    <definedName name="v_39_GO2_atm">Model!$CQ$192</definedName>
    <definedName name="v_39_SALPHA">Model!$CE$192</definedName>
    <definedName name="v_39_SAN">Model!$AX$192</definedName>
    <definedName name="v_39_SB">Model!$F$192</definedName>
    <definedName name="v_39_SCa">Model!$AY$192</definedName>
    <definedName name="v_39_SCAT">Model!$AW$192</definedName>
    <definedName name="v_39_SCH4">Model!$AS$192</definedName>
    <definedName name="v_39_SCO2">Model!$AU$192</definedName>
    <definedName name="v_39_SFe2">Model!$BE$192</definedName>
    <definedName name="v_39_SH">Model!$CD$192</definedName>
    <definedName name="v_39_SH2">Model!$AT$192</definedName>
    <definedName name="v_39_SH2S">Model!$BB$192</definedName>
    <definedName name="v_39_SK">Model!$BA$192</definedName>
    <definedName name="v_39_SMEOL">Model!$G$192</definedName>
    <definedName name="v_39_SMg">Model!$AZ$192</definedName>
    <definedName name="v_39_SMM_index">Model!$CU$192</definedName>
    <definedName name="v_39_SN_B">Model!$AH$192</definedName>
    <definedName name="v_39_SN2">Model!$AG$192</definedName>
    <definedName name="v_39_SNHx">Model!$AD$192</definedName>
    <definedName name="v_39_SNO2">Model!$AE$192</definedName>
    <definedName name="v_39_SNO3">Model!$AF$192</definedName>
    <definedName name="v_39_SO2">Model!$AR$192</definedName>
    <definedName name="v_39_SORPswitch">Model!$CF$192</definedName>
    <definedName name="v_39_SP_B">Model!$AN$192</definedName>
    <definedName name="v_39_SPFOA">Model!$BZ$192</definedName>
    <definedName name="v_39_SPFOS">Model!$CB$192</definedName>
    <definedName name="v_39_SPO4">Model!$AL$192</definedName>
    <definedName name="v_39_SSO4">Model!$BC$192</definedName>
    <definedName name="v_39_SU">Model!$K$192</definedName>
    <definedName name="v_39_SVFA">Model!$E$192</definedName>
    <definedName name="v_39_XACP">Model!$BU$192</definedName>
    <definedName name="v_39_XALGAE">Model!$AC$192</definedName>
    <definedName name="v_39_XAMETO">Model!$X$192</definedName>
    <definedName name="v_39_XAMX">Model!$W$192</definedName>
    <definedName name="v_39_XAOB">Model!$U$192</definedName>
    <definedName name="v_39_XASRO">Model!$Z$192</definedName>
    <definedName name="v_39_XB">Model!$I$192</definedName>
    <definedName name="v_39_XB_e">Model!$J$192</definedName>
    <definedName name="v_39_XBSH">Model!$BV$192</definedName>
    <definedName name="v_39_XCaCO3">Model!$BT$192</definedName>
    <definedName name="v_39_XCASTO">Model!$S$192</definedName>
    <definedName name="v_39_XE">Model!$P$192</definedName>
    <definedName name="v_39_XE_ana">Model!$Q$192</definedName>
    <definedName name="v_39_XFeS">Model!$BY$192</definedName>
    <definedName name="v_39_XHAO_H">Model!$BM$192</definedName>
    <definedName name="v_39_XHAO_H_P">Model!$BP$192</definedName>
    <definedName name="v_39_XHAO_H_P_old">Model!$BR$192</definedName>
    <definedName name="v_39_XHAO_L">Model!$BN$192</definedName>
    <definedName name="v_39_XHAO_L_P">Model!$BQ$192</definedName>
    <definedName name="v_39_XHAO_L_P_old">Model!$BS$192</definedName>
    <definedName name="v_39_XHAO_old">Model!$BO$192</definedName>
    <definedName name="v_39_XHFO_H">Model!$BF$192</definedName>
    <definedName name="v_39_XHFO_H_P">Model!$BI$192</definedName>
    <definedName name="v_39_XHFO_H_P_old">Model!$BK$192</definedName>
    <definedName name="v_39_XHFO_L">Model!$BG$192</definedName>
    <definedName name="v_39_XHFO_L_P">Model!$BJ$192</definedName>
    <definedName name="v_39_XHFO_L_P_old">Model!$BL$192</definedName>
    <definedName name="v_39_XHFO_old">Model!$BH$192</definedName>
    <definedName name="v_39_XHMETO">Model!$Y$192</definedName>
    <definedName name="v_39_XHSRO">Model!$AA$192</definedName>
    <definedName name="v_39_XINORG">Model!$AV$192</definedName>
    <definedName name="v_39_XMEOLO">Model!$T$192</definedName>
    <definedName name="v_39_XN_B">Model!$AI$192</definedName>
    <definedName name="v_39_XN_Be">Model!$AJ$192</definedName>
    <definedName name="v_39_XN_U">Model!$AK$192</definedName>
    <definedName name="v_39_XNOB">Model!$V$192</definedName>
    <definedName name="v_39_XOHO">Model!$R$192</definedName>
    <definedName name="v_39_XP_B">Model!$AO$192</definedName>
    <definedName name="v_39_XP_Be">Model!$AP$192</definedName>
    <definedName name="v_39_XP_U">Model!$AQ$192</definedName>
    <definedName name="v_39_XPFOA">Model!$CA$192</definedName>
    <definedName name="v_39_XPFOS">Model!$CC$192</definedName>
    <definedName name="v_39_XPHA_GAO">Model!$O$192</definedName>
    <definedName name="v_39_XPHA_PAO">Model!$N$192</definedName>
    <definedName name="v_39_XPP">Model!$AM$192</definedName>
    <definedName name="v_39_XS">Model!$BD$192</definedName>
    <definedName name="v_39_XSOO">Model!$AB$192</definedName>
    <definedName name="v_39_XSTR">Model!$BW$192</definedName>
    <definedName name="v_39_XU">Model!$M$192</definedName>
    <definedName name="v_39_XVivi">Model!$BX$192</definedName>
    <definedName name="v_4_CB">Model!$H$157</definedName>
    <definedName name="v_4_CU">Model!$L$157</definedName>
    <definedName name="v_4_GCH4">Model!$CH$157</definedName>
    <definedName name="v_4_GCH4_atm">Model!$CO$157</definedName>
    <definedName name="v_4_GCO2">Model!$CG$157</definedName>
    <definedName name="v_4_GCO2_atm">Model!$CN$157</definedName>
    <definedName name="v_4_GH2">Model!$CI$157</definedName>
    <definedName name="v_4_GH2_atm">Model!$CP$157</definedName>
    <definedName name="v_4_GH2S">Model!$CM$157</definedName>
    <definedName name="v_4_GH2S_atm">Model!$CT$157</definedName>
    <definedName name="v_4_GN2">Model!$CL$157</definedName>
    <definedName name="v_4_GN2_atm">Model!$CS$157</definedName>
    <definedName name="v_4_GNH3">Model!$CK$157</definedName>
    <definedName name="v_4_GNH3_atm">Model!$CR$157</definedName>
    <definedName name="v_4_GO2">Model!$CJ$157</definedName>
    <definedName name="v_4_GO2_atm">Model!$CQ$157</definedName>
    <definedName name="v_4_SALPHA">Model!$CE$157</definedName>
    <definedName name="v_4_SAN">Model!$AX$157</definedName>
    <definedName name="v_4_SB">Model!$F$157</definedName>
    <definedName name="v_4_SCa">Model!$AY$157</definedName>
    <definedName name="v_4_SCAT">Model!$AW$157</definedName>
    <definedName name="v_4_SCH4">Model!$AS$157</definedName>
    <definedName name="v_4_SCO2">Model!$AU$157</definedName>
    <definedName name="v_4_SFe2">Model!$BE$157</definedName>
    <definedName name="v_4_SH">Model!$CD$157</definedName>
    <definedName name="v_4_SH2">Model!$AT$157</definedName>
    <definedName name="v_4_SH2S">Model!$BB$157</definedName>
    <definedName name="v_4_SK">Model!$BA$157</definedName>
    <definedName name="v_4_SMEOL">Model!$G$157</definedName>
    <definedName name="v_4_SMg">Model!$AZ$157</definedName>
    <definedName name="v_4_SMM_index">Model!$CU$157</definedName>
    <definedName name="v_4_SN_B">Model!$AH$157</definedName>
    <definedName name="v_4_SN2">Model!$AG$157</definedName>
    <definedName name="v_4_SNHx">Model!$AD$157</definedName>
    <definedName name="v_4_SNO2">Model!$AE$157</definedName>
    <definedName name="v_4_SNO3">Model!$AF$157</definedName>
    <definedName name="v_4_SO2">Model!$AR$157</definedName>
    <definedName name="v_4_SORPswitch">Model!$CF$157</definedName>
    <definedName name="v_4_SP_B">Model!$AN$157</definedName>
    <definedName name="v_4_SPFOA">Model!$BZ$157</definedName>
    <definedName name="v_4_SPFOS">Model!$CB$157</definedName>
    <definedName name="v_4_SPO4">Model!$AL$157</definedName>
    <definedName name="v_4_SSO4">Model!$BC$157</definedName>
    <definedName name="v_4_SU">Model!$K$157</definedName>
    <definedName name="v_4_SVFA">Model!$E$157</definedName>
    <definedName name="v_4_XACP">Model!$BU$157</definedName>
    <definedName name="v_4_XALGAE">Model!$AC$157</definedName>
    <definedName name="v_4_XAMETO">Model!$X$157</definedName>
    <definedName name="v_4_XAMX">Model!$W$157</definedName>
    <definedName name="v_4_XAOB">Model!$U$157</definedName>
    <definedName name="v_4_XASRO">Model!$Z$157</definedName>
    <definedName name="v_4_XB">Model!$I$157</definedName>
    <definedName name="v_4_XB_e">Model!$J$157</definedName>
    <definedName name="v_4_XBSH">Model!$BV$157</definedName>
    <definedName name="v_4_XCaCO3">Model!$BT$157</definedName>
    <definedName name="v_4_XCASTO">Model!$S$157</definedName>
    <definedName name="v_4_XE">Model!$P$157</definedName>
    <definedName name="v_4_XE_ana">Model!$Q$157</definedName>
    <definedName name="v_4_XFeS">Model!$BY$157</definedName>
    <definedName name="v_4_XHAO_H">Model!$BM$157</definedName>
    <definedName name="v_4_XHAO_H_P">Model!$BP$157</definedName>
    <definedName name="v_4_XHAO_H_P_old">Model!$BR$157</definedName>
    <definedName name="v_4_XHAO_L">Model!$BN$157</definedName>
    <definedName name="v_4_XHAO_L_P">Model!$BQ$157</definedName>
    <definedName name="v_4_XHAO_L_P_old">Model!$BS$157</definedName>
    <definedName name="v_4_XHAO_old">Model!$BO$157</definedName>
    <definedName name="v_4_XHFO_H">Model!$BF$157</definedName>
    <definedName name="v_4_XHFO_H_P">Model!$BI$157</definedName>
    <definedName name="v_4_XHFO_H_P_old">Model!$BK$157</definedName>
    <definedName name="v_4_XHFO_L">Model!$BG$157</definedName>
    <definedName name="v_4_XHFO_L_P">Model!$BJ$157</definedName>
    <definedName name="v_4_XHFO_L_P_old">Model!$BL$157</definedName>
    <definedName name="v_4_XHFO_old">Model!$BH$157</definedName>
    <definedName name="v_4_XHMETO">Model!$Y$157</definedName>
    <definedName name="v_4_XHSRO">Model!$AA$157</definedName>
    <definedName name="v_4_XINORG">Model!$AV$157</definedName>
    <definedName name="v_4_XMEOLO">Model!$T$157</definedName>
    <definedName name="v_4_XN_B">Model!$AI$157</definedName>
    <definedName name="v_4_XN_Be">Model!$AJ$157</definedName>
    <definedName name="v_4_XN_U">Model!$AK$157</definedName>
    <definedName name="v_4_XNOB">Model!$V$157</definedName>
    <definedName name="v_4_XOHO">Model!$R$157</definedName>
    <definedName name="v_4_XP_B">Model!$AO$157</definedName>
    <definedName name="v_4_XP_Be">Model!$AP$157</definedName>
    <definedName name="v_4_XP_U">Model!$AQ$157</definedName>
    <definedName name="v_4_XPFOA">Model!$CA$157</definedName>
    <definedName name="v_4_XPFOS">Model!$CC$157</definedName>
    <definedName name="v_4_XPHA_GAO">Model!$O$157</definedName>
    <definedName name="v_4_XPHA_PAO">Model!$N$157</definedName>
    <definedName name="v_4_XPP">Model!$AM$157</definedName>
    <definedName name="v_4_XS">Model!$BD$157</definedName>
    <definedName name="v_4_XSOO">Model!$AB$157</definedName>
    <definedName name="v_4_XSTR">Model!$BW$157</definedName>
    <definedName name="v_4_XU">Model!$M$157</definedName>
    <definedName name="v_4_XVivi">Model!$BX$157</definedName>
    <definedName name="v_40_CB">Model!$H$193</definedName>
    <definedName name="v_40_CU">Model!$L$193</definedName>
    <definedName name="v_40_GCH4">Model!$CH$193</definedName>
    <definedName name="v_40_GCH4_atm">Model!$CO$193</definedName>
    <definedName name="v_40_GCO2">Model!$CG$193</definedName>
    <definedName name="v_40_GCO2_atm">Model!$CN$193</definedName>
    <definedName name="v_40_GH2">Model!$CI$193</definedName>
    <definedName name="v_40_GH2_atm">Model!$CP$193</definedName>
    <definedName name="v_40_GH2S">Model!$CM$193</definedName>
    <definedName name="v_40_GH2S_atm">Model!$CT$193</definedName>
    <definedName name="v_40_GN2">Model!$CL$193</definedName>
    <definedName name="v_40_GN2_atm">Model!$CS$193</definedName>
    <definedName name="v_40_GNH3">Model!$CK$193</definedName>
    <definedName name="v_40_GNH3_atm">Model!$CR$193</definedName>
    <definedName name="v_40_GO2">Model!$CJ$193</definedName>
    <definedName name="v_40_GO2_atm">Model!$CQ$193</definedName>
    <definedName name="v_40_SALPHA">Model!$CE$193</definedName>
    <definedName name="v_40_SAN">Model!$AX$193</definedName>
    <definedName name="v_40_SB">Model!$F$193</definedName>
    <definedName name="v_40_SCa">Model!$AY$193</definedName>
    <definedName name="v_40_SCAT">Model!$AW$193</definedName>
    <definedName name="v_40_SCH4">Model!$AS$193</definedName>
    <definedName name="v_40_SCO2">Model!$AU$193</definedName>
    <definedName name="v_40_SFe2">Model!$BE$193</definedName>
    <definedName name="v_40_SH">Model!$CD$193</definedName>
    <definedName name="v_40_SH2">Model!$AT$193</definedName>
    <definedName name="v_40_SH2S">Model!$BB$193</definedName>
    <definedName name="v_40_SK">Model!$BA$193</definedName>
    <definedName name="v_40_SMEOL">Model!$G$193</definedName>
    <definedName name="v_40_SMg">Model!$AZ$193</definedName>
    <definedName name="v_40_SMM_index">Model!$CU$193</definedName>
    <definedName name="v_40_SN_B">Model!$AH$193</definedName>
    <definedName name="v_40_SN2">Model!$AG$193</definedName>
    <definedName name="v_40_SNHx">Model!$AD$193</definedName>
    <definedName name="v_40_SNO2">Model!$AE$193</definedName>
    <definedName name="v_40_SNO3">Model!$AF$193</definedName>
    <definedName name="v_40_SO2">Model!$AR$193</definedName>
    <definedName name="v_40_SORPswitch">Model!$CF$193</definedName>
    <definedName name="v_40_SP_B">Model!$AN$193</definedName>
    <definedName name="v_40_SPFOA">Model!$BZ$193</definedName>
    <definedName name="v_40_SPFOS">Model!$CB$193</definedName>
    <definedName name="v_40_SPO4">Model!$AL$193</definedName>
    <definedName name="v_40_SSO4">Model!$BC$193</definedName>
    <definedName name="v_40_SU">Model!$K$193</definedName>
    <definedName name="v_40_SVFA">Model!$E$193</definedName>
    <definedName name="v_40_XACP">Model!$BU$193</definedName>
    <definedName name="v_40_XALGAE">Model!$AC$193</definedName>
    <definedName name="v_40_XAMETO">Model!$X$193</definedName>
    <definedName name="v_40_XAMX">Model!$W$193</definedName>
    <definedName name="v_40_XAOB">Model!$U$193</definedName>
    <definedName name="v_40_XASRO">Model!$Z$193</definedName>
    <definedName name="v_40_XB">Model!$I$193</definedName>
    <definedName name="v_40_XB_e">Model!$J$193</definedName>
    <definedName name="v_40_XBSH">Model!$BV$193</definedName>
    <definedName name="v_40_XCaCO3">Model!$BT$193</definedName>
    <definedName name="v_40_XCASTO">Model!$S$193</definedName>
    <definedName name="v_40_XE">Model!$P$193</definedName>
    <definedName name="v_40_XE_ana">Model!$Q$193</definedName>
    <definedName name="v_40_XFeS">Model!$BY$193</definedName>
    <definedName name="v_40_XHAO_H">Model!$BM$193</definedName>
    <definedName name="v_40_XHAO_H_P">Model!$BP$193</definedName>
    <definedName name="v_40_XHAO_H_P_old">Model!$BR$193</definedName>
    <definedName name="v_40_XHAO_L">Model!$BN$193</definedName>
    <definedName name="v_40_XHAO_L_P">Model!$BQ$193</definedName>
    <definedName name="v_40_XHAO_L_P_old">Model!$BS$193</definedName>
    <definedName name="v_40_XHAO_old">Model!$BO$193</definedName>
    <definedName name="v_40_XHFO_H">Model!$BF$193</definedName>
    <definedName name="v_40_XHFO_H_P">Model!$BI$193</definedName>
    <definedName name="v_40_XHFO_H_P_old">Model!$BK$193</definedName>
    <definedName name="v_40_XHFO_L">Model!$BG$193</definedName>
    <definedName name="v_40_XHFO_L_P">Model!$BJ$193</definedName>
    <definedName name="v_40_XHFO_L_P_old">Model!$BL$193</definedName>
    <definedName name="v_40_XHFO_old">Model!$BH$193</definedName>
    <definedName name="v_40_XHMETO">Model!$Y$193</definedName>
    <definedName name="v_40_XHSRO">Model!$AA$193</definedName>
    <definedName name="v_40_XINORG">Model!$AV$193</definedName>
    <definedName name="v_40_XMEOLO">Model!$T$193</definedName>
    <definedName name="v_40_XN_B">Model!$AI$193</definedName>
    <definedName name="v_40_XN_Be">Model!$AJ$193</definedName>
    <definedName name="v_40_XN_U">Model!$AK$193</definedName>
    <definedName name="v_40_XNOB">Model!$V$193</definedName>
    <definedName name="v_40_XOHO">Model!$R$193</definedName>
    <definedName name="v_40_XP_B">Model!$AO$193</definedName>
    <definedName name="v_40_XP_Be">Model!$AP$193</definedName>
    <definedName name="v_40_XP_U">Model!$AQ$193</definedName>
    <definedName name="v_40_XPFOA">Model!$CA$193</definedName>
    <definedName name="v_40_XPFOS">Model!$CC$193</definedName>
    <definedName name="v_40_XPHA_GAO">Model!$O$193</definedName>
    <definedName name="v_40_XPHA_PAO">Model!$N$193</definedName>
    <definedName name="v_40_XPP">Model!$AM$193</definedName>
    <definedName name="v_40_XS">Model!$BD$193</definedName>
    <definedName name="v_40_XSOO">Model!$AB$193</definedName>
    <definedName name="v_40_XSTR">Model!$BW$193</definedName>
    <definedName name="v_40_XU">Model!$M$193</definedName>
    <definedName name="v_40_XVivi">Model!$BX$193</definedName>
    <definedName name="v_41_CB">Model!$H$194</definedName>
    <definedName name="v_41_CU">Model!$L$194</definedName>
    <definedName name="v_41_GCH4">Model!$CH$194</definedName>
    <definedName name="v_41_GCH4_atm">Model!$CO$194</definedName>
    <definedName name="v_41_GCO2">Model!$CG$194</definedName>
    <definedName name="v_41_GCO2_atm">Model!$CN$194</definedName>
    <definedName name="v_41_GH2">Model!$CI$194</definedName>
    <definedName name="v_41_GH2_atm">Model!$CP$194</definedName>
    <definedName name="v_41_GH2S">Model!$CM$194</definedName>
    <definedName name="v_41_GH2S_atm">Model!$CT$194</definedName>
    <definedName name="v_41_GN2">Model!$CL$194</definedName>
    <definedName name="v_41_GN2_atm">Model!$CS$194</definedName>
    <definedName name="v_41_GNH3">Model!$CK$194</definedName>
    <definedName name="v_41_GNH3_atm">Model!$CR$194</definedName>
    <definedName name="v_41_GO2">Model!$CJ$194</definedName>
    <definedName name="v_41_GO2_atm">Model!$CQ$194</definedName>
    <definedName name="v_41_SALPHA">Model!$CE$194</definedName>
    <definedName name="v_41_SAN">Model!$AX$194</definedName>
    <definedName name="v_41_SB">Model!$F$194</definedName>
    <definedName name="v_41_SCa">Model!$AY$194</definedName>
    <definedName name="v_41_SCAT">Model!$AW$194</definedName>
    <definedName name="v_41_SCH4">Model!$AS$194</definedName>
    <definedName name="v_41_SCO2">Model!$AU$194</definedName>
    <definedName name="v_41_SFe2">Model!$BE$194</definedName>
    <definedName name="v_41_SH">Model!$CD$194</definedName>
    <definedName name="v_41_SH2">Model!$AT$194</definedName>
    <definedName name="v_41_SH2S">Model!$BB$194</definedName>
    <definedName name="v_41_SK">Model!$BA$194</definedName>
    <definedName name="v_41_SMEOL">Model!$G$194</definedName>
    <definedName name="v_41_SMg">Model!$AZ$194</definedName>
    <definedName name="v_41_SMM_index">Model!$CU$194</definedName>
    <definedName name="v_41_SN_B">Model!$AH$194</definedName>
    <definedName name="v_41_SN2">Model!$AG$194</definedName>
    <definedName name="v_41_SNHx">Model!$AD$194</definedName>
    <definedName name="v_41_SNO2">Model!$AE$194</definedName>
    <definedName name="v_41_SNO3">Model!$AF$194</definedName>
    <definedName name="v_41_SO2">Model!$AR$194</definedName>
    <definedName name="v_41_SORPswitch">Model!$CF$194</definedName>
    <definedName name="v_41_SP_B">Model!$AN$194</definedName>
    <definedName name="v_41_SPFOA">Model!$BZ$194</definedName>
    <definedName name="v_41_SPFOS">Model!$CB$194</definedName>
    <definedName name="v_41_SPO4">Model!$AL$194</definedName>
    <definedName name="v_41_SSO4">Model!$BC$194</definedName>
    <definedName name="v_41_SU">Model!$K$194</definedName>
    <definedName name="v_41_SVFA">Model!$E$194</definedName>
    <definedName name="v_41_XACP">Model!$BU$194</definedName>
    <definedName name="v_41_XALGAE">Model!$AC$194</definedName>
    <definedName name="v_41_XAMETO">Model!$X$194</definedName>
    <definedName name="v_41_XAMX">Model!$W$194</definedName>
    <definedName name="v_41_XAOB">Model!$U$194</definedName>
    <definedName name="v_41_XASRO">Model!$Z$194</definedName>
    <definedName name="v_41_XB">Model!$I$194</definedName>
    <definedName name="v_41_XB_e">Model!$J$194</definedName>
    <definedName name="v_41_XBSH">Model!$BV$194</definedName>
    <definedName name="v_41_XCaCO3">Model!$BT$194</definedName>
    <definedName name="v_41_XCASTO">Model!$S$194</definedName>
    <definedName name="v_41_XE">Model!$P$194</definedName>
    <definedName name="v_41_XE_ana">Model!$Q$194</definedName>
    <definedName name="v_41_XFeS">Model!$BY$194</definedName>
    <definedName name="v_41_XHAO_H">Model!$BM$194</definedName>
    <definedName name="v_41_XHAO_H_P">Model!$BP$194</definedName>
    <definedName name="v_41_XHAO_H_P_old">Model!$BR$194</definedName>
    <definedName name="v_41_XHAO_L">Model!$BN$194</definedName>
    <definedName name="v_41_XHAO_L_P">Model!$BQ$194</definedName>
    <definedName name="v_41_XHAO_L_P_old">Model!$BS$194</definedName>
    <definedName name="v_41_XHAO_old">Model!$BO$194</definedName>
    <definedName name="v_41_XHFO_H">Model!$BF$194</definedName>
    <definedName name="v_41_XHFO_H_P">Model!$BI$194</definedName>
    <definedName name="v_41_XHFO_H_P_old">Model!$BK$194</definedName>
    <definedName name="v_41_XHFO_L">Model!$BG$194</definedName>
    <definedName name="v_41_XHFO_L_P">Model!$BJ$194</definedName>
    <definedName name="v_41_XHFO_L_P_old">Model!$BL$194</definedName>
    <definedName name="v_41_XHFO_old">Model!$BH$194</definedName>
    <definedName name="v_41_XHMETO">Model!$Y$194</definedName>
    <definedName name="v_41_XHSRO">Model!$AA$194</definedName>
    <definedName name="v_41_XINORG">Model!$AV$194</definedName>
    <definedName name="v_41_XMEOLO">Model!$T$194</definedName>
    <definedName name="v_41_XN_B">Model!$AI$194</definedName>
    <definedName name="v_41_XN_Be">Model!$AJ$194</definedName>
    <definedName name="v_41_XN_U">Model!$AK$194</definedName>
    <definedName name="v_41_XNOB">Model!$V$194</definedName>
    <definedName name="v_41_XOHO">Model!$R$194</definedName>
    <definedName name="v_41_XP_B">Model!$AO$194</definedName>
    <definedName name="v_41_XP_Be">Model!$AP$194</definedName>
    <definedName name="v_41_XP_U">Model!$AQ$194</definedName>
    <definedName name="v_41_XPFOA">Model!$CA$194</definedName>
    <definedName name="v_41_XPFOS">Model!$CC$194</definedName>
    <definedName name="v_41_XPHA_GAO">Model!$O$194</definedName>
    <definedName name="v_41_XPHA_PAO">Model!$N$194</definedName>
    <definedName name="v_41_XPP">Model!$AM$194</definedName>
    <definedName name="v_41_XS">Model!$BD$194</definedName>
    <definedName name="v_41_XSOO">Model!$AB$194</definedName>
    <definedName name="v_41_XSTR">Model!$BW$194</definedName>
    <definedName name="v_41_XU">Model!$M$194</definedName>
    <definedName name="v_41_XVivi">Model!$BX$194</definedName>
    <definedName name="v_42_CB">Model!$H$195</definedName>
    <definedName name="v_42_CU">Model!$L$195</definedName>
    <definedName name="v_42_GCH4">Model!$CH$195</definedName>
    <definedName name="v_42_GCH4_atm">Model!$CO$195</definedName>
    <definedName name="v_42_GCO2">Model!$CG$195</definedName>
    <definedName name="v_42_GCO2_atm">Model!$CN$195</definedName>
    <definedName name="v_42_GH2">Model!$CI$195</definedName>
    <definedName name="v_42_GH2_atm">Model!$CP$195</definedName>
    <definedName name="v_42_GH2S">Model!$CM$195</definedName>
    <definedName name="v_42_GH2S_atm">Model!$CT$195</definedName>
    <definedName name="v_42_GN2">Model!$CL$195</definedName>
    <definedName name="v_42_GN2_atm">Model!$CS$195</definedName>
    <definedName name="v_42_GNH3">Model!$CK$195</definedName>
    <definedName name="v_42_GNH3_atm">Model!$CR$195</definedName>
    <definedName name="v_42_GO2">Model!$CJ$195</definedName>
    <definedName name="v_42_GO2_atm">Model!$CQ$195</definedName>
    <definedName name="v_42_SALPHA">Model!$CE$195</definedName>
    <definedName name="v_42_SAN">Model!$AX$195</definedName>
    <definedName name="v_42_SB">Model!$F$195</definedName>
    <definedName name="v_42_SCa">Model!$AY$195</definedName>
    <definedName name="v_42_SCAT">Model!$AW$195</definedName>
    <definedName name="v_42_SCH4">Model!$AS$195</definedName>
    <definedName name="v_42_SCO2">Model!$AU$195</definedName>
    <definedName name="v_42_SFe2">Model!$BE$195</definedName>
    <definedName name="v_42_SH">Model!$CD$195</definedName>
    <definedName name="v_42_SH2">Model!$AT$195</definedName>
    <definedName name="v_42_SH2S">Model!$BB$195</definedName>
    <definedName name="v_42_SK">Model!$BA$195</definedName>
    <definedName name="v_42_SMEOL">Model!$G$195</definedName>
    <definedName name="v_42_SMg">Model!$AZ$195</definedName>
    <definedName name="v_42_SMM_index">Model!$CU$195</definedName>
    <definedName name="v_42_SN_B">Model!$AH$195</definedName>
    <definedName name="v_42_SN2">Model!$AG$195</definedName>
    <definedName name="v_42_SNHx">Model!$AD$195</definedName>
    <definedName name="v_42_SNO2">Model!$AE$195</definedName>
    <definedName name="v_42_SNO3">Model!$AF$195</definedName>
    <definedName name="v_42_SO2">Model!$AR$195</definedName>
    <definedName name="v_42_SORPswitch">Model!$CF$195</definedName>
    <definedName name="v_42_SP_B">Model!$AN$195</definedName>
    <definedName name="v_42_SPFOA">Model!$BZ$195</definedName>
    <definedName name="v_42_SPFOS">Model!$CB$195</definedName>
    <definedName name="v_42_SPO4">Model!$AL$195</definedName>
    <definedName name="v_42_SSO4">Model!$BC$195</definedName>
    <definedName name="v_42_SU">Model!$K$195</definedName>
    <definedName name="v_42_SVFA">Model!$E$195</definedName>
    <definedName name="v_42_XACP">Model!$BU$195</definedName>
    <definedName name="v_42_XALGAE">Model!$AC$195</definedName>
    <definedName name="v_42_XAMETO">Model!$X$195</definedName>
    <definedName name="v_42_XAMX">Model!$W$195</definedName>
    <definedName name="v_42_XAOB">Model!$U$195</definedName>
    <definedName name="v_42_XASRO">Model!$Z$195</definedName>
    <definedName name="v_42_XB">Model!$I$195</definedName>
    <definedName name="v_42_XB_e">Model!$J$195</definedName>
    <definedName name="v_42_XBSH">Model!$BV$195</definedName>
    <definedName name="v_42_XCaCO3">Model!$BT$195</definedName>
    <definedName name="v_42_XCASTO">Model!$S$195</definedName>
    <definedName name="v_42_XE">Model!$P$195</definedName>
    <definedName name="v_42_XE_ana">Model!$Q$195</definedName>
    <definedName name="v_42_XFeS">Model!$BY$195</definedName>
    <definedName name="v_42_XHAO_H">Model!$BM$195</definedName>
    <definedName name="v_42_XHAO_H_P">Model!$BP$195</definedName>
    <definedName name="v_42_XHAO_H_P_old">Model!$BR$195</definedName>
    <definedName name="v_42_XHAO_L">Model!$BN$195</definedName>
    <definedName name="v_42_XHAO_L_P">Model!$BQ$195</definedName>
    <definedName name="v_42_XHAO_L_P_old">Model!$BS$195</definedName>
    <definedName name="v_42_XHAO_old">Model!$BO$195</definedName>
    <definedName name="v_42_XHFO_H">Model!$BF$195</definedName>
    <definedName name="v_42_XHFO_H_P">Model!$BI$195</definedName>
    <definedName name="v_42_XHFO_H_P_old">Model!$BK$195</definedName>
    <definedName name="v_42_XHFO_L">Model!$BG$195</definedName>
    <definedName name="v_42_XHFO_L_P">Model!$BJ$195</definedName>
    <definedName name="v_42_XHFO_L_P_old">Model!$BL$195</definedName>
    <definedName name="v_42_XHFO_old">Model!$BH$195</definedName>
    <definedName name="v_42_XHMETO">Model!$Y$195</definedName>
    <definedName name="v_42_XHSRO">Model!$AA$195</definedName>
    <definedName name="v_42_XINORG">Model!$AV$195</definedName>
    <definedName name="v_42_XMEOLO">Model!$T$195</definedName>
    <definedName name="v_42_XN_B">Model!$AI$195</definedName>
    <definedName name="v_42_XN_Be">Model!$AJ$195</definedName>
    <definedName name="v_42_XN_U">Model!$AK$195</definedName>
    <definedName name="v_42_XNOB">Model!$V$195</definedName>
    <definedName name="v_42_XOHO">Model!$R$195</definedName>
    <definedName name="v_42_XP_B">Model!$AO$195</definedName>
    <definedName name="v_42_XP_Be">Model!$AP$195</definedName>
    <definedName name="v_42_XP_U">Model!$AQ$195</definedName>
    <definedName name="v_42_XPFOA">Model!$CA$195</definedName>
    <definedName name="v_42_XPFOS">Model!$CC$195</definedName>
    <definedName name="v_42_XPHA_GAO">Model!$O$195</definedName>
    <definedName name="v_42_XPHA_PAO">Model!$N$195</definedName>
    <definedName name="v_42_XPP">Model!$AM$195</definedName>
    <definedName name="v_42_XS">Model!$BD$195</definedName>
    <definedName name="v_42_XSOO">Model!$AB$195</definedName>
    <definedName name="v_42_XSTR">Model!$BW$195</definedName>
    <definedName name="v_42_XU">Model!$M$195</definedName>
    <definedName name="v_42_XVivi">Model!$BX$195</definedName>
    <definedName name="v_43_CB">Model!$H$196</definedName>
    <definedName name="v_43_CU">Model!$L$196</definedName>
    <definedName name="v_43_GCH4">Model!$CH$196</definedName>
    <definedName name="v_43_GCH4_atm">Model!$CO$196</definedName>
    <definedName name="v_43_GCO2">Model!$CG$196</definedName>
    <definedName name="v_43_GCO2_atm">Model!$CN$196</definedName>
    <definedName name="v_43_GH2">Model!$CI$196</definedName>
    <definedName name="v_43_GH2_atm">Model!$CP$196</definedName>
    <definedName name="v_43_GH2S">Model!$CM$196</definedName>
    <definedName name="v_43_GH2S_atm">Model!$CT$196</definedName>
    <definedName name="v_43_GN2">Model!$CL$196</definedName>
    <definedName name="v_43_GN2_atm">Model!$CS$196</definedName>
    <definedName name="v_43_GNH3">Model!$CK$196</definedName>
    <definedName name="v_43_GNH3_atm">Model!$CR$196</definedName>
    <definedName name="v_43_GO2">Model!$CJ$196</definedName>
    <definedName name="v_43_GO2_atm">Model!$CQ$196</definedName>
    <definedName name="v_43_SALPHA">Model!$CE$196</definedName>
    <definedName name="v_43_SAN">Model!$AX$196</definedName>
    <definedName name="v_43_SB">Model!$F$196</definedName>
    <definedName name="v_43_SCa">Model!$AY$196</definedName>
    <definedName name="v_43_SCAT">Model!$AW$196</definedName>
    <definedName name="v_43_SCH4">Model!$AS$196</definedName>
    <definedName name="v_43_SCO2">Model!$AU$196</definedName>
    <definedName name="v_43_SFe2">Model!$BE$196</definedName>
    <definedName name="v_43_SH">Model!$CD$196</definedName>
    <definedName name="v_43_SH2">Model!$AT$196</definedName>
    <definedName name="v_43_SH2S">Model!$BB$196</definedName>
    <definedName name="v_43_SK">Model!$BA$196</definedName>
    <definedName name="v_43_SMEOL">Model!$G$196</definedName>
    <definedName name="v_43_SMg">Model!$AZ$196</definedName>
    <definedName name="v_43_SMM_index">Model!$CU$196</definedName>
    <definedName name="v_43_SN_B">Model!$AH$196</definedName>
    <definedName name="v_43_SN2">Model!$AG$196</definedName>
    <definedName name="v_43_SNHx">Model!$AD$196</definedName>
    <definedName name="v_43_SNO2">Model!$AE$196</definedName>
    <definedName name="v_43_SNO3">Model!$AF$196</definedName>
    <definedName name="v_43_SO2">Model!$AR$196</definedName>
    <definedName name="v_43_SORPswitch">Model!$CF$196</definedName>
    <definedName name="v_43_SP_B">Model!$AN$196</definedName>
    <definedName name="v_43_SPFOA">Model!$BZ$196</definedName>
    <definedName name="v_43_SPFOS">Model!$CB$196</definedName>
    <definedName name="v_43_SPO4">Model!$AL$196</definedName>
    <definedName name="v_43_SSO4">Model!$BC$196</definedName>
    <definedName name="v_43_SU">Model!$K$196</definedName>
    <definedName name="v_43_SVFA">Model!$E$196</definedName>
    <definedName name="v_43_XACP">Model!$BU$196</definedName>
    <definedName name="v_43_XALGAE">Model!$AC$196</definedName>
    <definedName name="v_43_XAMETO">Model!$X$196</definedName>
    <definedName name="v_43_XAMX">Model!$W$196</definedName>
    <definedName name="v_43_XAOB">Model!$U$196</definedName>
    <definedName name="v_43_XASRO">Model!$Z$196</definedName>
    <definedName name="v_43_XB">Model!$I$196</definedName>
    <definedName name="v_43_XB_e">Model!$J$196</definedName>
    <definedName name="v_43_XBSH">Model!$BV$196</definedName>
    <definedName name="v_43_XCaCO3">Model!$BT$196</definedName>
    <definedName name="v_43_XCASTO">Model!$S$196</definedName>
    <definedName name="v_43_XE">Model!$P$196</definedName>
    <definedName name="v_43_XE_ana">Model!$Q$196</definedName>
    <definedName name="v_43_XFeS">Model!$BY$196</definedName>
    <definedName name="v_43_XHAO_H">Model!$BM$196</definedName>
    <definedName name="v_43_XHAO_H_P">Model!$BP$196</definedName>
    <definedName name="v_43_XHAO_H_P_old">Model!$BR$196</definedName>
    <definedName name="v_43_XHAO_L">Model!$BN$196</definedName>
    <definedName name="v_43_XHAO_L_P">Model!$BQ$196</definedName>
    <definedName name="v_43_XHAO_L_P_old">Model!$BS$196</definedName>
    <definedName name="v_43_XHAO_old">Model!$BO$196</definedName>
    <definedName name="v_43_XHFO_H">Model!$BF$196</definedName>
    <definedName name="v_43_XHFO_H_P">Model!$BI$196</definedName>
    <definedName name="v_43_XHFO_H_P_old">Model!$BK$196</definedName>
    <definedName name="v_43_XHFO_L">Model!$BG$196</definedName>
    <definedName name="v_43_XHFO_L_P">Model!$BJ$196</definedName>
    <definedName name="v_43_XHFO_L_P_old">Model!$BL$196</definedName>
    <definedName name="v_43_XHFO_old">Model!$BH$196</definedName>
    <definedName name="v_43_XHMETO">Model!$Y$196</definedName>
    <definedName name="v_43_XHSRO">Model!$AA$196</definedName>
    <definedName name="v_43_XINORG">Model!$AV$196</definedName>
    <definedName name="v_43_XMEOLO">Model!$T$196</definedName>
    <definedName name="v_43_XN_B">Model!$AI$196</definedName>
    <definedName name="v_43_XN_Be">Model!$AJ$196</definedName>
    <definedName name="v_43_XN_U">Model!$AK$196</definedName>
    <definedName name="v_43_XNOB">Model!$V$196</definedName>
    <definedName name="v_43_XOHO">Model!$R$196</definedName>
    <definedName name="v_43_XP_B">Model!$AO$196</definedName>
    <definedName name="v_43_XP_Be">Model!$AP$196</definedName>
    <definedName name="v_43_XP_U">Model!$AQ$196</definedName>
    <definedName name="v_43_XPFOA">Model!$CA$196</definedName>
    <definedName name="v_43_XPFOS">Model!$CC$196</definedName>
    <definedName name="v_43_XPHA_GAO">Model!$O$196</definedName>
    <definedName name="v_43_XPHA_PAO">Model!$N$196</definedName>
    <definedName name="v_43_XPP">Model!$AM$196</definedName>
    <definedName name="v_43_XS">Model!$BD$196</definedName>
    <definedName name="v_43_XSOO">Model!$AB$196</definedName>
    <definedName name="v_43_XSTR">Model!$BW$196</definedName>
    <definedName name="v_43_XU">Model!$M$196</definedName>
    <definedName name="v_43_XVivi">Model!$BX$196</definedName>
    <definedName name="v_44_CB">Model!$H$197</definedName>
    <definedName name="v_44_CU">Model!$L$197</definedName>
    <definedName name="v_44_GCH4">Model!$CH$197</definedName>
    <definedName name="v_44_GCH4_atm">Model!$CO$197</definedName>
    <definedName name="v_44_GCO2">Model!$CG$197</definedName>
    <definedName name="v_44_GCO2_atm">Model!$CN$197</definedName>
    <definedName name="v_44_GH2">Model!$CI$197</definedName>
    <definedName name="v_44_GH2_atm">Model!$CP$197</definedName>
    <definedName name="v_44_GH2S">Model!$CM$197</definedName>
    <definedName name="v_44_GH2S_atm">Model!$CT$197</definedName>
    <definedName name="v_44_GN2">Model!$CL$197</definedName>
    <definedName name="v_44_GN2_atm">Model!$CS$197</definedName>
    <definedName name="v_44_GNH3">Model!$CK$197</definedName>
    <definedName name="v_44_GNH3_atm">Model!$CR$197</definedName>
    <definedName name="v_44_GO2">Model!$CJ$197</definedName>
    <definedName name="v_44_GO2_atm">Model!$CQ$197</definedName>
    <definedName name="v_44_SALPHA">Model!$CE$197</definedName>
    <definedName name="v_44_SAN">Model!$AX$197</definedName>
    <definedName name="v_44_SB">Model!$F$197</definedName>
    <definedName name="v_44_SCa">Model!$AY$197</definedName>
    <definedName name="v_44_SCAT">Model!$AW$197</definedName>
    <definedName name="v_44_SCH4">Model!$AS$197</definedName>
    <definedName name="v_44_SCO2">Model!$AU$197</definedName>
    <definedName name="v_44_SFe2">Model!$BE$197</definedName>
    <definedName name="v_44_SH">Model!$CD$197</definedName>
    <definedName name="v_44_SH2">Model!$AT$197</definedName>
    <definedName name="v_44_SH2S">Model!$BB$197</definedName>
    <definedName name="v_44_SK">Model!$BA$197</definedName>
    <definedName name="v_44_SMEOL">Model!$G$197</definedName>
    <definedName name="v_44_SMg">Model!$AZ$197</definedName>
    <definedName name="v_44_SMM_index">Model!$CU$197</definedName>
    <definedName name="v_44_SN_B">Model!$AH$197</definedName>
    <definedName name="v_44_SN2">Model!$AG$197</definedName>
    <definedName name="v_44_SNHx">Model!$AD$197</definedName>
    <definedName name="v_44_SNO2">Model!$AE$197</definedName>
    <definedName name="v_44_SNO3">Model!$AF$197</definedName>
    <definedName name="v_44_SO2">Model!$AR$197</definedName>
    <definedName name="v_44_SORPswitch">Model!$CF$197</definedName>
    <definedName name="v_44_SP_B">Model!$AN$197</definedName>
    <definedName name="v_44_SPFOA">Model!$BZ$197</definedName>
    <definedName name="v_44_SPFOS">Model!$CB$197</definedName>
    <definedName name="v_44_SPO4">Model!$AL$197</definedName>
    <definedName name="v_44_SSO4">Model!$BC$197</definedName>
    <definedName name="v_44_SU">Model!$K$197</definedName>
    <definedName name="v_44_SVFA">Model!$E$197</definedName>
    <definedName name="v_44_XACP">Model!$BU$197</definedName>
    <definedName name="v_44_XALGAE">Model!$AC$197</definedName>
    <definedName name="v_44_XAMETO">Model!$X$197</definedName>
    <definedName name="v_44_XAMX">Model!$W$197</definedName>
    <definedName name="v_44_XAOB">Model!$U$197</definedName>
    <definedName name="v_44_XASRO">Model!$Z$197</definedName>
    <definedName name="v_44_XB">Model!$I$197</definedName>
    <definedName name="v_44_XB_e">Model!$J$197</definedName>
    <definedName name="v_44_XBSH">Model!$BV$197</definedName>
    <definedName name="v_44_XCaCO3">Model!$BT$197</definedName>
    <definedName name="v_44_XCASTO">Model!$S$197</definedName>
    <definedName name="v_44_XE">Model!$P$197</definedName>
    <definedName name="v_44_XE_ana">Model!$Q$197</definedName>
    <definedName name="v_44_XFeS">Model!$BY$197</definedName>
    <definedName name="v_44_XHAO_H">Model!$BM$197</definedName>
    <definedName name="v_44_XHAO_H_P">Model!$BP$197</definedName>
    <definedName name="v_44_XHAO_H_P_old">Model!$BR$197</definedName>
    <definedName name="v_44_XHAO_L">Model!$BN$197</definedName>
    <definedName name="v_44_XHAO_L_P">Model!$BQ$197</definedName>
    <definedName name="v_44_XHAO_L_P_old">Model!$BS$197</definedName>
    <definedName name="v_44_XHAO_old">Model!$BO$197</definedName>
    <definedName name="v_44_XHFO_H">Model!$BF$197</definedName>
    <definedName name="v_44_XHFO_H_P">Model!$BI$197</definedName>
    <definedName name="v_44_XHFO_H_P_old">Model!$BK$197</definedName>
    <definedName name="v_44_XHFO_L">Model!$BG$197</definedName>
    <definedName name="v_44_XHFO_L_P">Model!$BJ$197</definedName>
    <definedName name="v_44_XHFO_L_P_old">Model!$BL$197</definedName>
    <definedName name="v_44_XHFO_old">Model!$BH$197</definedName>
    <definedName name="v_44_XHMETO">Model!$Y$197</definedName>
    <definedName name="v_44_XHSRO">Model!$AA$197</definedName>
    <definedName name="v_44_XINORG">Model!$AV$197</definedName>
    <definedName name="v_44_XMEOLO">Model!$T$197</definedName>
    <definedName name="v_44_XN_B">Model!$AI$197</definedName>
    <definedName name="v_44_XN_Be">Model!$AJ$197</definedName>
    <definedName name="v_44_XN_U">Model!$AK$197</definedName>
    <definedName name="v_44_XNOB">Model!$V$197</definedName>
    <definedName name="v_44_XOHO">Model!$R$197</definedName>
    <definedName name="v_44_XP_B">Model!$AO$197</definedName>
    <definedName name="v_44_XP_Be">Model!$AP$197</definedName>
    <definedName name="v_44_XP_U">Model!$AQ$197</definedName>
    <definedName name="v_44_XPFOA">Model!$CA$197</definedName>
    <definedName name="v_44_XPFOS">Model!$CC$197</definedName>
    <definedName name="v_44_XPHA_GAO">Model!$O$197</definedName>
    <definedName name="v_44_XPHA_PAO">Model!$N$197</definedName>
    <definedName name="v_44_XPP">Model!$AM$197</definedName>
    <definedName name="v_44_XS">Model!$BD$197</definedName>
    <definedName name="v_44_XSOO">Model!$AB$197</definedName>
    <definedName name="v_44_XSTR">Model!$BW$197</definedName>
    <definedName name="v_44_XU">Model!$M$197</definedName>
    <definedName name="v_44_XVivi">Model!$BX$197</definedName>
    <definedName name="v_45_CB">Model!$H$198</definedName>
    <definedName name="v_45_CU">Model!$L$198</definedName>
    <definedName name="v_45_GCH4">Model!$CH$198</definedName>
    <definedName name="v_45_GCH4_atm">Model!$CO$198</definedName>
    <definedName name="v_45_GCO2">Model!$CG$198</definedName>
    <definedName name="v_45_GCO2_atm">Model!$CN$198</definedName>
    <definedName name="v_45_GH2">Model!$CI$198</definedName>
    <definedName name="v_45_GH2_atm">Model!$CP$198</definedName>
    <definedName name="v_45_GH2S">Model!$CM$198</definedName>
    <definedName name="v_45_GH2S_atm">Model!$CT$198</definedName>
    <definedName name="v_45_GN2">Model!$CL$198</definedName>
    <definedName name="v_45_GN2_atm">Model!$CS$198</definedName>
    <definedName name="v_45_GNH3">Model!$CK$198</definedName>
    <definedName name="v_45_GNH3_atm">Model!$CR$198</definedName>
    <definedName name="v_45_GO2">Model!$CJ$198</definedName>
    <definedName name="v_45_GO2_atm">Model!$CQ$198</definedName>
    <definedName name="v_45_SALPHA">Model!$CE$198</definedName>
    <definedName name="v_45_SAN">Model!$AX$198</definedName>
    <definedName name="v_45_SB">Model!$F$198</definedName>
    <definedName name="v_45_SCa">Model!$AY$198</definedName>
    <definedName name="v_45_SCAT">Model!$AW$198</definedName>
    <definedName name="v_45_SCH4">Model!$AS$198</definedName>
    <definedName name="v_45_SCO2">Model!$AU$198</definedName>
    <definedName name="v_45_SFe2">Model!$BE$198</definedName>
    <definedName name="v_45_SH">Model!$CD$198</definedName>
    <definedName name="v_45_SH2">Model!$AT$198</definedName>
    <definedName name="v_45_SH2S">Model!$BB$198</definedName>
    <definedName name="v_45_SK">Model!$BA$198</definedName>
    <definedName name="v_45_SMEOL">Model!$G$198</definedName>
    <definedName name="v_45_SMg">Model!$AZ$198</definedName>
    <definedName name="v_45_SMM_index">Model!$CU$198</definedName>
    <definedName name="v_45_SN_B">Model!$AH$198</definedName>
    <definedName name="v_45_SN2">Model!$AG$198</definedName>
    <definedName name="v_45_SNHx">Model!$AD$198</definedName>
    <definedName name="v_45_SNO2">Model!$AE$198</definedName>
    <definedName name="v_45_SNO3">Model!$AF$198</definedName>
    <definedName name="v_45_SO2">Model!$AR$198</definedName>
    <definedName name="v_45_SORPswitch">Model!$CF$198</definedName>
    <definedName name="v_45_SP_B">Model!$AN$198</definedName>
    <definedName name="v_45_SPFOA">Model!$BZ$198</definedName>
    <definedName name="v_45_SPFOS">Model!$CB$198</definedName>
    <definedName name="v_45_SPO4">Model!$AL$198</definedName>
    <definedName name="v_45_SSO4">Model!$BC$198</definedName>
    <definedName name="v_45_SU">Model!$K$198</definedName>
    <definedName name="v_45_SVFA">Model!$E$198</definedName>
    <definedName name="v_45_XACP">Model!$BU$198</definedName>
    <definedName name="v_45_XALGAE">Model!$AC$198</definedName>
    <definedName name="v_45_XAMETO">Model!$X$198</definedName>
    <definedName name="v_45_XAMX">Model!$W$198</definedName>
    <definedName name="v_45_XAOB">Model!$U$198</definedName>
    <definedName name="v_45_XASRO">Model!$Z$198</definedName>
    <definedName name="v_45_XB">Model!$I$198</definedName>
    <definedName name="v_45_XB_e">Model!$J$198</definedName>
    <definedName name="v_45_XBSH">Model!$BV$198</definedName>
    <definedName name="v_45_XCaCO3">Model!$BT$198</definedName>
    <definedName name="v_45_XCASTO">Model!$S$198</definedName>
    <definedName name="v_45_XE">Model!$P$198</definedName>
    <definedName name="v_45_XE_ana">Model!$Q$198</definedName>
    <definedName name="v_45_XFeS">Model!$BY$198</definedName>
    <definedName name="v_45_XHAO_H">Model!$BM$198</definedName>
    <definedName name="v_45_XHAO_H_P">Model!$BP$198</definedName>
    <definedName name="v_45_XHAO_H_P_old">Model!$BR$198</definedName>
    <definedName name="v_45_XHAO_L">Model!$BN$198</definedName>
    <definedName name="v_45_XHAO_L_P">Model!$BQ$198</definedName>
    <definedName name="v_45_XHAO_L_P_old">Model!$BS$198</definedName>
    <definedName name="v_45_XHAO_old">Model!$BO$198</definedName>
    <definedName name="v_45_XHFO_H">Model!$BF$198</definedName>
    <definedName name="v_45_XHFO_H_P">Model!$BI$198</definedName>
    <definedName name="v_45_XHFO_H_P_old">Model!$BK$198</definedName>
    <definedName name="v_45_XHFO_L">Model!$BG$198</definedName>
    <definedName name="v_45_XHFO_L_P">Model!$BJ$198</definedName>
    <definedName name="v_45_XHFO_L_P_old">Model!$BL$198</definedName>
    <definedName name="v_45_XHFO_old">Model!$BH$198</definedName>
    <definedName name="v_45_XHMETO">Model!$Y$198</definedName>
    <definedName name="v_45_XHSRO">Model!$AA$198</definedName>
    <definedName name="v_45_XINORG">Model!$AV$198</definedName>
    <definedName name="v_45_XMEOLO">Model!$T$198</definedName>
    <definedName name="v_45_XN_B">Model!$AI$198</definedName>
    <definedName name="v_45_XN_Be">Model!$AJ$198</definedName>
    <definedName name="v_45_XN_U">Model!$AK$198</definedName>
    <definedName name="v_45_XNOB">Model!$V$198</definedName>
    <definedName name="v_45_XOHO">Model!$R$198</definedName>
    <definedName name="v_45_XP_B">Model!$AO$198</definedName>
    <definedName name="v_45_XP_Be">Model!$AP$198</definedName>
    <definedName name="v_45_XP_U">Model!$AQ$198</definedName>
    <definedName name="v_45_XPFOA">Model!$CA$198</definedName>
    <definedName name="v_45_XPFOS">Model!$CC$198</definedName>
    <definedName name="v_45_XPHA_GAO">Model!$O$198</definedName>
    <definedName name="v_45_XPHA_PAO">Model!$N$198</definedName>
    <definedName name="v_45_XPP">Model!$AM$198</definedName>
    <definedName name="v_45_XS">Model!$BD$198</definedName>
    <definedName name="v_45_XSOO">Model!$AB$198</definedName>
    <definedName name="v_45_XSTR">Model!$BW$198</definedName>
    <definedName name="v_45_XU">Model!$M$198</definedName>
    <definedName name="v_45_XVivi">Model!$BX$198</definedName>
    <definedName name="v_46_CB">Model!$H$199</definedName>
    <definedName name="v_46_CU">Model!$L$199</definedName>
    <definedName name="v_46_GCH4">Model!$CH$199</definedName>
    <definedName name="v_46_GCH4_atm">Model!$CO$199</definedName>
    <definedName name="v_46_GCO2">Model!$CG$199</definedName>
    <definedName name="v_46_GCO2_atm">Model!$CN$199</definedName>
    <definedName name="v_46_GH2">Model!$CI$199</definedName>
    <definedName name="v_46_GH2_atm">Model!$CP$199</definedName>
    <definedName name="v_46_GH2S">Model!$CM$199</definedName>
    <definedName name="v_46_GH2S_atm">Model!$CT$199</definedName>
    <definedName name="v_46_GN2">Model!$CL$199</definedName>
    <definedName name="v_46_GN2_atm">Model!$CS$199</definedName>
    <definedName name="v_46_GNH3">Model!$CK$199</definedName>
    <definedName name="v_46_GNH3_atm">Model!$CR$199</definedName>
    <definedName name="v_46_GO2">Model!$CJ$199</definedName>
    <definedName name="v_46_GO2_atm">Model!$CQ$199</definedName>
    <definedName name="v_46_SALPHA">Model!$CE$199</definedName>
    <definedName name="v_46_SAN">Model!$AX$199</definedName>
    <definedName name="v_46_SB">Model!$F$199</definedName>
    <definedName name="v_46_SCa">Model!$AY$199</definedName>
    <definedName name="v_46_SCAT">Model!$AW$199</definedName>
    <definedName name="v_46_SCH4">Model!$AS$199</definedName>
    <definedName name="v_46_SCO2">Model!$AU$199</definedName>
    <definedName name="v_46_SFe2">Model!$BE$199</definedName>
    <definedName name="v_46_SH">Model!$CD$199</definedName>
    <definedName name="v_46_SH2">Model!$AT$199</definedName>
    <definedName name="v_46_SH2S">Model!$BB$199</definedName>
    <definedName name="v_46_SK">Model!$BA$199</definedName>
    <definedName name="v_46_SMEOL">Model!$G$199</definedName>
    <definedName name="v_46_SMg">Model!$AZ$199</definedName>
    <definedName name="v_46_SMM_index">Model!$CU$199</definedName>
    <definedName name="v_46_SN_B">Model!$AH$199</definedName>
    <definedName name="v_46_SN2">Model!$AG$199</definedName>
    <definedName name="v_46_SNHx">Model!$AD$199</definedName>
    <definedName name="v_46_SNO2">Model!$AE$199</definedName>
    <definedName name="v_46_SNO3">Model!$AF$199</definedName>
    <definedName name="v_46_SO2">Model!$AR$199</definedName>
    <definedName name="v_46_SORPswitch">Model!$CF$199</definedName>
    <definedName name="v_46_SP_B">Model!$AN$199</definedName>
    <definedName name="v_46_SPFOA">Model!$BZ$199</definedName>
    <definedName name="v_46_SPFOS">Model!$CB$199</definedName>
    <definedName name="v_46_SPO4">Model!$AL$199</definedName>
    <definedName name="v_46_SSO4">Model!$BC$199</definedName>
    <definedName name="v_46_SU">Model!$K$199</definedName>
    <definedName name="v_46_SVFA">Model!$E$199</definedName>
    <definedName name="v_46_XACP">Model!$BU$199</definedName>
    <definedName name="v_46_XALGAE">Model!$AC$199</definedName>
    <definedName name="v_46_XAMETO">Model!$X$199</definedName>
    <definedName name="v_46_XAMX">Model!$W$199</definedName>
    <definedName name="v_46_XAOB">Model!$U$199</definedName>
    <definedName name="v_46_XASRO">Model!$Z$199</definedName>
    <definedName name="v_46_XB">Model!$I$199</definedName>
    <definedName name="v_46_XB_e">Model!$J$199</definedName>
    <definedName name="v_46_XBSH">Model!$BV$199</definedName>
    <definedName name="v_46_XCaCO3">Model!$BT$199</definedName>
    <definedName name="v_46_XCASTO">Model!$S$199</definedName>
    <definedName name="v_46_XE">Model!$P$199</definedName>
    <definedName name="v_46_XE_ana">Model!$Q$199</definedName>
    <definedName name="v_46_XFeS">Model!$BY$199</definedName>
    <definedName name="v_46_XHAO_H">Model!$BM$199</definedName>
    <definedName name="v_46_XHAO_H_P">Model!$BP$199</definedName>
    <definedName name="v_46_XHAO_H_P_old">Model!$BR$199</definedName>
    <definedName name="v_46_XHAO_L">Model!$BN$199</definedName>
    <definedName name="v_46_XHAO_L_P">Model!$BQ$199</definedName>
    <definedName name="v_46_XHAO_L_P_old">Model!$BS$199</definedName>
    <definedName name="v_46_XHAO_old">Model!$BO$199</definedName>
    <definedName name="v_46_XHFO_H">Model!$BF$199</definedName>
    <definedName name="v_46_XHFO_H_P">Model!$BI$199</definedName>
    <definedName name="v_46_XHFO_H_P_old">Model!$BK$199</definedName>
    <definedName name="v_46_XHFO_L">Model!$BG$199</definedName>
    <definedName name="v_46_XHFO_L_P">Model!$BJ$199</definedName>
    <definedName name="v_46_XHFO_L_P_old">Model!$BL$199</definedName>
    <definedName name="v_46_XHFO_old">Model!$BH$199</definedName>
    <definedName name="v_46_XHMETO">Model!$Y$199</definedName>
    <definedName name="v_46_XHSRO">Model!$AA$199</definedName>
    <definedName name="v_46_XINORG">Model!$AV$199</definedName>
    <definedName name="v_46_XMEOLO">Model!$T$199</definedName>
    <definedName name="v_46_XN_B">Model!$AI$199</definedName>
    <definedName name="v_46_XN_Be">Model!$AJ$199</definedName>
    <definedName name="v_46_XN_U">Model!$AK$199</definedName>
    <definedName name="v_46_XNOB">Model!$V$199</definedName>
    <definedName name="v_46_XOHO">Model!$R$199</definedName>
    <definedName name="v_46_XP_B">Model!$AO$199</definedName>
    <definedName name="v_46_XP_Be">Model!$AP$199</definedName>
    <definedName name="v_46_XP_U">Model!$AQ$199</definedName>
    <definedName name="v_46_XPFOA">Model!$CA$199</definedName>
    <definedName name="v_46_XPFOS">Model!$CC$199</definedName>
    <definedName name="v_46_XPHA_GAO">Model!$O$199</definedName>
    <definedName name="v_46_XPHA_PAO">Model!$N$199</definedName>
    <definedName name="v_46_XPP">Model!$AM$199</definedName>
    <definedName name="v_46_XS">Model!$BD$199</definedName>
    <definedName name="v_46_XSOO">Model!$AB$199</definedName>
    <definedName name="v_46_XSTR">Model!$BW$199</definedName>
    <definedName name="v_46_XU">Model!$M$199</definedName>
    <definedName name="v_46_XVivi">Model!$BX$199</definedName>
    <definedName name="v_47_CB">Model!$H$200</definedName>
    <definedName name="v_47_CU">Model!$L$200</definedName>
    <definedName name="v_47_GCH4">Model!$CH$200</definedName>
    <definedName name="v_47_GCH4_atm">Model!$CO$200</definedName>
    <definedName name="v_47_GCO2">Model!$CG$200</definedName>
    <definedName name="v_47_GCO2_atm">Model!$CN$200</definedName>
    <definedName name="v_47_GH2">Model!$CI$200</definedName>
    <definedName name="v_47_GH2_atm">Model!$CP$200</definedName>
    <definedName name="v_47_GH2S">Model!$CM$200</definedName>
    <definedName name="v_47_GH2S_atm">Model!$CT$200</definedName>
    <definedName name="v_47_GN2">Model!$CL$200</definedName>
    <definedName name="v_47_GN2_atm">Model!$CS$200</definedName>
    <definedName name="v_47_GNH3">Model!$CK$200</definedName>
    <definedName name="v_47_GNH3_atm">Model!$CR$200</definedName>
    <definedName name="v_47_GO2">Model!$CJ$200</definedName>
    <definedName name="v_47_GO2_atm">Model!$CQ$200</definedName>
    <definedName name="v_47_SALPHA">Model!$CE$200</definedName>
    <definedName name="v_47_SAN">Model!$AX$200</definedName>
    <definedName name="v_47_SB">Model!$F$200</definedName>
    <definedName name="v_47_SCa">Model!$AY$200</definedName>
    <definedName name="v_47_SCAT">Model!$AW$200</definedName>
    <definedName name="v_47_SCH4">Model!$AS$200</definedName>
    <definedName name="v_47_SCO2">Model!$AU$200</definedName>
    <definedName name="v_47_SFe2">Model!$BE$200</definedName>
    <definedName name="v_47_SH">Model!$CD$200</definedName>
    <definedName name="v_47_SH2">Model!$AT$200</definedName>
    <definedName name="v_47_SH2S">Model!$BB$200</definedName>
    <definedName name="v_47_SK">Model!$BA$200</definedName>
    <definedName name="v_47_SMEOL">Model!$G$200</definedName>
    <definedName name="v_47_SMg">Model!$AZ$200</definedName>
    <definedName name="v_47_SMM_index">Model!$CU$200</definedName>
    <definedName name="v_47_SN_B">Model!$AH$200</definedName>
    <definedName name="v_47_SN2">Model!$AG$200</definedName>
    <definedName name="v_47_SNHx">Model!$AD$200</definedName>
    <definedName name="v_47_SNO2">Model!$AE$200</definedName>
    <definedName name="v_47_SNO3">Model!$AF$200</definedName>
    <definedName name="v_47_SO2">Model!$AR$200</definedName>
    <definedName name="v_47_SORPswitch">Model!$CF$200</definedName>
    <definedName name="v_47_SP_B">Model!$AN$200</definedName>
    <definedName name="v_47_SPFOA">Model!$BZ$200</definedName>
    <definedName name="v_47_SPFOS">Model!$CB$200</definedName>
    <definedName name="v_47_SPO4">Model!$AL$200</definedName>
    <definedName name="v_47_SSO4">Model!$BC$200</definedName>
    <definedName name="v_47_SU">Model!$K$200</definedName>
    <definedName name="v_47_SVFA">Model!$E$200</definedName>
    <definedName name="v_47_XACP">Model!$BU$200</definedName>
    <definedName name="v_47_XALGAE">Model!$AC$200</definedName>
    <definedName name="v_47_XAMETO">Model!$X$200</definedName>
    <definedName name="v_47_XAMX">Model!$W$200</definedName>
    <definedName name="v_47_XAOB">Model!$U$200</definedName>
    <definedName name="v_47_XASRO">Model!$Z$200</definedName>
    <definedName name="v_47_XB">Model!$I$200</definedName>
    <definedName name="v_47_XB_e">Model!$J$200</definedName>
    <definedName name="v_47_XBSH">Model!$BV$200</definedName>
    <definedName name="v_47_XCaCO3">Model!$BT$200</definedName>
    <definedName name="v_47_XCASTO">Model!$S$200</definedName>
    <definedName name="v_47_XE">Model!$P$200</definedName>
    <definedName name="v_47_XE_ana">Model!$Q$200</definedName>
    <definedName name="v_47_XFeS">Model!$BY$200</definedName>
    <definedName name="v_47_XHAO_H">Model!$BM$200</definedName>
    <definedName name="v_47_XHAO_H_P">Model!$BP$200</definedName>
    <definedName name="v_47_XHAO_H_P_old">Model!$BR$200</definedName>
    <definedName name="v_47_XHAO_L">Model!$BN$200</definedName>
    <definedName name="v_47_XHAO_L_P">Model!$BQ$200</definedName>
    <definedName name="v_47_XHAO_L_P_old">Model!$BS$200</definedName>
    <definedName name="v_47_XHAO_old">Model!$BO$200</definedName>
    <definedName name="v_47_XHFO_H">Model!$BF$200</definedName>
    <definedName name="v_47_XHFO_H_P">Model!$BI$200</definedName>
    <definedName name="v_47_XHFO_H_P_old">Model!$BK$200</definedName>
    <definedName name="v_47_XHFO_L">Model!$BG$200</definedName>
    <definedName name="v_47_XHFO_L_P">Model!$BJ$200</definedName>
    <definedName name="v_47_XHFO_L_P_old">Model!$BL$200</definedName>
    <definedName name="v_47_XHFO_old">Model!$BH$200</definedName>
    <definedName name="v_47_XHMETO">Model!$Y$200</definedName>
    <definedName name="v_47_XHSRO">Model!$AA$200</definedName>
    <definedName name="v_47_XINORG">Model!$AV$200</definedName>
    <definedName name="v_47_XMEOLO">Model!$T$200</definedName>
    <definedName name="v_47_XN_B">Model!$AI$200</definedName>
    <definedName name="v_47_XN_Be">Model!$AJ$200</definedName>
    <definedName name="v_47_XN_U">Model!$AK$200</definedName>
    <definedName name="v_47_XNOB">Model!$V$200</definedName>
    <definedName name="v_47_XOHO">Model!$R$200</definedName>
    <definedName name="v_47_XP_B">Model!$AO$200</definedName>
    <definedName name="v_47_XP_Be">Model!$AP$200</definedName>
    <definedName name="v_47_XP_U">Model!$AQ$200</definedName>
    <definedName name="v_47_XPFOA">Model!$CA$200</definedName>
    <definedName name="v_47_XPFOS">Model!$CC$200</definedName>
    <definedName name="v_47_XPHA_GAO">Model!$O$200</definedName>
    <definedName name="v_47_XPHA_PAO">Model!$N$200</definedName>
    <definedName name="v_47_XPP">Model!$AM$200</definedName>
    <definedName name="v_47_XS">Model!$BD$200</definedName>
    <definedName name="v_47_XSOO">Model!$AB$200</definedName>
    <definedName name="v_47_XSTR">Model!$BW$200</definedName>
    <definedName name="v_47_XU">Model!$M$200</definedName>
    <definedName name="v_47_XVivi">Model!$BX$200</definedName>
    <definedName name="v_48_CB">Model!$H$201</definedName>
    <definedName name="v_48_CU">Model!$L$201</definedName>
    <definedName name="v_48_GCH4">Model!$CH$201</definedName>
    <definedName name="v_48_GCH4_atm">Model!$CO$201</definedName>
    <definedName name="v_48_GCO2">Model!$CG$201</definedName>
    <definedName name="v_48_GCO2_atm">Model!$CN$201</definedName>
    <definedName name="v_48_GH2">Model!$CI$201</definedName>
    <definedName name="v_48_GH2_atm">Model!$CP$201</definedName>
    <definedName name="v_48_GH2S">Model!$CM$201</definedName>
    <definedName name="v_48_GH2S_atm">Model!$CT$201</definedName>
    <definedName name="v_48_GN2">Model!$CL$201</definedName>
    <definedName name="v_48_GN2_atm">Model!$CS$201</definedName>
    <definedName name="v_48_GNH3">Model!$CK$201</definedName>
    <definedName name="v_48_GNH3_atm">Model!$CR$201</definedName>
    <definedName name="v_48_GO2">Model!$CJ$201</definedName>
    <definedName name="v_48_GO2_atm">Model!$CQ$201</definedName>
    <definedName name="v_48_SALPHA">Model!$CE$201</definedName>
    <definedName name="v_48_SAN">Model!$AX$201</definedName>
    <definedName name="v_48_SB">Model!$F$201</definedName>
    <definedName name="v_48_SCa">Model!$AY$201</definedName>
    <definedName name="v_48_SCAT">Model!$AW$201</definedName>
    <definedName name="v_48_SCH4">Model!$AS$201</definedName>
    <definedName name="v_48_SCO2">Model!$AU$201</definedName>
    <definedName name="v_48_SFe2">Model!$BE$201</definedName>
    <definedName name="v_48_SH">Model!$CD$201</definedName>
    <definedName name="v_48_SH2">Model!$AT$201</definedName>
    <definedName name="v_48_SH2S">Model!$BB$201</definedName>
    <definedName name="v_48_SK">Model!$BA$201</definedName>
    <definedName name="v_48_SMEOL">Model!$G$201</definedName>
    <definedName name="v_48_SMg">Model!$AZ$201</definedName>
    <definedName name="v_48_SMM_index">Model!$CU$201</definedName>
    <definedName name="v_48_SN_B">Model!$AH$201</definedName>
    <definedName name="v_48_SN2">Model!$AG$201</definedName>
    <definedName name="v_48_SNHx">Model!$AD$201</definedName>
    <definedName name="v_48_SNO2">Model!$AE$201</definedName>
    <definedName name="v_48_SNO3">Model!$AF$201</definedName>
    <definedName name="v_48_SO2">Model!$AR$201</definedName>
    <definedName name="v_48_SORPswitch">Model!$CF$201</definedName>
    <definedName name="v_48_SP_B">Model!$AN$201</definedName>
    <definedName name="v_48_SPFOA">Model!$BZ$201</definedName>
    <definedName name="v_48_SPFOS">Model!$CB$201</definedName>
    <definedName name="v_48_SPO4">Model!$AL$201</definedName>
    <definedName name="v_48_SSO4">Model!$BC$201</definedName>
    <definedName name="v_48_SU">Model!$K$201</definedName>
    <definedName name="v_48_SVFA">Model!$E$201</definedName>
    <definedName name="v_48_XACP">Model!$BU$201</definedName>
    <definedName name="v_48_XALGAE">Model!$AC$201</definedName>
    <definedName name="v_48_XAMETO">Model!$X$201</definedName>
    <definedName name="v_48_XAMX">Model!$W$201</definedName>
    <definedName name="v_48_XAOB">Model!$U$201</definedName>
    <definedName name="v_48_XASRO">Model!$Z$201</definedName>
    <definedName name="v_48_XB">Model!$I$201</definedName>
    <definedName name="v_48_XB_e">Model!$J$201</definedName>
    <definedName name="v_48_XBSH">Model!$BV$201</definedName>
    <definedName name="v_48_XCaCO3">Model!$BT$201</definedName>
    <definedName name="v_48_XCASTO">Model!$S$201</definedName>
    <definedName name="v_48_XE">Model!$P$201</definedName>
    <definedName name="v_48_XE_ana">Model!$Q$201</definedName>
    <definedName name="v_48_XFeS">Model!$BY$201</definedName>
    <definedName name="v_48_XHAO_H">Model!$BM$201</definedName>
    <definedName name="v_48_XHAO_H_P">Model!$BP$201</definedName>
    <definedName name="v_48_XHAO_H_P_old">Model!$BR$201</definedName>
    <definedName name="v_48_XHAO_L">Model!$BN$201</definedName>
    <definedName name="v_48_XHAO_L_P">Model!$BQ$201</definedName>
    <definedName name="v_48_XHAO_L_P_old">Model!$BS$201</definedName>
    <definedName name="v_48_XHAO_old">Model!$BO$201</definedName>
    <definedName name="v_48_XHFO_H">Model!$BF$201</definedName>
    <definedName name="v_48_XHFO_H_P">Model!$BI$201</definedName>
    <definedName name="v_48_XHFO_H_P_old">Model!$BK$201</definedName>
    <definedName name="v_48_XHFO_L">Model!$BG$201</definedName>
    <definedName name="v_48_XHFO_L_P">Model!$BJ$201</definedName>
    <definedName name="v_48_XHFO_L_P_old">Model!$BL$201</definedName>
    <definedName name="v_48_XHFO_old">Model!$BH$201</definedName>
    <definedName name="v_48_XHMETO">Model!$Y$201</definedName>
    <definedName name="v_48_XHSRO">Model!$AA$201</definedName>
    <definedName name="v_48_XINORG">Model!$AV$201</definedName>
    <definedName name="v_48_XMEOLO">Model!$T$201</definedName>
    <definedName name="v_48_XN_B">Model!$AI$201</definedName>
    <definedName name="v_48_XN_Be">Model!$AJ$201</definedName>
    <definedName name="v_48_XN_U">Model!$AK$201</definedName>
    <definedName name="v_48_XNOB">Model!$V$201</definedName>
    <definedName name="v_48_XOHO">Model!$R$201</definedName>
    <definedName name="v_48_XP_B">Model!$AO$201</definedName>
    <definedName name="v_48_XP_Be">Model!$AP$201</definedName>
    <definedName name="v_48_XP_U">Model!$AQ$201</definedName>
    <definedName name="v_48_XPFOA">Model!$CA$201</definedName>
    <definedName name="v_48_XPFOS">Model!$CC$201</definedName>
    <definedName name="v_48_XPHA_GAO">Model!$O$201</definedName>
    <definedName name="v_48_XPHA_PAO">Model!$N$201</definedName>
    <definedName name="v_48_XPP">Model!$AM$201</definedName>
    <definedName name="v_48_XS">Model!$BD$201</definedName>
    <definedName name="v_48_XSOO">Model!$AB$201</definedName>
    <definedName name="v_48_XSTR">Model!$BW$201</definedName>
    <definedName name="v_48_XU">Model!$M$201</definedName>
    <definedName name="v_48_XVivi">Model!$BX$201</definedName>
    <definedName name="v_49_CB">Model!$H$202</definedName>
    <definedName name="v_49_CU">Model!$L$202</definedName>
    <definedName name="v_49_GCH4">Model!$CH$202</definedName>
    <definedName name="v_49_GCH4_atm">Model!$CO$202</definedName>
    <definedName name="v_49_GCO2">Model!$CG$202</definedName>
    <definedName name="v_49_GCO2_atm">Model!$CN$202</definedName>
    <definedName name="v_49_GH2">Model!$CI$202</definedName>
    <definedName name="v_49_GH2_atm">Model!$CP$202</definedName>
    <definedName name="v_49_GH2S">Model!$CM$202</definedName>
    <definedName name="v_49_GH2S_atm">Model!$CT$202</definedName>
    <definedName name="v_49_GN2">Model!$CL$202</definedName>
    <definedName name="v_49_GN2_atm">Model!$CS$202</definedName>
    <definedName name="v_49_GNH3">Model!$CK$202</definedName>
    <definedName name="v_49_GNH3_atm">Model!$CR$202</definedName>
    <definedName name="v_49_GO2">Model!$CJ$202</definedName>
    <definedName name="v_49_GO2_atm">Model!$CQ$202</definedName>
    <definedName name="v_49_SALPHA">Model!$CE$202</definedName>
    <definedName name="v_49_SAN">Model!$AX$202</definedName>
    <definedName name="v_49_SB">Model!$F$202</definedName>
    <definedName name="v_49_SCa">Model!$AY$202</definedName>
    <definedName name="v_49_SCAT">Model!$AW$202</definedName>
    <definedName name="v_49_SCH4">Model!$AS$202</definedName>
    <definedName name="v_49_SCO2">Model!$AU$202</definedName>
    <definedName name="v_49_SFe2">Model!$BE$202</definedName>
    <definedName name="v_49_SH">Model!$CD$202</definedName>
    <definedName name="v_49_SH2">Model!$AT$202</definedName>
    <definedName name="v_49_SH2S">Model!$BB$202</definedName>
    <definedName name="v_49_SK">Model!$BA$202</definedName>
    <definedName name="v_49_SMEOL">Model!$G$202</definedName>
    <definedName name="v_49_SMg">Model!$AZ$202</definedName>
    <definedName name="v_49_SMM_index">Model!$CU$202</definedName>
    <definedName name="v_49_SN_B">Model!$AH$202</definedName>
    <definedName name="v_49_SN2">Model!$AG$202</definedName>
    <definedName name="v_49_SNHx">Model!$AD$202</definedName>
    <definedName name="v_49_SNO2">Model!$AE$202</definedName>
    <definedName name="v_49_SNO3">Model!$AF$202</definedName>
    <definedName name="v_49_SO2">Model!$AR$202</definedName>
    <definedName name="v_49_SORPswitch">Model!$CF$202</definedName>
    <definedName name="v_49_SP_B">Model!$AN$202</definedName>
    <definedName name="v_49_SPFOA">Model!$BZ$202</definedName>
    <definedName name="v_49_SPFOS">Model!$CB$202</definedName>
    <definedName name="v_49_SPO4">Model!$AL$202</definedName>
    <definedName name="v_49_SSO4">Model!$BC$202</definedName>
    <definedName name="v_49_SU">Model!$K$202</definedName>
    <definedName name="v_49_SVFA">Model!$E$202</definedName>
    <definedName name="v_49_XACP">Model!$BU$202</definedName>
    <definedName name="v_49_XALGAE">Model!$AC$202</definedName>
    <definedName name="v_49_XAMETO">Model!$X$202</definedName>
    <definedName name="v_49_XAMX">Model!$W$202</definedName>
    <definedName name="v_49_XAOB">Model!$U$202</definedName>
    <definedName name="v_49_XASRO">Model!$Z$202</definedName>
    <definedName name="v_49_XB">Model!$I$202</definedName>
    <definedName name="v_49_XB_e">Model!$J$202</definedName>
    <definedName name="v_49_XBSH">Model!$BV$202</definedName>
    <definedName name="v_49_XCaCO3">Model!$BT$202</definedName>
    <definedName name="v_49_XCASTO">Model!$S$202</definedName>
    <definedName name="v_49_XE">Model!$P$202</definedName>
    <definedName name="v_49_XE_ana">Model!$Q$202</definedName>
    <definedName name="v_49_XFeS">Model!$BY$202</definedName>
    <definedName name="v_49_XHAO_H">Model!$BM$202</definedName>
    <definedName name="v_49_XHAO_H_P">Model!$BP$202</definedName>
    <definedName name="v_49_XHAO_H_P_old">Model!$BR$202</definedName>
    <definedName name="v_49_XHAO_L">Model!$BN$202</definedName>
    <definedName name="v_49_XHAO_L_P">Model!$BQ$202</definedName>
    <definedName name="v_49_XHAO_L_P_old">Model!$BS$202</definedName>
    <definedName name="v_49_XHAO_old">Model!$BO$202</definedName>
    <definedName name="v_49_XHFO_H">Model!$BF$202</definedName>
    <definedName name="v_49_XHFO_H_P">Model!$BI$202</definedName>
    <definedName name="v_49_XHFO_H_P_old">Model!$BK$202</definedName>
    <definedName name="v_49_XHFO_L">Model!$BG$202</definedName>
    <definedName name="v_49_XHFO_L_P">Model!$BJ$202</definedName>
    <definedName name="v_49_XHFO_L_P_old">Model!$BL$202</definedName>
    <definedName name="v_49_XHFO_old">Model!$BH$202</definedName>
    <definedName name="v_49_XHMETO">Model!$Y$202</definedName>
    <definedName name="v_49_XHSRO">Model!$AA$202</definedName>
    <definedName name="v_49_XINORG">Model!$AV$202</definedName>
    <definedName name="v_49_XMEOLO">Model!$T$202</definedName>
    <definedName name="v_49_XN_B">Model!$AI$202</definedName>
    <definedName name="v_49_XN_Be">Model!$AJ$202</definedName>
    <definedName name="v_49_XN_U">Model!$AK$202</definedName>
    <definedName name="v_49_XNOB">Model!$V$202</definedName>
    <definedName name="v_49_XOHO">Model!$R$202</definedName>
    <definedName name="v_49_XP_B">Model!$AO$202</definedName>
    <definedName name="v_49_XP_Be">Model!$AP$202</definedName>
    <definedName name="v_49_XP_U">Model!$AQ$202</definedName>
    <definedName name="v_49_XPFOA">Model!$CA$202</definedName>
    <definedName name="v_49_XPFOS">Model!$CC$202</definedName>
    <definedName name="v_49_XPHA_GAO">Model!$O$202</definedName>
    <definedName name="v_49_XPHA_PAO">Model!$N$202</definedName>
    <definedName name="v_49_XPP">Model!$AM$202</definedName>
    <definedName name="v_49_XS">Model!$BD$202</definedName>
    <definedName name="v_49_XSOO">Model!$AB$202</definedName>
    <definedName name="v_49_XSTR">Model!$BW$202</definedName>
    <definedName name="v_49_XU">Model!$M$202</definedName>
    <definedName name="v_49_XVivi">Model!$BX$202</definedName>
    <definedName name="v_5_CB">Model!$H$158</definedName>
    <definedName name="v_5_CU">Model!$L$158</definedName>
    <definedName name="v_5_GCH4">Model!$CH$158</definedName>
    <definedName name="v_5_GCH4_atm">Model!$CO$158</definedName>
    <definedName name="v_5_GCO2">Model!$CG$158</definedName>
    <definedName name="v_5_GCO2_atm">Model!$CN$158</definedName>
    <definedName name="v_5_GH2">Model!$CI$158</definedName>
    <definedName name="v_5_GH2_atm">Model!$CP$158</definedName>
    <definedName name="v_5_GH2S">Model!$CM$158</definedName>
    <definedName name="v_5_GH2S_atm">Model!$CT$158</definedName>
    <definedName name="v_5_GN2">Model!$CL$158</definedName>
    <definedName name="v_5_GN2_atm">Model!$CS$158</definedName>
    <definedName name="v_5_GNH3">Model!$CK$158</definedName>
    <definedName name="v_5_GNH3_atm">Model!$CR$158</definedName>
    <definedName name="v_5_GO2">Model!$CJ$158</definedName>
    <definedName name="v_5_GO2_atm">Model!$CQ$158</definedName>
    <definedName name="v_5_SALPHA">Model!$CE$158</definedName>
    <definedName name="v_5_SAN">Model!$AX$158</definedName>
    <definedName name="v_5_SB">Model!$F$158</definedName>
    <definedName name="v_5_SCa">Model!$AY$158</definedName>
    <definedName name="v_5_SCAT">Model!$AW$158</definedName>
    <definedName name="v_5_SCH4">Model!$AS$158</definedName>
    <definedName name="v_5_SCO2">Model!$AU$158</definedName>
    <definedName name="v_5_SFe2">Model!$BE$158</definedName>
    <definedName name="v_5_SH">Model!$CD$158</definedName>
    <definedName name="v_5_SH2">Model!$AT$158</definedName>
    <definedName name="v_5_SH2S">Model!$BB$158</definedName>
    <definedName name="v_5_SK">Model!$BA$158</definedName>
    <definedName name="v_5_SMEOL">Model!$G$158</definedName>
    <definedName name="v_5_SMg">Model!$AZ$158</definedName>
    <definedName name="v_5_SMM_index">Model!$CU$158</definedName>
    <definedName name="v_5_SN_B">Model!$AH$158</definedName>
    <definedName name="v_5_SN2">Model!$AG$158</definedName>
    <definedName name="v_5_SNHx">Model!$AD$158</definedName>
    <definedName name="v_5_SNO2">Model!$AE$158</definedName>
    <definedName name="v_5_SNO3">Model!$AF$158</definedName>
    <definedName name="v_5_SO2">Model!$AR$158</definedName>
    <definedName name="v_5_SORPswitch">Model!$CF$158</definedName>
    <definedName name="v_5_SP_B">Model!$AN$158</definedName>
    <definedName name="v_5_SPFOA">Model!$BZ$158</definedName>
    <definedName name="v_5_SPFOS">Model!$CB$158</definedName>
    <definedName name="v_5_SPO4">Model!$AL$158</definedName>
    <definedName name="v_5_SSO4">Model!$BC$158</definedName>
    <definedName name="v_5_SU">Model!$K$158</definedName>
    <definedName name="v_5_SVFA">Model!$E$158</definedName>
    <definedName name="v_5_XACP">Model!$BU$158</definedName>
    <definedName name="v_5_XALGAE">Model!$AC$158</definedName>
    <definedName name="v_5_XAMETO">Model!$X$158</definedName>
    <definedName name="v_5_XAMX">Model!$W$158</definedName>
    <definedName name="v_5_XAOB">Model!$U$158</definedName>
    <definedName name="v_5_XASRO">Model!$Z$158</definedName>
    <definedName name="v_5_XB">Model!$I$158</definedName>
    <definedName name="v_5_XB_e">Model!$J$158</definedName>
    <definedName name="v_5_XBSH">Model!$BV$158</definedName>
    <definedName name="v_5_XCaCO3">Model!$BT$158</definedName>
    <definedName name="v_5_XCASTO">Model!$S$158</definedName>
    <definedName name="v_5_XE">Model!$P$158</definedName>
    <definedName name="v_5_XE_ana">Model!$Q$158</definedName>
    <definedName name="v_5_XFeS">Model!$BY$158</definedName>
    <definedName name="v_5_XHAO_H">Model!$BM$158</definedName>
    <definedName name="v_5_XHAO_H_P">Model!$BP$158</definedName>
    <definedName name="v_5_XHAO_H_P_old">Model!$BR$158</definedName>
    <definedName name="v_5_XHAO_L">Model!$BN$158</definedName>
    <definedName name="v_5_XHAO_L_P">Model!$BQ$158</definedName>
    <definedName name="v_5_XHAO_L_P_old">Model!$BS$158</definedName>
    <definedName name="v_5_XHAO_old">Model!$BO$158</definedName>
    <definedName name="v_5_XHFO_H">Model!$BF$158</definedName>
    <definedName name="v_5_XHFO_H_P">Model!$BI$158</definedName>
    <definedName name="v_5_XHFO_H_P_old">Model!$BK$158</definedName>
    <definedName name="v_5_XHFO_L">Model!$BG$158</definedName>
    <definedName name="v_5_XHFO_L_P">Model!$BJ$158</definedName>
    <definedName name="v_5_XHFO_L_P_old">Model!$BL$158</definedName>
    <definedName name="v_5_XHFO_old">Model!$BH$158</definedName>
    <definedName name="v_5_XHMETO">Model!$Y$158</definedName>
    <definedName name="v_5_XHSRO">Model!$AA$158</definedName>
    <definedName name="v_5_XINORG">Model!$AV$158</definedName>
    <definedName name="v_5_XMEOLO">Model!$T$158</definedName>
    <definedName name="v_5_XN_B">Model!$AI$158</definedName>
    <definedName name="v_5_XN_Be">Model!$AJ$158</definedName>
    <definedName name="v_5_XN_U">Model!$AK$158</definedName>
    <definedName name="v_5_XNOB">Model!$V$158</definedName>
    <definedName name="v_5_XOHO">Model!$R$158</definedName>
    <definedName name="v_5_XP_B">Model!$AO$158</definedName>
    <definedName name="v_5_XP_Be">Model!$AP$158</definedName>
    <definedName name="v_5_XP_U">Model!$AQ$158</definedName>
    <definedName name="v_5_XPFOA">Model!$CA$158</definedName>
    <definedName name="v_5_XPFOS">Model!$CC$158</definedName>
    <definedName name="v_5_XPHA_GAO">Model!$O$158</definedName>
    <definedName name="v_5_XPHA_PAO">Model!$N$158</definedName>
    <definedName name="v_5_XPP">Model!$AM$158</definedName>
    <definedName name="v_5_XS">Model!$BD$158</definedName>
    <definedName name="v_5_XSOO">Model!$AB$158</definedName>
    <definedName name="v_5_XSTR">Model!$BW$158</definedName>
    <definedName name="v_5_XU">Model!$M$158</definedName>
    <definedName name="v_5_XVivi">Model!$BX$158</definedName>
    <definedName name="v_50_CB">Model!$H$203</definedName>
    <definedName name="v_50_CU">Model!$L$203</definedName>
    <definedName name="v_50_GCH4">Model!$CH$203</definedName>
    <definedName name="v_50_GCH4_atm">Model!$CO$203</definedName>
    <definedName name="v_50_GCO2">Model!$CG$203</definedName>
    <definedName name="v_50_GCO2_atm">Model!$CN$203</definedName>
    <definedName name="v_50_GH2">Model!$CI$203</definedName>
    <definedName name="v_50_GH2_atm">Model!$CP$203</definedName>
    <definedName name="v_50_GH2S">Model!$CM$203</definedName>
    <definedName name="v_50_GH2S_atm">Model!$CT$203</definedName>
    <definedName name="v_50_GN2">Model!$CL$203</definedName>
    <definedName name="v_50_GN2_atm">Model!$CS$203</definedName>
    <definedName name="v_50_GNH3">Model!$CK$203</definedName>
    <definedName name="v_50_GNH3_atm">Model!$CR$203</definedName>
    <definedName name="v_50_GO2">Model!$CJ$203</definedName>
    <definedName name="v_50_GO2_atm">Model!$CQ$203</definedName>
    <definedName name="v_50_SALPHA">Model!$CE$203</definedName>
    <definedName name="v_50_SAN">Model!$AX$203</definedName>
    <definedName name="v_50_SB">Model!$F$203</definedName>
    <definedName name="v_50_SCa">Model!$AY$203</definedName>
    <definedName name="v_50_SCAT">Model!$AW$203</definedName>
    <definedName name="v_50_SCH4">Model!$AS$203</definedName>
    <definedName name="v_50_SCO2">Model!$AU$203</definedName>
    <definedName name="v_50_SFe2">Model!$BE$203</definedName>
    <definedName name="v_50_SH">Model!$CD$203</definedName>
    <definedName name="v_50_SH2">Model!$AT$203</definedName>
    <definedName name="v_50_SH2S">Model!$BB$203</definedName>
    <definedName name="v_50_SK">Model!$BA$203</definedName>
    <definedName name="v_50_SMEOL">Model!$G$203</definedName>
    <definedName name="v_50_SMg">Model!$AZ$203</definedName>
    <definedName name="v_50_SMM_index">Model!$CU$203</definedName>
    <definedName name="v_50_SN_B">Model!$AH$203</definedName>
    <definedName name="v_50_SN2">Model!$AG$203</definedName>
    <definedName name="v_50_SNHx">Model!$AD$203</definedName>
    <definedName name="v_50_SNO2">Model!$AE$203</definedName>
    <definedName name="v_50_SNO3">Model!$AF$203</definedName>
    <definedName name="v_50_SO2">Model!$AR$203</definedName>
    <definedName name="v_50_SORPswitch">Model!$CF$203</definedName>
    <definedName name="v_50_SP_B">Model!$AN$203</definedName>
    <definedName name="v_50_SPFOA">Model!$BZ$203</definedName>
    <definedName name="v_50_SPFOS">Model!$CB$203</definedName>
    <definedName name="v_50_SPO4">Model!$AL$203</definedName>
    <definedName name="v_50_SSO4">Model!$BC$203</definedName>
    <definedName name="v_50_SU">Model!$K$203</definedName>
    <definedName name="v_50_SVFA">Model!$E$203</definedName>
    <definedName name="v_50_XACP">Model!$BU$203</definedName>
    <definedName name="v_50_XALGAE">Model!$AC$203</definedName>
    <definedName name="v_50_XAMETO">Model!$X$203</definedName>
    <definedName name="v_50_XAMX">Model!$W$203</definedName>
    <definedName name="v_50_XAOB">Model!$U$203</definedName>
    <definedName name="v_50_XASRO">Model!$Z$203</definedName>
    <definedName name="v_50_XB">Model!$I$203</definedName>
    <definedName name="v_50_XB_e">Model!$J$203</definedName>
    <definedName name="v_50_XBSH">Model!$BV$203</definedName>
    <definedName name="v_50_XCaCO3">Model!$BT$203</definedName>
    <definedName name="v_50_XCASTO">Model!$S$203</definedName>
    <definedName name="v_50_XE">Model!$P$203</definedName>
    <definedName name="v_50_XE_ana">Model!$Q$203</definedName>
    <definedName name="v_50_XFeS">Model!$BY$203</definedName>
    <definedName name="v_50_XHAO_H">Model!$BM$203</definedName>
    <definedName name="v_50_XHAO_H_P">Model!$BP$203</definedName>
    <definedName name="v_50_XHAO_H_P_old">Model!$BR$203</definedName>
    <definedName name="v_50_XHAO_L">Model!$BN$203</definedName>
    <definedName name="v_50_XHAO_L_P">Model!$BQ$203</definedName>
    <definedName name="v_50_XHAO_L_P_old">Model!$BS$203</definedName>
    <definedName name="v_50_XHAO_old">Model!$BO$203</definedName>
    <definedName name="v_50_XHFO_H">Model!$BF$203</definedName>
    <definedName name="v_50_XHFO_H_P">Model!$BI$203</definedName>
    <definedName name="v_50_XHFO_H_P_old">Model!$BK$203</definedName>
    <definedName name="v_50_XHFO_L">Model!$BG$203</definedName>
    <definedName name="v_50_XHFO_L_P">Model!$BJ$203</definedName>
    <definedName name="v_50_XHFO_L_P_old">Model!$BL$203</definedName>
    <definedName name="v_50_XHFO_old">Model!$BH$203</definedName>
    <definedName name="v_50_XHMETO">Model!$Y$203</definedName>
    <definedName name="v_50_XHSRO">Model!$AA$203</definedName>
    <definedName name="v_50_XINORG">Model!$AV$203</definedName>
    <definedName name="v_50_XMEOLO">Model!$T$203</definedName>
    <definedName name="v_50_XN_B">Model!$AI$203</definedName>
    <definedName name="v_50_XN_Be">Model!$AJ$203</definedName>
    <definedName name="v_50_XN_U">Model!$AK$203</definedName>
    <definedName name="v_50_XNOB">Model!$V$203</definedName>
    <definedName name="v_50_XOHO">Model!$R$203</definedName>
    <definedName name="v_50_XP_B">Model!$AO$203</definedName>
    <definedName name="v_50_XP_Be">Model!$AP$203</definedName>
    <definedName name="v_50_XP_U">Model!$AQ$203</definedName>
    <definedName name="v_50_XPFOA">Model!$CA$203</definedName>
    <definedName name="v_50_XPFOS">Model!$CC$203</definedName>
    <definedName name="v_50_XPHA_GAO">Model!$O$203</definedName>
    <definedName name="v_50_XPHA_PAO">Model!$N$203</definedName>
    <definedName name="v_50_XPP">Model!$AM$203</definedName>
    <definedName name="v_50_XS">Model!$BD$203</definedName>
    <definedName name="v_50_XSOO">Model!$AB$203</definedName>
    <definedName name="v_50_XSTR">Model!$BW$203</definedName>
    <definedName name="v_50_XU">Model!$M$203</definedName>
    <definedName name="v_50_XVivi">Model!$BX$203</definedName>
    <definedName name="v_51_CB">Model!$H$204</definedName>
    <definedName name="v_51_CU">Model!$L$204</definedName>
    <definedName name="v_51_GCH4">Model!$CH$204</definedName>
    <definedName name="v_51_GCH4_atm">Model!$CO$204</definedName>
    <definedName name="v_51_GCO2">Model!$CG$204</definedName>
    <definedName name="v_51_GCO2_atm">Model!$CN$204</definedName>
    <definedName name="v_51_GH2">Model!$CI$204</definedName>
    <definedName name="v_51_GH2_atm">Model!$CP$204</definedName>
    <definedName name="v_51_GH2S">Model!$CM$204</definedName>
    <definedName name="v_51_GH2S_atm">Model!$CT$204</definedName>
    <definedName name="v_51_GN2">Model!$CL$204</definedName>
    <definedName name="v_51_GN2_atm">Model!$CS$204</definedName>
    <definedName name="v_51_GNH3">Model!$CK$204</definedName>
    <definedName name="v_51_GNH3_atm">Model!$CR$204</definedName>
    <definedName name="v_51_GO2">Model!$CJ$204</definedName>
    <definedName name="v_51_GO2_atm">Model!$CQ$204</definedName>
    <definedName name="v_51_SALPHA">Model!$CE$204</definedName>
    <definedName name="v_51_SAN">Model!$AX$204</definedName>
    <definedName name="v_51_SB">Model!$F$204</definedName>
    <definedName name="v_51_SCa">Model!$AY$204</definedName>
    <definedName name="v_51_SCAT">Model!$AW$204</definedName>
    <definedName name="v_51_SCH4">Model!$AS$204</definedName>
    <definedName name="v_51_SCO2">Model!$AU$204</definedName>
    <definedName name="v_51_SFe2">Model!$BE$204</definedName>
    <definedName name="v_51_SH">Model!$CD$204</definedName>
    <definedName name="v_51_SH2">Model!$AT$204</definedName>
    <definedName name="v_51_SH2S">Model!$BB$204</definedName>
    <definedName name="v_51_SK">Model!$BA$204</definedName>
    <definedName name="v_51_SMEOL">Model!$G$204</definedName>
    <definedName name="v_51_SMg">Model!$AZ$204</definedName>
    <definedName name="v_51_SMM_index">Model!$CU$204</definedName>
    <definedName name="v_51_SN_B">Model!$AH$204</definedName>
    <definedName name="v_51_SN2">Model!$AG$204</definedName>
    <definedName name="v_51_SNHx">Model!$AD$204</definedName>
    <definedName name="v_51_SNO2">Model!$AE$204</definedName>
    <definedName name="v_51_SNO3">Model!$AF$204</definedName>
    <definedName name="v_51_SO2">Model!$AR$204</definedName>
    <definedName name="v_51_SORPswitch">Model!$CF$204</definedName>
    <definedName name="v_51_SP_B">Model!$AN$204</definedName>
    <definedName name="v_51_SPFOA">Model!$BZ$204</definedName>
    <definedName name="v_51_SPFOS">Model!$CB$204</definedName>
    <definedName name="v_51_SPO4">Model!$AL$204</definedName>
    <definedName name="v_51_SSO4">Model!$BC$204</definedName>
    <definedName name="v_51_SU">Model!$K$204</definedName>
    <definedName name="v_51_SVFA">Model!$E$204</definedName>
    <definedName name="v_51_XACP">Model!$BU$204</definedName>
    <definedName name="v_51_XALGAE">Model!$AC$204</definedName>
    <definedName name="v_51_XAMETO">Model!$X$204</definedName>
    <definedName name="v_51_XAMX">Model!$W$204</definedName>
    <definedName name="v_51_XAOB">Model!$U$204</definedName>
    <definedName name="v_51_XASRO">Model!$Z$204</definedName>
    <definedName name="v_51_XB">Model!$I$204</definedName>
    <definedName name="v_51_XB_e">Model!$J$204</definedName>
    <definedName name="v_51_XBSH">Model!$BV$204</definedName>
    <definedName name="v_51_XCaCO3">Model!$BT$204</definedName>
    <definedName name="v_51_XCASTO">Model!$S$204</definedName>
    <definedName name="v_51_XE">Model!$P$204</definedName>
    <definedName name="v_51_XE_ana">Model!$Q$204</definedName>
    <definedName name="v_51_XFeS">Model!$BY$204</definedName>
    <definedName name="v_51_XHAO_H">Model!$BM$204</definedName>
    <definedName name="v_51_XHAO_H_P">Model!$BP$204</definedName>
    <definedName name="v_51_XHAO_H_P_old">Model!$BR$204</definedName>
    <definedName name="v_51_XHAO_L">Model!$BN$204</definedName>
    <definedName name="v_51_XHAO_L_P">Model!$BQ$204</definedName>
    <definedName name="v_51_XHAO_L_P_old">Model!$BS$204</definedName>
    <definedName name="v_51_XHAO_old">Model!$BO$204</definedName>
    <definedName name="v_51_XHFO_H">Model!$BF$204</definedName>
    <definedName name="v_51_XHFO_H_P">Model!$BI$204</definedName>
    <definedName name="v_51_XHFO_H_P_old">Model!$BK$204</definedName>
    <definedName name="v_51_XHFO_L">Model!$BG$204</definedName>
    <definedName name="v_51_XHFO_L_P">Model!$BJ$204</definedName>
    <definedName name="v_51_XHFO_L_P_old">Model!$BL$204</definedName>
    <definedName name="v_51_XHFO_old">Model!$BH$204</definedName>
    <definedName name="v_51_XHMETO">Model!$Y$204</definedName>
    <definedName name="v_51_XHSRO">Model!$AA$204</definedName>
    <definedName name="v_51_XINORG">Model!$AV$204</definedName>
    <definedName name="v_51_XMEOLO">Model!$T$204</definedName>
    <definedName name="v_51_XN_B">Model!$AI$204</definedName>
    <definedName name="v_51_XN_Be">Model!$AJ$204</definedName>
    <definedName name="v_51_XN_U">Model!$AK$204</definedName>
    <definedName name="v_51_XNOB">Model!$V$204</definedName>
    <definedName name="v_51_XOHO">Model!$R$204</definedName>
    <definedName name="v_51_XP_B">Model!$AO$204</definedName>
    <definedName name="v_51_XP_Be">Model!$AP$204</definedName>
    <definedName name="v_51_XP_U">Model!$AQ$204</definedName>
    <definedName name="v_51_XPFOA">Model!$CA$204</definedName>
    <definedName name="v_51_XPFOS">Model!$CC$204</definedName>
    <definedName name="v_51_XPHA_GAO">Model!$O$204</definedName>
    <definedName name="v_51_XPHA_PAO">Model!$N$204</definedName>
    <definedName name="v_51_XPP">Model!$AM$204</definedName>
    <definedName name="v_51_XS">Model!$BD$204</definedName>
    <definedName name="v_51_XSOO">Model!$AB$204</definedName>
    <definedName name="v_51_XSTR">Model!$BW$204</definedName>
    <definedName name="v_51_XU">Model!$M$204</definedName>
    <definedName name="v_51_XVivi">Model!$BX$204</definedName>
    <definedName name="v_52_CB">Model!$H$205</definedName>
    <definedName name="v_52_CU">Model!$L$205</definedName>
    <definedName name="v_52_GCH4">Model!$CH$205</definedName>
    <definedName name="v_52_GCH4_atm">Model!$CO$205</definedName>
    <definedName name="v_52_GCO2">Model!$CG$205</definedName>
    <definedName name="v_52_GCO2_atm">Model!$CN$205</definedName>
    <definedName name="v_52_GH2">Model!$CI$205</definedName>
    <definedName name="v_52_GH2_atm">Model!$CP$205</definedName>
    <definedName name="v_52_GH2S">Model!$CM$205</definedName>
    <definedName name="v_52_GH2S_atm">Model!$CT$205</definedName>
    <definedName name="v_52_GN2">Model!$CL$205</definedName>
    <definedName name="v_52_GN2_atm">Model!$CS$205</definedName>
    <definedName name="v_52_GNH3">Model!$CK$205</definedName>
    <definedName name="v_52_GNH3_atm">Model!$CR$205</definedName>
    <definedName name="v_52_GO2">Model!$CJ$205</definedName>
    <definedName name="v_52_GO2_atm">Model!$CQ$205</definedName>
    <definedName name="v_52_SALPHA">Model!$CE$205</definedName>
    <definedName name="v_52_SAN">Model!$AX$205</definedName>
    <definedName name="v_52_SB">Model!$F$205</definedName>
    <definedName name="v_52_SCa">Model!$AY$205</definedName>
    <definedName name="v_52_SCAT">Model!$AW$205</definedName>
    <definedName name="v_52_SCH4">Model!$AS$205</definedName>
    <definedName name="v_52_SCO2">Model!$AU$205</definedName>
    <definedName name="v_52_SFe2">Model!$BE$205</definedName>
    <definedName name="v_52_SH">Model!$CD$205</definedName>
    <definedName name="v_52_SH2">Model!$AT$205</definedName>
    <definedName name="v_52_SH2S">Model!$BB$205</definedName>
    <definedName name="v_52_SK">Model!$BA$205</definedName>
    <definedName name="v_52_SMEOL">Model!$G$205</definedName>
    <definedName name="v_52_SMg">Model!$AZ$205</definedName>
    <definedName name="v_52_SMM_index">Model!$CU$205</definedName>
    <definedName name="v_52_SN_B">Model!$AH$205</definedName>
    <definedName name="v_52_SN2">Model!$AG$205</definedName>
    <definedName name="v_52_SNHx">Model!$AD$205</definedName>
    <definedName name="v_52_SNO2">Model!$AE$205</definedName>
    <definedName name="v_52_SNO3">Model!$AF$205</definedName>
    <definedName name="v_52_SO2">Model!$AR$205</definedName>
    <definedName name="v_52_SORPswitch">Model!$CF$205</definedName>
    <definedName name="v_52_SP_B">Model!$AN$205</definedName>
    <definedName name="v_52_SPFOA">Model!$BZ$205</definedName>
    <definedName name="v_52_SPFOS">Model!$CB$205</definedName>
    <definedName name="v_52_SPO4">Model!$AL$205</definedName>
    <definedName name="v_52_SSO4">Model!$BC$205</definedName>
    <definedName name="v_52_SU">Model!$K$205</definedName>
    <definedName name="v_52_SVFA">Model!$E$205</definedName>
    <definedName name="v_52_XACP">Model!$BU$205</definedName>
    <definedName name="v_52_XALGAE">Model!$AC$205</definedName>
    <definedName name="v_52_XAMETO">Model!$X$205</definedName>
    <definedName name="v_52_XAMX">Model!$W$205</definedName>
    <definedName name="v_52_XAOB">Model!$U$205</definedName>
    <definedName name="v_52_XASRO">Model!$Z$205</definedName>
    <definedName name="v_52_XB">Model!$I$205</definedName>
    <definedName name="v_52_XB_e">Model!$J$205</definedName>
    <definedName name="v_52_XBSH">Model!$BV$205</definedName>
    <definedName name="v_52_XCaCO3">Model!$BT$205</definedName>
    <definedName name="v_52_XCASTO">Model!$S$205</definedName>
    <definedName name="v_52_XE">Model!$P$205</definedName>
    <definedName name="v_52_XE_ana">Model!$Q$205</definedName>
    <definedName name="v_52_XFeS">Model!$BY$205</definedName>
    <definedName name="v_52_XHAO_H">Model!$BM$205</definedName>
    <definedName name="v_52_XHAO_H_P">Model!$BP$205</definedName>
    <definedName name="v_52_XHAO_H_P_old">Model!$BR$205</definedName>
    <definedName name="v_52_XHAO_L">Model!$BN$205</definedName>
    <definedName name="v_52_XHAO_L_P">Model!$BQ$205</definedName>
    <definedName name="v_52_XHAO_L_P_old">Model!$BS$205</definedName>
    <definedName name="v_52_XHAO_old">Model!$BO$205</definedName>
    <definedName name="v_52_XHFO_H">Model!$BF$205</definedName>
    <definedName name="v_52_XHFO_H_P">Model!$BI$205</definedName>
    <definedName name="v_52_XHFO_H_P_old">Model!$BK$205</definedName>
    <definedName name="v_52_XHFO_L">Model!$BG$205</definedName>
    <definedName name="v_52_XHFO_L_P">Model!$BJ$205</definedName>
    <definedName name="v_52_XHFO_L_P_old">Model!$BL$205</definedName>
    <definedName name="v_52_XHFO_old">Model!$BH$205</definedName>
    <definedName name="v_52_XHMETO">Model!$Y$205</definedName>
    <definedName name="v_52_XHSRO">Model!$AA$205</definedName>
    <definedName name="v_52_XINORG">Model!$AV$205</definedName>
    <definedName name="v_52_XMEOLO">Model!$T$205</definedName>
    <definedName name="v_52_XN_B">Model!$AI$205</definedName>
    <definedName name="v_52_XN_Be">Model!$AJ$205</definedName>
    <definedName name="v_52_XN_U">Model!$AK$205</definedName>
    <definedName name="v_52_XNOB">Model!$V$205</definedName>
    <definedName name="v_52_XOHO">Model!$R$205</definedName>
    <definedName name="v_52_XP_B">Model!$AO$205</definedName>
    <definedName name="v_52_XP_Be">Model!$AP$205</definedName>
    <definedName name="v_52_XP_U">Model!$AQ$205</definedName>
    <definedName name="v_52_XPFOA">Model!$CA$205</definedName>
    <definedName name="v_52_XPFOS">Model!$CC$205</definedName>
    <definedName name="v_52_XPHA_GAO">Model!$O$205</definedName>
    <definedName name="v_52_XPHA_PAO">Model!$N$205</definedName>
    <definedName name="v_52_XPP">Model!$AM$205</definedName>
    <definedName name="v_52_XS">Model!$BD$205</definedName>
    <definedName name="v_52_XSOO">Model!$AB$205</definedName>
    <definedName name="v_52_XSTR">Model!$BW$205</definedName>
    <definedName name="v_52_XU">Model!$M$205</definedName>
    <definedName name="v_52_XVivi">Model!$BX$205</definedName>
    <definedName name="v_53_CB">Model!$H$206</definedName>
    <definedName name="v_53_CU">Model!$L$206</definedName>
    <definedName name="v_53_GCH4">Model!$CH$206</definedName>
    <definedName name="v_53_GCH4_atm">Model!$CO$206</definedName>
    <definedName name="v_53_GCO2">Model!$CG$206</definedName>
    <definedName name="v_53_GCO2_atm">Model!$CN$206</definedName>
    <definedName name="v_53_GH2">Model!$CI$206</definedName>
    <definedName name="v_53_GH2_atm">Model!$CP$206</definedName>
    <definedName name="v_53_GH2S">Model!$CM$206</definedName>
    <definedName name="v_53_GH2S_atm">Model!$CT$206</definedName>
    <definedName name="v_53_GN2">Model!$CL$206</definedName>
    <definedName name="v_53_GN2_atm">Model!$CS$206</definedName>
    <definedName name="v_53_GNH3">Model!$CK$206</definedName>
    <definedName name="v_53_GNH3_atm">Model!$CR$206</definedName>
    <definedName name="v_53_GO2">Model!$CJ$206</definedName>
    <definedName name="v_53_GO2_atm">Model!$CQ$206</definedName>
    <definedName name="v_53_SALPHA">Model!$CE$206</definedName>
    <definedName name="v_53_SAN">Model!$AX$206</definedName>
    <definedName name="v_53_SB">Model!$F$206</definedName>
    <definedName name="v_53_SCa">Model!$AY$206</definedName>
    <definedName name="v_53_SCAT">Model!$AW$206</definedName>
    <definedName name="v_53_SCH4">Model!$AS$206</definedName>
    <definedName name="v_53_SCO2">Model!$AU$206</definedName>
    <definedName name="v_53_SFe2">Model!$BE$206</definedName>
    <definedName name="v_53_SH">Model!$CD$206</definedName>
    <definedName name="v_53_SH2">Model!$AT$206</definedName>
    <definedName name="v_53_SH2S">Model!$BB$206</definedName>
    <definedName name="v_53_SK">Model!$BA$206</definedName>
    <definedName name="v_53_SMEOL">Model!$G$206</definedName>
    <definedName name="v_53_SMg">Model!$AZ$206</definedName>
    <definedName name="v_53_SMM_index">Model!$CU$206</definedName>
    <definedName name="v_53_SN_B">Model!$AH$206</definedName>
    <definedName name="v_53_SN2">Model!$AG$206</definedName>
    <definedName name="v_53_SNHx">Model!$AD$206</definedName>
    <definedName name="v_53_SNO2">Model!$AE$206</definedName>
    <definedName name="v_53_SNO3">Model!$AF$206</definedName>
    <definedName name="v_53_SO2">Model!$AR$206</definedName>
    <definedName name="v_53_SORPswitch">Model!$CF$206</definedName>
    <definedName name="v_53_SP_B">Model!$AN$206</definedName>
    <definedName name="v_53_SPFOA">Model!$BZ$206</definedName>
    <definedName name="v_53_SPFOS">Model!$CB$206</definedName>
    <definedName name="v_53_SPO4">Model!$AL$206</definedName>
    <definedName name="v_53_SSO4">Model!$BC$206</definedName>
    <definedName name="v_53_SU">Model!$K$206</definedName>
    <definedName name="v_53_SVFA">Model!$E$206</definedName>
    <definedName name="v_53_XACP">Model!$BU$206</definedName>
    <definedName name="v_53_XALGAE">Model!$AC$206</definedName>
    <definedName name="v_53_XAMETO">Model!$X$206</definedName>
    <definedName name="v_53_XAMX">Model!$W$206</definedName>
    <definedName name="v_53_XAOB">Model!$U$206</definedName>
    <definedName name="v_53_XASRO">Model!$Z$206</definedName>
    <definedName name="v_53_XB">Model!$I$206</definedName>
    <definedName name="v_53_XB_e">Model!$J$206</definedName>
    <definedName name="v_53_XBSH">Model!$BV$206</definedName>
    <definedName name="v_53_XCaCO3">Model!$BT$206</definedName>
    <definedName name="v_53_XCASTO">Model!$S$206</definedName>
    <definedName name="v_53_XE">Model!$P$206</definedName>
    <definedName name="v_53_XE_ana">Model!$Q$206</definedName>
    <definedName name="v_53_XFeS">Model!$BY$206</definedName>
    <definedName name="v_53_XHAO_H">Model!$BM$206</definedName>
    <definedName name="v_53_XHAO_H_P">Model!$BP$206</definedName>
    <definedName name="v_53_XHAO_H_P_old">Model!$BR$206</definedName>
    <definedName name="v_53_XHAO_L">Model!$BN$206</definedName>
    <definedName name="v_53_XHAO_L_P">Model!$BQ$206</definedName>
    <definedName name="v_53_XHAO_L_P_old">Model!$BS$206</definedName>
    <definedName name="v_53_XHAO_old">Model!$BO$206</definedName>
    <definedName name="v_53_XHFO_H">Model!$BF$206</definedName>
    <definedName name="v_53_XHFO_H_P">Model!$BI$206</definedName>
    <definedName name="v_53_XHFO_H_P_old">Model!$BK$206</definedName>
    <definedName name="v_53_XHFO_L">Model!$BG$206</definedName>
    <definedName name="v_53_XHFO_L_P">Model!$BJ$206</definedName>
    <definedName name="v_53_XHFO_L_P_old">Model!$BL$206</definedName>
    <definedName name="v_53_XHFO_old">Model!$BH$206</definedName>
    <definedName name="v_53_XHMETO">Model!$Y$206</definedName>
    <definedName name="v_53_XHSRO">Model!$AA$206</definedName>
    <definedName name="v_53_XINORG">Model!$AV$206</definedName>
    <definedName name="v_53_XMEOLO">Model!$T$206</definedName>
    <definedName name="v_53_XN_B">Model!$AI$206</definedName>
    <definedName name="v_53_XN_Be">Model!$AJ$206</definedName>
    <definedName name="v_53_XN_U">Model!$AK$206</definedName>
    <definedName name="v_53_XNOB">Model!$V$206</definedName>
    <definedName name="v_53_XOHO">Model!$R$206</definedName>
    <definedName name="v_53_XP_B">Model!$AO$206</definedName>
    <definedName name="v_53_XP_Be">Model!$AP$206</definedName>
    <definedName name="v_53_XP_U">Model!$AQ$206</definedName>
    <definedName name="v_53_XPFOA">Model!$CA$206</definedName>
    <definedName name="v_53_XPFOS">Model!$CC$206</definedName>
    <definedName name="v_53_XPHA_GAO">Model!$O$206</definedName>
    <definedName name="v_53_XPHA_PAO">Model!$N$206</definedName>
    <definedName name="v_53_XPP">Model!$AM$206</definedName>
    <definedName name="v_53_XS">Model!$BD$206</definedName>
    <definedName name="v_53_XSOO">Model!$AB$206</definedName>
    <definedName name="v_53_XSTR">Model!$BW$206</definedName>
    <definedName name="v_53_XU">Model!$M$206</definedName>
    <definedName name="v_53_XVivi">Model!$BX$206</definedName>
    <definedName name="v_54_CB">Model!$H$207</definedName>
    <definedName name="v_54_CU">Model!$L$207</definedName>
    <definedName name="v_54_GCH4">Model!$CH$207</definedName>
    <definedName name="v_54_GCH4_atm">Model!$CO$207</definedName>
    <definedName name="v_54_GCO2">Model!$CG$207</definedName>
    <definedName name="v_54_GCO2_atm">Model!$CN$207</definedName>
    <definedName name="v_54_GH2">Model!$CI$207</definedName>
    <definedName name="v_54_GH2_atm">Model!$CP$207</definedName>
    <definedName name="v_54_GH2S">Model!$CM$207</definedName>
    <definedName name="v_54_GH2S_atm">Model!$CT$207</definedName>
    <definedName name="v_54_GN2">Model!$CL$207</definedName>
    <definedName name="v_54_GN2_atm">Model!$CS$207</definedName>
    <definedName name="v_54_GNH3">Model!$CK$207</definedName>
    <definedName name="v_54_GNH3_atm">Model!$CR$207</definedName>
    <definedName name="v_54_GO2">Model!$CJ$207</definedName>
    <definedName name="v_54_GO2_atm">Model!$CQ$207</definedName>
    <definedName name="v_54_SALPHA">Model!$CE$207</definedName>
    <definedName name="v_54_SAN">Model!$AX$207</definedName>
    <definedName name="v_54_SB">Model!$F$207</definedName>
    <definedName name="v_54_SCa">Model!$AY$207</definedName>
    <definedName name="v_54_SCAT">Model!$AW$207</definedName>
    <definedName name="v_54_SCH4">Model!$AS$207</definedName>
    <definedName name="v_54_SCO2">Model!$AU$207</definedName>
    <definedName name="v_54_SFe2">Model!$BE$207</definedName>
    <definedName name="v_54_SH">Model!$CD$207</definedName>
    <definedName name="v_54_SH2">Model!$AT$207</definedName>
    <definedName name="v_54_SH2S">Model!$BB$207</definedName>
    <definedName name="v_54_SK">Model!$BA$207</definedName>
    <definedName name="v_54_SMEOL">Model!$G$207</definedName>
    <definedName name="v_54_SMg">Model!$AZ$207</definedName>
    <definedName name="v_54_SMM_index">Model!$CU$207</definedName>
    <definedName name="v_54_SN_B">Model!$AH$207</definedName>
    <definedName name="v_54_SN2">Model!$AG$207</definedName>
    <definedName name="v_54_SNHx">Model!$AD$207</definedName>
    <definedName name="v_54_SNO2">Model!$AE$207</definedName>
    <definedName name="v_54_SNO3">Model!$AF$207</definedName>
    <definedName name="v_54_SO2">Model!$AR$207</definedName>
    <definedName name="v_54_SORPswitch">Model!$CF$207</definedName>
    <definedName name="v_54_SP_B">Model!$AN$207</definedName>
    <definedName name="v_54_SPFOA">Model!$BZ$207</definedName>
    <definedName name="v_54_SPFOS">Model!$CB$207</definedName>
    <definedName name="v_54_SPO4">Model!$AL$207</definedName>
    <definedName name="v_54_SSO4">Model!$BC$207</definedName>
    <definedName name="v_54_SU">Model!$K$207</definedName>
    <definedName name="v_54_SVFA">Model!$E$207</definedName>
    <definedName name="v_54_XACP">Model!$BU$207</definedName>
    <definedName name="v_54_XALGAE">Model!$AC$207</definedName>
    <definedName name="v_54_XAMETO">Model!$X$207</definedName>
    <definedName name="v_54_XAMX">Model!$W$207</definedName>
    <definedName name="v_54_XAOB">Model!$U$207</definedName>
    <definedName name="v_54_XASRO">Model!$Z$207</definedName>
    <definedName name="v_54_XB">Model!$I$207</definedName>
    <definedName name="v_54_XB_e">Model!$J$207</definedName>
    <definedName name="v_54_XBSH">Model!$BV$207</definedName>
    <definedName name="v_54_XCaCO3">Model!$BT$207</definedName>
    <definedName name="v_54_XCASTO">Model!$S$207</definedName>
    <definedName name="v_54_XE">Model!$P$207</definedName>
    <definedName name="v_54_XE_ana">Model!$Q$207</definedName>
    <definedName name="v_54_XFeS">Model!$BY$207</definedName>
    <definedName name="v_54_XHAO_H">Model!$BM$207</definedName>
    <definedName name="v_54_XHAO_H_P">Model!$BP$207</definedName>
    <definedName name="v_54_XHAO_H_P_old">Model!$BR$207</definedName>
    <definedName name="v_54_XHAO_L">Model!$BN$207</definedName>
    <definedName name="v_54_XHAO_L_P">Model!$BQ$207</definedName>
    <definedName name="v_54_XHAO_L_P_old">Model!$BS$207</definedName>
    <definedName name="v_54_XHAO_old">Model!$BO$207</definedName>
    <definedName name="v_54_XHFO_H">Model!$BF$207</definedName>
    <definedName name="v_54_XHFO_H_P">Model!$BI$207</definedName>
    <definedName name="v_54_XHFO_H_P_old">Model!$BK$207</definedName>
    <definedName name="v_54_XHFO_L">Model!$BG$207</definedName>
    <definedName name="v_54_XHFO_L_P">Model!$BJ$207</definedName>
    <definedName name="v_54_XHFO_L_P_old">Model!$BL$207</definedName>
    <definedName name="v_54_XHFO_old">Model!$BH$207</definedName>
    <definedName name="v_54_XHMETO">Model!$Y$207</definedName>
    <definedName name="v_54_XHSRO">Model!$AA$207</definedName>
    <definedName name="v_54_XINORG">Model!$AV$207</definedName>
    <definedName name="v_54_XMEOLO">Model!$T$207</definedName>
    <definedName name="v_54_XN_B">Model!$AI$207</definedName>
    <definedName name="v_54_XN_Be">Model!$AJ$207</definedName>
    <definedName name="v_54_XN_U">Model!$AK$207</definedName>
    <definedName name="v_54_XNOB">Model!$V$207</definedName>
    <definedName name="v_54_XOHO">Model!$R$207</definedName>
    <definedName name="v_54_XP_B">Model!$AO$207</definedName>
    <definedName name="v_54_XP_Be">Model!$AP$207</definedName>
    <definedName name="v_54_XP_U">Model!$AQ$207</definedName>
    <definedName name="v_54_XPFOA">Model!$CA$207</definedName>
    <definedName name="v_54_XPFOS">Model!$CC$207</definedName>
    <definedName name="v_54_XPHA_GAO">Model!$O$207</definedName>
    <definedName name="v_54_XPHA_PAO">Model!$N$207</definedName>
    <definedName name="v_54_XPP">Model!$AM$207</definedName>
    <definedName name="v_54_XS">Model!$BD$207</definedName>
    <definedName name="v_54_XSOO">Model!$AB$207</definedName>
    <definedName name="v_54_XSTR">Model!$BW$207</definedName>
    <definedName name="v_54_XU">Model!$M$207</definedName>
    <definedName name="v_54_XVivi">Model!$BX$207</definedName>
    <definedName name="v_55_CB">Model!$H$208</definedName>
    <definedName name="v_55_CU">Model!$L$208</definedName>
    <definedName name="v_55_GCH4">Model!$CH$208</definedName>
    <definedName name="v_55_GCH4_atm">Model!$CO$208</definedName>
    <definedName name="v_55_GCO2">Model!$CG$208</definedName>
    <definedName name="v_55_GCO2_atm">Model!$CN$208</definedName>
    <definedName name="v_55_GH2">Model!$CI$208</definedName>
    <definedName name="v_55_GH2_atm">Model!$CP$208</definedName>
    <definedName name="v_55_GH2S">Model!$CM$208</definedName>
    <definedName name="v_55_GH2S_atm">Model!$CT$208</definedName>
    <definedName name="v_55_GN2">Model!$CL$208</definedName>
    <definedName name="v_55_GN2_atm">Model!$CS$208</definedName>
    <definedName name="v_55_GNH3">Model!$CK$208</definedName>
    <definedName name="v_55_GNH3_atm">Model!$CR$208</definedName>
    <definedName name="v_55_GO2">Model!$CJ$208</definedName>
    <definedName name="v_55_GO2_atm">Model!$CQ$208</definedName>
    <definedName name="v_55_SALPHA">Model!$CE$208</definedName>
    <definedName name="v_55_SAN">Model!$AX$208</definedName>
    <definedName name="v_55_SB">Model!$F$208</definedName>
    <definedName name="v_55_SCa">Model!$AY$208</definedName>
    <definedName name="v_55_SCAT">Model!$AW$208</definedName>
    <definedName name="v_55_SCH4">Model!$AS$208</definedName>
    <definedName name="v_55_SCO2">Model!$AU$208</definedName>
    <definedName name="v_55_SFe2">Model!$BE$208</definedName>
    <definedName name="v_55_SH">Model!$CD$208</definedName>
    <definedName name="v_55_SH2">Model!$AT$208</definedName>
    <definedName name="v_55_SH2S">Model!$BB$208</definedName>
    <definedName name="v_55_SK">Model!$BA$208</definedName>
    <definedName name="v_55_SMEOL">Model!$G$208</definedName>
    <definedName name="v_55_SMg">Model!$AZ$208</definedName>
    <definedName name="v_55_SMM_index">Model!$CU$208</definedName>
    <definedName name="v_55_SN_B">Model!$AH$208</definedName>
    <definedName name="v_55_SN2">Model!$AG$208</definedName>
    <definedName name="v_55_SNHx">Model!$AD$208</definedName>
    <definedName name="v_55_SNO2">Model!$AE$208</definedName>
    <definedName name="v_55_SNO3">Model!$AF$208</definedName>
    <definedName name="v_55_SO2">Model!$AR$208</definedName>
    <definedName name="v_55_SORPswitch">Model!$CF$208</definedName>
    <definedName name="v_55_SP_B">Model!$AN$208</definedName>
    <definedName name="v_55_SPFOA">Model!$BZ$208</definedName>
    <definedName name="v_55_SPFOS">Model!$CB$208</definedName>
    <definedName name="v_55_SPO4">Model!$AL$208</definedName>
    <definedName name="v_55_SSO4">Model!$BC$208</definedName>
    <definedName name="v_55_SU">Model!$K$208</definedName>
    <definedName name="v_55_SVFA">Model!$E$208</definedName>
    <definedName name="v_55_XACP">Model!$BU$208</definedName>
    <definedName name="v_55_XALGAE">Model!$AC$208</definedName>
    <definedName name="v_55_XAMETO">Model!$X$208</definedName>
    <definedName name="v_55_XAMX">Model!$W$208</definedName>
    <definedName name="v_55_XAOB">Model!$U$208</definedName>
    <definedName name="v_55_XASRO">Model!$Z$208</definedName>
    <definedName name="v_55_XB">Model!$I$208</definedName>
    <definedName name="v_55_XB_e">Model!$J$208</definedName>
    <definedName name="v_55_XBSH">Model!$BV$208</definedName>
    <definedName name="v_55_XCaCO3">Model!$BT$208</definedName>
    <definedName name="v_55_XCASTO">Model!$S$208</definedName>
    <definedName name="v_55_XE">Model!$P$208</definedName>
    <definedName name="v_55_XE_ana">Model!$Q$208</definedName>
    <definedName name="v_55_XFeS">Model!$BY$208</definedName>
    <definedName name="v_55_XHAO_H">Model!$BM$208</definedName>
    <definedName name="v_55_XHAO_H_P">Model!$BP$208</definedName>
    <definedName name="v_55_XHAO_H_P_old">Model!$BR$208</definedName>
    <definedName name="v_55_XHAO_L">Model!$BN$208</definedName>
    <definedName name="v_55_XHAO_L_P">Model!$BQ$208</definedName>
    <definedName name="v_55_XHAO_L_P_old">Model!$BS$208</definedName>
    <definedName name="v_55_XHAO_old">Model!$BO$208</definedName>
    <definedName name="v_55_XHFO_H">Model!$BF$208</definedName>
    <definedName name="v_55_XHFO_H_P">Model!$BI$208</definedName>
    <definedName name="v_55_XHFO_H_P_old">Model!$BK$208</definedName>
    <definedName name="v_55_XHFO_L">Model!$BG$208</definedName>
    <definedName name="v_55_XHFO_L_P">Model!$BJ$208</definedName>
    <definedName name="v_55_XHFO_L_P_old">Model!$BL$208</definedName>
    <definedName name="v_55_XHFO_old">Model!$BH$208</definedName>
    <definedName name="v_55_XHMETO">Model!$Y$208</definedName>
    <definedName name="v_55_XHSRO">Model!$AA$208</definedName>
    <definedName name="v_55_XINORG">Model!$AV$208</definedName>
    <definedName name="v_55_XMEOLO">Model!$T$208</definedName>
    <definedName name="v_55_XN_B">Model!$AI$208</definedName>
    <definedName name="v_55_XN_Be">Model!$AJ$208</definedName>
    <definedName name="v_55_XN_U">Model!$AK$208</definedName>
    <definedName name="v_55_XNOB">Model!$V$208</definedName>
    <definedName name="v_55_XOHO">Model!$R$208</definedName>
    <definedName name="v_55_XP_B">Model!$AO$208</definedName>
    <definedName name="v_55_XP_Be">Model!$AP$208</definedName>
    <definedName name="v_55_XP_U">Model!$AQ$208</definedName>
    <definedName name="v_55_XPFOA">Model!$CA$208</definedName>
    <definedName name="v_55_XPFOS">Model!$CC$208</definedName>
    <definedName name="v_55_XPHA_GAO">Model!$O$208</definedName>
    <definedName name="v_55_XPHA_PAO">Model!$N$208</definedName>
    <definedName name="v_55_XPP">Model!$AM$208</definedName>
    <definedName name="v_55_XS">Model!$BD$208</definedName>
    <definedName name="v_55_XSOO">Model!$AB$208</definedName>
    <definedName name="v_55_XSTR">Model!$BW$208</definedName>
    <definedName name="v_55_XU">Model!$M$208</definedName>
    <definedName name="v_55_XVivi">Model!$BX$208</definedName>
    <definedName name="v_56_CB">Model!$H$209</definedName>
    <definedName name="v_56_CU">Model!$L$209</definedName>
    <definedName name="v_56_GCH4">Model!$CH$209</definedName>
    <definedName name="v_56_GCH4_atm">Model!$CO$209</definedName>
    <definedName name="v_56_GCO2">Model!$CG$209</definedName>
    <definedName name="v_56_GCO2_atm">Model!$CN$209</definedName>
    <definedName name="v_56_GH2">Model!$CI$209</definedName>
    <definedName name="v_56_GH2_atm">Model!$CP$209</definedName>
    <definedName name="v_56_GH2S">Model!$CM$209</definedName>
    <definedName name="v_56_GH2S_atm">Model!$CT$209</definedName>
    <definedName name="v_56_GN2">Model!$CL$209</definedName>
    <definedName name="v_56_GN2_atm">Model!$CS$209</definedName>
    <definedName name="v_56_GNH3">Model!$CK$209</definedName>
    <definedName name="v_56_GNH3_atm">Model!$CR$209</definedName>
    <definedName name="v_56_GO2">Model!$CJ$209</definedName>
    <definedName name="v_56_GO2_atm">Model!$CQ$209</definedName>
    <definedName name="v_56_SALPHA">Model!$CE$209</definedName>
    <definedName name="v_56_SAN">Model!$AX$209</definedName>
    <definedName name="v_56_SB">Model!$F$209</definedName>
    <definedName name="v_56_SCa">Model!$AY$209</definedName>
    <definedName name="v_56_SCAT">Model!$AW$209</definedName>
    <definedName name="v_56_SCH4">Model!$AS$209</definedName>
    <definedName name="v_56_SCO2">Model!$AU$209</definedName>
    <definedName name="v_56_SFe2">Model!$BE$209</definedName>
    <definedName name="v_56_SH">Model!$CD$209</definedName>
    <definedName name="v_56_SH2">Model!$AT$209</definedName>
    <definedName name="v_56_SH2S">Model!$BB$209</definedName>
    <definedName name="v_56_SK">Model!$BA$209</definedName>
    <definedName name="v_56_SMEOL">Model!$G$209</definedName>
    <definedName name="v_56_SMg">Model!$AZ$209</definedName>
    <definedName name="v_56_SMM_index">Model!$CU$209</definedName>
    <definedName name="v_56_SN_B">Model!$AH$209</definedName>
    <definedName name="v_56_SN2">Model!$AG$209</definedName>
    <definedName name="v_56_SNHx">Model!$AD$209</definedName>
    <definedName name="v_56_SNO2">Model!$AE$209</definedName>
    <definedName name="v_56_SNO3">Model!$AF$209</definedName>
    <definedName name="v_56_SO2">Model!$AR$209</definedName>
    <definedName name="v_56_SORPswitch">Model!$CF$209</definedName>
    <definedName name="v_56_SP_B">Model!$AN$209</definedName>
    <definedName name="v_56_SPFOA">Model!$BZ$209</definedName>
    <definedName name="v_56_SPFOS">Model!$CB$209</definedName>
    <definedName name="v_56_SPO4">Model!$AL$209</definedName>
    <definedName name="v_56_SSO4">Model!$BC$209</definedName>
    <definedName name="v_56_SU">Model!$K$209</definedName>
    <definedName name="v_56_SVFA">Model!$E$209</definedName>
    <definedName name="v_56_XACP">Model!$BU$209</definedName>
    <definedName name="v_56_XALGAE">Model!$AC$209</definedName>
    <definedName name="v_56_XAMETO">Model!$X$209</definedName>
    <definedName name="v_56_XAMX">Model!$W$209</definedName>
    <definedName name="v_56_XAOB">Model!$U$209</definedName>
    <definedName name="v_56_XASRO">Model!$Z$209</definedName>
    <definedName name="v_56_XB">Model!$I$209</definedName>
    <definedName name="v_56_XB_e">Model!$J$209</definedName>
    <definedName name="v_56_XBSH">Model!$BV$209</definedName>
    <definedName name="v_56_XCaCO3">Model!$BT$209</definedName>
    <definedName name="v_56_XCASTO">Model!$S$209</definedName>
    <definedName name="v_56_XE">Model!$P$209</definedName>
    <definedName name="v_56_XE_ana">Model!$Q$209</definedName>
    <definedName name="v_56_XFeS">Model!$BY$209</definedName>
    <definedName name="v_56_XHAO_H">Model!$BM$209</definedName>
    <definedName name="v_56_XHAO_H_P">Model!$BP$209</definedName>
    <definedName name="v_56_XHAO_H_P_old">Model!$BR$209</definedName>
    <definedName name="v_56_XHAO_L">Model!$BN$209</definedName>
    <definedName name="v_56_XHAO_L_P">Model!$BQ$209</definedName>
    <definedName name="v_56_XHAO_L_P_old">Model!$BS$209</definedName>
    <definedName name="v_56_XHAO_old">Model!$BO$209</definedName>
    <definedName name="v_56_XHFO_H">Model!$BF$209</definedName>
    <definedName name="v_56_XHFO_H_P">Model!$BI$209</definedName>
    <definedName name="v_56_XHFO_H_P_old">Model!$BK$209</definedName>
    <definedName name="v_56_XHFO_L">Model!$BG$209</definedName>
    <definedName name="v_56_XHFO_L_P">Model!$BJ$209</definedName>
    <definedName name="v_56_XHFO_L_P_old">Model!$BL$209</definedName>
    <definedName name="v_56_XHFO_old">Model!$BH$209</definedName>
    <definedName name="v_56_XHMETO">Model!$Y$209</definedName>
    <definedName name="v_56_XHSRO">Model!$AA$209</definedName>
    <definedName name="v_56_XINORG">Model!$AV$209</definedName>
    <definedName name="v_56_XMEOLO">Model!$T$209</definedName>
    <definedName name="v_56_XN_B">Model!$AI$209</definedName>
    <definedName name="v_56_XN_Be">Model!$AJ$209</definedName>
    <definedName name="v_56_XN_U">Model!$AK$209</definedName>
    <definedName name="v_56_XNOB">Model!$V$209</definedName>
    <definedName name="v_56_XOHO">Model!$R$209</definedName>
    <definedName name="v_56_XP_B">Model!$AO$209</definedName>
    <definedName name="v_56_XP_Be">Model!$AP$209</definedName>
    <definedName name="v_56_XP_U">Model!$AQ$209</definedName>
    <definedName name="v_56_XPFOA">Model!$CA$209</definedName>
    <definedName name="v_56_XPFOS">Model!$CC$209</definedName>
    <definedName name="v_56_XPHA_GAO">Model!$O$209</definedName>
    <definedName name="v_56_XPHA_PAO">Model!$N$209</definedName>
    <definedName name="v_56_XPP">Model!$AM$209</definedName>
    <definedName name="v_56_XS">Model!$BD$209</definedName>
    <definedName name="v_56_XSOO">Model!$AB$209</definedName>
    <definedName name="v_56_XSTR">Model!$BW$209</definedName>
    <definedName name="v_56_XU">Model!$M$209</definedName>
    <definedName name="v_56_XVivi">Model!$BX$209</definedName>
    <definedName name="v_57_CB">Model!$H$210</definedName>
    <definedName name="v_57_CU">Model!$L$210</definedName>
    <definedName name="v_57_GCH4">Model!$CH$210</definedName>
    <definedName name="v_57_GCH4_atm">Model!$CO$210</definedName>
    <definedName name="v_57_GCO2">Model!$CG$210</definedName>
    <definedName name="v_57_GCO2_atm">Model!$CN$210</definedName>
    <definedName name="v_57_GH2">Model!$CI$210</definedName>
    <definedName name="v_57_GH2_atm">Model!$CP$210</definedName>
    <definedName name="v_57_GH2S">Model!$CM$210</definedName>
    <definedName name="v_57_GH2S_atm">Model!$CT$210</definedName>
    <definedName name="v_57_GN2">Model!$CL$210</definedName>
    <definedName name="v_57_GN2_atm">Model!$CS$210</definedName>
    <definedName name="v_57_GNH3">Model!$CK$210</definedName>
    <definedName name="v_57_GNH3_atm">Model!$CR$210</definedName>
    <definedName name="v_57_GO2">Model!$CJ$210</definedName>
    <definedName name="v_57_GO2_atm">Model!$CQ$210</definedName>
    <definedName name="v_57_SALPHA">Model!$CE$210</definedName>
    <definedName name="v_57_SAN">Model!$AX$210</definedName>
    <definedName name="v_57_SB">Model!$F$210</definedName>
    <definedName name="v_57_SCa">Model!$AY$210</definedName>
    <definedName name="v_57_SCAT">Model!$AW$210</definedName>
    <definedName name="v_57_SCH4">Model!$AS$210</definedName>
    <definedName name="v_57_SCO2">Model!$AU$210</definedName>
    <definedName name="v_57_SFe2">Model!$BE$210</definedName>
    <definedName name="v_57_SH">Model!$CD$210</definedName>
    <definedName name="v_57_SH2">Model!$AT$210</definedName>
    <definedName name="v_57_SH2S">Model!$BB$210</definedName>
    <definedName name="v_57_SK">Model!$BA$210</definedName>
    <definedName name="v_57_SMEOL">Model!$G$210</definedName>
    <definedName name="v_57_SMg">Model!$AZ$210</definedName>
    <definedName name="v_57_SMM_index">Model!$CU$210</definedName>
    <definedName name="v_57_SN_B">Model!$AH$210</definedName>
    <definedName name="v_57_SN2">Model!$AG$210</definedName>
    <definedName name="v_57_SNHx">Model!$AD$210</definedName>
    <definedName name="v_57_SNO2">Model!$AE$210</definedName>
    <definedName name="v_57_SNO3">Model!$AF$210</definedName>
    <definedName name="v_57_SO2">Model!$AR$210</definedName>
    <definedName name="v_57_SORPswitch">Model!$CF$210</definedName>
    <definedName name="v_57_SP_B">Model!$AN$210</definedName>
    <definedName name="v_57_SPFOA">Model!$BZ$210</definedName>
    <definedName name="v_57_SPFOS">Model!$CB$210</definedName>
    <definedName name="v_57_SPO4">Model!$AL$210</definedName>
    <definedName name="v_57_SSO4">Model!$BC$210</definedName>
    <definedName name="v_57_SU">Model!$K$210</definedName>
    <definedName name="v_57_SVFA">Model!$E$210</definedName>
    <definedName name="v_57_XACP">Model!$BU$210</definedName>
    <definedName name="v_57_XALGAE">Model!$AC$210</definedName>
    <definedName name="v_57_XAMETO">Model!$X$210</definedName>
    <definedName name="v_57_XAMX">Model!$W$210</definedName>
    <definedName name="v_57_XAOB">Model!$U$210</definedName>
    <definedName name="v_57_XASRO">Model!$Z$210</definedName>
    <definedName name="v_57_XB">Model!$I$210</definedName>
    <definedName name="v_57_XB_e">Model!$J$210</definedName>
    <definedName name="v_57_XBSH">Model!$BV$210</definedName>
    <definedName name="v_57_XCaCO3">Model!$BT$210</definedName>
    <definedName name="v_57_XCASTO">Model!$S$210</definedName>
    <definedName name="v_57_XE">Model!$P$210</definedName>
    <definedName name="v_57_XE_ana">Model!$Q$210</definedName>
    <definedName name="v_57_XFeS">Model!$BY$210</definedName>
    <definedName name="v_57_XHAO_H">Model!$BM$210</definedName>
    <definedName name="v_57_XHAO_H_P">Model!$BP$210</definedName>
    <definedName name="v_57_XHAO_H_P_old">Model!$BR$210</definedName>
    <definedName name="v_57_XHAO_L">Model!$BN$210</definedName>
    <definedName name="v_57_XHAO_L_P">Model!$BQ$210</definedName>
    <definedName name="v_57_XHAO_L_P_old">Model!$BS$210</definedName>
    <definedName name="v_57_XHAO_old">Model!$BO$210</definedName>
    <definedName name="v_57_XHFO_H">Model!$BF$210</definedName>
    <definedName name="v_57_XHFO_H_P">Model!$BI$210</definedName>
    <definedName name="v_57_XHFO_H_P_old">Model!$BK$210</definedName>
    <definedName name="v_57_XHFO_L">Model!$BG$210</definedName>
    <definedName name="v_57_XHFO_L_P">Model!$BJ$210</definedName>
    <definedName name="v_57_XHFO_L_P_old">Model!$BL$210</definedName>
    <definedName name="v_57_XHFO_old">Model!$BH$210</definedName>
    <definedName name="v_57_XHMETO">Model!$Y$210</definedName>
    <definedName name="v_57_XHSRO">Model!$AA$210</definedName>
    <definedName name="v_57_XINORG">Model!$AV$210</definedName>
    <definedName name="v_57_XMEOLO">Model!$T$210</definedName>
    <definedName name="v_57_XN_B">Model!$AI$210</definedName>
    <definedName name="v_57_XN_Be">Model!$AJ$210</definedName>
    <definedName name="v_57_XN_U">Model!$AK$210</definedName>
    <definedName name="v_57_XNOB">Model!$V$210</definedName>
    <definedName name="v_57_XOHO">Model!$R$210</definedName>
    <definedName name="v_57_XP_B">Model!$AO$210</definedName>
    <definedName name="v_57_XP_Be">Model!$AP$210</definedName>
    <definedName name="v_57_XP_U">Model!$AQ$210</definedName>
    <definedName name="v_57_XPFOA">Model!$CA$210</definedName>
    <definedName name="v_57_XPFOS">Model!$CC$210</definedName>
    <definedName name="v_57_XPHA_GAO">Model!$O$210</definedName>
    <definedName name="v_57_XPHA_PAO">Model!$N$210</definedName>
    <definedName name="v_57_XPP">Model!$AM$210</definedName>
    <definedName name="v_57_XS">Model!$BD$210</definedName>
    <definedName name="v_57_XSOO">Model!$AB$210</definedName>
    <definedName name="v_57_XSTR">Model!$BW$210</definedName>
    <definedName name="v_57_XU">Model!$M$210</definedName>
    <definedName name="v_57_XVivi">Model!$BX$210</definedName>
    <definedName name="v_58_CB">Model!$H$211</definedName>
    <definedName name="v_58_CU">Model!$L$211</definedName>
    <definedName name="v_58_GCH4">Model!$CH$211</definedName>
    <definedName name="v_58_GCH4_atm">Model!$CO$211</definedName>
    <definedName name="v_58_GCO2">Model!$CG$211</definedName>
    <definedName name="v_58_GCO2_atm">Model!$CN$211</definedName>
    <definedName name="v_58_GH2">Model!$CI$211</definedName>
    <definedName name="v_58_GH2_atm">Model!$CP$211</definedName>
    <definedName name="v_58_GH2S">Model!$CM$211</definedName>
    <definedName name="v_58_GH2S_atm">Model!$CT$211</definedName>
    <definedName name="v_58_GN2">Model!$CL$211</definedName>
    <definedName name="v_58_GN2_atm">Model!$CS$211</definedName>
    <definedName name="v_58_GNH3">Model!$CK$211</definedName>
    <definedName name="v_58_GNH3_atm">Model!$CR$211</definedName>
    <definedName name="v_58_GO2">Model!$CJ$211</definedName>
    <definedName name="v_58_GO2_atm">Model!$CQ$211</definedName>
    <definedName name="v_58_SALPHA">Model!$CE$211</definedName>
    <definedName name="v_58_SAN">Model!$AX$211</definedName>
    <definedName name="v_58_SB">Model!$F$211</definedName>
    <definedName name="v_58_SCa">Model!$AY$211</definedName>
    <definedName name="v_58_SCAT">Model!$AW$211</definedName>
    <definedName name="v_58_SCH4">Model!$AS$211</definedName>
    <definedName name="v_58_SCO2">Model!$AU$211</definedName>
    <definedName name="v_58_SFe2">Model!$BE$211</definedName>
    <definedName name="v_58_SH">Model!$CD$211</definedName>
    <definedName name="v_58_SH2">Model!$AT$211</definedName>
    <definedName name="v_58_SH2S">Model!$BB$211</definedName>
    <definedName name="v_58_SK">Model!$BA$211</definedName>
    <definedName name="v_58_SMEOL">Model!$G$211</definedName>
    <definedName name="v_58_SMg">Model!$AZ$211</definedName>
    <definedName name="v_58_SMM_index">Model!$CU$211</definedName>
    <definedName name="v_58_SN_B">Model!$AH$211</definedName>
    <definedName name="v_58_SN2">Model!$AG$211</definedName>
    <definedName name="v_58_SNHx">Model!$AD$211</definedName>
    <definedName name="v_58_SNO2">Model!$AE$211</definedName>
    <definedName name="v_58_SNO3">Model!$AF$211</definedName>
    <definedName name="v_58_SO2">Model!$AR$211</definedName>
    <definedName name="v_58_SORPswitch">Model!$CF$211</definedName>
    <definedName name="v_58_SP_B">Model!$AN$211</definedName>
    <definedName name="v_58_SPFOA">Model!$BZ$211</definedName>
    <definedName name="v_58_SPFOS">Model!$CB$211</definedName>
    <definedName name="v_58_SPO4">Model!$AL$211</definedName>
    <definedName name="v_58_SSO4">Model!$BC$211</definedName>
    <definedName name="v_58_SU">Model!$K$211</definedName>
    <definedName name="v_58_SVFA">Model!$E$211</definedName>
    <definedName name="v_58_XACP">Model!$BU$211</definedName>
    <definedName name="v_58_XALGAE">Model!$AC$211</definedName>
    <definedName name="v_58_XAMETO">Model!$X$211</definedName>
    <definedName name="v_58_XAMX">Model!$W$211</definedName>
    <definedName name="v_58_XAOB">Model!$U$211</definedName>
    <definedName name="v_58_XASRO">Model!$Z$211</definedName>
    <definedName name="v_58_XB">Model!$I$211</definedName>
    <definedName name="v_58_XB_e">Model!$J$211</definedName>
    <definedName name="v_58_XBSH">Model!$BV$211</definedName>
    <definedName name="v_58_XCaCO3">Model!$BT$211</definedName>
    <definedName name="v_58_XCASTO">Model!$S$211</definedName>
    <definedName name="v_58_XE">Model!$P$211</definedName>
    <definedName name="v_58_XE_ana">Model!$Q$211</definedName>
    <definedName name="v_58_XFeS">Model!$BY$211</definedName>
    <definedName name="v_58_XHAO_H">Model!$BM$211</definedName>
    <definedName name="v_58_XHAO_H_P">Model!$BP$211</definedName>
    <definedName name="v_58_XHAO_H_P_old">Model!$BR$211</definedName>
    <definedName name="v_58_XHAO_L">Model!$BN$211</definedName>
    <definedName name="v_58_XHAO_L_P">Model!$BQ$211</definedName>
    <definedName name="v_58_XHAO_L_P_old">Model!$BS$211</definedName>
    <definedName name="v_58_XHAO_old">Model!$BO$211</definedName>
    <definedName name="v_58_XHFO_H">Model!$BF$211</definedName>
    <definedName name="v_58_XHFO_H_P">Model!$BI$211</definedName>
    <definedName name="v_58_XHFO_H_P_old">Model!$BK$211</definedName>
    <definedName name="v_58_XHFO_L">Model!$BG$211</definedName>
    <definedName name="v_58_XHFO_L_P">Model!$BJ$211</definedName>
    <definedName name="v_58_XHFO_L_P_old">Model!$BL$211</definedName>
    <definedName name="v_58_XHFO_old">Model!$BH$211</definedName>
    <definedName name="v_58_XHMETO">Model!$Y$211</definedName>
    <definedName name="v_58_XHSRO">Model!$AA$211</definedName>
    <definedName name="v_58_XINORG">Model!$AV$211</definedName>
    <definedName name="v_58_XMEOLO">Model!$T$211</definedName>
    <definedName name="v_58_XN_B">Model!$AI$211</definedName>
    <definedName name="v_58_XN_Be">Model!$AJ$211</definedName>
    <definedName name="v_58_XN_U">Model!$AK$211</definedName>
    <definedName name="v_58_XNOB">Model!$V$211</definedName>
    <definedName name="v_58_XOHO">Model!$R$211</definedName>
    <definedName name="v_58_XP_B">Model!$AO$211</definedName>
    <definedName name="v_58_XP_Be">Model!$AP$211</definedName>
    <definedName name="v_58_XP_U">Model!$AQ$211</definedName>
    <definedName name="v_58_XPFOA">Model!$CA$211</definedName>
    <definedName name="v_58_XPFOS">Model!$CC$211</definedName>
    <definedName name="v_58_XPHA_GAO">Model!$O$211</definedName>
    <definedName name="v_58_XPHA_PAO">Model!$N$211</definedName>
    <definedName name="v_58_XPP">Model!$AM$211</definedName>
    <definedName name="v_58_XS">Model!$BD$211</definedName>
    <definedName name="v_58_XSOO">Model!$AB$211</definedName>
    <definedName name="v_58_XSTR">Model!$BW$211</definedName>
    <definedName name="v_58_XU">Model!$M$211</definedName>
    <definedName name="v_58_XVivi">Model!$BX$211</definedName>
    <definedName name="v_59_CB">Model!$H$212</definedName>
    <definedName name="v_59_CU">Model!$L$212</definedName>
    <definedName name="v_59_GCH4">Model!$CH$212</definedName>
    <definedName name="v_59_GCH4_atm">Model!$CO$212</definedName>
    <definedName name="v_59_GCO2">Model!$CG$212</definedName>
    <definedName name="v_59_GCO2_atm">Model!$CN$212</definedName>
    <definedName name="v_59_GH2">Model!$CI$212</definedName>
    <definedName name="v_59_GH2_atm">Model!$CP$212</definedName>
    <definedName name="v_59_GH2S">Model!$CM$212</definedName>
    <definedName name="v_59_GH2S_atm">Model!$CT$212</definedName>
    <definedName name="v_59_GN2">Model!$CL$212</definedName>
    <definedName name="v_59_GN2_atm">Model!$CS$212</definedName>
    <definedName name="v_59_GNH3">Model!$CK$212</definedName>
    <definedName name="v_59_GNH3_atm">Model!$CR$212</definedName>
    <definedName name="v_59_GO2">Model!$CJ$212</definedName>
    <definedName name="v_59_GO2_atm">Model!$CQ$212</definedName>
    <definedName name="v_59_SALPHA">Model!$CE$212</definedName>
    <definedName name="v_59_SAN">Model!$AX$212</definedName>
    <definedName name="v_59_SB">Model!$F$212</definedName>
    <definedName name="v_59_SCa">Model!$AY$212</definedName>
    <definedName name="v_59_SCAT">Model!$AW$212</definedName>
    <definedName name="v_59_SCH4">Model!$AS$212</definedName>
    <definedName name="v_59_SCO2">Model!$AU$212</definedName>
    <definedName name="v_59_SFe2">Model!$BE$212</definedName>
    <definedName name="v_59_SH">Model!$CD$212</definedName>
    <definedName name="v_59_SH2">Model!$AT$212</definedName>
    <definedName name="v_59_SH2S">Model!$BB$212</definedName>
    <definedName name="v_59_SK">Model!$BA$212</definedName>
    <definedName name="v_59_SMEOL">Model!$G$212</definedName>
    <definedName name="v_59_SMg">Model!$AZ$212</definedName>
    <definedName name="v_59_SMM_index">Model!$CU$212</definedName>
    <definedName name="v_59_SN_B">Model!$AH$212</definedName>
    <definedName name="v_59_SN2">Model!$AG$212</definedName>
    <definedName name="v_59_SNHx">Model!$AD$212</definedName>
    <definedName name="v_59_SNO2">Model!$AE$212</definedName>
    <definedName name="v_59_SNO3">Model!$AF$212</definedName>
    <definedName name="v_59_SO2">Model!$AR$212</definedName>
    <definedName name="v_59_SORPswitch">Model!$CF$212</definedName>
    <definedName name="v_59_SP_B">Model!$AN$212</definedName>
    <definedName name="v_59_SPFOA">Model!$BZ$212</definedName>
    <definedName name="v_59_SPFOS">Model!$CB$212</definedName>
    <definedName name="v_59_SPO4">Model!$AL$212</definedName>
    <definedName name="v_59_SSO4">Model!$BC$212</definedName>
    <definedName name="v_59_SU">Model!$K$212</definedName>
    <definedName name="v_59_SVFA">Model!$E$212</definedName>
    <definedName name="v_59_XACP">Model!$BU$212</definedName>
    <definedName name="v_59_XALGAE">Model!$AC$212</definedName>
    <definedName name="v_59_XAMETO">Model!$X$212</definedName>
    <definedName name="v_59_XAMX">Model!$W$212</definedName>
    <definedName name="v_59_XAOB">Model!$U$212</definedName>
    <definedName name="v_59_XASRO">Model!$Z$212</definedName>
    <definedName name="v_59_XB">Model!$I$212</definedName>
    <definedName name="v_59_XB_e">Model!$J$212</definedName>
    <definedName name="v_59_XBSH">Model!$BV$212</definedName>
    <definedName name="v_59_XCaCO3">Model!$BT$212</definedName>
    <definedName name="v_59_XCASTO">Model!$S$212</definedName>
    <definedName name="v_59_XE">Model!$P$212</definedName>
    <definedName name="v_59_XE_ana">Model!$Q$212</definedName>
    <definedName name="v_59_XFeS">Model!$BY$212</definedName>
    <definedName name="v_59_XHAO_H">Model!$BM$212</definedName>
    <definedName name="v_59_XHAO_H_P">Model!$BP$212</definedName>
    <definedName name="v_59_XHAO_H_P_old">Model!$BR$212</definedName>
    <definedName name="v_59_XHAO_L">Model!$BN$212</definedName>
    <definedName name="v_59_XHAO_L_P">Model!$BQ$212</definedName>
    <definedName name="v_59_XHAO_L_P_old">Model!$BS$212</definedName>
    <definedName name="v_59_XHAO_old">Model!$BO$212</definedName>
    <definedName name="v_59_XHFO_H">Model!$BF$212</definedName>
    <definedName name="v_59_XHFO_H_P">Model!$BI$212</definedName>
    <definedName name="v_59_XHFO_H_P_old">Model!$BK$212</definedName>
    <definedName name="v_59_XHFO_L">Model!$BG$212</definedName>
    <definedName name="v_59_XHFO_L_P">Model!$BJ$212</definedName>
    <definedName name="v_59_XHFO_L_P_old">Model!$BL$212</definedName>
    <definedName name="v_59_XHFO_old">Model!$BH$212</definedName>
    <definedName name="v_59_XHMETO">Model!$Y$212</definedName>
    <definedName name="v_59_XHSRO">Model!$AA$212</definedName>
    <definedName name="v_59_XINORG">Model!$AV$212</definedName>
    <definedName name="v_59_XMEOLO">Model!$T$212</definedName>
    <definedName name="v_59_XN_B">Model!$AI$212</definedName>
    <definedName name="v_59_XN_Be">Model!$AJ$212</definedName>
    <definedName name="v_59_XN_U">Model!$AK$212</definedName>
    <definedName name="v_59_XNOB">Model!$V$212</definedName>
    <definedName name="v_59_XOHO">Model!$R$212</definedName>
    <definedName name="v_59_XP_B">Model!$AO$212</definedName>
    <definedName name="v_59_XP_Be">Model!$AP$212</definedName>
    <definedName name="v_59_XP_U">Model!$AQ$212</definedName>
    <definedName name="v_59_XPFOA">Model!$CA$212</definedName>
    <definedName name="v_59_XPFOS">Model!$CC$212</definedName>
    <definedName name="v_59_XPHA_GAO">Model!$O$212</definedName>
    <definedName name="v_59_XPHA_PAO">Model!$N$212</definedName>
    <definedName name="v_59_XPP">Model!$AM$212</definedName>
    <definedName name="v_59_XS">Model!$BD$212</definedName>
    <definedName name="v_59_XSOO">Model!$AB$212</definedName>
    <definedName name="v_59_XSTR">Model!$BW$212</definedName>
    <definedName name="v_59_XU">Model!$M$212</definedName>
    <definedName name="v_59_XVivi">Model!$BX$212</definedName>
    <definedName name="v_6_CB">Model!$H$159</definedName>
    <definedName name="v_6_CU">Model!$L$159</definedName>
    <definedName name="v_6_GCH4">Model!$CH$159</definedName>
    <definedName name="v_6_GCH4_atm">Model!$CO$159</definedName>
    <definedName name="v_6_GCO2">Model!$CG$159</definedName>
    <definedName name="v_6_GCO2_atm">Model!$CN$159</definedName>
    <definedName name="v_6_GH2">Model!$CI$159</definedName>
    <definedName name="v_6_GH2_atm">Model!$CP$159</definedName>
    <definedName name="v_6_GH2S">Model!$CM$159</definedName>
    <definedName name="v_6_GH2S_atm">Model!$CT$159</definedName>
    <definedName name="v_6_GN2">Model!$CL$159</definedName>
    <definedName name="v_6_GN2_atm">Model!$CS$159</definedName>
    <definedName name="v_6_GNH3">Model!$CK$159</definedName>
    <definedName name="v_6_GNH3_atm">Model!$CR$159</definedName>
    <definedName name="v_6_GO2">Model!$CJ$159</definedName>
    <definedName name="v_6_GO2_atm">Model!$CQ$159</definedName>
    <definedName name="v_6_SALPHA">Model!$CE$159</definedName>
    <definedName name="v_6_SAN">Model!$AX$159</definedName>
    <definedName name="v_6_SB">Model!$F$159</definedName>
    <definedName name="v_6_SCa">Model!$AY$159</definedName>
    <definedName name="v_6_SCAT">Model!$AW$159</definedName>
    <definedName name="v_6_SCH4">Model!$AS$159</definedName>
    <definedName name="v_6_SCO2">Model!$AU$159</definedName>
    <definedName name="v_6_SFe2">Model!$BE$159</definedName>
    <definedName name="v_6_SH">Model!$CD$159</definedName>
    <definedName name="v_6_SH2">Model!$AT$159</definedName>
    <definedName name="v_6_SH2S">Model!$BB$159</definedName>
    <definedName name="v_6_SK">Model!$BA$159</definedName>
    <definedName name="v_6_SMEOL">Model!$G$159</definedName>
    <definedName name="v_6_SMg">Model!$AZ$159</definedName>
    <definedName name="v_6_SMM_index">Model!$CU$159</definedName>
    <definedName name="v_6_SN_B">Model!$AH$159</definedName>
    <definedName name="v_6_SN2">Model!$AG$159</definedName>
    <definedName name="v_6_SNHx">Model!$AD$159</definedName>
    <definedName name="v_6_SNO2">Model!$AE$159</definedName>
    <definedName name="v_6_SNO3">Model!$AF$159</definedName>
    <definedName name="v_6_SO2">Model!$AR$159</definedName>
    <definedName name="v_6_SORPswitch">Model!$CF$159</definedName>
    <definedName name="v_6_SP_B">Model!$AN$159</definedName>
    <definedName name="v_6_SPFOA">Model!$BZ$159</definedName>
    <definedName name="v_6_SPFOS">Model!$CB$159</definedName>
    <definedName name="v_6_SPO4">Model!$AL$159</definedName>
    <definedName name="v_6_SSO4">Model!$BC$159</definedName>
    <definedName name="v_6_SU">Model!$K$159</definedName>
    <definedName name="v_6_SVFA">Model!$E$159</definedName>
    <definedName name="v_6_XACP">Model!$BU$159</definedName>
    <definedName name="v_6_XALGAE">Model!$AC$159</definedName>
    <definedName name="v_6_XAMETO">Model!$X$159</definedName>
    <definedName name="v_6_XAMX">Model!$W$159</definedName>
    <definedName name="v_6_XAOB">Model!$U$159</definedName>
    <definedName name="v_6_XASRO">Model!$Z$159</definedName>
    <definedName name="v_6_XB">Model!$I$159</definedName>
    <definedName name="v_6_XB_e">Model!$J$159</definedName>
    <definedName name="v_6_XBSH">Model!$BV$159</definedName>
    <definedName name="v_6_XCaCO3">Model!$BT$159</definedName>
    <definedName name="v_6_XCASTO">Model!$S$159</definedName>
    <definedName name="v_6_XE">Model!$P$159</definedName>
    <definedName name="v_6_XE_ana">Model!$Q$159</definedName>
    <definedName name="v_6_XFeS">Model!$BY$159</definedName>
    <definedName name="v_6_XHAO_H">Model!$BM$159</definedName>
    <definedName name="v_6_XHAO_H_P">Model!$BP$159</definedName>
    <definedName name="v_6_XHAO_H_P_old">Model!$BR$159</definedName>
    <definedName name="v_6_XHAO_L">Model!$BN$159</definedName>
    <definedName name="v_6_XHAO_L_P">Model!$BQ$159</definedName>
    <definedName name="v_6_XHAO_L_P_old">Model!$BS$159</definedName>
    <definedName name="v_6_XHAO_old">Model!$BO$159</definedName>
    <definedName name="v_6_XHFO_H">Model!$BF$159</definedName>
    <definedName name="v_6_XHFO_H_P">Model!$BI$159</definedName>
    <definedName name="v_6_XHFO_H_P_old">Model!$BK$159</definedName>
    <definedName name="v_6_XHFO_L">Model!$BG$159</definedName>
    <definedName name="v_6_XHFO_L_P">Model!$BJ$159</definedName>
    <definedName name="v_6_XHFO_L_P_old">Model!$BL$159</definedName>
    <definedName name="v_6_XHFO_old">Model!$BH$159</definedName>
    <definedName name="v_6_XHMETO">Model!$Y$159</definedName>
    <definedName name="v_6_XHSRO">Model!$AA$159</definedName>
    <definedName name="v_6_XINORG">Model!$AV$159</definedName>
    <definedName name="v_6_XMEOLO">Model!$T$159</definedName>
    <definedName name="v_6_XN_B">Model!$AI$159</definedName>
    <definedName name="v_6_XN_Be">Model!$AJ$159</definedName>
    <definedName name="v_6_XN_U">Model!$AK$159</definedName>
    <definedName name="v_6_XNOB">Model!$V$159</definedName>
    <definedName name="v_6_XOHO">Model!$R$159</definedName>
    <definedName name="v_6_XP_B">Model!$AO$159</definedName>
    <definedName name="v_6_XP_Be">Model!$AP$159</definedName>
    <definedName name="v_6_XP_U">Model!$AQ$159</definedName>
    <definedName name="v_6_XPFOA">Model!$CA$159</definedName>
    <definedName name="v_6_XPFOS">Model!$CC$159</definedName>
    <definedName name="v_6_XPHA_GAO">Model!$O$159</definedName>
    <definedName name="v_6_XPHA_PAO">Model!$N$159</definedName>
    <definedName name="v_6_XPP">Model!$AM$159</definedName>
    <definedName name="v_6_XS">Model!$BD$159</definedName>
    <definedName name="v_6_XSOO">Model!$AB$159</definedName>
    <definedName name="v_6_XSTR">Model!$BW$159</definedName>
    <definedName name="v_6_XU">Model!$M$159</definedName>
    <definedName name="v_6_XVivi">Model!$BX$159</definedName>
    <definedName name="v_60_CB">Model!$H$213</definedName>
    <definedName name="v_60_CU">Model!$L$213</definedName>
    <definedName name="v_60_GCH4">Model!$CH$213</definedName>
    <definedName name="v_60_GCH4_atm">Model!$CO$213</definedName>
    <definedName name="v_60_GCO2">Model!$CG$213</definedName>
    <definedName name="v_60_GCO2_atm">Model!$CN$213</definedName>
    <definedName name="v_60_GH2">Model!$CI$213</definedName>
    <definedName name="v_60_GH2_atm">Model!$CP$213</definedName>
    <definedName name="v_60_GH2S">Model!$CM$213</definedName>
    <definedName name="v_60_GH2S_atm">Model!$CT$213</definedName>
    <definedName name="v_60_GN2">Model!$CL$213</definedName>
    <definedName name="v_60_GN2_atm">Model!$CS$213</definedName>
    <definedName name="v_60_GNH3">Model!$CK$213</definedName>
    <definedName name="v_60_GNH3_atm">Model!$CR$213</definedName>
    <definedName name="v_60_GO2">Model!$CJ$213</definedName>
    <definedName name="v_60_GO2_atm">Model!$CQ$213</definedName>
    <definedName name="v_60_SALPHA">Model!$CE$213</definedName>
    <definedName name="v_60_SAN">Model!$AX$213</definedName>
    <definedName name="v_60_SB">Model!$F$213</definedName>
    <definedName name="v_60_SCa">Model!$AY$213</definedName>
    <definedName name="v_60_SCAT">Model!$AW$213</definedName>
    <definedName name="v_60_SCH4">Model!$AS$213</definedName>
    <definedName name="v_60_SCO2">Model!$AU$213</definedName>
    <definedName name="v_60_SFe2">Model!$BE$213</definedName>
    <definedName name="v_60_SH">Model!$CD$213</definedName>
    <definedName name="v_60_SH2">Model!$AT$213</definedName>
    <definedName name="v_60_SH2S">Model!$BB$213</definedName>
    <definedName name="v_60_SK">Model!$BA$213</definedName>
    <definedName name="v_60_SMEOL">Model!$G$213</definedName>
    <definedName name="v_60_SMg">Model!$AZ$213</definedName>
    <definedName name="v_60_SMM_index">Model!$CU$213</definedName>
    <definedName name="v_60_SN_B">Model!$AH$213</definedName>
    <definedName name="v_60_SN2">Model!$AG$213</definedName>
    <definedName name="v_60_SNHx">Model!$AD$213</definedName>
    <definedName name="v_60_SNO2">Model!$AE$213</definedName>
    <definedName name="v_60_SNO3">Model!$AF$213</definedName>
    <definedName name="v_60_SO2">Model!$AR$213</definedName>
    <definedName name="v_60_SORPswitch">Model!$CF$213</definedName>
    <definedName name="v_60_SP_B">Model!$AN$213</definedName>
    <definedName name="v_60_SPFOA">Model!$BZ$213</definedName>
    <definedName name="v_60_SPFOS">Model!$CB$213</definedName>
    <definedName name="v_60_SPO4">Model!$AL$213</definedName>
    <definedName name="v_60_SSO4">Model!$BC$213</definedName>
    <definedName name="v_60_SU">Model!$K$213</definedName>
    <definedName name="v_60_SVFA">Model!$E$213</definedName>
    <definedName name="v_60_XACP">Model!$BU$213</definedName>
    <definedName name="v_60_XALGAE">Model!$AC$213</definedName>
    <definedName name="v_60_XAMETO">Model!$X$213</definedName>
    <definedName name="v_60_XAMX">Model!$W$213</definedName>
    <definedName name="v_60_XAOB">Model!$U$213</definedName>
    <definedName name="v_60_XASRO">Model!$Z$213</definedName>
    <definedName name="v_60_XB">Model!$I$213</definedName>
    <definedName name="v_60_XB_e">Model!$J$213</definedName>
    <definedName name="v_60_XBSH">Model!$BV$213</definedName>
    <definedName name="v_60_XCaCO3">Model!$BT$213</definedName>
    <definedName name="v_60_XCASTO">Model!$S$213</definedName>
    <definedName name="v_60_XE">Model!$P$213</definedName>
    <definedName name="v_60_XE_ana">Model!$Q$213</definedName>
    <definedName name="v_60_XFeS">Model!$BY$213</definedName>
    <definedName name="v_60_XHAO_H">Model!$BM$213</definedName>
    <definedName name="v_60_XHAO_H_P">Model!$BP$213</definedName>
    <definedName name="v_60_XHAO_H_P_old">Model!$BR$213</definedName>
    <definedName name="v_60_XHAO_L">Model!$BN$213</definedName>
    <definedName name="v_60_XHAO_L_P">Model!$BQ$213</definedName>
    <definedName name="v_60_XHAO_L_P_old">Model!$BS$213</definedName>
    <definedName name="v_60_XHAO_old">Model!$BO$213</definedName>
    <definedName name="v_60_XHFO_H">Model!$BF$213</definedName>
    <definedName name="v_60_XHFO_H_P">Model!$BI$213</definedName>
    <definedName name="v_60_XHFO_H_P_old">Model!$BK$213</definedName>
    <definedName name="v_60_XHFO_L">Model!$BG$213</definedName>
    <definedName name="v_60_XHFO_L_P">Model!$BJ$213</definedName>
    <definedName name="v_60_XHFO_L_P_old">Model!$BL$213</definedName>
    <definedName name="v_60_XHFO_old">Model!$BH$213</definedName>
    <definedName name="v_60_XHMETO">Model!$Y$213</definedName>
    <definedName name="v_60_XHSRO">Model!$AA$213</definedName>
    <definedName name="v_60_XINORG">Model!$AV$213</definedName>
    <definedName name="v_60_XMEOLO">Model!$T$213</definedName>
    <definedName name="v_60_XN_B">Model!$AI$213</definedName>
    <definedName name="v_60_XN_Be">Model!$AJ$213</definedName>
    <definedName name="v_60_XN_U">Model!$AK$213</definedName>
    <definedName name="v_60_XNOB">Model!$V$213</definedName>
    <definedName name="v_60_XOHO">Model!$R$213</definedName>
    <definedName name="v_60_XP_B">Model!$AO$213</definedName>
    <definedName name="v_60_XP_Be">Model!$AP$213</definedName>
    <definedName name="v_60_XP_U">Model!$AQ$213</definedName>
    <definedName name="v_60_XPFOA">Model!$CA$213</definedName>
    <definedName name="v_60_XPFOS">Model!$CC$213</definedName>
    <definedName name="v_60_XPHA_GAO">Model!$O$213</definedName>
    <definedName name="v_60_XPHA_PAO">Model!$N$213</definedName>
    <definedName name="v_60_XPP">Model!$AM$213</definedName>
    <definedName name="v_60_XS">Model!$BD$213</definedName>
    <definedName name="v_60_XSOO">Model!$AB$213</definedName>
    <definedName name="v_60_XSTR">Model!$BW$213</definedName>
    <definedName name="v_60_XU">Model!$M$213</definedName>
    <definedName name="v_60_XVivi">Model!$BX$213</definedName>
    <definedName name="v_61_CB">Model!$H$214</definedName>
    <definedName name="v_61_CU">Model!$L$214</definedName>
    <definedName name="v_61_GCH4">Model!$CH$214</definedName>
    <definedName name="v_61_GCH4_atm">Model!$CO$214</definedName>
    <definedName name="v_61_GCO2">Model!$CG$214</definedName>
    <definedName name="v_61_GCO2_atm">Model!$CN$214</definedName>
    <definedName name="v_61_GH2">Model!$CI$214</definedName>
    <definedName name="v_61_GH2_atm">Model!$CP$214</definedName>
    <definedName name="v_61_GH2S">Model!$CM$214</definedName>
    <definedName name="v_61_GH2S_atm">Model!$CT$214</definedName>
    <definedName name="v_61_GN2">Model!$CL$214</definedName>
    <definedName name="v_61_GN2_atm">Model!$CS$214</definedName>
    <definedName name="v_61_GNH3">Model!$CK$214</definedName>
    <definedName name="v_61_GNH3_atm">Model!$CR$214</definedName>
    <definedName name="v_61_GO2">Model!$CJ$214</definedName>
    <definedName name="v_61_GO2_atm">Model!$CQ$214</definedName>
    <definedName name="v_61_SALPHA">Model!$CE$214</definedName>
    <definedName name="v_61_SAN">Model!$AX$214</definedName>
    <definedName name="v_61_SB">Model!$F$214</definedName>
    <definedName name="v_61_SCa">Model!$AY$214</definedName>
    <definedName name="v_61_SCAT">Model!$AW$214</definedName>
    <definedName name="v_61_SCH4">Model!$AS$214</definedName>
    <definedName name="v_61_SCO2">Model!$AU$214</definedName>
    <definedName name="v_61_SFe2">Model!$BE$214</definedName>
    <definedName name="v_61_SH">Model!$CD$214</definedName>
    <definedName name="v_61_SH2">Model!$AT$214</definedName>
    <definedName name="v_61_SH2S">Model!$BB$214</definedName>
    <definedName name="v_61_SK">Model!$BA$214</definedName>
    <definedName name="v_61_SMEOL">Model!$G$214</definedName>
    <definedName name="v_61_SMg">Model!$AZ$214</definedName>
    <definedName name="v_61_SMM_index">Model!$CU$214</definedName>
    <definedName name="v_61_SN_B">Model!$AH$214</definedName>
    <definedName name="v_61_SN2">Model!$AG$214</definedName>
    <definedName name="v_61_SNHx">Model!$AD$214</definedName>
    <definedName name="v_61_SNO2">Model!$AE$214</definedName>
    <definedName name="v_61_SNO3">Model!$AF$214</definedName>
    <definedName name="v_61_SO2">Model!$AR$214</definedName>
    <definedName name="v_61_SORPswitch">Model!$CF$214</definedName>
    <definedName name="v_61_SP_B">Model!$AN$214</definedName>
    <definedName name="v_61_SPFOA">Model!$BZ$214</definedName>
    <definedName name="v_61_SPFOS">Model!$CB$214</definedName>
    <definedName name="v_61_SPO4">Model!$AL$214</definedName>
    <definedName name="v_61_SSO4">Model!$BC$214</definedName>
    <definedName name="v_61_SU">Model!$K$214</definedName>
    <definedName name="v_61_SVFA">Model!$E$214</definedName>
    <definedName name="v_61_XACP">Model!$BU$214</definedName>
    <definedName name="v_61_XALGAE">Model!$AC$214</definedName>
    <definedName name="v_61_XAMETO">Model!$X$214</definedName>
    <definedName name="v_61_XAMX">Model!$W$214</definedName>
    <definedName name="v_61_XAOB">Model!$U$214</definedName>
    <definedName name="v_61_XASRO">Model!$Z$214</definedName>
    <definedName name="v_61_XB">Model!$I$214</definedName>
    <definedName name="v_61_XB_e">Model!$J$214</definedName>
    <definedName name="v_61_XBSH">Model!$BV$214</definedName>
    <definedName name="v_61_XCaCO3">Model!$BT$214</definedName>
    <definedName name="v_61_XCASTO">Model!$S$214</definedName>
    <definedName name="v_61_XE">Model!$P$214</definedName>
    <definedName name="v_61_XE_ana">Model!$Q$214</definedName>
    <definedName name="v_61_XFeS">Model!$BY$214</definedName>
    <definedName name="v_61_XHAO_H">Model!$BM$214</definedName>
    <definedName name="v_61_XHAO_H_P">Model!$BP$214</definedName>
    <definedName name="v_61_XHAO_H_P_old">Model!$BR$214</definedName>
    <definedName name="v_61_XHAO_L">Model!$BN$214</definedName>
    <definedName name="v_61_XHAO_L_P">Model!$BQ$214</definedName>
    <definedName name="v_61_XHAO_L_P_old">Model!$BS$214</definedName>
    <definedName name="v_61_XHAO_old">Model!$BO$214</definedName>
    <definedName name="v_61_XHFO_H">Model!$BF$214</definedName>
    <definedName name="v_61_XHFO_H_P">Model!$BI$214</definedName>
    <definedName name="v_61_XHFO_H_P_old">Model!$BK$214</definedName>
    <definedName name="v_61_XHFO_L">Model!$BG$214</definedName>
    <definedName name="v_61_XHFO_L_P">Model!$BJ$214</definedName>
    <definedName name="v_61_XHFO_L_P_old">Model!$BL$214</definedName>
    <definedName name="v_61_XHFO_old">Model!$BH$214</definedName>
    <definedName name="v_61_XHMETO">Model!$Y$214</definedName>
    <definedName name="v_61_XHSRO">Model!$AA$214</definedName>
    <definedName name="v_61_XINORG">Model!$AV$214</definedName>
    <definedName name="v_61_XMEOLO">Model!$T$214</definedName>
    <definedName name="v_61_XN_B">Model!$AI$214</definedName>
    <definedName name="v_61_XN_Be">Model!$AJ$214</definedName>
    <definedName name="v_61_XN_U">Model!$AK$214</definedName>
    <definedName name="v_61_XNOB">Model!$V$214</definedName>
    <definedName name="v_61_XOHO">Model!$R$214</definedName>
    <definedName name="v_61_XP_B">Model!$AO$214</definedName>
    <definedName name="v_61_XP_Be">Model!$AP$214</definedName>
    <definedName name="v_61_XP_U">Model!$AQ$214</definedName>
    <definedName name="v_61_XPFOA">Model!$CA$214</definedName>
    <definedName name="v_61_XPFOS">Model!$CC$214</definedName>
    <definedName name="v_61_XPHA_GAO">Model!$O$214</definedName>
    <definedName name="v_61_XPHA_PAO">Model!$N$214</definedName>
    <definedName name="v_61_XPP">Model!$AM$214</definedName>
    <definedName name="v_61_XS">Model!$BD$214</definedName>
    <definedName name="v_61_XSOO">Model!$AB$214</definedName>
    <definedName name="v_61_XSTR">Model!$BW$214</definedName>
    <definedName name="v_61_XU">Model!$M$214</definedName>
    <definedName name="v_61_XVivi">Model!$BX$214</definedName>
    <definedName name="v_62_CB">Model!$H$215</definedName>
    <definedName name="v_62_CU">Model!$L$215</definedName>
    <definedName name="v_62_GCH4">Model!$CH$215</definedName>
    <definedName name="v_62_GCH4_atm">Model!$CO$215</definedName>
    <definedName name="v_62_GCO2">Model!$CG$215</definedName>
    <definedName name="v_62_GCO2_atm">Model!$CN$215</definedName>
    <definedName name="v_62_GH2">Model!$CI$215</definedName>
    <definedName name="v_62_GH2_atm">Model!$CP$215</definedName>
    <definedName name="v_62_GH2S">Model!$CM$215</definedName>
    <definedName name="v_62_GH2S_atm">Model!$CT$215</definedName>
    <definedName name="v_62_GN2">Model!$CL$215</definedName>
    <definedName name="v_62_GN2_atm">Model!$CS$215</definedName>
    <definedName name="v_62_GNH3">Model!$CK$215</definedName>
    <definedName name="v_62_GNH3_atm">Model!$CR$215</definedName>
    <definedName name="v_62_GO2">Model!$CJ$215</definedName>
    <definedName name="v_62_GO2_atm">Model!$CQ$215</definedName>
    <definedName name="v_62_SALPHA">Model!$CE$215</definedName>
    <definedName name="v_62_SAN">Model!$AX$215</definedName>
    <definedName name="v_62_SB">Model!$F$215</definedName>
    <definedName name="v_62_SCa">Model!$AY$215</definedName>
    <definedName name="v_62_SCAT">Model!$AW$215</definedName>
    <definedName name="v_62_SCH4">Model!$AS$215</definedName>
    <definedName name="v_62_SCO2">Model!$AU$215</definedName>
    <definedName name="v_62_SFe2">Model!$BE$215</definedName>
    <definedName name="v_62_SH">Model!$CD$215</definedName>
    <definedName name="v_62_SH2">Model!$AT$215</definedName>
    <definedName name="v_62_SH2S">Model!$BB$215</definedName>
    <definedName name="v_62_SK">Model!$BA$215</definedName>
    <definedName name="v_62_SMEOL">Model!$G$215</definedName>
    <definedName name="v_62_SMg">Model!$AZ$215</definedName>
    <definedName name="v_62_SMM_index">Model!$CU$215</definedName>
    <definedName name="v_62_SN_B">Model!$AH$215</definedName>
    <definedName name="v_62_SN2">Model!$AG$215</definedName>
    <definedName name="v_62_SNHx">Model!$AD$215</definedName>
    <definedName name="v_62_SNO2">Model!$AE$215</definedName>
    <definedName name="v_62_SNO3">Model!$AF$215</definedName>
    <definedName name="v_62_SO2">Model!$AR$215</definedName>
    <definedName name="v_62_SORPswitch">Model!$CF$215</definedName>
    <definedName name="v_62_SP_B">Model!$AN$215</definedName>
    <definedName name="v_62_SPFOA">Model!$BZ$215</definedName>
    <definedName name="v_62_SPFOS">Model!$CB$215</definedName>
    <definedName name="v_62_SPO4">Model!$AL$215</definedName>
    <definedName name="v_62_SSO4">Model!$BC$215</definedName>
    <definedName name="v_62_SU">Model!$K$215</definedName>
    <definedName name="v_62_SVFA">Model!$E$215</definedName>
    <definedName name="v_62_XACP">Model!$BU$215</definedName>
    <definedName name="v_62_XALGAE">Model!$AC$215</definedName>
    <definedName name="v_62_XAMETO">Model!$X$215</definedName>
    <definedName name="v_62_XAMX">Model!$W$215</definedName>
    <definedName name="v_62_XAOB">Model!$U$215</definedName>
    <definedName name="v_62_XASRO">Model!$Z$215</definedName>
    <definedName name="v_62_XB">Model!$I$215</definedName>
    <definedName name="v_62_XB_e">Model!$J$215</definedName>
    <definedName name="v_62_XBSH">Model!$BV$215</definedName>
    <definedName name="v_62_XCaCO3">Model!$BT$215</definedName>
    <definedName name="v_62_XCASTO">Model!$S$215</definedName>
    <definedName name="v_62_XE">Model!$P$215</definedName>
    <definedName name="v_62_XE_ana">Model!$Q$215</definedName>
    <definedName name="v_62_XFeS">Model!$BY$215</definedName>
    <definedName name="v_62_XHAO_H">Model!$BM$215</definedName>
    <definedName name="v_62_XHAO_H_P">Model!$BP$215</definedName>
    <definedName name="v_62_XHAO_H_P_old">Model!$BR$215</definedName>
    <definedName name="v_62_XHAO_L">Model!$BN$215</definedName>
    <definedName name="v_62_XHAO_L_P">Model!$BQ$215</definedName>
    <definedName name="v_62_XHAO_L_P_old">Model!$BS$215</definedName>
    <definedName name="v_62_XHAO_old">Model!$BO$215</definedName>
    <definedName name="v_62_XHFO_H">Model!$BF$215</definedName>
    <definedName name="v_62_XHFO_H_P">Model!$BI$215</definedName>
    <definedName name="v_62_XHFO_H_P_old">Model!$BK$215</definedName>
    <definedName name="v_62_XHFO_L">Model!$BG$215</definedName>
    <definedName name="v_62_XHFO_L_P">Model!$BJ$215</definedName>
    <definedName name="v_62_XHFO_L_P_old">Model!$BL$215</definedName>
    <definedName name="v_62_XHFO_old">Model!$BH$215</definedName>
    <definedName name="v_62_XHMETO">Model!$Y$215</definedName>
    <definedName name="v_62_XHSRO">Model!$AA$215</definedName>
    <definedName name="v_62_XINORG">Model!$AV$215</definedName>
    <definedName name="v_62_XMEOLO">Model!$T$215</definedName>
    <definedName name="v_62_XN_B">Model!$AI$215</definedName>
    <definedName name="v_62_XN_Be">Model!$AJ$215</definedName>
    <definedName name="v_62_XN_U">Model!$AK$215</definedName>
    <definedName name="v_62_XNOB">Model!$V$215</definedName>
    <definedName name="v_62_XOHO">Model!$R$215</definedName>
    <definedName name="v_62_XP_B">Model!$AO$215</definedName>
    <definedName name="v_62_XP_Be">Model!$AP$215</definedName>
    <definedName name="v_62_XP_U">Model!$AQ$215</definedName>
    <definedName name="v_62_XPFOA">Model!$CA$215</definedName>
    <definedName name="v_62_XPFOS">Model!$CC$215</definedName>
    <definedName name="v_62_XPHA_GAO">Model!$O$215</definedName>
    <definedName name="v_62_XPHA_PAO">Model!$N$215</definedName>
    <definedName name="v_62_XPP">Model!$AM$215</definedName>
    <definedName name="v_62_XS">Model!$BD$215</definedName>
    <definedName name="v_62_XSOO">Model!$AB$215</definedName>
    <definedName name="v_62_XSTR">Model!$BW$215</definedName>
    <definedName name="v_62_XU">Model!$M$215</definedName>
    <definedName name="v_62_XVivi">Model!$BX$215</definedName>
    <definedName name="v_63_CB">Model!$H$216</definedName>
    <definedName name="v_63_CU">Model!$L$216</definedName>
    <definedName name="v_63_GCH4">Model!$CH$216</definedName>
    <definedName name="v_63_GCH4_atm">Model!$CO$216</definedName>
    <definedName name="v_63_GCO2">Model!$CG$216</definedName>
    <definedName name="v_63_GCO2_atm">Model!$CN$216</definedName>
    <definedName name="v_63_GH2">Model!$CI$216</definedName>
    <definedName name="v_63_GH2_atm">Model!$CP$216</definedName>
    <definedName name="v_63_GH2S">Model!$CM$216</definedName>
    <definedName name="v_63_GH2S_atm">Model!$CT$216</definedName>
    <definedName name="v_63_GN2">Model!$CL$216</definedName>
    <definedName name="v_63_GN2_atm">Model!$CS$216</definedName>
    <definedName name="v_63_GNH3">Model!$CK$216</definedName>
    <definedName name="v_63_GNH3_atm">Model!$CR$216</definedName>
    <definedName name="v_63_GO2">Model!$CJ$216</definedName>
    <definedName name="v_63_GO2_atm">Model!$CQ$216</definedName>
    <definedName name="v_63_SALPHA">Model!$CE$216</definedName>
    <definedName name="v_63_SAN">Model!$AX$216</definedName>
    <definedName name="v_63_SB">Model!$F$216</definedName>
    <definedName name="v_63_SCa">Model!$AY$216</definedName>
    <definedName name="v_63_SCAT">Model!$AW$216</definedName>
    <definedName name="v_63_SCH4">Model!$AS$216</definedName>
    <definedName name="v_63_SCO2">Model!$AU$216</definedName>
    <definedName name="v_63_SFe2">Model!$BE$216</definedName>
    <definedName name="v_63_SH">Model!$CD$216</definedName>
    <definedName name="v_63_SH2">Model!$AT$216</definedName>
    <definedName name="v_63_SH2S">Model!$BB$216</definedName>
    <definedName name="v_63_SK">Model!$BA$216</definedName>
    <definedName name="v_63_SMEOL">Model!$G$216</definedName>
    <definedName name="v_63_SMg">Model!$AZ$216</definedName>
    <definedName name="v_63_SMM_index">Model!$CU$216</definedName>
    <definedName name="v_63_SN_B">Model!$AH$216</definedName>
    <definedName name="v_63_SN2">Model!$AG$216</definedName>
    <definedName name="v_63_SNHx">Model!$AD$216</definedName>
    <definedName name="v_63_SNO2">Model!$AE$216</definedName>
    <definedName name="v_63_SNO3">Model!$AF$216</definedName>
    <definedName name="v_63_SO2">Model!$AR$216</definedName>
    <definedName name="v_63_SORPswitch">Model!$CF$216</definedName>
    <definedName name="v_63_SP_B">Model!$AN$216</definedName>
    <definedName name="v_63_SPFOA">Model!$BZ$216</definedName>
    <definedName name="v_63_SPFOS">Model!$CB$216</definedName>
    <definedName name="v_63_SPO4">Model!$AL$216</definedName>
    <definedName name="v_63_SSO4">Model!$BC$216</definedName>
    <definedName name="v_63_SU">Model!$K$216</definedName>
    <definedName name="v_63_SVFA">Model!$E$216</definedName>
    <definedName name="v_63_XACP">Model!$BU$216</definedName>
    <definedName name="v_63_XALGAE">Model!$AC$216</definedName>
    <definedName name="v_63_XAMETO">Model!$X$216</definedName>
    <definedName name="v_63_XAMX">Model!$W$216</definedName>
    <definedName name="v_63_XAOB">Model!$U$216</definedName>
    <definedName name="v_63_XASRO">Model!$Z$216</definedName>
    <definedName name="v_63_XB">Model!$I$216</definedName>
    <definedName name="v_63_XB_e">Model!$J$216</definedName>
    <definedName name="v_63_XBSH">Model!$BV$216</definedName>
    <definedName name="v_63_XCaCO3">Model!$BT$216</definedName>
    <definedName name="v_63_XCASTO">Model!$S$216</definedName>
    <definedName name="v_63_XE">Model!$P$216</definedName>
    <definedName name="v_63_XE_ana">Model!$Q$216</definedName>
    <definedName name="v_63_XFeS">Model!$BY$216</definedName>
    <definedName name="v_63_XHAO_H">Model!$BM$216</definedName>
    <definedName name="v_63_XHAO_H_P">Model!$BP$216</definedName>
    <definedName name="v_63_XHAO_H_P_old">Model!$BR$216</definedName>
    <definedName name="v_63_XHAO_L">Model!$BN$216</definedName>
    <definedName name="v_63_XHAO_L_P">Model!$BQ$216</definedName>
    <definedName name="v_63_XHAO_L_P_old">Model!$BS$216</definedName>
    <definedName name="v_63_XHAO_old">Model!$BO$216</definedName>
    <definedName name="v_63_XHFO_H">Model!$BF$216</definedName>
    <definedName name="v_63_XHFO_H_P">Model!$BI$216</definedName>
    <definedName name="v_63_XHFO_H_P_old">Model!$BK$216</definedName>
    <definedName name="v_63_XHFO_L">Model!$BG$216</definedName>
    <definedName name="v_63_XHFO_L_P">Model!$BJ$216</definedName>
    <definedName name="v_63_XHFO_L_P_old">Model!$BL$216</definedName>
    <definedName name="v_63_XHFO_old">Model!$BH$216</definedName>
    <definedName name="v_63_XHMETO">Model!$Y$216</definedName>
    <definedName name="v_63_XHSRO">Model!$AA$216</definedName>
    <definedName name="v_63_XINORG">Model!$AV$216</definedName>
    <definedName name="v_63_XMEOLO">Model!$T$216</definedName>
    <definedName name="v_63_XN_B">Model!$AI$216</definedName>
    <definedName name="v_63_XN_Be">Model!$AJ$216</definedName>
    <definedName name="v_63_XN_U">Model!$AK$216</definedName>
    <definedName name="v_63_XNOB">Model!$V$216</definedName>
    <definedName name="v_63_XOHO">Model!$R$216</definedName>
    <definedName name="v_63_XP_B">Model!$AO$216</definedName>
    <definedName name="v_63_XP_Be">Model!$AP$216</definedName>
    <definedName name="v_63_XP_U">Model!$AQ$216</definedName>
    <definedName name="v_63_XPFOA">Model!$CA$216</definedName>
    <definedName name="v_63_XPFOS">Model!$CC$216</definedName>
    <definedName name="v_63_XPHA_GAO">Model!$O$216</definedName>
    <definedName name="v_63_XPHA_PAO">Model!$N$216</definedName>
    <definedName name="v_63_XPP">Model!$AM$216</definedName>
    <definedName name="v_63_XS">Model!$BD$216</definedName>
    <definedName name="v_63_XSOO">Model!$AB$216</definedName>
    <definedName name="v_63_XSTR">Model!$BW$216</definedName>
    <definedName name="v_63_XU">Model!$M$216</definedName>
    <definedName name="v_63_XVivi">Model!$BX$216</definedName>
    <definedName name="v_64_CB">Model!$H$217</definedName>
    <definedName name="v_64_CU">Model!$L$217</definedName>
    <definedName name="v_64_GCH4">Model!$CH$217</definedName>
    <definedName name="v_64_GCH4_atm">Model!$CO$217</definedName>
    <definedName name="v_64_GCO2">Model!$CG$217</definedName>
    <definedName name="v_64_GCO2_atm">Model!$CN$217</definedName>
    <definedName name="v_64_GH2">Model!$CI$217</definedName>
    <definedName name="v_64_GH2_atm">Model!$CP$217</definedName>
    <definedName name="v_64_GH2S">Model!$CM$217</definedName>
    <definedName name="v_64_GH2S_atm">Model!$CT$217</definedName>
    <definedName name="v_64_GN2">Model!$CL$217</definedName>
    <definedName name="v_64_GN2_atm">Model!$CS$217</definedName>
    <definedName name="v_64_GNH3">Model!$CK$217</definedName>
    <definedName name="v_64_GNH3_atm">Model!$CR$217</definedName>
    <definedName name="v_64_GO2">Model!$CJ$217</definedName>
    <definedName name="v_64_GO2_atm">Model!$CQ$217</definedName>
    <definedName name="v_64_SALPHA">Model!$CE$217</definedName>
    <definedName name="v_64_SAN">Model!$AX$217</definedName>
    <definedName name="v_64_SB">Model!$F$217</definedName>
    <definedName name="v_64_SCa">Model!$AY$217</definedName>
    <definedName name="v_64_SCAT">Model!$AW$217</definedName>
    <definedName name="v_64_SCH4">Model!$AS$217</definedName>
    <definedName name="v_64_SCO2">Model!$AU$217</definedName>
    <definedName name="v_64_SFe2">Model!$BE$217</definedName>
    <definedName name="v_64_SH">Model!$CD$217</definedName>
    <definedName name="v_64_SH2">Model!$AT$217</definedName>
    <definedName name="v_64_SH2S">Model!$BB$217</definedName>
    <definedName name="v_64_SK">Model!$BA$217</definedName>
    <definedName name="v_64_SMEOL">Model!$G$217</definedName>
    <definedName name="v_64_SMg">Model!$AZ$217</definedName>
    <definedName name="v_64_SMM_index">Model!$CU$217</definedName>
    <definedName name="v_64_SN_B">Model!$AH$217</definedName>
    <definedName name="v_64_SN2">Model!$AG$217</definedName>
    <definedName name="v_64_SNHx">Model!$AD$217</definedName>
    <definedName name="v_64_SNO2">Model!$AE$217</definedName>
    <definedName name="v_64_SNO3">Model!$AF$217</definedName>
    <definedName name="v_64_SO2">Model!$AR$217</definedName>
    <definedName name="v_64_SORPswitch">Model!$CF$217</definedName>
    <definedName name="v_64_SP_B">Model!$AN$217</definedName>
    <definedName name="v_64_SPFOA">Model!$BZ$217</definedName>
    <definedName name="v_64_SPFOS">Model!$CB$217</definedName>
    <definedName name="v_64_SPO4">Model!$AL$217</definedName>
    <definedName name="v_64_SSO4">Model!$BC$217</definedName>
    <definedName name="v_64_SU">Model!$K$217</definedName>
    <definedName name="v_64_SVFA">Model!$E$217</definedName>
    <definedName name="v_64_XACP">Model!$BU$217</definedName>
    <definedName name="v_64_XALGAE">Model!$AC$217</definedName>
    <definedName name="v_64_XAMETO">Model!$X$217</definedName>
    <definedName name="v_64_XAMX">Model!$W$217</definedName>
    <definedName name="v_64_XAOB">Model!$U$217</definedName>
    <definedName name="v_64_XASRO">Model!$Z$217</definedName>
    <definedName name="v_64_XB">Model!$I$217</definedName>
    <definedName name="v_64_XB_e">Model!$J$217</definedName>
    <definedName name="v_64_XBSH">Model!$BV$217</definedName>
    <definedName name="v_64_XCaCO3">Model!$BT$217</definedName>
    <definedName name="v_64_XCASTO">Model!$S$217</definedName>
    <definedName name="v_64_XE">Model!$P$217</definedName>
    <definedName name="v_64_XE_ana">Model!$Q$217</definedName>
    <definedName name="v_64_XFeS">Model!$BY$217</definedName>
    <definedName name="v_64_XHAO_H">Model!$BM$217</definedName>
    <definedName name="v_64_XHAO_H_P">Model!$BP$217</definedName>
    <definedName name="v_64_XHAO_H_P_old">Model!$BR$217</definedName>
    <definedName name="v_64_XHAO_L">Model!$BN$217</definedName>
    <definedName name="v_64_XHAO_L_P">Model!$BQ$217</definedName>
    <definedName name="v_64_XHAO_L_P_old">Model!$BS$217</definedName>
    <definedName name="v_64_XHAO_old">Model!$BO$217</definedName>
    <definedName name="v_64_XHFO_H">Model!$BF$217</definedName>
    <definedName name="v_64_XHFO_H_P">Model!$BI$217</definedName>
    <definedName name="v_64_XHFO_H_P_old">Model!$BK$217</definedName>
    <definedName name="v_64_XHFO_L">Model!$BG$217</definedName>
    <definedName name="v_64_XHFO_L_P">Model!$BJ$217</definedName>
    <definedName name="v_64_XHFO_L_P_old">Model!$BL$217</definedName>
    <definedName name="v_64_XHFO_old">Model!$BH$217</definedName>
    <definedName name="v_64_XHMETO">Model!$Y$217</definedName>
    <definedName name="v_64_XHSRO">Model!$AA$217</definedName>
    <definedName name="v_64_XINORG">Model!$AV$217</definedName>
    <definedName name="v_64_XMEOLO">Model!$T$217</definedName>
    <definedName name="v_64_XN_B">Model!$AI$217</definedName>
    <definedName name="v_64_XN_Be">Model!$AJ$217</definedName>
    <definedName name="v_64_XN_U">Model!$AK$217</definedName>
    <definedName name="v_64_XNOB">Model!$V$217</definedName>
    <definedName name="v_64_XOHO">Model!$R$217</definedName>
    <definedName name="v_64_XP_B">Model!$AO$217</definedName>
    <definedName name="v_64_XP_Be">Model!$AP$217</definedName>
    <definedName name="v_64_XP_U">Model!$AQ$217</definedName>
    <definedName name="v_64_XPFOA">Model!$CA$217</definedName>
    <definedName name="v_64_XPFOS">Model!$CC$217</definedName>
    <definedName name="v_64_XPHA_GAO">Model!$O$217</definedName>
    <definedName name="v_64_XPHA_PAO">Model!$N$217</definedName>
    <definedName name="v_64_XPP">Model!$AM$217</definedName>
    <definedName name="v_64_XS">Model!$BD$217</definedName>
    <definedName name="v_64_XSOO">Model!$AB$217</definedName>
    <definedName name="v_64_XSTR">Model!$BW$217</definedName>
    <definedName name="v_64_XU">Model!$M$217</definedName>
    <definedName name="v_64_XVivi">Model!$BX$217</definedName>
    <definedName name="v_65_CB">Model!$H$218</definedName>
    <definedName name="v_65_CU">Model!$L$218</definedName>
    <definedName name="v_65_GCH4">Model!$CH$218</definedName>
    <definedName name="v_65_GCH4_atm">Model!$CO$218</definedName>
    <definedName name="v_65_GCO2">Model!$CG$218</definedName>
    <definedName name="v_65_GCO2_atm">Model!$CN$218</definedName>
    <definedName name="v_65_GH2">Model!$CI$218</definedName>
    <definedName name="v_65_GH2_atm">Model!$CP$218</definedName>
    <definedName name="v_65_GH2S">Model!$CM$218</definedName>
    <definedName name="v_65_GH2S_atm">Model!$CT$218</definedName>
    <definedName name="v_65_GN2">Model!$CL$218</definedName>
    <definedName name="v_65_GN2_atm">Model!$CS$218</definedName>
    <definedName name="v_65_GNH3">Model!$CK$218</definedName>
    <definedName name="v_65_GNH3_atm">Model!$CR$218</definedName>
    <definedName name="v_65_GO2">Model!$CJ$218</definedName>
    <definedName name="v_65_GO2_atm">Model!$CQ$218</definedName>
    <definedName name="v_65_SALPHA">Model!$CE$218</definedName>
    <definedName name="v_65_SAN">Model!$AX$218</definedName>
    <definedName name="v_65_SB">Model!$F$218</definedName>
    <definedName name="v_65_SCa">Model!$AY$218</definedName>
    <definedName name="v_65_SCAT">Model!$AW$218</definedName>
    <definedName name="v_65_SCH4">Model!$AS$218</definedName>
    <definedName name="v_65_SCO2">Model!$AU$218</definedName>
    <definedName name="v_65_SFe2">Model!$BE$218</definedName>
    <definedName name="v_65_SH">Model!$CD$218</definedName>
    <definedName name="v_65_SH2">Model!$AT$218</definedName>
    <definedName name="v_65_SH2S">Model!$BB$218</definedName>
    <definedName name="v_65_SK">Model!$BA$218</definedName>
    <definedName name="v_65_SMEOL">Model!$G$218</definedName>
    <definedName name="v_65_SMg">Model!$AZ$218</definedName>
    <definedName name="v_65_SMM_index">Model!$CU$218</definedName>
    <definedName name="v_65_SN_B">Model!$AH$218</definedName>
    <definedName name="v_65_SN2">Model!$AG$218</definedName>
    <definedName name="v_65_SNHx">Model!$AD$218</definedName>
    <definedName name="v_65_SNO2">Model!$AE$218</definedName>
    <definedName name="v_65_SNO3">Model!$AF$218</definedName>
    <definedName name="v_65_SO2">Model!$AR$218</definedName>
    <definedName name="v_65_SORPswitch">Model!$CF$218</definedName>
    <definedName name="v_65_SP_B">Model!$AN$218</definedName>
    <definedName name="v_65_SPFOA">Model!$BZ$218</definedName>
    <definedName name="v_65_SPFOS">Model!$CB$218</definedName>
    <definedName name="v_65_SPO4">Model!$AL$218</definedName>
    <definedName name="v_65_SSO4">Model!$BC$218</definedName>
    <definedName name="v_65_SU">Model!$K$218</definedName>
    <definedName name="v_65_SVFA">Model!$E$218</definedName>
    <definedName name="v_65_XACP">Model!$BU$218</definedName>
    <definedName name="v_65_XALGAE">Model!$AC$218</definedName>
    <definedName name="v_65_XAMETO">Model!$X$218</definedName>
    <definedName name="v_65_XAMX">Model!$W$218</definedName>
    <definedName name="v_65_XAOB">Model!$U$218</definedName>
    <definedName name="v_65_XASRO">Model!$Z$218</definedName>
    <definedName name="v_65_XB">Model!$I$218</definedName>
    <definedName name="v_65_XB_e">Model!$J$218</definedName>
    <definedName name="v_65_XBSH">Model!$BV$218</definedName>
    <definedName name="v_65_XCaCO3">Model!$BT$218</definedName>
    <definedName name="v_65_XCASTO">Model!$S$218</definedName>
    <definedName name="v_65_XE">Model!$P$218</definedName>
    <definedName name="v_65_XE_ana">Model!$Q$218</definedName>
    <definedName name="v_65_XFeS">Model!$BY$218</definedName>
    <definedName name="v_65_XHAO_H">Model!$BM$218</definedName>
    <definedName name="v_65_XHAO_H_P">Model!$BP$218</definedName>
    <definedName name="v_65_XHAO_H_P_old">Model!$BR$218</definedName>
    <definedName name="v_65_XHAO_L">Model!$BN$218</definedName>
    <definedName name="v_65_XHAO_L_P">Model!$BQ$218</definedName>
    <definedName name="v_65_XHAO_L_P_old">Model!$BS$218</definedName>
    <definedName name="v_65_XHAO_old">Model!$BO$218</definedName>
    <definedName name="v_65_XHFO_H">Model!$BF$218</definedName>
    <definedName name="v_65_XHFO_H_P">Model!$BI$218</definedName>
    <definedName name="v_65_XHFO_H_P_old">Model!$BK$218</definedName>
    <definedName name="v_65_XHFO_L">Model!$BG$218</definedName>
    <definedName name="v_65_XHFO_L_P">Model!$BJ$218</definedName>
    <definedName name="v_65_XHFO_L_P_old">Model!$BL$218</definedName>
    <definedName name="v_65_XHFO_old">Model!$BH$218</definedName>
    <definedName name="v_65_XHMETO">Model!$Y$218</definedName>
    <definedName name="v_65_XHSRO">Model!$AA$218</definedName>
    <definedName name="v_65_XINORG">Model!$AV$218</definedName>
    <definedName name="v_65_XMEOLO">Model!$T$218</definedName>
    <definedName name="v_65_XN_B">Model!$AI$218</definedName>
    <definedName name="v_65_XN_Be">Model!$AJ$218</definedName>
    <definedName name="v_65_XN_U">Model!$AK$218</definedName>
    <definedName name="v_65_XNOB">Model!$V$218</definedName>
    <definedName name="v_65_XOHO">Model!$R$218</definedName>
    <definedName name="v_65_XP_B">Model!$AO$218</definedName>
    <definedName name="v_65_XP_Be">Model!$AP$218</definedName>
    <definedName name="v_65_XP_U">Model!$AQ$218</definedName>
    <definedName name="v_65_XPFOA">Model!$CA$218</definedName>
    <definedName name="v_65_XPFOS">Model!$CC$218</definedName>
    <definedName name="v_65_XPHA_GAO">Model!$O$218</definedName>
    <definedName name="v_65_XPHA_PAO">Model!$N$218</definedName>
    <definedName name="v_65_XPP">Model!$AM$218</definedName>
    <definedName name="v_65_XS">Model!$BD$218</definedName>
    <definedName name="v_65_XSOO">Model!$AB$218</definedName>
    <definedName name="v_65_XSTR">Model!$BW$218</definedName>
    <definedName name="v_65_XU">Model!$M$218</definedName>
    <definedName name="v_65_XVivi">Model!$BX$218</definedName>
    <definedName name="v_66_CB">Model!$H$219</definedName>
    <definedName name="v_66_CU">Model!$L$219</definedName>
    <definedName name="v_66_GCH4">Model!$CH$219</definedName>
    <definedName name="v_66_GCH4_atm">Model!$CO$219</definedName>
    <definedName name="v_66_GCO2">Model!$CG$219</definedName>
    <definedName name="v_66_GCO2_atm">Model!$CN$219</definedName>
    <definedName name="v_66_GH2">Model!$CI$219</definedName>
    <definedName name="v_66_GH2_atm">Model!$CP$219</definedName>
    <definedName name="v_66_GH2S">Model!$CM$219</definedName>
    <definedName name="v_66_GH2S_atm">Model!$CT$219</definedName>
    <definedName name="v_66_GN2">Model!$CL$219</definedName>
    <definedName name="v_66_GN2_atm">Model!$CS$219</definedName>
    <definedName name="v_66_GNH3">Model!$CK$219</definedName>
    <definedName name="v_66_GNH3_atm">Model!$CR$219</definedName>
    <definedName name="v_66_GO2">Model!$CJ$219</definedName>
    <definedName name="v_66_GO2_atm">Model!$CQ$219</definedName>
    <definedName name="v_66_SALPHA">Model!$CE$219</definedName>
    <definedName name="v_66_SAN">Model!$AX$219</definedName>
    <definedName name="v_66_SB">Model!$F$219</definedName>
    <definedName name="v_66_SCa">Model!$AY$219</definedName>
    <definedName name="v_66_SCAT">Model!$AW$219</definedName>
    <definedName name="v_66_SCH4">Model!$AS$219</definedName>
    <definedName name="v_66_SCO2">Model!$AU$219</definedName>
    <definedName name="v_66_SFe2">Model!$BE$219</definedName>
    <definedName name="v_66_SH">Model!$CD$219</definedName>
    <definedName name="v_66_SH2">Model!$AT$219</definedName>
    <definedName name="v_66_SH2S">Model!$BB$219</definedName>
    <definedName name="v_66_SK">Model!$BA$219</definedName>
    <definedName name="v_66_SMEOL">Model!$G$219</definedName>
    <definedName name="v_66_SMg">Model!$AZ$219</definedName>
    <definedName name="v_66_SMM_index">Model!$CU$219</definedName>
    <definedName name="v_66_SN_B">Model!$AH$219</definedName>
    <definedName name="v_66_SN2">Model!$AG$219</definedName>
    <definedName name="v_66_SNHx">Model!$AD$219</definedName>
    <definedName name="v_66_SNO2">Model!$AE$219</definedName>
    <definedName name="v_66_SNO3">Model!$AF$219</definedName>
    <definedName name="v_66_SO2">Model!$AR$219</definedName>
    <definedName name="v_66_SORPswitch">Model!$CF$219</definedName>
    <definedName name="v_66_SP_B">Model!$AN$219</definedName>
    <definedName name="v_66_SPFOA">Model!$BZ$219</definedName>
    <definedName name="v_66_SPFOS">Model!$CB$219</definedName>
    <definedName name="v_66_SPO4">Model!$AL$219</definedName>
    <definedName name="v_66_SSO4">Model!$BC$219</definedName>
    <definedName name="v_66_SU">Model!$K$219</definedName>
    <definedName name="v_66_SVFA">Model!$E$219</definedName>
    <definedName name="v_66_XACP">Model!$BU$219</definedName>
    <definedName name="v_66_XALGAE">Model!$AC$219</definedName>
    <definedName name="v_66_XAMETO">Model!$X$219</definedName>
    <definedName name="v_66_XAMX">Model!$W$219</definedName>
    <definedName name="v_66_XAOB">Model!$U$219</definedName>
    <definedName name="v_66_XASRO">Model!$Z$219</definedName>
    <definedName name="v_66_XB">Model!$I$219</definedName>
    <definedName name="v_66_XB_e">Model!$J$219</definedName>
    <definedName name="v_66_XBSH">Model!$BV$219</definedName>
    <definedName name="v_66_XCaCO3">Model!$BT$219</definedName>
    <definedName name="v_66_XCASTO">Model!$S$219</definedName>
    <definedName name="v_66_XE">Model!$P$219</definedName>
    <definedName name="v_66_XE_ana">Model!$Q$219</definedName>
    <definedName name="v_66_XFeS">Model!$BY$219</definedName>
    <definedName name="v_66_XHAO_H">Model!$BM$219</definedName>
    <definedName name="v_66_XHAO_H_P">Model!$BP$219</definedName>
    <definedName name="v_66_XHAO_H_P_old">Model!$BR$219</definedName>
    <definedName name="v_66_XHAO_L">Model!$BN$219</definedName>
    <definedName name="v_66_XHAO_L_P">Model!$BQ$219</definedName>
    <definedName name="v_66_XHAO_L_P_old">Model!$BS$219</definedName>
    <definedName name="v_66_XHAO_old">Model!$BO$219</definedName>
    <definedName name="v_66_XHFO_H">Model!$BF$219</definedName>
    <definedName name="v_66_XHFO_H_P">Model!$BI$219</definedName>
    <definedName name="v_66_XHFO_H_P_old">Model!$BK$219</definedName>
    <definedName name="v_66_XHFO_L">Model!$BG$219</definedName>
    <definedName name="v_66_XHFO_L_P">Model!$BJ$219</definedName>
    <definedName name="v_66_XHFO_L_P_old">Model!$BL$219</definedName>
    <definedName name="v_66_XHFO_old">Model!$BH$219</definedName>
    <definedName name="v_66_XHMETO">Model!$Y$219</definedName>
    <definedName name="v_66_XHSRO">Model!$AA$219</definedName>
    <definedName name="v_66_XINORG">Model!$AV$219</definedName>
    <definedName name="v_66_XMEOLO">Model!$T$219</definedName>
    <definedName name="v_66_XN_B">Model!$AI$219</definedName>
    <definedName name="v_66_XN_Be">Model!$AJ$219</definedName>
    <definedName name="v_66_XN_U">Model!$AK$219</definedName>
    <definedName name="v_66_XNOB">Model!$V$219</definedName>
    <definedName name="v_66_XOHO">Model!$R$219</definedName>
    <definedName name="v_66_XP_B">Model!$AO$219</definedName>
    <definedName name="v_66_XP_Be">Model!$AP$219</definedName>
    <definedName name="v_66_XP_U">Model!$AQ$219</definedName>
    <definedName name="v_66_XPFOA">Model!$CA$219</definedName>
    <definedName name="v_66_XPFOS">Model!$CC$219</definedName>
    <definedName name="v_66_XPHA_GAO">Model!$O$219</definedName>
    <definedName name="v_66_XPHA_PAO">Model!$N$219</definedName>
    <definedName name="v_66_XPP">Model!$AM$219</definedName>
    <definedName name="v_66_XS">Model!$BD$219</definedName>
    <definedName name="v_66_XSOO">Model!$AB$219</definedName>
    <definedName name="v_66_XSTR">Model!$BW$219</definedName>
    <definedName name="v_66_XU">Model!$M$219</definedName>
    <definedName name="v_66_XVivi">Model!$BX$219</definedName>
    <definedName name="v_67_CB">Model!$H$220</definedName>
    <definedName name="v_67_CU">Model!$L$220</definedName>
    <definedName name="v_67_GCH4">Model!$CH$220</definedName>
    <definedName name="v_67_GCH4_atm">Model!$CO$220</definedName>
    <definedName name="v_67_GCO2">Model!$CG$220</definedName>
    <definedName name="v_67_GCO2_atm">Model!$CN$220</definedName>
    <definedName name="v_67_GH2">Model!$CI$220</definedName>
    <definedName name="v_67_GH2_atm">Model!$CP$220</definedName>
    <definedName name="v_67_GH2S">Model!$CM$220</definedName>
    <definedName name="v_67_GH2S_atm">Model!$CT$220</definedName>
    <definedName name="v_67_GN2">Model!$CL$220</definedName>
    <definedName name="v_67_GN2_atm">Model!$CS$220</definedName>
    <definedName name="v_67_GNH3">Model!$CK$220</definedName>
    <definedName name="v_67_GNH3_atm">Model!$CR$220</definedName>
    <definedName name="v_67_GO2">Model!$CJ$220</definedName>
    <definedName name="v_67_GO2_atm">Model!$CQ$220</definedName>
    <definedName name="v_67_SALPHA">Model!$CE$220</definedName>
    <definedName name="v_67_SAN">Model!$AX$220</definedName>
    <definedName name="v_67_SB">Model!$F$220</definedName>
    <definedName name="v_67_SCa">Model!$AY$220</definedName>
    <definedName name="v_67_SCAT">Model!$AW$220</definedName>
    <definedName name="v_67_SCH4">Model!$AS$220</definedName>
    <definedName name="v_67_SCO2">Model!$AU$220</definedName>
    <definedName name="v_67_SFe2">Model!$BE$220</definedName>
    <definedName name="v_67_SH">Model!$CD$220</definedName>
    <definedName name="v_67_SH2">Model!$AT$220</definedName>
    <definedName name="v_67_SH2S">Model!$BB$220</definedName>
    <definedName name="v_67_SK">Model!$BA$220</definedName>
    <definedName name="v_67_SMEOL">Model!$G$220</definedName>
    <definedName name="v_67_SMg">Model!$AZ$220</definedName>
    <definedName name="v_67_SMM_index">Model!$CU$220</definedName>
    <definedName name="v_67_SN_B">Model!$AH$220</definedName>
    <definedName name="v_67_SN2">Model!$AG$220</definedName>
    <definedName name="v_67_SNHx">Model!$AD$220</definedName>
    <definedName name="v_67_SNO2">Model!$AE$220</definedName>
    <definedName name="v_67_SNO3">Model!$AF$220</definedName>
    <definedName name="v_67_SO2">Model!$AR$220</definedName>
    <definedName name="v_67_SORPswitch">Model!$CF$220</definedName>
    <definedName name="v_67_SP_B">Model!$AN$220</definedName>
    <definedName name="v_67_SPFOA">Model!$BZ$220</definedName>
    <definedName name="v_67_SPFOS">Model!$CB$220</definedName>
    <definedName name="v_67_SPO4">Model!$AL$220</definedName>
    <definedName name="v_67_SSO4">Model!$BC$220</definedName>
    <definedName name="v_67_SU">Model!$K$220</definedName>
    <definedName name="v_67_SVFA">Model!$E$220</definedName>
    <definedName name="v_67_XACP">Model!$BU$220</definedName>
    <definedName name="v_67_XALGAE">Model!$AC$220</definedName>
    <definedName name="v_67_XAMETO">Model!$X$220</definedName>
    <definedName name="v_67_XAMX">Model!$W$220</definedName>
    <definedName name="v_67_XAOB">Model!$U$220</definedName>
    <definedName name="v_67_XASRO">Model!$Z$220</definedName>
    <definedName name="v_67_XB">Model!$I$220</definedName>
    <definedName name="v_67_XB_e">Model!$J$220</definedName>
    <definedName name="v_67_XBSH">Model!$BV$220</definedName>
    <definedName name="v_67_XCaCO3">Model!$BT$220</definedName>
    <definedName name="v_67_XCASTO">Model!$S$220</definedName>
    <definedName name="v_67_XE">Model!$P$220</definedName>
    <definedName name="v_67_XE_ana">Model!$Q$220</definedName>
    <definedName name="v_67_XFeS">Model!$BY$220</definedName>
    <definedName name="v_67_XHAO_H">Model!$BM$220</definedName>
    <definedName name="v_67_XHAO_H_P">Model!$BP$220</definedName>
    <definedName name="v_67_XHAO_H_P_old">Model!$BR$220</definedName>
    <definedName name="v_67_XHAO_L">Model!$BN$220</definedName>
    <definedName name="v_67_XHAO_L_P">Model!$BQ$220</definedName>
    <definedName name="v_67_XHAO_L_P_old">Model!$BS$220</definedName>
    <definedName name="v_67_XHAO_old">Model!$BO$220</definedName>
    <definedName name="v_67_XHFO_H">Model!$BF$220</definedName>
    <definedName name="v_67_XHFO_H_P">Model!$BI$220</definedName>
    <definedName name="v_67_XHFO_H_P_old">Model!$BK$220</definedName>
    <definedName name="v_67_XHFO_L">Model!$BG$220</definedName>
    <definedName name="v_67_XHFO_L_P">Model!$BJ$220</definedName>
    <definedName name="v_67_XHFO_L_P_old">Model!$BL$220</definedName>
    <definedName name="v_67_XHFO_old">Model!$BH$220</definedName>
    <definedName name="v_67_XHMETO">Model!$Y$220</definedName>
    <definedName name="v_67_XHSRO">Model!$AA$220</definedName>
    <definedName name="v_67_XINORG">Model!$AV$220</definedName>
    <definedName name="v_67_XMEOLO">Model!$T$220</definedName>
    <definedName name="v_67_XN_B">Model!$AI$220</definedName>
    <definedName name="v_67_XN_Be">Model!$AJ$220</definedName>
    <definedName name="v_67_XN_U">Model!$AK$220</definedName>
    <definedName name="v_67_XNOB">Model!$V$220</definedName>
    <definedName name="v_67_XOHO">Model!$R$220</definedName>
    <definedName name="v_67_XP_B">Model!$AO$220</definedName>
    <definedName name="v_67_XP_Be">Model!$AP$220</definedName>
    <definedName name="v_67_XP_U">Model!$AQ$220</definedName>
    <definedName name="v_67_XPFOA">Model!$CA$220</definedName>
    <definedName name="v_67_XPFOS">Model!$CC$220</definedName>
    <definedName name="v_67_XPHA_GAO">Model!$O$220</definedName>
    <definedName name="v_67_XPHA_PAO">Model!$N$220</definedName>
    <definedName name="v_67_XPP">Model!$AM$220</definedName>
    <definedName name="v_67_XS">Model!$BD$220</definedName>
    <definedName name="v_67_XSOO">Model!$AB$220</definedName>
    <definedName name="v_67_XSTR">Model!$BW$220</definedName>
    <definedName name="v_67_XU">Model!$M$220</definedName>
    <definedName name="v_67_XVivi">Model!$BX$220</definedName>
    <definedName name="v_68_CB">Model!$H$221</definedName>
    <definedName name="v_68_CU">Model!$L$221</definedName>
    <definedName name="v_68_GCH4">Model!$CH$221</definedName>
    <definedName name="v_68_GCH4_atm">Model!$CO$221</definedName>
    <definedName name="v_68_GCO2">Model!$CG$221</definedName>
    <definedName name="v_68_GCO2_atm">Model!$CN$221</definedName>
    <definedName name="v_68_GH2">Model!$CI$221</definedName>
    <definedName name="v_68_GH2_atm">Model!$CP$221</definedName>
    <definedName name="v_68_GH2S">Model!$CM$221</definedName>
    <definedName name="v_68_GH2S_atm">Model!$CT$221</definedName>
    <definedName name="v_68_GN2">Model!$CL$221</definedName>
    <definedName name="v_68_GN2_atm">Model!$CS$221</definedName>
    <definedName name="v_68_GNH3">Model!$CK$221</definedName>
    <definedName name="v_68_GNH3_atm">Model!$CR$221</definedName>
    <definedName name="v_68_GO2">Model!$CJ$221</definedName>
    <definedName name="v_68_GO2_atm">Model!$CQ$221</definedName>
    <definedName name="v_68_SALPHA">Model!$CE$221</definedName>
    <definedName name="v_68_SAN">Model!$AX$221</definedName>
    <definedName name="v_68_SB">Model!$F$221</definedName>
    <definedName name="v_68_SCa">Model!$AY$221</definedName>
    <definedName name="v_68_SCAT">Model!$AW$221</definedName>
    <definedName name="v_68_SCH4">Model!$AS$221</definedName>
    <definedName name="v_68_SCO2">Model!$AU$221</definedName>
    <definedName name="v_68_SFe2">Model!$BE$221</definedName>
    <definedName name="v_68_SH">Model!$CD$221</definedName>
    <definedName name="v_68_SH2">Model!$AT$221</definedName>
    <definedName name="v_68_SH2S">Model!$BB$221</definedName>
    <definedName name="v_68_SK">Model!$BA$221</definedName>
    <definedName name="v_68_SMEOL">Model!$G$221</definedName>
    <definedName name="v_68_SMg">Model!$AZ$221</definedName>
    <definedName name="v_68_SMM_index">Model!$CU$221</definedName>
    <definedName name="v_68_SN_B">Model!$AH$221</definedName>
    <definedName name="v_68_SN2">Model!$AG$221</definedName>
    <definedName name="v_68_SNHx">Model!$AD$221</definedName>
    <definedName name="v_68_SNO2">Model!$AE$221</definedName>
    <definedName name="v_68_SNO3">Model!$AF$221</definedName>
    <definedName name="v_68_SO2">Model!$AR$221</definedName>
    <definedName name="v_68_SORPswitch">Model!$CF$221</definedName>
    <definedName name="v_68_SP_B">Model!$AN$221</definedName>
    <definedName name="v_68_SPFOA">Model!$BZ$221</definedName>
    <definedName name="v_68_SPFOS">Model!$CB$221</definedName>
    <definedName name="v_68_SPO4">Model!$AL$221</definedName>
    <definedName name="v_68_SSO4">Model!$BC$221</definedName>
    <definedName name="v_68_SU">Model!$K$221</definedName>
    <definedName name="v_68_SVFA">Model!$E$221</definedName>
    <definedName name="v_68_XACP">Model!$BU$221</definedName>
    <definedName name="v_68_XALGAE">Model!$AC$221</definedName>
    <definedName name="v_68_XAMETO">Model!$X$221</definedName>
    <definedName name="v_68_XAMX">Model!$W$221</definedName>
    <definedName name="v_68_XAOB">Model!$U$221</definedName>
    <definedName name="v_68_XASRO">Model!$Z$221</definedName>
    <definedName name="v_68_XB">Model!$I$221</definedName>
    <definedName name="v_68_XB_e">Model!$J$221</definedName>
    <definedName name="v_68_XBSH">Model!$BV$221</definedName>
    <definedName name="v_68_XCaCO3">Model!$BT$221</definedName>
    <definedName name="v_68_XCASTO">Model!$S$221</definedName>
    <definedName name="v_68_XE">Model!$P$221</definedName>
    <definedName name="v_68_XE_ana">Model!$Q$221</definedName>
    <definedName name="v_68_XFeS">Model!$BY$221</definedName>
    <definedName name="v_68_XHAO_H">Model!$BM$221</definedName>
    <definedName name="v_68_XHAO_H_P">Model!$BP$221</definedName>
    <definedName name="v_68_XHAO_H_P_old">Model!$BR$221</definedName>
    <definedName name="v_68_XHAO_L">Model!$BN$221</definedName>
    <definedName name="v_68_XHAO_L_P">Model!$BQ$221</definedName>
    <definedName name="v_68_XHAO_L_P_old">Model!$BS$221</definedName>
    <definedName name="v_68_XHAO_old">Model!$BO$221</definedName>
    <definedName name="v_68_XHFO_H">Model!$BF$221</definedName>
    <definedName name="v_68_XHFO_H_P">Model!$BI$221</definedName>
    <definedName name="v_68_XHFO_H_P_old">Model!$BK$221</definedName>
    <definedName name="v_68_XHFO_L">Model!$BG$221</definedName>
    <definedName name="v_68_XHFO_L_P">Model!$BJ$221</definedName>
    <definedName name="v_68_XHFO_L_P_old">Model!$BL$221</definedName>
    <definedName name="v_68_XHFO_old">Model!$BH$221</definedName>
    <definedName name="v_68_XHMETO">Model!$Y$221</definedName>
    <definedName name="v_68_XHSRO">Model!$AA$221</definedName>
    <definedName name="v_68_XINORG">Model!$AV$221</definedName>
    <definedName name="v_68_XMEOLO">Model!$T$221</definedName>
    <definedName name="v_68_XN_B">Model!$AI$221</definedName>
    <definedName name="v_68_XN_Be">Model!$AJ$221</definedName>
    <definedName name="v_68_XN_U">Model!$AK$221</definedName>
    <definedName name="v_68_XNOB">Model!$V$221</definedName>
    <definedName name="v_68_XOHO">Model!$R$221</definedName>
    <definedName name="v_68_XP_B">Model!$AO$221</definedName>
    <definedName name="v_68_XP_Be">Model!$AP$221</definedName>
    <definedName name="v_68_XP_U">Model!$AQ$221</definedName>
    <definedName name="v_68_XPFOA">Model!$CA$221</definedName>
    <definedName name="v_68_XPFOS">Model!$CC$221</definedName>
    <definedName name="v_68_XPHA_GAO">Model!$O$221</definedName>
    <definedName name="v_68_XPHA_PAO">Model!$N$221</definedName>
    <definedName name="v_68_XPP">Model!$AM$221</definedName>
    <definedName name="v_68_XS">Model!$BD$221</definedName>
    <definedName name="v_68_XSOO">Model!$AB$221</definedName>
    <definedName name="v_68_XSTR">Model!$BW$221</definedName>
    <definedName name="v_68_XU">Model!$M$221</definedName>
    <definedName name="v_68_XVivi">Model!$BX$221</definedName>
    <definedName name="v_69_CB">Model!$H$222</definedName>
    <definedName name="v_69_CU">Model!$L$222</definedName>
    <definedName name="v_69_GCH4">Model!$CH$222</definedName>
    <definedName name="v_69_GCH4_atm">Model!$CO$222</definedName>
    <definedName name="v_69_GCO2">Model!$CG$222</definedName>
    <definedName name="v_69_GCO2_atm">Model!$CN$222</definedName>
    <definedName name="v_69_GH2">Model!$CI$222</definedName>
    <definedName name="v_69_GH2_atm">Model!$CP$222</definedName>
    <definedName name="v_69_GH2S">Model!$CM$222</definedName>
    <definedName name="v_69_GH2S_atm">Model!$CT$222</definedName>
    <definedName name="v_69_GN2">Model!$CL$222</definedName>
    <definedName name="v_69_GN2_atm">Model!$CS$222</definedName>
    <definedName name="v_69_GNH3">Model!$CK$222</definedName>
    <definedName name="v_69_GNH3_atm">Model!$CR$222</definedName>
    <definedName name="v_69_GO2">Model!$CJ$222</definedName>
    <definedName name="v_69_GO2_atm">Model!$CQ$222</definedName>
    <definedName name="v_69_SALPHA">Model!$CE$222</definedName>
    <definedName name="v_69_SAN">Model!$AX$222</definedName>
    <definedName name="v_69_SB">Model!$F$222</definedName>
    <definedName name="v_69_SCa">Model!$AY$222</definedName>
    <definedName name="v_69_SCAT">Model!$AW$222</definedName>
    <definedName name="v_69_SCH4">Model!$AS$222</definedName>
    <definedName name="v_69_SCO2">Model!$AU$222</definedName>
    <definedName name="v_69_SFe2">Model!$BE$222</definedName>
    <definedName name="v_69_SH">Model!$CD$222</definedName>
    <definedName name="v_69_SH2">Model!$AT$222</definedName>
    <definedName name="v_69_SH2S">Model!$BB$222</definedName>
    <definedName name="v_69_SK">Model!$BA$222</definedName>
    <definedName name="v_69_SMEOL">Model!$G$222</definedName>
    <definedName name="v_69_SMg">Model!$AZ$222</definedName>
    <definedName name="v_69_SMM_index">Model!$CU$222</definedName>
    <definedName name="v_69_SN_B">Model!$AH$222</definedName>
    <definedName name="v_69_SN2">Model!$AG$222</definedName>
    <definedName name="v_69_SNHx">Model!$AD$222</definedName>
    <definedName name="v_69_SNO2">Model!$AE$222</definedName>
    <definedName name="v_69_SNO3">Model!$AF$222</definedName>
    <definedName name="v_69_SO2">Model!$AR$222</definedName>
    <definedName name="v_69_SORPswitch">Model!$CF$222</definedName>
    <definedName name="v_69_SP_B">Model!$AN$222</definedName>
    <definedName name="v_69_SPFOA">Model!$BZ$222</definedName>
    <definedName name="v_69_SPFOS">Model!$CB$222</definedName>
    <definedName name="v_69_SPO4">Model!$AL$222</definedName>
    <definedName name="v_69_SSO4">Model!$BC$222</definedName>
    <definedName name="v_69_SU">Model!$K$222</definedName>
    <definedName name="v_69_SVFA">Model!$E$222</definedName>
    <definedName name="v_69_XACP">Model!$BU$222</definedName>
    <definedName name="v_69_XALGAE">Model!$AC$222</definedName>
    <definedName name="v_69_XAMETO">Model!$X$222</definedName>
    <definedName name="v_69_XAMX">Model!$W$222</definedName>
    <definedName name="v_69_XAOB">Model!$U$222</definedName>
    <definedName name="v_69_XASRO">Model!$Z$222</definedName>
    <definedName name="v_69_XB">Model!$I$222</definedName>
    <definedName name="v_69_XB_e">Model!$J$222</definedName>
    <definedName name="v_69_XBSH">Model!$BV$222</definedName>
    <definedName name="v_69_XCaCO3">Model!$BT$222</definedName>
    <definedName name="v_69_XCASTO">Model!$S$222</definedName>
    <definedName name="v_69_XE">Model!$P$222</definedName>
    <definedName name="v_69_XE_ana">Model!$Q$222</definedName>
    <definedName name="v_69_XFeS">Model!$BY$222</definedName>
    <definedName name="v_69_XHAO_H">Model!$BM$222</definedName>
    <definedName name="v_69_XHAO_H_P">Model!$BP$222</definedName>
    <definedName name="v_69_XHAO_H_P_old">Model!$BR$222</definedName>
    <definedName name="v_69_XHAO_L">Model!$BN$222</definedName>
    <definedName name="v_69_XHAO_L_P">Model!$BQ$222</definedName>
    <definedName name="v_69_XHAO_L_P_old">Model!$BS$222</definedName>
    <definedName name="v_69_XHAO_old">Model!$BO$222</definedName>
    <definedName name="v_69_XHFO_H">Model!$BF$222</definedName>
    <definedName name="v_69_XHFO_H_P">Model!$BI$222</definedName>
    <definedName name="v_69_XHFO_H_P_old">Model!$BK$222</definedName>
    <definedName name="v_69_XHFO_L">Model!$BG$222</definedName>
    <definedName name="v_69_XHFO_L_P">Model!$BJ$222</definedName>
    <definedName name="v_69_XHFO_L_P_old">Model!$BL$222</definedName>
    <definedName name="v_69_XHFO_old">Model!$BH$222</definedName>
    <definedName name="v_69_XHMETO">Model!$Y$222</definedName>
    <definedName name="v_69_XHSRO">Model!$AA$222</definedName>
    <definedName name="v_69_XINORG">Model!$AV$222</definedName>
    <definedName name="v_69_XMEOLO">Model!$T$222</definedName>
    <definedName name="v_69_XN_B">Model!$AI$222</definedName>
    <definedName name="v_69_XN_Be">Model!$AJ$222</definedName>
    <definedName name="v_69_XN_U">Model!$AK$222</definedName>
    <definedName name="v_69_XNOB">Model!$V$222</definedName>
    <definedName name="v_69_XOHO">Model!$R$222</definedName>
    <definedName name="v_69_XP_B">Model!$AO$222</definedName>
    <definedName name="v_69_XP_Be">Model!$AP$222</definedName>
    <definedName name="v_69_XP_U">Model!$AQ$222</definedName>
    <definedName name="v_69_XPFOA">Model!$CA$222</definedName>
    <definedName name="v_69_XPFOS">Model!$CC$222</definedName>
    <definedName name="v_69_XPHA_GAO">Model!$O$222</definedName>
    <definedName name="v_69_XPHA_PAO">Model!$N$222</definedName>
    <definedName name="v_69_XPP">Model!$AM$222</definedName>
    <definedName name="v_69_XS">Model!$BD$222</definedName>
    <definedName name="v_69_XSOO">Model!$AB$222</definedName>
    <definedName name="v_69_XSTR">Model!$BW$222</definedName>
    <definedName name="v_69_XU">Model!$M$222</definedName>
    <definedName name="v_69_XVivi">Model!$BX$222</definedName>
    <definedName name="v_7_CB">Model!$H$160</definedName>
    <definedName name="v_7_CU">Model!$L$160</definedName>
    <definedName name="v_7_GCH4">Model!$CH$160</definedName>
    <definedName name="v_7_GCH4_atm">Model!$CO$160</definedName>
    <definedName name="v_7_GCO2">Model!$CG$160</definedName>
    <definedName name="v_7_GCO2_atm">Model!$CN$160</definedName>
    <definedName name="v_7_GH2">Model!$CI$160</definedName>
    <definedName name="v_7_GH2_atm">Model!$CP$160</definedName>
    <definedName name="v_7_GH2S">Model!$CM$160</definedName>
    <definedName name="v_7_GH2S_atm">Model!$CT$160</definedName>
    <definedName name="v_7_GN2">Model!$CL$160</definedName>
    <definedName name="v_7_GN2_atm">Model!$CS$160</definedName>
    <definedName name="v_7_GNH3">Model!$CK$160</definedName>
    <definedName name="v_7_GNH3_atm">Model!$CR$160</definedName>
    <definedName name="v_7_GO2">Model!$CJ$160</definedName>
    <definedName name="v_7_GO2_atm">Model!$CQ$160</definedName>
    <definedName name="v_7_SALPHA">Model!$CE$160</definedName>
    <definedName name="v_7_SAN">Model!$AX$160</definedName>
    <definedName name="v_7_SB">Model!$F$160</definedName>
    <definedName name="v_7_SCa">Model!$AY$160</definedName>
    <definedName name="v_7_SCAT">Model!$AW$160</definedName>
    <definedName name="v_7_SCH4">Model!$AS$160</definedName>
    <definedName name="v_7_SCO2">Model!$AU$160</definedName>
    <definedName name="v_7_SFe2">Model!$BE$160</definedName>
    <definedName name="v_7_SH">Model!$CD$160</definedName>
    <definedName name="v_7_SH2">Model!$AT$160</definedName>
    <definedName name="v_7_SH2S">Model!$BB$160</definedName>
    <definedName name="v_7_SK">Model!$BA$160</definedName>
    <definedName name="v_7_SMEOL">Model!$G$160</definedName>
    <definedName name="v_7_SMg">Model!$AZ$160</definedName>
    <definedName name="v_7_SMM_index">Model!$CU$160</definedName>
    <definedName name="v_7_SN_B">Model!$AH$160</definedName>
    <definedName name="v_7_SN2">Model!$AG$160</definedName>
    <definedName name="v_7_SNHx">Model!$AD$160</definedName>
    <definedName name="v_7_SNO2">Model!$AE$160</definedName>
    <definedName name="v_7_SNO3">Model!$AF$160</definedName>
    <definedName name="v_7_SO2">Model!$AR$160</definedName>
    <definedName name="v_7_SORPswitch">Model!$CF$160</definedName>
    <definedName name="v_7_SP_B">Model!$AN$160</definedName>
    <definedName name="v_7_SPFOA">Model!$BZ$160</definedName>
    <definedName name="v_7_SPFOS">Model!$CB$160</definedName>
    <definedName name="v_7_SPO4">Model!$AL$160</definedName>
    <definedName name="v_7_SSO4">Model!$BC$160</definedName>
    <definedName name="v_7_SU">Model!$K$160</definedName>
    <definedName name="v_7_SVFA">Model!$E$160</definedName>
    <definedName name="v_7_XACP">Model!$BU$160</definedName>
    <definedName name="v_7_XALGAE">Model!$AC$160</definedName>
    <definedName name="v_7_XAMETO">Model!$X$160</definedName>
    <definedName name="v_7_XAMX">Model!$W$160</definedName>
    <definedName name="v_7_XAOB">Model!$U$160</definedName>
    <definedName name="v_7_XASRO">Model!$Z$160</definedName>
    <definedName name="v_7_XB">Model!$I$160</definedName>
    <definedName name="v_7_XB_e">Model!$J$160</definedName>
    <definedName name="v_7_XBSH">Model!$BV$160</definedName>
    <definedName name="v_7_XCaCO3">Model!$BT$160</definedName>
    <definedName name="v_7_XCASTO">Model!$S$160</definedName>
    <definedName name="v_7_XE">Model!$P$160</definedName>
    <definedName name="v_7_XE_ana">Model!$Q$160</definedName>
    <definedName name="v_7_XFeS">Model!$BY$160</definedName>
    <definedName name="v_7_XHAO_H">Model!$BM$160</definedName>
    <definedName name="v_7_XHAO_H_P">Model!$BP$160</definedName>
    <definedName name="v_7_XHAO_H_P_old">Model!$BR$160</definedName>
    <definedName name="v_7_XHAO_L">Model!$BN$160</definedName>
    <definedName name="v_7_XHAO_L_P">Model!$BQ$160</definedName>
    <definedName name="v_7_XHAO_L_P_old">Model!$BS$160</definedName>
    <definedName name="v_7_XHAO_old">Model!$BO$160</definedName>
    <definedName name="v_7_XHFO_H">Model!$BF$160</definedName>
    <definedName name="v_7_XHFO_H_P">Model!$BI$160</definedName>
    <definedName name="v_7_XHFO_H_P_old">Model!$BK$160</definedName>
    <definedName name="v_7_XHFO_L">Model!$BG$160</definedName>
    <definedName name="v_7_XHFO_L_P">Model!$BJ$160</definedName>
    <definedName name="v_7_XHFO_L_P_old">Model!$BL$160</definedName>
    <definedName name="v_7_XHFO_old">Model!$BH$160</definedName>
    <definedName name="v_7_XHMETO">Model!$Y$160</definedName>
    <definedName name="v_7_XHSRO">Model!$AA$160</definedName>
    <definedName name="v_7_XINORG">Model!$AV$160</definedName>
    <definedName name="v_7_XMEOLO">Model!$T$160</definedName>
    <definedName name="v_7_XN_B">Model!$AI$160</definedName>
    <definedName name="v_7_XN_Be">Model!$AJ$160</definedName>
    <definedName name="v_7_XN_U">Model!$AK$160</definedName>
    <definedName name="v_7_XNOB">Model!$V$160</definedName>
    <definedName name="v_7_XOHO">Model!$R$160</definedName>
    <definedName name="v_7_XP_B">Model!$AO$160</definedName>
    <definedName name="v_7_XP_Be">Model!$AP$160</definedName>
    <definedName name="v_7_XP_U">Model!$AQ$160</definedName>
    <definedName name="v_7_XPFOA">Model!$CA$160</definedName>
    <definedName name="v_7_XPFOS">Model!$CC$160</definedName>
    <definedName name="v_7_XPHA_GAO">Model!$O$160</definedName>
    <definedName name="v_7_XPHA_PAO">Model!$N$160</definedName>
    <definedName name="v_7_XPP">Model!$AM$160</definedName>
    <definedName name="v_7_XS">Model!$BD$160</definedName>
    <definedName name="v_7_XSOO">Model!$AB$160</definedName>
    <definedName name="v_7_XSTR">Model!$BW$160</definedName>
    <definedName name="v_7_XU">Model!$M$160</definedName>
    <definedName name="v_7_XVivi">Model!$BX$160</definedName>
    <definedName name="v_70_CB">Model!$H$223</definedName>
    <definedName name="v_70_CU">Model!$L$223</definedName>
    <definedName name="v_70_GCH4">Model!$CH$223</definedName>
    <definedName name="v_70_GCH4_atm">Model!$CO$223</definedName>
    <definedName name="v_70_GCO2">Model!$CG$223</definedName>
    <definedName name="v_70_GCO2_atm">Model!$CN$223</definedName>
    <definedName name="v_70_GH2">Model!$CI$223</definedName>
    <definedName name="v_70_GH2_atm">Model!$CP$223</definedName>
    <definedName name="v_70_GH2S">Model!$CM$223</definedName>
    <definedName name="v_70_GH2S_atm">Model!$CT$223</definedName>
    <definedName name="v_70_GN2">Model!$CL$223</definedName>
    <definedName name="v_70_GN2_atm">Model!$CS$223</definedName>
    <definedName name="v_70_GNH3">Model!$CK$223</definedName>
    <definedName name="v_70_GNH3_atm">Model!$CR$223</definedName>
    <definedName name="v_70_GO2">Model!$CJ$223</definedName>
    <definedName name="v_70_GO2_atm">Model!$CQ$223</definedName>
    <definedName name="v_70_SALPHA">Model!$CE$223</definedName>
    <definedName name="v_70_SAN">Model!$AX$223</definedName>
    <definedName name="v_70_SB">Model!$F$223</definedName>
    <definedName name="v_70_SCa">Model!$AY$223</definedName>
    <definedName name="v_70_SCAT">Model!$AW$223</definedName>
    <definedName name="v_70_SCH4">Model!$AS$223</definedName>
    <definedName name="v_70_SCO2">Model!$AU$223</definedName>
    <definedName name="v_70_SFe2">Model!$BE$223</definedName>
    <definedName name="v_70_SH">Model!$CD$223</definedName>
    <definedName name="v_70_SH2">Model!$AT$223</definedName>
    <definedName name="v_70_SH2S">Model!$BB$223</definedName>
    <definedName name="v_70_SK">Model!$BA$223</definedName>
    <definedName name="v_70_SMEOL">Model!$G$223</definedName>
    <definedName name="v_70_SMg">Model!$AZ$223</definedName>
    <definedName name="v_70_SMM_index">Model!$CU$223</definedName>
    <definedName name="v_70_SN_B">Model!$AH$223</definedName>
    <definedName name="v_70_SN2">Model!$AG$223</definedName>
    <definedName name="v_70_SNHx">Model!$AD$223</definedName>
    <definedName name="v_70_SNO2">Model!$AE$223</definedName>
    <definedName name="v_70_SNO3">Model!$AF$223</definedName>
    <definedName name="v_70_SO2">Model!$AR$223</definedName>
    <definedName name="v_70_SORPswitch">Model!$CF$223</definedName>
    <definedName name="v_70_SP_B">Model!$AN$223</definedName>
    <definedName name="v_70_SPFOA">Model!$BZ$223</definedName>
    <definedName name="v_70_SPFOS">Model!$CB$223</definedName>
    <definedName name="v_70_SPO4">Model!$AL$223</definedName>
    <definedName name="v_70_SSO4">Model!$BC$223</definedName>
    <definedName name="v_70_SU">Model!$K$223</definedName>
    <definedName name="v_70_SVFA">Model!$E$223</definedName>
    <definedName name="v_70_XACP">Model!$BU$223</definedName>
    <definedName name="v_70_XALGAE">Model!$AC$223</definedName>
    <definedName name="v_70_XAMETO">Model!$X$223</definedName>
    <definedName name="v_70_XAMX">Model!$W$223</definedName>
    <definedName name="v_70_XAOB">Model!$U$223</definedName>
    <definedName name="v_70_XASRO">Model!$Z$223</definedName>
    <definedName name="v_70_XB">Model!$I$223</definedName>
    <definedName name="v_70_XB_e">Model!$J$223</definedName>
    <definedName name="v_70_XBSH">Model!$BV$223</definedName>
    <definedName name="v_70_XCaCO3">Model!$BT$223</definedName>
    <definedName name="v_70_XCASTO">Model!$S$223</definedName>
    <definedName name="v_70_XE">Model!$P$223</definedName>
    <definedName name="v_70_XE_ana">Model!$Q$223</definedName>
    <definedName name="v_70_XFeS">Model!$BY$223</definedName>
    <definedName name="v_70_XHAO_H">Model!$BM$223</definedName>
    <definedName name="v_70_XHAO_H_P">Model!$BP$223</definedName>
    <definedName name="v_70_XHAO_H_P_old">Model!$BR$223</definedName>
    <definedName name="v_70_XHAO_L">Model!$BN$223</definedName>
    <definedName name="v_70_XHAO_L_P">Model!$BQ$223</definedName>
    <definedName name="v_70_XHAO_L_P_old">Model!$BS$223</definedName>
    <definedName name="v_70_XHAO_old">Model!$BO$223</definedName>
    <definedName name="v_70_XHFO_H">Model!$BF$223</definedName>
    <definedName name="v_70_XHFO_H_P">Model!$BI$223</definedName>
    <definedName name="v_70_XHFO_H_P_old">Model!$BK$223</definedName>
    <definedName name="v_70_XHFO_L">Model!$BG$223</definedName>
    <definedName name="v_70_XHFO_L_P">Model!$BJ$223</definedName>
    <definedName name="v_70_XHFO_L_P_old">Model!$BL$223</definedName>
    <definedName name="v_70_XHFO_old">Model!$BH$223</definedName>
    <definedName name="v_70_XHMETO">Model!$Y$223</definedName>
    <definedName name="v_70_XHSRO">Model!$AA$223</definedName>
    <definedName name="v_70_XINORG">Model!$AV$223</definedName>
    <definedName name="v_70_XMEOLO">Model!$T$223</definedName>
    <definedName name="v_70_XN_B">Model!$AI$223</definedName>
    <definedName name="v_70_XN_Be">Model!$AJ$223</definedName>
    <definedName name="v_70_XN_U">Model!$AK$223</definedName>
    <definedName name="v_70_XNOB">Model!$V$223</definedName>
    <definedName name="v_70_XOHO">Model!$R$223</definedName>
    <definedName name="v_70_XP_B">Model!$AO$223</definedName>
    <definedName name="v_70_XP_Be">Model!$AP$223</definedName>
    <definedName name="v_70_XP_U">Model!$AQ$223</definedName>
    <definedName name="v_70_XPFOA">Model!$CA$223</definedName>
    <definedName name="v_70_XPFOS">Model!$CC$223</definedName>
    <definedName name="v_70_XPHA_GAO">Model!$O$223</definedName>
    <definedName name="v_70_XPHA_PAO">Model!$N$223</definedName>
    <definedName name="v_70_XPP">Model!$AM$223</definedName>
    <definedName name="v_70_XS">Model!$BD$223</definedName>
    <definedName name="v_70_XSOO">Model!$AB$223</definedName>
    <definedName name="v_70_XSTR">Model!$BW$223</definedName>
    <definedName name="v_70_XU">Model!$M$223</definedName>
    <definedName name="v_70_XVivi">Model!$BX$223</definedName>
    <definedName name="v_71_CB">Model!$H$224</definedName>
    <definedName name="v_71_CU">Model!$L$224</definedName>
    <definedName name="v_71_GCH4">Model!$CH$224</definedName>
    <definedName name="v_71_GCH4_atm">Model!$CO$224</definedName>
    <definedName name="v_71_GCO2">Model!$CG$224</definedName>
    <definedName name="v_71_GCO2_atm">Model!$CN$224</definedName>
    <definedName name="v_71_GH2">Model!$CI$224</definedName>
    <definedName name="v_71_GH2_atm">Model!$CP$224</definedName>
    <definedName name="v_71_GH2S">Model!$CM$224</definedName>
    <definedName name="v_71_GH2S_atm">Model!$CT$224</definedName>
    <definedName name="v_71_GN2">Model!$CL$224</definedName>
    <definedName name="v_71_GN2_atm">Model!$CS$224</definedName>
    <definedName name="v_71_GNH3">Model!$CK$224</definedName>
    <definedName name="v_71_GNH3_atm">Model!$CR$224</definedName>
    <definedName name="v_71_GO2">Model!$CJ$224</definedName>
    <definedName name="v_71_GO2_atm">Model!$CQ$224</definedName>
    <definedName name="v_71_SALPHA">Model!$CE$224</definedName>
    <definedName name="v_71_SAN">Model!$AX$224</definedName>
    <definedName name="v_71_SB">Model!$F$224</definedName>
    <definedName name="v_71_SCa">Model!$AY$224</definedName>
    <definedName name="v_71_SCAT">Model!$AW$224</definedName>
    <definedName name="v_71_SCH4">Model!$AS$224</definedName>
    <definedName name="v_71_SCO2">Model!$AU$224</definedName>
    <definedName name="v_71_SFe2">Model!$BE$224</definedName>
    <definedName name="v_71_SH">Model!$CD$224</definedName>
    <definedName name="v_71_SH2">Model!$AT$224</definedName>
    <definedName name="v_71_SH2S">Model!$BB$224</definedName>
    <definedName name="v_71_SK">Model!$BA$224</definedName>
    <definedName name="v_71_SMEOL">Model!$G$224</definedName>
    <definedName name="v_71_SMg">Model!$AZ$224</definedName>
    <definedName name="v_71_SMM_index">Model!$CU$224</definedName>
    <definedName name="v_71_SN_B">Model!$AH$224</definedName>
    <definedName name="v_71_SN2">Model!$AG$224</definedName>
    <definedName name="v_71_SNHx">Model!$AD$224</definedName>
    <definedName name="v_71_SNO2">Model!$AE$224</definedName>
    <definedName name="v_71_SNO3">Model!$AF$224</definedName>
    <definedName name="v_71_SO2">Model!$AR$224</definedName>
    <definedName name="v_71_SORPswitch">Model!$CF$224</definedName>
    <definedName name="v_71_SP_B">Model!$AN$224</definedName>
    <definedName name="v_71_SPFOA">Model!$BZ$224</definedName>
    <definedName name="v_71_SPFOS">Model!$CB$224</definedName>
    <definedName name="v_71_SPO4">Model!$AL$224</definedName>
    <definedName name="v_71_SSO4">Model!$BC$224</definedName>
    <definedName name="v_71_SU">Model!$K$224</definedName>
    <definedName name="v_71_SVFA">Model!$E$224</definedName>
    <definedName name="v_71_XACP">Model!$BU$224</definedName>
    <definedName name="v_71_XALGAE">Model!$AC$224</definedName>
    <definedName name="v_71_XAMETO">Model!$X$224</definedName>
    <definedName name="v_71_XAMX">Model!$W$224</definedName>
    <definedName name="v_71_XAOB">Model!$U$224</definedName>
    <definedName name="v_71_XASRO">Model!$Z$224</definedName>
    <definedName name="v_71_XB">Model!$I$224</definedName>
    <definedName name="v_71_XB_e">Model!$J$224</definedName>
    <definedName name="v_71_XBSH">Model!$BV$224</definedName>
    <definedName name="v_71_XCaCO3">Model!$BT$224</definedName>
    <definedName name="v_71_XCASTO">Model!$S$224</definedName>
    <definedName name="v_71_XE">Model!$P$224</definedName>
    <definedName name="v_71_XE_ana">Model!$Q$224</definedName>
    <definedName name="v_71_XFeS">Model!$BY$224</definedName>
    <definedName name="v_71_XHAO_H">Model!$BM$224</definedName>
    <definedName name="v_71_XHAO_H_P">Model!$BP$224</definedName>
    <definedName name="v_71_XHAO_H_P_old">Model!$BR$224</definedName>
    <definedName name="v_71_XHAO_L">Model!$BN$224</definedName>
    <definedName name="v_71_XHAO_L_P">Model!$BQ$224</definedName>
    <definedName name="v_71_XHAO_L_P_old">Model!$BS$224</definedName>
    <definedName name="v_71_XHAO_old">Model!$BO$224</definedName>
    <definedName name="v_71_XHFO_H">Model!$BF$224</definedName>
    <definedName name="v_71_XHFO_H_P">Model!$BI$224</definedName>
    <definedName name="v_71_XHFO_H_P_old">Model!$BK$224</definedName>
    <definedName name="v_71_XHFO_L">Model!$BG$224</definedName>
    <definedName name="v_71_XHFO_L_P">Model!$BJ$224</definedName>
    <definedName name="v_71_XHFO_L_P_old">Model!$BL$224</definedName>
    <definedName name="v_71_XHFO_old">Model!$BH$224</definedName>
    <definedName name="v_71_XHMETO">Model!$Y$224</definedName>
    <definedName name="v_71_XHSRO">Model!$AA$224</definedName>
    <definedName name="v_71_XINORG">Model!$AV$224</definedName>
    <definedName name="v_71_XMEOLO">Model!$T$224</definedName>
    <definedName name="v_71_XN_B">Model!$AI$224</definedName>
    <definedName name="v_71_XN_Be">Model!$AJ$224</definedName>
    <definedName name="v_71_XN_U">Model!$AK$224</definedName>
    <definedName name="v_71_XNOB">Model!$V$224</definedName>
    <definedName name="v_71_XOHO">Model!$R$224</definedName>
    <definedName name="v_71_XP_B">Model!$AO$224</definedName>
    <definedName name="v_71_XP_Be">Model!$AP$224</definedName>
    <definedName name="v_71_XP_U">Model!$AQ$224</definedName>
    <definedName name="v_71_XPFOA">Model!$CA$224</definedName>
    <definedName name="v_71_XPFOS">Model!$CC$224</definedName>
    <definedName name="v_71_XPHA_GAO">Model!$O$224</definedName>
    <definedName name="v_71_XPHA_PAO">Model!$N$224</definedName>
    <definedName name="v_71_XPP">Model!$AM$224</definedName>
    <definedName name="v_71_XS">Model!$BD$224</definedName>
    <definedName name="v_71_XSOO">Model!$AB$224</definedName>
    <definedName name="v_71_XSTR">Model!$BW$224</definedName>
    <definedName name="v_71_XU">Model!$M$224</definedName>
    <definedName name="v_71_XVivi">Model!$BX$224</definedName>
    <definedName name="v_72_CB">Model!$H$225</definedName>
    <definedName name="v_72_CU">Model!$L$225</definedName>
    <definedName name="v_72_GCH4">Model!$CH$225</definedName>
    <definedName name="v_72_GCH4_atm">Model!$CO$225</definedName>
    <definedName name="v_72_GCO2">Model!$CG$225</definedName>
    <definedName name="v_72_GCO2_atm">Model!$CN$225</definedName>
    <definedName name="v_72_GH2">Model!$CI$225</definedName>
    <definedName name="v_72_GH2_atm">Model!$CP$225</definedName>
    <definedName name="v_72_GH2S">Model!$CM$225</definedName>
    <definedName name="v_72_GH2S_atm">Model!$CT$225</definedName>
    <definedName name="v_72_GN2">Model!$CL$225</definedName>
    <definedName name="v_72_GN2_atm">Model!$CS$225</definedName>
    <definedName name="v_72_GNH3">Model!$CK$225</definedName>
    <definedName name="v_72_GNH3_atm">Model!$CR$225</definedName>
    <definedName name="v_72_GO2">Model!$CJ$225</definedName>
    <definedName name="v_72_GO2_atm">Model!$CQ$225</definedName>
    <definedName name="v_72_SALPHA">Model!$CE$225</definedName>
    <definedName name="v_72_SAN">Model!$AX$225</definedName>
    <definedName name="v_72_SB">Model!$F$225</definedName>
    <definedName name="v_72_SCa">Model!$AY$225</definedName>
    <definedName name="v_72_SCAT">Model!$AW$225</definedName>
    <definedName name="v_72_SCH4">Model!$AS$225</definedName>
    <definedName name="v_72_SCO2">Model!$AU$225</definedName>
    <definedName name="v_72_SFe2">Model!$BE$225</definedName>
    <definedName name="v_72_SH">Model!$CD$225</definedName>
    <definedName name="v_72_SH2">Model!$AT$225</definedName>
    <definedName name="v_72_SH2S">Model!$BB$225</definedName>
    <definedName name="v_72_SK">Model!$BA$225</definedName>
    <definedName name="v_72_SMEOL">Model!$G$225</definedName>
    <definedName name="v_72_SMg">Model!$AZ$225</definedName>
    <definedName name="v_72_SMM_index">Model!$CU$225</definedName>
    <definedName name="v_72_SN_B">Model!$AH$225</definedName>
    <definedName name="v_72_SN2">Model!$AG$225</definedName>
    <definedName name="v_72_SNHx">Model!$AD$225</definedName>
    <definedName name="v_72_SNO2">Model!$AE$225</definedName>
    <definedName name="v_72_SNO3">Model!$AF$225</definedName>
    <definedName name="v_72_SO2">Model!$AR$225</definedName>
    <definedName name="v_72_SORPswitch">Model!$CF$225</definedName>
    <definedName name="v_72_SP_B">Model!$AN$225</definedName>
    <definedName name="v_72_SPFOA">Model!$BZ$225</definedName>
    <definedName name="v_72_SPFOS">Model!$CB$225</definedName>
    <definedName name="v_72_SPO4">Model!$AL$225</definedName>
    <definedName name="v_72_SSO4">Model!$BC$225</definedName>
    <definedName name="v_72_SU">Model!$K$225</definedName>
    <definedName name="v_72_SVFA">Model!$E$225</definedName>
    <definedName name="v_72_XACP">Model!$BU$225</definedName>
    <definedName name="v_72_XALGAE">Model!$AC$225</definedName>
    <definedName name="v_72_XAMETO">Model!$X$225</definedName>
    <definedName name="v_72_XAMX">Model!$W$225</definedName>
    <definedName name="v_72_XAOB">Model!$U$225</definedName>
    <definedName name="v_72_XASRO">Model!$Z$225</definedName>
    <definedName name="v_72_XB">Model!$I$225</definedName>
    <definedName name="v_72_XB_e">Model!$J$225</definedName>
    <definedName name="v_72_XBSH">Model!$BV$225</definedName>
    <definedName name="v_72_XCaCO3">Model!$BT$225</definedName>
    <definedName name="v_72_XCASTO">Model!$S$225</definedName>
    <definedName name="v_72_XE">Model!$P$225</definedName>
    <definedName name="v_72_XE_ana">Model!$Q$225</definedName>
    <definedName name="v_72_XFeS">Model!$BY$225</definedName>
    <definedName name="v_72_XHAO_H">Model!$BM$225</definedName>
    <definedName name="v_72_XHAO_H_P">Model!$BP$225</definedName>
    <definedName name="v_72_XHAO_H_P_old">Model!$BR$225</definedName>
    <definedName name="v_72_XHAO_L">Model!$BN$225</definedName>
    <definedName name="v_72_XHAO_L_P">Model!$BQ$225</definedName>
    <definedName name="v_72_XHAO_L_P_old">Model!$BS$225</definedName>
    <definedName name="v_72_XHAO_old">Model!$BO$225</definedName>
    <definedName name="v_72_XHFO_H">Model!$BF$225</definedName>
    <definedName name="v_72_XHFO_H_P">Model!$BI$225</definedName>
    <definedName name="v_72_XHFO_H_P_old">Model!$BK$225</definedName>
    <definedName name="v_72_XHFO_L">Model!$BG$225</definedName>
    <definedName name="v_72_XHFO_L_P">Model!$BJ$225</definedName>
    <definedName name="v_72_XHFO_L_P_old">Model!$BL$225</definedName>
    <definedName name="v_72_XHFO_old">Model!$BH$225</definedName>
    <definedName name="v_72_XHMETO">Model!$Y$225</definedName>
    <definedName name="v_72_XHSRO">Model!$AA$225</definedName>
    <definedName name="v_72_XINORG">Model!$AV$225</definedName>
    <definedName name="v_72_XMEOLO">Model!$T$225</definedName>
    <definedName name="v_72_XN_B">Model!$AI$225</definedName>
    <definedName name="v_72_XN_Be">Model!$AJ$225</definedName>
    <definedName name="v_72_XN_U">Model!$AK$225</definedName>
    <definedName name="v_72_XNOB">Model!$V$225</definedName>
    <definedName name="v_72_XOHO">Model!$R$225</definedName>
    <definedName name="v_72_XP_B">Model!$AO$225</definedName>
    <definedName name="v_72_XP_Be">Model!$AP$225</definedName>
    <definedName name="v_72_XP_U">Model!$AQ$225</definedName>
    <definedName name="v_72_XPFOA">Model!$CA$225</definedName>
    <definedName name="v_72_XPFOS">Model!$CC$225</definedName>
    <definedName name="v_72_XPHA_GAO">Model!$O$225</definedName>
    <definedName name="v_72_XPHA_PAO">Model!$N$225</definedName>
    <definedName name="v_72_XPP">Model!$AM$225</definedName>
    <definedName name="v_72_XS">Model!$BD$225</definedName>
    <definedName name="v_72_XSOO">Model!$AB$225</definedName>
    <definedName name="v_72_XSTR">Model!$BW$225</definedName>
    <definedName name="v_72_XU">Model!$M$225</definedName>
    <definedName name="v_72_XVivi">Model!$BX$225</definedName>
    <definedName name="v_73_CB">Model!$H$226</definedName>
    <definedName name="v_73_CU">Model!$L$226</definedName>
    <definedName name="v_73_GCH4">Model!$CH$226</definedName>
    <definedName name="v_73_GCH4_atm">Model!$CO$226</definedName>
    <definedName name="v_73_GCO2">Model!$CG$226</definedName>
    <definedName name="v_73_GCO2_atm">Model!$CN$226</definedName>
    <definedName name="v_73_GH2">Model!$CI$226</definedName>
    <definedName name="v_73_GH2_atm">Model!$CP$226</definedName>
    <definedName name="v_73_GH2S">Model!$CM$226</definedName>
    <definedName name="v_73_GH2S_atm">Model!$CT$226</definedName>
    <definedName name="v_73_GN2">Model!$CL$226</definedName>
    <definedName name="v_73_GN2_atm">Model!$CS$226</definedName>
    <definedName name="v_73_GNH3">Model!$CK$226</definedName>
    <definedName name="v_73_GNH3_atm">Model!$CR$226</definedName>
    <definedName name="v_73_GO2">Model!$CJ$226</definedName>
    <definedName name="v_73_GO2_atm">Model!$CQ$226</definedName>
    <definedName name="v_73_SALPHA">Model!$CE$226</definedName>
    <definedName name="v_73_SAN">Model!$AX$226</definedName>
    <definedName name="v_73_SB">Model!$F$226</definedName>
    <definedName name="v_73_SCa">Model!$AY$226</definedName>
    <definedName name="v_73_SCAT">Model!$AW$226</definedName>
    <definedName name="v_73_SCH4">Model!$AS$226</definedName>
    <definedName name="v_73_SCO2">Model!$AU$226</definedName>
    <definedName name="v_73_SFe2">Model!$BE$226</definedName>
    <definedName name="v_73_SH">Model!$CD$226</definedName>
    <definedName name="v_73_SH2">Model!$AT$226</definedName>
    <definedName name="v_73_SH2S">Model!$BB$226</definedName>
    <definedName name="v_73_SK">Model!$BA$226</definedName>
    <definedName name="v_73_SMEOL">Model!$G$226</definedName>
    <definedName name="v_73_SMg">Model!$AZ$226</definedName>
    <definedName name="v_73_SMM_index">Model!$CU$226</definedName>
    <definedName name="v_73_SN_B">Model!$AH$226</definedName>
    <definedName name="v_73_SN2">Model!$AG$226</definedName>
    <definedName name="v_73_SNHx">Model!$AD$226</definedName>
    <definedName name="v_73_SNO2">Model!$AE$226</definedName>
    <definedName name="v_73_SNO3">Model!$AF$226</definedName>
    <definedName name="v_73_SO2">Model!$AR$226</definedName>
    <definedName name="v_73_SORPswitch">Model!$CF$226</definedName>
    <definedName name="v_73_SP_B">Model!$AN$226</definedName>
    <definedName name="v_73_SPFOA">Model!$BZ$226</definedName>
    <definedName name="v_73_SPFOS">Model!$CB$226</definedName>
    <definedName name="v_73_SPO4">Model!$AL$226</definedName>
    <definedName name="v_73_SSO4">Model!$BC$226</definedName>
    <definedName name="v_73_SU">Model!$K$226</definedName>
    <definedName name="v_73_SVFA">Model!$E$226</definedName>
    <definedName name="v_73_XACP">Model!$BU$226</definedName>
    <definedName name="v_73_XALGAE">Model!$AC$226</definedName>
    <definedName name="v_73_XAMETO">Model!$X$226</definedName>
    <definedName name="v_73_XAMX">Model!$W$226</definedName>
    <definedName name="v_73_XAOB">Model!$U$226</definedName>
    <definedName name="v_73_XASRO">Model!$Z$226</definedName>
    <definedName name="v_73_XB">Model!$I$226</definedName>
    <definedName name="v_73_XB_e">Model!$J$226</definedName>
    <definedName name="v_73_XBSH">Model!$BV$226</definedName>
    <definedName name="v_73_XCaCO3">Model!$BT$226</definedName>
    <definedName name="v_73_XCASTO">Model!$S$226</definedName>
    <definedName name="v_73_XE">Model!$P$226</definedName>
    <definedName name="v_73_XE_ana">Model!$Q$226</definedName>
    <definedName name="v_73_XFeS">Model!$BY$226</definedName>
    <definedName name="v_73_XHAO_H">Model!$BM$226</definedName>
    <definedName name="v_73_XHAO_H_P">Model!$BP$226</definedName>
    <definedName name="v_73_XHAO_H_P_old">Model!$BR$226</definedName>
    <definedName name="v_73_XHAO_L">Model!$BN$226</definedName>
    <definedName name="v_73_XHAO_L_P">Model!$BQ$226</definedName>
    <definedName name="v_73_XHAO_L_P_old">Model!$BS$226</definedName>
    <definedName name="v_73_XHAO_old">Model!$BO$226</definedName>
    <definedName name="v_73_XHFO_H">Model!$BF$226</definedName>
    <definedName name="v_73_XHFO_H_P">Model!$BI$226</definedName>
    <definedName name="v_73_XHFO_H_P_old">Model!$BK$226</definedName>
    <definedName name="v_73_XHFO_L">Model!$BG$226</definedName>
    <definedName name="v_73_XHFO_L_P">Model!$BJ$226</definedName>
    <definedName name="v_73_XHFO_L_P_old">Model!$BL$226</definedName>
    <definedName name="v_73_XHFO_old">Model!$BH$226</definedName>
    <definedName name="v_73_XHMETO">Model!$Y$226</definedName>
    <definedName name="v_73_XHSRO">Model!$AA$226</definedName>
    <definedName name="v_73_XINORG">Model!$AV$226</definedName>
    <definedName name="v_73_XMEOLO">Model!$T$226</definedName>
    <definedName name="v_73_XN_B">Model!$AI$226</definedName>
    <definedName name="v_73_XN_Be">Model!$AJ$226</definedName>
    <definedName name="v_73_XN_U">Model!$AK$226</definedName>
    <definedName name="v_73_XNOB">Model!$V$226</definedName>
    <definedName name="v_73_XOHO">Model!$R$226</definedName>
    <definedName name="v_73_XP_B">Model!$AO$226</definedName>
    <definedName name="v_73_XP_Be">Model!$AP$226</definedName>
    <definedName name="v_73_XP_U">Model!$AQ$226</definedName>
    <definedName name="v_73_XPFOA">Model!$CA$226</definedName>
    <definedName name="v_73_XPFOS">Model!$CC$226</definedName>
    <definedName name="v_73_XPHA_GAO">Model!$O$226</definedName>
    <definedName name="v_73_XPHA_PAO">Model!$N$226</definedName>
    <definedName name="v_73_XPP">Model!$AM$226</definedName>
    <definedName name="v_73_XS">Model!$BD$226</definedName>
    <definedName name="v_73_XSOO">Model!$AB$226</definedName>
    <definedName name="v_73_XSTR">Model!$BW$226</definedName>
    <definedName name="v_73_XU">Model!$M$226</definedName>
    <definedName name="v_73_XVivi">Model!$BX$226</definedName>
    <definedName name="v_74_CB">Model!$H$227</definedName>
    <definedName name="v_74_CU">Model!$L$227</definedName>
    <definedName name="v_74_GCH4">Model!$CH$227</definedName>
    <definedName name="v_74_GCH4_atm">Model!$CO$227</definedName>
    <definedName name="v_74_GCO2">Model!$CG$227</definedName>
    <definedName name="v_74_GCO2_atm">Model!$CN$227</definedName>
    <definedName name="v_74_GH2">Model!$CI$227</definedName>
    <definedName name="v_74_GH2_atm">Model!$CP$227</definedName>
    <definedName name="v_74_GH2S">Model!$CM$227</definedName>
    <definedName name="v_74_GH2S_atm">Model!$CT$227</definedName>
    <definedName name="v_74_GN2">Model!$CL$227</definedName>
    <definedName name="v_74_GN2_atm">Model!$CS$227</definedName>
    <definedName name="v_74_GNH3">Model!$CK$227</definedName>
    <definedName name="v_74_GNH3_atm">Model!$CR$227</definedName>
    <definedName name="v_74_GO2">Model!$CJ$227</definedName>
    <definedName name="v_74_GO2_atm">Model!$CQ$227</definedName>
    <definedName name="v_74_SALPHA">Model!$CE$227</definedName>
    <definedName name="v_74_SAN">Model!$AX$227</definedName>
    <definedName name="v_74_SB">Model!$F$227</definedName>
    <definedName name="v_74_SCa">Model!$AY$227</definedName>
    <definedName name="v_74_SCAT">Model!$AW$227</definedName>
    <definedName name="v_74_SCH4">Model!$AS$227</definedName>
    <definedName name="v_74_SCO2">Model!$AU$227</definedName>
    <definedName name="v_74_SFe2">Model!$BE$227</definedName>
    <definedName name="v_74_SH">Model!$CD$227</definedName>
    <definedName name="v_74_SH2">Model!$AT$227</definedName>
    <definedName name="v_74_SH2S">Model!$BB$227</definedName>
    <definedName name="v_74_SK">Model!$BA$227</definedName>
    <definedName name="v_74_SMEOL">Model!$G$227</definedName>
    <definedName name="v_74_SMg">Model!$AZ$227</definedName>
    <definedName name="v_74_SMM_index">Model!$CU$227</definedName>
    <definedName name="v_74_SN_B">Model!$AH$227</definedName>
    <definedName name="v_74_SN2">Model!$AG$227</definedName>
    <definedName name="v_74_SNHx">Model!$AD$227</definedName>
    <definedName name="v_74_SNO2">Model!$AE$227</definedName>
    <definedName name="v_74_SNO3">Model!$AF$227</definedName>
    <definedName name="v_74_SO2">Model!$AR$227</definedName>
    <definedName name="v_74_SORPswitch">Model!$CF$227</definedName>
    <definedName name="v_74_SP_B">Model!$AN$227</definedName>
    <definedName name="v_74_SPFOA">Model!$BZ$227</definedName>
    <definedName name="v_74_SPFOS">Model!$CB$227</definedName>
    <definedName name="v_74_SPO4">Model!$AL$227</definedName>
    <definedName name="v_74_SSO4">Model!$BC$227</definedName>
    <definedName name="v_74_SU">Model!$K$227</definedName>
    <definedName name="v_74_SVFA">Model!$E$227</definedName>
    <definedName name="v_74_XACP">Model!$BU$227</definedName>
    <definedName name="v_74_XALGAE">Model!$AC$227</definedName>
    <definedName name="v_74_XAMETO">Model!$X$227</definedName>
    <definedName name="v_74_XAMX">Model!$W$227</definedName>
    <definedName name="v_74_XAOB">Model!$U$227</definedName>
    <definedName name="v_74_XASRO">Model!$Z$227</definedName>
    <definedName name="v_74_XB">Model!$I$227</definedName>
    <definedName name="v_74_XB_e">Model!$J$227</definedName>
    <definedName name="v_74_XBSH">Model!$BV$227</definedName>
    <definedName name="v_74_XCaCO3">Model!$BT$227</definedName>
    <definedName name="v_74_XCASTO">Model!$S$227</definedName>
    <definedName name="v_74_XE">Model!$P$227</definedName>
    <definedName name="v_74_XE_ana">Model!$Q$227</definedName>
    <definedName name="v_74_XFeS">Model!$BY$227</definedName>
    <definedName name="v_74_XHAO_H">Model!$BM$227</definedName>
    <definedName name="v_74_XHAO_H_P">Model!$BP$227</definedName>
    <definedName name="v_74_XHAO_H_P_old">Model!$BR$227</definedName>
    <definedName name="v_74_XHAO_L">Model!$BN$227</definedName>
    <definedName name="v_74_XHAO_L_P">Model!$BQ$227</definedName>
    <definedName name="v_74_XHAO_L_P_old">Model!$BS$227</definedName>
    <definedName name="v_74_XHAO_old">Model!$BO$227</definedName>
    <definedName name="v_74_XHFO_H">Model!$BF$227</definedName>
    <definedName name="v_74_XHFO_H_P">Model!$BI$227</definedName>
    <definedName name="v_74_XHFO_H_P_old">Model!$BK$227</definedName>
    <definedName name="v_74_XHFO_L">Model!$BG$227</definedName>
    <definedName name="v_74_XHFO_L_P">Model!$BJ$227</definedName>
    <definedName name="v_74_XHFO_L_P_old">Model!$BL$227</definedName>
    <definedName name="v_74_XHFO_old">Model!$BH$227</definedName>
    <definedName name="v_74_XHMETO">Model!$Y$227</definedName>
    <definedName name="v_74_XHSRO">Model!$AA$227</definedName>
    <definedName name="v_74_XINORG">Model!$AV$227</definedName>
    <definedName name="v_74_XMEOLO">Model!$T$227</definedName>
    <definedName name="v_74_XN_B">Model!$AI$227</definedName>
    <definedName name="v_74_XN_Be">Model!$AJ$227</definedName>
    <definedName name="v_74_XN_U">Model!$AK$227</definedName>
    <definedName name="v_74_XNOB">Model!$V$227</definedName>
    <definedName name="v_74_XOHO">Model!$R$227</definedName>
    <definedName name="v_74_XP_B">Model!$AO$227</definedName>
    <definedName name="v_74_XP_Be">Model!$AP$227</definedName>
    <definedName name="v_74_XP_U">Model!$AQ$227</definedName>
    <definedName name="v_74_XPFOA">Model!$CA$227</definedName>
    <definedName name="v_74_XPFOS">Model!$CC$227</definedName>
    <definedName name="v_74_XPHA_GAO">Model!$O$227</definedName>
    <definedName name="v_74_XPHA_PAO">Model!$N$227</definedName>
    <definedName name="v_74_XPP">Model!$AM$227</definedName>
    <definedName name="v_74_XS">Model!$BD$227</definedName>
    <definedName name="v_74_XSOO">Model!$AB$227</definedName>
    <definedName name="v_74_XSTR">Model!$BW$227</definedName>
    <definedName name="v_74_XU">Model!$M$227</definedName>
    <definedName name="v_74_XVivi">Model!$BX$227</definedName>
    <definedName name="v_75_CB">Model!$H$228</definedName>
    <definedName name="v_75_CU">Model!$L$228</definedName>
    <definedName name="v_75_GCH4">Model!$CH$228</definedName>
    <definedName name="v_75_GCH4_atm">Model!$CO$228</definedName>
    <definedName name="v_75_GCO2">Model!$CG$228</definedName>
    <definedName name="v_75_GCO2_atm">Model!$CN$228</definedName>
    <definedName name="v_75_GH2">Model!$CI$228</definedName>
    <definedName name="v_75_GH2_atm">Model!$CP$228</definedName>
    <definedName name="v_75_GH2S">Model!$CM$228</definedName>
    <definedName name="v_75_GH2S_atm">Model!$CT$228</definedName>
    <definedName name="v_75_GN2">Model!$CL$228</definedName>
    <definedName name="v_75_GN2_atm">Model!$CS$228</definedName>
    <definedName name="v_75_GNH3">Model!$CK$228</definedName>
    <definedName name="v_75_GNH3_atm">Model!$CR$228</definedName>
    <definedName name="v_75_GO2">Model!$CJ$228</definedName>
    <definedName name="v_75_GO2_atm">Model!$CQ$228</definedName>
    <definedName name="v_75_SALPHA">Model!$CE$228</definedName>
    <definedName name="v_75_SAN">Model!$AX$228</definedName>
    <definedName name="v_75_SB">Model!$F$228</definedName>
    <definedName name="v_75_SCa">Model!$AY$228</definedName>
    <definedName name="v_75_SCAT">Model!$AW$228</definedName>
    <definedName name="v_75_SCH4">Model!$AS$228</definedName>
    <definedName name="v_75_SCO2">Model!$AU$228</definedName>
    <definedName name="v_75_SFe2">Model!$BE$228</definedName>
    <definedName name="v_75_SH">Model!$CD$228</definedName>
    <definedName name="v_75_SH2">Model!$AT$228</definedName>
    <definedName name="v_75_SH2S">Model!$BB$228</definedName>
    <definedName name="v_75_SK">Model!$BA$228</definedName>
    <definedName name="v_75_SMEOL">Model!$G$228</definedName>
    <definedName name="v_75_SMg">Model!$AZ$228</definedName>
    <definedName name="v_75_SMM_index">Model!$CU$228</definedName>
    <definedName name="v_75_SN_B">Model!$AH$228</definedName>
    <definedName name="v_75_SN2">Model!$AG$228</definedName>
    <definedName name="v_75_SNHx">Model!$AD$228</definedName>
    <definedName name="v_75_SNO2">Model!$AE$228</definedName>
    <definedName name="v_75_SNO3">Model!$AF$228</definedName>
    <definedName name="v_75_SO2">Model!$AR$228</definedName>
    <definedName name="v_75_SORPswitch">Model!$CF$228</definedName>
    <definedName name="v_75_SP_B">Model!$AN$228</definedName>
    <definedName name="v_75_SPFOA">Model!$BZ$228</definedName>
    <definedName name="v_75_SPFOS">Model!$CB$228</definedName>
    <definedName name="v_75_SPO4">Model!$AL$228</definedName>
    <definedName name="v_75_SSO4">Model!$BC$228</definedName>
    <definedName name="v_75_SU">Model!$K$228</definedName>
    <definedName name="v_75_SVFA">Model!$E$228</definedName>
    <definedName name="v_75_XACP">Model!$BU$228</definedName>
    <definedName name="v_75_XALGAE">Model!$AC$228</definedName>
    <definedName name="v_75_XAMETO">Model!$X$228</definedName>
    <definedName name="v_75_XAMX">Model!$W$228</definedName>
    <definedName name="v_75_XAOB">Model!$U$228</definedName>
    <definedName name="v_75_XASRO">Model!$Z$228</definedName>
    <definedName name="v_75_XB">Model!$I$228</definedName>
    <definedName name="v_75_XB_e">Model!$J$228</definedName>
    <definedName name="v_75_XBSH">Model!$BV$228</definedName>
    <definedName name="v_75_XCaCO3">Model!$BT$228</definedName>
    <definedName name="v_75_XCASTO">Model!$S$228</definedName>
    <definedName name="v_75_XE">Model!$P$228</definedName>
    <definedName name="v_75_XE_ana">Model!$Q$228</definedName>
    <definedName name="v_75_XFeS">Model!$BY$228</definedName>
    <definedName name="v_75_XHAO_H">Model!$BM$228</definedName>
    <definedName name="v_75_XHAO_H_P">Model!$BP$228</definedName>
    <definedName name="v_75_XHAO_H_P_old">Model!$BR$228</definedName>
    <definedName name="v_75_XHAO_L">Model!$BN$228</definedName>
    <definedName name="v_75_XHAO_L_P">Model!$BQ$228</definedName>
    <definedName name="v_75_XHAO_L_P_old">Model!$BS$228</definedName>
    <definedName name="v_75_XHAO_old">Model!$BO$228</definedName>
    <definedName name="v_75_XHFO_H">Model!$BF$228</definedName>
    <definedName name="v_75_XHFO_H_P">Model!$BI$228</definedName>
    <definedName name="v_75_XHFO_H_P_old">Model!$BK$228</definedName>
    <definedName name="v_75_XHFO_L">Model!$BG$228</definedName>
    <definedName name="v_75_XHFO_L_P">Model!$BJ$228</definedName>
    <definedName name="v_75_XHFO_L_P_old">Model!$BL$228</definedName>
    <definedName name="v_75_XHFO_old">Model!$BH$228</definedName>
    <definedName name="v_75_XHMETO">Model!$Y$228</definedName>
    <definedName name="v_75_XHSRO">Model!$AA$228</definedName>
    <definedName name="v_75_XINORG">Model!$AV$228</definedName>
    <definedName name="v_75_XMEOLO">Model!$T$228</definedName>
    <definedName name="v_75_XN_B">Model!$AI$228</definedName>
    <definedName name="v_75_XN_Be">Model!$AJ$228</definedName>
    <definedName name="v_75_XN_U">Model!$AK$228</definedName>
    <definedName name="v_75_XNOB">Model!$V$228</definedName>
    <definedName name="v_75_XOHO">Model!$R$228</definedName>
    <definedName name="v_75_XP_B">Model!$AO$228</definedName>
    <definedName name="v_75_XP_Be">Model!$AP$228</definedName>
    <definedName name="v_75_XP_U">Model!$AQ$228</definedName>
    <definedName name="v_75_XPFOA">Model!$CA$228</definedName>
    <definedName name="v_75_XPFOS">Model!$CC$228</definedName>
    <definedName name="v_75_XPHA_GAO">Model!$O$228</definedName>
    <definedName name="v_75_XPHA_PAO">Model!$N$228</definedName>
    <definedName name="v_75_XPP">Model!$AM$228</definedName>
    <definedName name="v_75_XS">Model!$BD$228</definedName>
    <definedName name="v_75_XSOO">Model!$AB$228</definedName>
    <definedName name="v_75_XSTR">Model!$BW$228</definedName>
    <definedName name="v_75_XU">Model!$M$228</definedName>
    <definedName name="v_75_XVivi">Model!$BX$228</definedName>
    <definedName name="v_76_CB">Model!$H$229</definedName>
    <definedName name="v_76_CU">Model!$L$229</definedName>
    <definedName name="v_76_GCH4">Model!$CH$229</definedName>
    <definedName name="v_76_GCH4_atm">Model!$CO$229</definedName>
    <definedName name="v_76_GCO2">Model!$CG$229</definedName>
    <definedName name="v_76_GCO2_atm">Model!$CN$229</definedName>
    <definedName name="v_76_GH2">Model!$CI$229</definedName>
    <definedName name="v_76_GH2_atm">Model!$CP$229</definedName>
    <definedName name="v_76_GH2S">Model!$CM$229</definedName>
    <definedName name="v_76_GH2S_atm">Model!$CT$229</definedName>
    <definedName name="v_76_GN2">Model!$CL$229</definedName>
    <definedName name="v_76_GN2_atm">Model!$CS$229</definedName>
    <definedName name="v_76_GNH3">Model!$CK$229</definedName>
    <definedName name="v_76_GNH3_atm">Model!$CR$229</definedName>
    <definedName name="v_76_GO2">Model!$CJ$229</definedName>
    <definedName name="v_76_GO2_atm">Model!$CQ$229</definedName>
    <definedName name="v_76_SALPHA">Model!$CE$229</definedName>
    <definedName name="v_76_SAN">Model!$AX$229</definedName>
    <definedName name="v_76_SB">Model!$F$229</definedName>
    <definedName name="v_76_SCa">Model!$AY$229</definedName>
    <definedName name="v_76_SCAT">Model!$AW$229</definedName>
    <definedName name="v_76_SCH4">Model!$AS$229</definedName>
    <definedName name="v_76_SCO2">Model!$AU$229</definedName>
    <definedName name="v_76_SFe2">Model!$BE$229</definedName>
    <definedName name="v_76_SH">Model!$CD$229</definedName>
    <definedName name="v_76_SH2">Model!$AT$229</definedName>
    <definedName name="v_76_SH2S">Model!$BB$229</definedName>
    <definedName name="v_76_SK">Model!$BA$229</definedName>
    <definedName name="v_76_SMEOL">Model!$G$229</definedName>
    <definedName name="v_76_SMg">Model!$AZ$229</definedName>
    <definedName name="v_76_SMM_index">Model!$CU$229</definedName>
    <definedName name="v_76_SN_B">Model!$AH$229</definedName>
    <definedName name="v_76_SN2">Model!$AG$229</definedName>
    <definedName name="v_76_SNHx">Model!$AD$229</definedName>
    <definedName name="v_76_SNO2">Model!$AE$229</definedName>
    <definedName name="v_76_SNO3">Model!$AF$229</definedName>
    <definedName name="v_76_SO2">Model!$AR$229</definedName>
    <definedName name="v_76_SORPswitch">Model!$CF$229</definedName>
    <definedName name="v_76_SP_B">Model!$AN$229</definedName>
    <definedName name="v_76_SPFOA">Model!$BZ$229</definedName>
    <definedName name="v_76_SPFOS">Model!$CB$229</definedName>
    <definedName name="v_76_SPO4">Model!$AL$229</definedName>
    <definedName name="v_76_SSO4">Model!$BC$229</definedName>
    <definedName name="v_76_SU">Model!$K$229</definedName>
    <definedName name="v_76_SVFA">Model!$E$229</definedName>
    <definedName name="v_76_XACP">Model!$BU$229</definedName>
    <definedName name="v_76_XALGAE">Model!$AC$229</definedName>
    <definedName name="v_76_XAMETO">Model!$X$229</definedName>
    <definedName name="v_76_XAMX">Model!$W$229</definedName>
    <definedName name="v_76_XAOB">Model!$U$229</definedName>
    <definedName name="v_76_XASRO">Model!$Z$229</definedName>
    <definedName name="v_76_XB">Model!$I$229</definedName>
    <definedName name="v_76_XB_e">Model!$J$229</definedName>
    <definedName name="v_76_XBSH">Model!$BV$229</definedName>
    <definedName name="v_76_XCaCO3">Model!$BT$229</definedName>
    <definedName name="v_76_XCASTO">Model!$S$229</definedName>
    <definedName name="v_76_XE">Model!$P$229</definedName>
    <definedName name="v_76_XE_ana">Model!$Q$229</definedName>
    <definedName name="v_76_XFeS">Model!$BY$229</definedName>
    <definedName name="v_76_XHAO_H">Model!$BM$229</definedName>
    <definedName name="v_76_XHAO_H_P">Model!$BP$229</definedName>
    <definedName name="v_76_XHAO_H_P_old">Model!$BR$229</definedName>
    <definedName name="v_76_XHAO_L">Model!$BN$229</definedName>
    <definedName name="v_76_XHAO_L_P">Model!$BQ$229</definedName>
    <definedName name="v_76_XHAO_L_P_old">Model!$BS$229</definedName>
    <definedName name="v_76_XHAO_old">Model!$BO$229</definedName>
    <definedName name="v_76_XHFO_H">Model!$BF$229</definedName>
    <definedName name="v_76_XHFO_H_P">Model!$BI$229</definedName>
    <definedName name="v_76_XHFO_H_P_old">Model!$BK$229</definedName>
    <definedName name="v_76_XHFO_L">Model!$BG$229</definedName>
    <definedName name="v_76_XHFO_L_P">Model!$BJ$229</definedName>
    <definedName name="v_76_XHFO_L_P_old">Model!$BL$229</definedName>
    <definedName name="v_76_XHFO_old">Model!$BH$229</definedName>
    <definedName name="v_76_XHMETO">Model!$Y$229</definedName>
    <definedName name="v_76_XHSRO">Model!$AA$229</definedName>
    <definedName name="v_76_XINORG">Model!$AV$229</definedName>
    <definedName name="v_76_XMEOLO">Model!$T$229</definedName>
    <definedName name="v_76_XN_B">Model!$AI$229</definedName>
    <definedName name="v_76_XN_Be">Model!$AJ$229</definedName>
    <definedName name="v_76_XN_U">Model!$AK$229</definedName>
    <definedName name="v_76_XNOB">Model!$V$229</definedName>
    <definedName name="v_76_XOHO">Model!$R$229</definedName>
    <definedName name="v_76_XP_B">Model!$AO$229</definedName>
    <definedName name="v_76_XP_Be">Model!$AP$229</definedName>
    <definedName name="v_76_XP_U">Model!$AQ$229</definedName>
    <definedName name="v_76_XPFOA">Model!$CA$229</definedName>
    <definedName name="v_76_XPFOS">Model!$CC$229</definedName>
    <definedName name="v_76_XPHA_GAO">Model!$O$229</definedName>
    <definedName name="v_76_XPHA_PAO">Model!$N$229</definedName>
    <definedName name="v_76_XPP">Model!$AM$229</definedName>
    <definedName name="v_76_XS">Model!$BD$229</definedName>
    <definedName name="v_76_XSOO">Model!$AB$229</definedName>
    <definedName name="v_76_XSTR">Model!$BW$229</definedName>
    <definedName name="v_76_XU">Model!$M$229</definedName>
    <definedName name="v_76_XVivi">Model!$BX$229</definedName>
    <definedName name="v_77_CB">Model!$H$230</definedName>
    <definedName name="v_77_CU">Model!$L$230</definedName>
    <definedName name="v_77_GCH4">Model!$CH$230</definedName>
    <definedName name="v_77_GCH4_atm">Model!$CO$230</definedName>
    <definedName name="v_77_GCO2">Model!$CG$230</definedName>
    <definedName name="v_77_GCO2_atm">Model!$CN$230</definedName>
    <definedName name="v_77_GH2">Model!$CI$230</definedName>
    <definedName name="v_77_GH2_atm">Model!$CP$230</definedName>
    <definedName name="v_77_GH2S">Model!$CM$230</definedName>
    <definedName name="v_77_GH2S_atm">Model!$CT$230</definedName>
    <definedName name="v_77_GN2">Model!$CL$230</definedName>
    <definedName name="v_77_GN2_atm">Model!$CS$230</definedName>
    <definedName name="v_77_GNH3">Model!$CK$230</definedName>
    <definedName name="v_77_GNH3_atm">Model!$CR$230</definedName>
    <definedName name="v_77_GO2">Model!$CJ$230</definedName>
    <definedName name="v_77_GO2_atm">Model!$CQ$230</definedName>
    <definedName name="v_77_SALPHA">Model!$CE$230</definedName>
    <definedName name="v_77_SAN">Model!$AX$230</definedName>
    <definedName name="v_77_SB">Model!$F$230</definedName>
    <definedName name="v_77_SCa">Model!$AY$230</definedName>
    <definedName name="v_77_SCAT">Model!$AW$230</definedName>
    <definedName name="v_77_SCH4">Model!$AS$230</definedName>
    <definedName name="v_77_SCO2">Model!$AU$230</definedName>
    <definedName name="v_77_SFe2">Model!$BE$230</definedName>
    <definedName name="v_77_SH">Model!$CD$230</definedName>
    <definedName name="v_77_SH2">Model!$AT$230</definedName>
    <definedName name="v_77_SH2S">Model!$BB$230</definedName>
    <definedName name="v_77_SK">Model!$BA$230</definedName>
    <definedName name="v_77_SMEOL">Model!$G$230</definedName>
    <definedName name="v_77_SMg">Model!$AZ$230</definedName>
    <definedName name="v_77_SMM_index">Model!$CU$230</definedName>
    <definedName name="v_77_SN_B">Model!$AH$230</definedName>
    <definedName name="v_77_SN2">Model!$AG$230</definedName>
    <definedName name="v_77_SNHx">Model!$AD$230</definedName>
    <definedName name="v_77_SNO2">Model!$AE$230</definedName>
    <definedName name="v_77_SNO3">Model!$AF$230</definedName>
    <definedName name="v_77_SO2">Model!$AR$230</definedName>
    <definedName name="v_77_SORPswitch">Model!$CF$230</definedName>
    <definedName name="v_77_SP_B">Model!$AN$230</definedName>
    <definedName name="v_77_SPFOA">Model!$BZ$230</definedName>
    <definedName name="v_77_SPFOS">Model!$CB$230</definedName>
    <definedName name="v_77_SPO4">Model!$AL$230</definedName>
    <definedName name="v_77_SSO4">Model!$BC$230</definedName>
    <definedName name="v_77_SU">Model!$K$230</definedName>
    <definedName name="v_77_SVFA">Model!$E$230</definedName>
    <definedName name="v_77_XACP">Model!$BU$230</definedName>
    <definedName name="v_77_XALGAE">Model!$AC$230</definedName>
    <definedName name="v_77_XAMETO">Model!$X$230</definedName>
    <definedName name="v_77_XAMX">Model!$W$230</definedName>
    <definedName name="v_77_XAOB">Model!$U$230</definedName>
    <definedName name="v_77_XASRO">Model!$Z$230</definedName>
    <definedName name="v_77_XB">Model!$I$230</definedName>
    <definedName name="v_77_XB_e">Model!$J$230</definedName>
    <definedName name="v_77_XBSH">Model!$BV$230</definedName>
    <definedName name="v_77_XCaCO3">Model!$BT$230</definedName>
    <definedName name="v_77_XCASTO">Model!$S$230</definedName>
    <definedName name="v_77_XE">Model!$P$230</definedName>
    <definedName name="v_77_XE_ana">Model!$Q$230</definedName>
    <definedName name="v_77_XFeS">Model!$BY$230</definedName>
    <definedName name="v_77_XHAO_H">Model!$BM$230</definedName>
    <definedName name="v_77_XHAO_H_P">Model!$BP$230</definedName>
    <definedName name="v_77_XHAO_H_P_old">Model!$BR$230</definedName>
    <definedName name="v_77_XHAO_L">Model!$BN$230</definedName>
    <definedName name="v_77_XHAO_L_P">Model!$BQ$230</definedName>
    <definedName name="v_77_XHAO_L_P_old">Model!$BS$230</definedName>
    <definedName name="v_77_XHAO_old">Model!$BO$230</definedName>
    <definedName name="v_77_XHFO_H">Model!$BF$230</definedName>
    <definedName name="v_77_XHFO_H_P">Model!$BI$230</definedName>
    <definedName name="v_77_XHFO_H_P_old">Model!$BK$230</definedName>
    <definedName name="v_77_XHFO_L">Model!$BG$230</definedName>
    <definedName name="v_77_XHFO_L_P">Model!$BJ$230</definedName>
    <definedName name="v_77_XHFO_L_P_old">Model!$BL$230</definedName>
    <definedName name="v_77_XHFO_old">Model!$BH$230</definedName>
    <definedName name="v_77_XHMETO">Model!$Y$230</definedName>
    <definedName name="v_77_XHSRO">Model!$AA$230</definedName>
    <definedName name="v_77_XINORG">Model!$AV$230</definedName>
    <definedName name="v_77_XMEOLO">Model!$T$230</definedName>
    <definedName name="v_77_XN_B">Model!$AI$230</definedName>
    <definedName name="v_77_XN_Be">Model!$AJ$230</definedName>
    <definedName name="v_77_XN_U">Model!$AK$230</definedName>
    <definedName name="v_77_XNOB">Model!$V$230</definedName>
    <definedName name="v_77_XOHO">Model!$R$230</definedName>
    <definedName name="v_77_XP_B">Model!$AO$230</definedName>
    <definedName name="v_77_XP_Be">Model!$AP$230</definedName>
    <definedName name="v_77_XP_U">Model!$AQ$230</definedName>
    <definedName name="v_77_XPFOA">Model!$CA$230</definedName>
    <definedName name="v_77_XPFOS">Model!$CC$230</definedName>
    <definedName name="v_77_XPHA_GAO">Model!$O$230</definedName>
    <definedName name="v_77_XPHA_PAO">Model!$N$230</definedName>
    <definedName name="v_77_XPP">Model!$AM$230</definedName>
    <definedName name="v_77_XS">Model!$BD$230</definedName>
    <definedName name="v_77_XSOO">Model!$AB$230</definedName>
    <definedName name="v_77_XSTR">Model!$BW$230</definedName>
    <definedName name="v_77_XU">Model!$M$230</definedName>
    <definedName name="v_77_XVivi">Model!$BX$230</definedName>
    <definedName name="v_78_CB">Model!$H$231</definedName>
    <definedName name="v_78_CU">Model!$L$231</definedName>
    <definedName name="v_78_GCH4">Model!$CH$231</definedName>
    <definedName name="v_78_GCH4_atm">Model!$CO$231</definedName>
    <definedName name="v_78_GCO2">Model!$CG$231</definedName>
    <definedName name="v_78_GCO2_atm">Model!$CN$231</definedName>
    <definedName name="v_78_GH2">Model!$CI$231</definedName>
    <definedName name="v_78_GH2_atm">Model!$CP$231</definedName>
    <definedName name="v_78_GH2S">Model!$CM$231</definedName>
    <definedName name="v_78_GH2S_atm">Model!$CT$231</definedName>
    <definedName name="v_78_GN2">Model!$CL$231</definedName>
    <definedName name="v_78_GN2_atm">Model!$CS$231</definedName>
    <definedName name="v_78_GNH3">Model!$CK$231</definedName>
    <definedName name="v_78_GNH3_atm">Model!$CR$231</definedName>
    <definedName name="v_78_GO2">Model!$CJ$231</definedName>
    <definedName name="v_78_GO2_atm">Model!$CQ$231</definedName>
    <definedName name="v_78_SALPHA">Model!$CE$231</definedName>
    <definedName name="v_78_SAN">Model!$AX$231</definedName>
    <definedName name="v_78_SB">Model!$F$231</definedName>
    <definedName name="v_78_SCa">Model!$AY$231</definedName>
    <definedName name="v_78_SCAT">Model!$AW$231</definedName>
    <definedName name="v_78_SCH4">Model!$AS$231</definedName>
    <definedName name="v_78_SCO2">Model!$AU$231</definedName>
    <definedName name="v_78_SFe2">Model!$BE$231</definedName>
    <definedName name="v_78_SH">Model!$CD$231</definedName>
    <definedName name="v_78_SH2">Model!$AT$231</definedName>
    <definedName name="v_78_SH2S">Model!$BB$231</definedName>
    <definedName name="v_78_SK">Model!$BA$231</definedName>
    <definedName name="v_78_SMEOL">Model!$G$231</definedName>
    <definedName name="v_78_SMg">Model!$AZ$231</definedName>
    <definedName name="v_78_SMM_index">Model!$CU$231</definedName>
    <definedName name="v_78_SN_B">Model!$AH$231</definedName>
    <definedName name="v_78_SN2">Model!$AG$231</definedName>
    <definedName name="v_78_SNHx">Model!$AD$231</definedName>
    <definedName name="v_78_SNO2">Model!$AE$231</definedName>
    <definedName name="v_78_SNO3">Model!$AF$231</definedName>
    <definedName name="v_78_SO2">Model!$AR$231</definedName>
    <definedName name="v_78_SORPswitch">Model!$CF$231</definedName>
    <definedName name="v_78_SP_B">Model!$AN$231</definedName>
    <definedName name="v_78_SPFOA">Model!$BZ$231</definedName>
    <definedName name="v_78_SPFOS">Model!$CB$231</definedName>
    <definedName name="v_78_SPO4">Model!$AL$231</definedName>
    <definedName name="v_78_SSO4">Model!$BC$231</definedName>
    <definedName name="v_78_SU">Model!$K$231</definedName>
    <definedName name="v_78_SVFA">Model!$E$231</definedName>
    <definedName name="v_78_XACP">Model!$BU$231</definedName>
    <definedName name="v_78_XALGAE">Model!$AC$231</definedName>
    <definedName name="v_78_XAMETO">Model!$X$231</definedName>
    <definedName name="v_78_XAMX">Model!$W$231</definedName>
    <definedName name="v_78_XAOB">Model!$U$231</definedName>
    <definedName name="v_78_XASRO">Model!$Z$231</definedName>
    <definedName name="v_78_XB">Model!$I$231</definedName>
    <definedName name="v_78_XB_e">Model!$J$231</definedName>
    <definedName name="v_78_XBSH">Model!$BV$231</definedName>
    <definedName name="v_78_XCaCO3">Model!$BT$231</definedName>
    <definedName name="v_78_XCASTO">Model!$S$231</definedName>
    <definedName name="v_78_XE">Model!$P$231</definedName>
    <definedName name="v_78_XE_ana">Model!$Q$231</definedName>
    <definedName name="v_78_XFeS">Model!$BY$231</definedName>
    <definedName name="v_78_XHAO_H">Model!$BM$231</definedName>
    <definedName name="v_78_XHAO_H_P">Model!$BP$231</definedName>
    <definedName name="v_78_XHAO_H_P_old">Model!$BR$231</definedName>
    <definedName name="v_78_XHAO_L">Model!$BN$231</definedName>
    <definedName name="v_78_XHAO_L_P">Model!$BQ$231</definedName>
    <definedName name="v_78_XHAO_L_P_old">Model!$BS$231</definedName>
    <definedName name="v_78_XHAO_old">Model!$BO$231</definedName>
    <definedName name="v_78_XHFO_H">Model!$BF$231</definedName>
    <definedName name="v_78_XHFO_H_P">Model!$BI$231</definedName>
    <definedName name="v_78_XHFO_H_P_old">Model!$BK$231</definedName>
    <definedName name="v_78_XHFO_L">Model!$BG$231</definedName>
    <definedName name="v_78_XHFO_L_P">Model!$BJ$231</definedName>
    <definedName name="v_78_XHFO_L_P_old">Model!$BL$231</definedName>
    <definedName name="v_78_XHFO_old">Model!$BH$231</definedName>
    <definedName name="v_78_XHMETO">Model!$Y$231</definedName>
    <definedName name="v_78_XHSRO">Model!$AA$231</definedName>
    <definedName name="v_78_XINORG">Model!$AV$231</definedName>
    <definedName name="v_78_XMEOLO">Model!$T$231</definedName>
    <definedName name="v_78_XN_B">Model!$AI$231</definedName>
    <definedName name="v_78_XN_Be">Model!$AJ$231</definedName>
    <definedName name="v_78_XN_U">Model!$AK$231</definedName>
    <definedName name="v_78_XNOB">Model!$V$231</definedName>
    <definedName name="v_78_XOHO">Model!$R$231</definedName>
    <definedName name="v_78_XP_B">Model!$AO$231</definedName>
    <definedName name="v_78_XP_Be">Model!$AP$231</definedName>
    <definedName name="v_78_XP_U">Model!$AQ$231</definedName>
    <definedName name="v_78_XPFOA">Model!$CA$231</definedName>
    <definedName name="v_78_XPFOS">Model!$CC$231</definedName>
    <definedName name="v_78_XPHA_GAO">Model!$O$231</definedName>
    <definedName name="v_78_XPHA_PAO">Model!$N$231</definedName>
    <definedName name="v_78_XPP">Model!$AM$231</definedName>
    <definedName name="v_78_XS">Model!$BD$231</definedName>
    <definedName name="v_78_XSOO">Model!$AB$231</definedName>
    <definedName name="v_78_XSTR">Model!$BW$231</definedName>
    <definedName name="v_78_XU">Model!$M$231</definedName>
    <definedName name="v_78_XVivi">Model!$BX$231</definedName>
    <definedName name="v_79_CB">Model!$H$232</definedName>
    <definedName name="v_79_CU">Model!$L$232</definedName>
    <definedName name="v_79_GCH4">Model!$CH$232</definedName>
    <definedName name="v_79_GCH4_atm">Model!$CO$232</definedName>
    <definedName name="v_79_GCO2">Model!$CG$232</definedName>
    <definedName name="v_79_GCO2_atm">Model!$CN$232</definedName>
    <definedName name="v_79_GH2">Model!$CI$232</definedName>
    <definedName name="v_79_GH2_atm">Model!$CP$232</definedName>
    <definedName name="v_79_GH2S">Model!$CM$232</definedName>
    <definedName name="v_79_GH2S_atm">Model!$CT$232</definedName>
    <definedName name="v_79_GN2">Model!$CL$232</definedName>
    <definedName name="v_79_GN2_atm">Model!$CS$232</definedName>
    <definedName name="v_79_GNH3">Model!$CK$232</definedName>
    <definedName name="v_79_GNH3_atm">Model!$CR$232</definedName>
    <definedName name="v_79_GO2">Model!$CJ$232</definedName>
    <definedName name="v_79_GO2_atm">Model!$CQ$232</definedName>
    <definedName name="v_79_SALPHA">Model!$CE$232</definedName>
    <definedName name="v_79_SAN">Model!$AX$232</definedName>
    <definedName name="v_79_SB">Model!$F$232</definedName>
    <definedName name="v_79_SCa">Model!$AY$232</definedName>
    <definedName name="v_79_SCAT">Model!$AW$232</definedName>
    <definedName name="v_79_SCH4">Model!$AS$232</definedName>
    <definedName name="v_79_SCO2">Model!$AU$232</definedName>
    <definedName name="v_79_SFe2">Model!$BE$232</definedName>
    <definedName name="v_79_SH">Model!$CD$232</definedName>
    <definedName name="v_79_SH2">Model!$AT$232</definedName>
    <definedName name="v_79_SH2S">Model!$BB$232</definedName>
    <definedName name="v_79_SK">Model!$BA$232</definedName>
    <definedName name="v_79_SMEOL">Model!$G$232</definedName>
    <definedName name="v_79_SMg">Model!$AZ$232</definedName>
    <definedName name="v_79_SMM_index">Model!$CU$232</definedName>
    <definedName name="v_79_SN_B">Model!$AH$232</definedName>
    <definedName name="v_79_SN2">Model!$AG$232</definedName>
    <definedName name="v_79_SNHx">Model!$AD$232</definedName>
    <definedName name="v_79_SNO2">Model!$AE$232</definedName>
    <definedName name="v_79_SNO3">Model!$AF$232</definedName>
    <definedName name="v_79_SO2">Model!$AR$232</definedName>
    <definedName name="v_79_SORPswitch">Model!$CF$232</definedName>
    <definedName name="v_79_SP_B">Model!$AN$232</definedName>
    <definedName name="v_79_SPFOA">Model!$BZ$232</definedName>
    <definedName name="v_79_SPFOS">Model!$CB$232</definedName>
    <definedName name="v_79_SPO4">Model!$AL$232</definedName>
    <definedName name="v_79_SSO4">Model!$BC$232</definedName>
    <definedName name="v_79_SU">Model!$K$232</definedName>
    <definedName name="v_79_SVFA">Model!$E$232</definedName>
    <definedName name="v_79_XACP">Model!$BU$232</definedName>
    <definedName name="v_79_XALGAE">Model!$AC$232</definedName>
    <definedName name="v_79_XAMETO">Model!$X$232</definedName>
    <definedName name="v_79_XAMX">Model!$W$232</definedName>
    <definedName name="v_79_XAOB">Model!$U$232</definedName>
    <definedName name="v_79_XASRO">Model!$Z$232</definedName>
    <definedName name="v_79_XB">Model!$I$232</definedName>
    <definedName name="v_79_XB_e">Model!$J$232</definedName>
    <definedName name="v_79_XBSH">Model!$BV$232</definedName>
    <definedName name="v_79_XCaCO3">Model!$BT$232</definedName>
    <definedName name="v_79_XCASTO">Model!$S$232</definedName>
    <definedName name="v_79_XE">Model!$P$232</definedName>
    <definedName name="v_79_XE_ana">Model!$Q$232</definedName>
    <definedName name="v_79_XFeS">Model!$BY$232</definedName>
    <definedName name="v_79_XHAO_H">Model!$BM$232</definedName>
    <definedName name="v_79_XHAO_H_P">Model!$BP$232</definedName>
    <definedName name="v_79_XHAO_H_P_old">Model!$BR$232</definedName>
    <definedName name="v_79_XHAO_L">Model!$BN$232</definedName>
    <definedName name="v_79_XHAO_L_P">Model!$BQ$232</definedName>
    <definedName name="v_79_XHAO_L_P_old">Model!$BS$232</definedName>
    <definedName name="v_79_XHAO_old">Model!$BO$232</definedName>
    <definedName name="v_79_XHFO_H">Model!$BF$232</definedName>
    <definedName name="v_79_XHFO_H_P">Model!$BI$232</definedName>
    <definedName name="v_79_XHFO_H_P_old">Model!$BK$232</definedName>
    <definedName name="v_79_XHFO_L">Model!$BG$232</definedName>
    <definedName name="v_79_XHFO_L_P">Model!$BJ$232</definedName>
    <definedName name="v_79_XHFO_L_P_old">Model!$BL$232</definedName>
    <definedName name="v_79_XHFO_old">Model!$BH$232</definedName>
    <definedName name="v_79_XHMETO">Model!$Y$232</definedName>
    <definedName name="v_79_XHSRO">Model!$AA$232</definedName>
    <definedName name="v_79_XINORG">Model!$AV$232</definedName>
    <definedName name="v_79_XMEOLO">Model!$T$232</definedName>
    <definedName name="v_79_XN_B">Model!$AI$232</definedName>
    <definedName name="v_79_XN_Be">Model!$AJ$232</definedName>
    <definedName name="v_79_XN_U">Model!$AK$232</definedName>
    <definedName name="v_79_XNOB">Model!$V$232</definedName>
    <definedName name="v_79_XOHO">Model!$R$232</definedName>
    <definedName name="v_79_XP_B">Model!$AO$232</definedName>
    <definedName name="v_79_XP_Be">Model!$AP$232</definedName>
    <definedName name="v_79_XP_U">Model!$AQ$232</definedName>
    <definedName name="v_79_XPFOA">Model!$CA$232</definedName>
    <definedName name="v_79_XPFOS">Model!$CC$232</definedName>
    <definedName name="v_79_XPHA_GAO">Model!$O$232</definedName>
    <definedName name="v_79_XPHA_PAO">Model!$N$232</definedName>
    <definedName name="v_79_XPP">Model!$AM$232</definedName>
    <definedName name="v_79_XS">Model!$BD$232</definedName>
    <definedName name="v_79_XSOO">Model!$AB$232</definedName>
    <definedName name="v_79_XSTR">Model!$BW$232</definedName>
    <definedName name="v_79_XU">Model!$M$232</definedName>
    <definedName name="v_79_XVivi">Model!$BX$232</definedName>
    <definedName name="v_8_CB">Model!$H$161</definedName>
    <definedName name="v_8_CU">Model!$L$161</definedName>
    <definedName name="v_8_GCH4">Model!$CH$161</definedName>
    <definedName name="v_8_GCH4_atm">Model!$CO$161</definedName>
    <definedName name="v_8_GCO2">Model!$CG$161</definedName>
    <definedName name="v_8_GCO2_atm">Model!$CN$161</definedName>
    <definedName name="v_8_GH2">Model!$CI$161</definedName>
    <definedName name="v_8_GH2_atm">Model!$CP$161</definedName>
    <definedName name="v_8_GH2S">Model!$CM$161</definedName>
    <definedName name="v_8_GH2S_atm">Model!$CT$161</definedName>
    <definedName name="v_8_GN2">Model!$CL$161</definedName>
    <definedName name="v_8_GN2_atm">Model!$CS$161</definedName>
    <definedName name="v_8_GNH3">Model!$CK$161</definedName>
    <definedName name="v_8_GNH3_atm">Model!$CR$161</definedName>
    <definedName name="v_8_GO2">Model!$CJ$161</definedName>
    <definedName name="v_8_GO2_atm">Model!$CQ$161</definedName>
    <definedName name="v_8_SALPHA">Model!$CE$161</definedName>
    <definedName name="v_8_SAN">Model!$AX$161</definedName>
    <definedName name="v_8_SB">Model!$F$161</definedName>
    <definedName name="v_8_SCa">Model!$AY$161</definedName>
    <definedName name="v_8_SCAT">Model!$AW$161</definedName>
    <definedName name="v_8_SCH4">Model!$AS$161</definedName>
    <definedName name="v_8_SCO2">Model!$AU$161</definedName>
    <definedName name="v_8_SFe2">Model!$BE$161</definedName>
    <definedName name="v_8_SH">Model!$CD$161</definedName>
    <definedName name="v_8_SH2">Model!$AT$161</definedName>
    <definedName name="v_8_SH2S">Model!$BB$161</definedName>
    <definedName name="v_8_SK">Model!$BA$161</definedName>
    <definedName name="v_8_SMEOL">Model!$G$161</definedName>
    <definedName name="v_8_SMg">Model!$AZ$161</definedName>
    <definedName name="v_8_SMM_index">Model!$CU$161</definedName>
    <definedName name="v_8_SN_B">Model!$AH$161</definedName>
    <definedName name="v_8_SN2">Model!$AG$161</definedName>
    <definedName name="v_8_SNHx">Model!$AD$161</definedName>
    <definedName name="v_8_SNO2">Model!$AE$161</definedName>
    <definedName name="v_8_SNO3">Model!$AF$161</definedName>
    <definedName name="v_8_SO2">Model!$AR$161</definedName>
    <definedName name="v_8_SORPswitch">Model!$CF$161</definedName>
    <definedName name="v_8_SP_B">Model!$AN$161</definedName>
    <definedName name="v_8_SPFOA">Model!$BZ$161</definedName>
    <definedName name="v_8_SPFOS">Model!$CB$161</definedName>
    <definedName name="v_8_SPO4">Model!$AL$161</definedName>
    <definedName name="v_8_SSO4">Model!$BC$161</definedName>
    <definedName name="v_8_SU">Model!$K$161</definedName>
    <definedName name="v_8_SVFA">Model!$E$161</definedName>
    <definedName name="v_8_XACP">Model!$BU$161</definedName>
    <definedName name="v_8_XALGAE">Model!$AC$161</definedName>
    <definedName name="v_8_XAMETO">Model!$X$161</definedName>
    <definedName name="v_8_XAMX">Model!$W$161</definedName>
    <definedName name="v_8_XAOB">Model!$U$161</definedName>
    <definedName name="v_8_XASRO">Model!$Z$161</definedName>
    <definedName name="v_8_XB">Model!$I$161</definedName>
    <definedName name="v_8_XB_e">Model!$J$161</definedName>
    <definedName name="v_8_XBSH">Model!$BV$161</definedName>
    <definedName name="v_8_XCaCO3">Model!$BT$161</definedName>
    <definedName name="v_8_XCASTO">Model!$S$161</definedName>
    <definedName name="v_8_XE">Model!$P$161</definedName>
    <definedName name="v_8_XE_ana">Model!$Q$161</definedName>
    <definedName name="v_8_XFeS">Model!$BY$161</definedName>
    <definedName name="v_8_XHAO_H">Model!$BM$161</definedName>
    <definedName name="v_8_XHAO_H_P">Model!$BP$161</definedName>
    <definedName name="v_8_XHAO_H_P_old">Model!$BR$161</definedName>
    <definedName name="v_8_XHAO_L">Model!$BN$161</definedName>
    <definedName name="v_8_XHAO_L_P">Model!$BQ$161</definedName>
    <definedName name="v_8_XHAO_L_P_old">Model!$BS$161</definedName>
    <definedName name="v_8_XHAO_old">Model!$BO$161</definedName>
    <definedName name="v_8_XHFO_H">Model!$BF$161</definedName>
    <definedName name="v_8_XHFO_H_P">Model!$BI$161</definedName>
    <definedName name="v_8_XHFO_H_P_old">Model!$BK$161</definedName>
    <definedName name="v_8_XHFO_L">Model!$BG$161</definedName>
    <definedName name="v_8_XHFO_L_P">Model!$BJ$161</definedName>
    <definedName name="v_8_XHFO_L_P_old">Model!$BL$161</definedName>
    <definedName name="v_8_XHFO_old">Model!$BH$161</definedName>
    <definedName name="v_8_XHMETO">Model!$Y$161</definedName>
    <definedName name="v_8_XHSRO">Model!$AA$161</definedName>
    <definedName name="v_8_XINORG">Model!$AV$161</definedName>
    <definedName name="v_8_XMEOLO">Model!$T$161</definedName>
    <definedName name="v_8_XN_B">Model!$AI$161</definedName>
    <definedName name="v_8_XN_Be">Model!$AJ$161</definedName>
    <definedName name="v_8_XN_U">Model!$AK$161</definedName>
    <definedName name="v_8_XNOB">Model!$V$161</definedName>
    <definedName name="v_8_XOHO">Model!$R$161</definedName>
    <definedName name="v_8_XP_B">Model!$AO$161</definedName>
    <definedName name="v_8_XP_Be">Model!$AP$161</definedName>
    <definedName name="v_8_XP_U">Model!$AQ$161</definedName>
    <definedName name="v_8_XPFOA">Model!$CA$161</definedName>
    <definedName name="v_8_XPFOS">Model!$CC$161</definedName>
    <definedName name="v_8_XPHA_GAO">Model!$O$161</definedName>
    <definedName name="v_8_XPHA_PAO">Model!$N$161</definedName>
    <definedName name="v_8_XPP">Model!$AM$161</definedName>
    <definedName name="v_8_XS">Model!$BD$161</definedName>
    <definedName name="v_8_XSOO">Model!$AB$161</definedName>
    <definedName name="v_8_XSTR">Model!$BW$161</definedName>
    <definedName name="v_8_XU">Model!$M$161</definedName>
    <definedName name="v_8_XVivi">Model!$BX$161</definedName>
    <definedName name="v_80_CB">Model!$H$233</definedName>
    <definedName name="v_80_CU">Model!$L$233</definedName>
    <definedName name="v_80_GCH4">Model!$CH$233</definedName>
    <definedName name="v_80_GCH4_atm">Model!$CO$233</definedName>
    <definedName name="v_80_GCO2">Model!$CG$233</definedName>
    <definedName name="v_80_GCO2_atm">Model!$CN$233</definedName>
    <definedName name="v_80_GH2">Model!$CI$233</definedName>
    <definedName name="v_80_GH2_atm">Model!$CP$233</definedName>
    <definedName name="v_80_GH2S">Model!$CM$233</definedName>
    <definedName name="v_80_GH2S_atm">Model!$CT$233</definedName>
    <definedName name="v_80_GN2">Model!$CL$233</definedName>
    <definedName name="v_80_GN2_atm">Model!$CS$233</definedName>
    <definedName name="v_80_GNH3">Model!$CK$233</definedName>
    <definedName name="v_80_GNH3_atm">Model!$CR$233</definedName>
    <definedName name="v_80_GO2">Model!$CJ$233</definedName>
    <definedName name="v_80_GO2_atm">Model!$CQ$233</definedName>
    <definedName name="v_80_SALPHA">Model!$CE$233</definedName>
    <definedName name="v_80_SAN">Model!$AX$233</definedName>
    <definedName name="v_80_SB">Model!$F$233</definedName>
    <definedName name="v_80_SCa">Model!$AY$233</definedName>
    <definedName name="v_80_SCAT">Model!$AW$233</definedName>
    <definedName name="v_80_SCH4">Model!$AS$233</definedName>
    <definedName name="v_80_SCO2">Model!$AU$233</definedName>
    <definedName name="v_80_SFe2">Model!$BE$233</definedName>
    <definedName name="v_80_SH">Model!$CD$233</definedName>
    <definedName name="v_80_SH2">Model!$AT$233</definedName>
    <definedName name="v_80_SH2S">Model!$BB$233</definedName>
    <definedName name="v_80_SK">Model!$BA$233</definedName>
    <definedName name="v_80_SMEOL">Model!$G$233</definedName>
    <definedName name="v_80_SMg">Model!$AZ$233</definedName>
    <definedName name="v_80_SMM_index">Model!$CU$233</definedName>
    <definedName name="v_80_SN_B">Model!$AH$233</definedName>
    <definedName name="v_80_SN2">Model!$AG$233</definedName>
    <definedName name="v_80_SNHx">Model!$AD$233</definedName>
    <definedName name="v_80_SNO2">Model!$AE$233</definedName>
    <definedName name="v_80_SNO3">Model!$AF$233</definedName>
    <definedName name="v_80_SO2">Model!$AR$233</definedName>
    <definedName name="v_80_SORPswitch">Model!$CF$233</definedName>
    <definedName name="v_80_SP_B">Model!$AN$233</definedName>
    <definedName name="v_80_SPFOA">Model!$BZ$233</definedName>
    <definedName name="v_80_SPFOS">Model!$CB$233</definedName>
    <definedName name="v_80_SPO4">Model!$AL$233</definedName>
    <definedName name="v_80_SSO4">Model!$BC$233</definedName>
    <definedName name="v_80_SU">Model!$K$233</definedName>
    <definedName name="v_80_SVFA">Model!$E$233</definedName>
    <definedName name="v_80_XACP">Model!$BU$233</definedName>
    <definedName name="v_80_XALGAE">Model!$AC$233</definedName>
    <definedName name="v_80_XAMETO">Model!$X$233</definedName>
    <definedName name="v_80_XAMX">Model!$W$233</definedName>
    <definedName name="v_80_XAOB">Model!$U$233</definedName>
    <definedName name="v_80_XASRO">Model!$Z$233</definedName>
    <definedName name="v_80_XB">Model!$I$233</definedName>
    <definedName name="v_80_XB_e">Model!$J$233</definedName>
    <definedName name="v_80_XBSH">Model!$BV$233</definedName>
    <definedName name="v_80_XCaCO3">Model!$BT$233</definedName>
    <definedName name="v_80_XCASTO">Model!$S$233</definedName>
    <definedName name="v_80_XE">Model!$P$233</definedName>
    <definedName name="v_80_XE_ana">Model!$Q$233</definedName>
    <definedName name="v_80_XFeS">Model!$BY$233</definedName>
    <definedName name="v_80_XHAO_H">Model!$BM$233</definedName>
    <definedName name="v_80_XHAO_H_P">Model!$BP$233</definedName>
    <definedName name="v_80_XHAO_H_P_old">Model!$BR$233</definedName>
    <definedName name="v_80_XHAO_L">Model!$BN$233</definedName>
    <definedName name="v_80_XHAO_L_P">Model!$BQ$233</definedName>
    <definedName name="v_80_XHAO_L_P_old">Model!$BS$233</definedName>
    <definedName name="v_80_XHAO_old">Model!$BO$233</definedName>
    <definedName name="v_80_XHFO_H">Model!$BF$233</definedName>
    <definedName name="v_80_XHFO_H_P">Model!$BI$233</definedName>
    <definedName name="v_80_XHFO_H_P_old">Model!$BK$233</definedName>
    <definedName name="v_80_XHFO_L">Model!$BG$233</definedName>
    <definedName name="v_80_XHFO_L_P">Model!$BJ$233</definedName>
    <definedName name="v_80_XHFO_L_P_old">Model!$BL$233</definedName>
    <definedName name="v_80_XHFO_old">Model!$BH$233</definedName>
    <definedName name="v_80_XHMETO">Model!$Y$233</definedName>
    <definedName name="v_80_XHSRO">Model!$AA$233</definedName>
    <definedName name="v_80_XINORG">Model!$AV$233</definedName>
    <definedName name="v_80_XMEOLO">Model!$T$233</definedName>
    <definedName name="v_80_XN_B">Model!$AI$233</definedName>
    <definedName name="v_80_XN_Be">Model!$AJ$233</definedName>
    <definedName name="v_80_XN_U">Model!$AK$233</definedName>
    <definedName name="v_80_XNOB">Model!$V$233</definedName>
    <definedName name="v_80_XOHO">Model!$R$233</definedName>
    <definedName name="v_80_XP_B">Model!$AO$233</definedName>
    <definedName name="v_80_XP_Be">Model!$AP$233</definedName>
    <definedName name="v_80_XP_U">Model!$AQ$233</definedName>
    <definedName name="v_80_XPFOA">Model!$CA$233</definedName>
    <definedName name="v_80_XPFOS">Model!$CC$233</definedName>
    <definedName name="v_80_XPHA_GAO">Model!$O$233</definedName>
    <definedName name="v_80_XPHA_PAO">Model!$N$233</definedName>
    <definedName name="v_80_XPP">Model!$AM$233</definedName>
    <definedName name="v_80_XS">Model!$BD$233</definedName>
    <definedName name="v_80_XSOO">Model!$AB$233</definedName>
    <definedName name="v_80_XSTR">Model!$BW$233</definedName>
    <definedName name="v_80_XU">Model!$M$233</definedName>
    <definedName name="v_80_XVivi">Model!$BX$233</definedName>
    <definedName name="v_81_CB">Model!$H$234</definedName>
    <definedName name="v_81_CU">Model!$L$234</definedName>
    <definedName name="v_81_GCH4">Model!$CH$234</definedName>
    <definedName name="v_81_GCH4_atm">Model!$CO$234</definedName>
    <definedName name="v_81_GCO2">Model!$CG$234</definedName>
    <definedName name="v_81_GCO2_atm">Model!$CN$234</definedName>
    <definedName name="v_81_GH2">Model!$CI$234</definedName>
    <definedName name="v_81_GH2_atm">Model!$CP$234</definedName>
    <definedName name="v_81_GH2S">Model!$CM$234</definedName>
    <definedName name="v_81_GH2S_atm">Model!$CT$234</definedName>
    <definedName name="v_81_GN2">Model!$CL$234</definedName>
    <definedName name="v_81_GN2_atm">Model!$CS$234</definedName>
    <definedName name="v_81_GNH3">Model!$CK$234</definedName>
    <definedName name="v_81_GNH3_atm">Model!$CR$234</definedName>
    <definedName name="v_81_GO2">Model!$CJ$234</definedName>
    <definedName name="v_81_GO2_atm">Model!$CQ$234</definedName>
    <definedName name="v_81_SALPHA">Model!$CE$234</definedName>
    <definedName name="v_81_SAN">Model!$AX$234</definedName>
    <definedName name="v_81_SB">Model!$F$234</definedName>
    <definedName name="v_81_SCa">Model!$AY$234</definedName>
    <definedName name="v_81_SCAT">Model!$AW$234</definedName>
    <definedName name="v_81_SCH4">Model!$AS$234</definedName>
    <definedName name="v_81_SCO2">Model!$AU$234</definedName>
    <definedName name="v_81_SFe2">Model!$BE$234</definedName>
    <definedName name="v_81_SH">Model!$CD$234</definedName>
    <definedName name="v_81_SH2">Model!$AT$234</definedName>
    <definedName name="v_81_SH2S">Model!$BB$234</definedName>
    <definedName name="v_81_SK">Model!$BA$234</definedName>
    <definedName name="v_81_SMEOL">Model!$G$234</definedName>
    <definedName name="v_81_SMg">Model!$AZ$234</definedName>
    <definedName name="v_81_SMM_index">Model!$CU$234</definedName>
    <definedName name="v_81_SN_B">Model!$AH$234</definedName>
    <definedName name="v_81_SN2">Model!$AG$234</definedName>
    <definedName name="v_81_SNHx">Model!$AD$234</definedName>
    <definedName name="v_81_SNO2">Model!$AE$234</definedName>
    <definedName name="v_81_SNO3">Model!$AF$234</definedName>
    <definedName name="v_81_SO2">Model!$AR$234</definedName>
    <definedName name="v_81_SORPswitch">Model!$CF$234</definedName>
    <definedName name="v_81_SP_B">Model!$AN$234</definedName>
    <definedName name="v_81_SPFOA">Model!$BZ$234</definedName>
    <definedName name="v_81_SPFOS">Model!$CB$234</definedName>
    <definedName name="v_81_SPO4">Model!$AL$234</definedName>
    <definedName name="v_81_SSO4">Model!$BC$234</definedName>
    <definedName name="v_81_SU">Model!$K$234</definedName>
    <definedName name="v_81_SVFA">Model!$E$234</definedName>
    <definedName name="v_81_XACP">Model!$BU$234</definedName>
    <definedName name="v_81_XALGAE">Model!$AC$234</definedName>
    <definedName name="v_81_XAMETO">Model!$X$234</definedName>
    <definedName name="v_81_XAMX">Model!$W$234</definedName>
    <definedName name="v_81_XAOB">Model!$U$234</definedName>
    <definedName name="v_81_XASRO">Model!$Z$234</definedName>
    <definedName name="v_81_XB">Model!$I$234</definedName>
    <definedName name="v_81_XB_e">Model!$J$234</definedName>
    <definedName name="v_81_XBSH">Model!$BV$234</definedName>
    <definedName name="v_81_XCaCO3">Model!$BT$234</definedName>
    <definedName name="v_81_XCASTO">Model!$S$234</definedName>
    <definedName name="v_81_XE">Model!$P$234</definedName>
    <definedName name="v_81_XE_ana">Model!$Q$234</definedName>
    <definedName name="v_81_XFeS">Model!$BY$234</definedName>
    <definedName name="v_81_XHAO_H">Model!$BM$234</definedName>
    <definedName name="v_81_XHAO_H_P">Model!$BP$234</definedName>
    <definedName name="v_81_XHAO_H_P_old">Model!$BR$234</definedName>
    <definedName name="v_81_XHAO_L">Model!$BN$234</definedName>
    <definedName name="v_81_XHAO_L_P">Model!$BQ$234</definedName>
    <definedName name="v_81_XHAO_L_P_old">Model!$BS$234</definedName>
    <definedName name="v_81_XHAO_old">Model!$BO$234</definedName>
    <definedName name="v_81_XHFO_H">Model!$BF$234</definedName>
    <definedName name="v_81_XHFO_H_P">Model!$BI$234</definedName>
    <definedName name="v_81_XHFO_H_P_old">Model!$BK$234</definedName>
    <definedName name="v_81_XHFO_L">Model!$BG$234</definedName>
    <definedName name="v_81_XHFO_L_P">Model!$BJ$234</definedName>
    <definedName name="v_81_XHFO_L_P_old">Model!$BL$234</definedName>
    <definedName name="v_81_XHFO_old">Model!$BH$234</definedName>
    <definedName name="v_81_XHMETO">Model!$Y$234</definedName>
    <definedName name="v_81_XHSRO">Model!$AA$234</definedName>
    <definedName name="v_81_XINORG">Model!$AV$234</definedName>
    <definedName name="v_81_XMEOLO">Model!$T$234</definedName>
    <definedName name="v_81_XN_B">Model!$AI$234</definedName>
    <definedName name="v_81_XN_Be">Model!$AJ$234</definedName>
    <definedName name="v_81_XN_U">Model!$AK$234</definedName>
    <definedName name="v_81_XNOB">Model!$V$234</definedName>
    <definedName name="v_81_XOHO">Model!$R$234</definedName>
    <definedName name="v_81_XP_B">Model!$AO$234</definedName>
    <definedName name="v_81_XP_Be">Model!$AP$234</definedName>
    <definedName name="v_81_XP_U">Model!$AQ$234</definedName>
    <definedName name="v_81_XPFOA">Model!$CA$234</definedName>
    <definedName name="v_81_XPFOS">Model!$CC$234</definedName>
    <definedName name="v_81_XPHA_GAO">Model!$O$234</definedName>
    <definedName name="v_81_XPHA_PAO">Model!$N$234</definedName>
    <definedName name="v_81_XPP">Model!$AM$234</definedName>
    <definedName name="v_81_XS">Model!$BD$234</definedName>
    <definedName name="v_81_XSOO">Model!$AB$234</definedName>
    <definedName name="v_81_XSTR">Model!$BW$234</definedName>
    <definedName name="v_81_XU">Model!$M$234</definedName>
    <definedName name="v_81_XVivi">Model!$BX$234</definedName>
    <definedName name="v_82_CB">Model!$H$235</definedName>
    <definedName name="v_82_CU">Model!$L$235</definedName>
    <definedName name="v_82_GCH4">Model!$CH$235</definedName>
    <definedName name="v_82_GCH4_atm">Model!$CO$235</definedName>
    <definedName name="v_82_GCO2">Model!$CG$235</definedName>
    <definedName name="v_82_GCO2_atm">Model!$CN$235</definedName>
    <definedName name="v_82_GH2">Model!$CI$235</definedName>
    <definedName name="v_82_GH2_atm">Model!$CP$235</definedName>
    <definedName name="v_82_GH2S">Model!$CM$235</definedName>
    <definedName name="v_82_GH2S_atm">Model!$CT$235</definedName>
    <definedName name="v_82_GN2">Model!$CL$235</definedName>
    <definedName name="v_82_GN2_atm">Model!$CS$235</definedName>
    <definedName name="v_82_GNH3">Model!$CK$235</definedName>
    <definedName name="v_82_GNH3_atm">Model!$CR$235</definedName>
    <definedName name="v_82_GO2">Model!$CJ$235</definedName>
    <definedName name="v_82_GO2_atm">Model!$CQ$235</definedName>
    <definedName name="v_82_SALPHA">Model!$CE$235</definedName>
    <definedName name="v_82_SAN">Model!$AX$235</definedName>
    <definedName name="v_82_SB">Model!$F$235</definedName>
    <definedName name="v_82_SCa">Model!$AY$235</definedName>
    <definedName name="v_82_SCAT">Model!$AW$235</definedName>
    <definedName name="v_82_SCH4">Model!$AS$235</definedName>
    <definedName name="v_82_SCO2">Model!$AU$235</definedName>
    <definedName name="v_82_SFe2">Model!$BE$235</definedName>
    <definedName name="v_82_SH">Model!$CD$235</definedName>
    <definedName name="v_82_SH2">Model!$AT$235</definedName>
    <definedName name="v_82_SH2S">Model!$BB$235</definedName>
    <definedName name="v_82_SK">Model!$BA$235</definedName>
    <definedName name="v_82_SMEOL">Model!$G$235</definedName>
    <definedName name="v_82_SMg">Model!$AZ$235</definedName>
    <definedName name="v_82_SMM_index">Model!$CU$235</definedName>
    <definedName name="v_82_SN_B">Model!$AH$235</definedName>
    <definedName name="v_82_SN2">Model!$AG$235</definedName>
    <definedName name="v_82_SNHx">Model!$AD$235</definedName>
    <definedName name="v_82_SNO2">Model!$AE$235</definedName>
    <definedName name="v_82_SNO3">Model!$AF$235</definedName>
    <definedName name="v_82_SO2">Model!$AR$235</definedName>
    <definedName name="v_82_SORPswitch">Model!$CF$235</definedName>
    <definedName name="v_82_SP_B">Model!$AN$235</definedName>
    <definedName name="v_82_SPFOA">Model!$BZ$235</definedName>
    <definedName name="v_82_SPFOS">Model!$CB$235</definedName>
    <definedName name="v_82_SPO4">Model!$AL$235</definedName>
    <definedName name="v_82_SSO4">Model!$BC$235</definedName>
    <definedName name="v_82_SU">Model!$K$235</definedName>
    <definedName name="v_82_SVFA">Model!$E$235</definedName>
    <definedName name="v_82_XACP">Model!$BU$235</definedName>
    <definedName name="v_82_XALGAE">Model!$AC$235</definedName>
    <definedName name="v_82_XAMETO">Model!$X$235</definedName>
    <definedName name="v_82_XAMX">Model!$W$235</definedName>
    <definedName name="v_82_XAOB">Model!$U$235</definedName>
    <definedName name="v_82_XASRO">Model!$Z$235</definedName>
    <definedName name="v_82_XB">Model!$I$235</definedName>
    <definedName name="v_82_XB_e">Model!$J$235</definedName>
    <definedName name="v_82_XBSH">Model!$BV$235</definedName>
    <definedName name="v_82_XCaCO3">Model!$BT$235</definedName>
    <definedName name="v_82_XCASTO">Model!$S$235</definedName>
    <definedName name="v_82_XE">Model!$P$235</definedName>
    <definedName name="v_82_XE_ana">Model!$Q$235</definedName>
    <definedName name="v_82_XFeS">Model!$BY$235</definedName>
    <definedName name="v_82_XHAO_H">Model!$BM$235</definedName>
    <definedName name="v_82_XHAO_H_P">Model!$BP$235</definedName>
    <definedName name="v_82_XHAO_H_P_old">Model!$BR$235</definedName>
    <definedName name="v_82_XHAO_L">Model!$BN$235</definedName>
    <definedName name="v_82_XHAO_L_P">Model!$BQ$235</definedName>
    <definedName name="v_82_XHAO_L_P_old">Model!$BS$235</definedName>
    <definedName name="v_82_XHAO_old">Model!$BO$235</definedName>
    <definedName name="v_82_XHFO_H">Model!$BF$235</definedName>
    <definedName name="v_82_XHFO_H_P">Model!$BI$235</definedName>
    <definedName name="v_82_XHFO_H_P_old">Model!$BK$235</definedName>
    <definedName name="v_82_XHFO_L">Model!$BG$235</definedName>
    <definedName name="v_82_XHFO_L_P">Model!$BJ$235</definedName>
    <definedName name="v_82_XHFO_L_P_old">Model!$BL$235</definedName>
    <definedName name="v_82_XHFO_old">Model!$BH$235</definedName>
    <definedName name="v_82_XHMETO">Model!$Y$235</definedName>
    <definedName name="v_82_XHSRO">Model!$AA$235</definedName>
    <definedName name="v_82_XINORG">Model!$AV$235</definedName>
    <definedName name="v_82_XMEOLO">Model!$T$235</definedName>
    <definedName name="v_82_XN_B">Model!$AI$235</definedName>
    <definedName name="v_82_XN_Be">Model!$AJ$235</definedName>
    <definedName name="v_82_XN_U">Model!$AK$235</definedName>
    <definedName name="v_82_XNOB">Model!$V$235</definedName>
    <definedName name="v_82_XOHO">Model!$R$235</definedName>
    <definedName name="v_82_XP_B">Model!$AO$235</definedName>
    <definedName name="v_82_XP_Be">Model!$AP$235</definedName>
    <definedName name="v_82_XP_U">Model!$AQ$235</definedName>
    <definedName name="v_82_XPFOA">Model!$CA$235</definedName>
    <definedName name="v_82_XPFOS">Model!$CC$235</definedName>
    <definedName name="v_82_XPHA_GAO">Model!$O$235</definedName>
    <definedName name="v_82_XPHA_PAO">Model!$N$235</definedName>
    <definedName name="v_82_XPP">Model!$AM$235</definedName>
    <definedName name="v_82_XS">Model!$BD$235</definedName>
    <definedName name="v_82_XSOO">Model!$AB$235</definedName>
    <definedName name="v_82_XSTR">Model!$BW$235</definedName>
    <definedName name="v_82_XU">Model!$M$235</definedName>
    <definedName name="v_82_XVivi">Model!$BX$235</definedName>
    <definedName name="v_83_CB">Model!$H$236</definedName>
    <definedName name="v_83_CU">Model!$L$236</definedName>
    <definedName name="v_83_GCH4">Model!$CH$236</definedName>
    <definedName name="v_83_GCH4_atm">Model!$CO$236</definedName>
    <definedName name="v_83_GCO2">Model!$CG$236</definedName>
    <definedName name="v_83_GCO2_atm">Model!$CN$236</definedName>
    <definedName name="v_83_GH2">Model!$CI$236</definedName>
    <definedName name="v_83_GH2_atm">Model!$CP$236</definedName>
    <definedName name="v_83_GH2S">Model!$CM$236</definedName>
    <definedName name="v_83_GH2S_atm">Model!$CT$236</definedName>
    <definedName name="v_83_GN2">Model!$CL$236</definedName>
    <definedName name="v_83_GN2_atm">Model!$CS$236</definedName>
    <definedName name="v_83_GNH3">Model!$CK$236</definedName>
    <definedName name="v_83_GNH3_atm">Model!$CR$236</definedName>
    <definedName name="v_83_GO2">Model!$CJ$236</definedName>
    <definedName name="v_83_GO2_atm">Model!$CQ$236</definedName>
    <definedName name="v_83_SALPHA">Model!$CE$236</definedName>
    <definedName name="v_83_SAN">Model!$AX$236</definedName>
    <definedName name="v_83_SB">Model!$F$236</definedName>
    <definedName name="v_83_SCa">Model!$AY$236</definedName>
    <definedName name="v_83_SCAT">Model!$AW$236</definedName>
    <definedName name="v_83_SCH4">Model!$AS$236</definedName>
    <definedName name="v_83_SCO2">Model!$AU$236</definedName>
    <definedName name="v_83_SFe2">Model!$BE$236</definedName>
    <definedName name="v_83_SH">Model!$CD$236</definedName>
    <definedName name="v_83_SH2">Model!$AT$236</definedName>
    <definedName name="v_83_SH2S">Model!$BB$236</definedName>
    <definedName name="v_83_SK">Model!$BA$236</definedName>
    <definedName name="v_83_SMEOL">Model!$G$236</definedName>
    <definedName name="v_83_SMg">Model!$AZ$236</definedName>
    <definedName name="v_83_SMM_index">Model!$CU$236</definedName>
    <definedName name="v_83_SN_B">Model!$AH$236</definedName>
    <definedName name="v_83_SN2">Model!$AG$236</definedName>
    <definedName name="v_83_SNHx">Model!$AD$236</definedName>
    <definedName name="v_83_SNO2">Model!$AE$236</definedName>
    <definedName name="v_83_SNO3">Model!$AF$236</definedName>
    <definedName name="v_83_SO2">Model!$AR$236</definedName>
    <definedName name="v_83_SORPswitch">Model!$CF$236</definedName>
    <definedName name="v_83_SP_B">Model!$AN$236</definedName>
    <definedName name="v_83_SPFOA">Model!$BZ$236</definedName>
    <definedName name="v_83_SPFOS">Model!$CB$236</definedName>
    <definedName name="v_83_SPO4">Model!$AL$236</definedName>
    <definedName name="v_83_SSO4">Model!$BC$236</definedName>
    <definedName name="v_83_SU">Model!$K$236</definedName>
    <definedName name="v_83_SVFA">Model!$E$236</definedName>
    <definedName name="v_83_XACP">Model!$BU$236</definedName>
    <definedName name="v_83_XALGAE">Model!$AC$236</definedName>
    <definedName name="v_83_XAMETO">Model!$X$236</definedName>
    <definedName name="v_83_XAMX">Model!$W$236</definedName>
    <definedName name="v_83_XAOB">Model!$U$236</definedName>
    <definedName name="v_83_XASRO">Model!$Z$236</definedName>
    <definedName name="v_83_XB">Model!$I$236</definedName>
    <definedName name="v_83_XB_e">Model!$J$236</definedName>
    <definedName name="v_83_XBSH">Model!$BV$236</definedName>
    <definedName name="v_83_XCaCO3">Model!$BT$236</definedName>
    <definedName name="v_83_XCASTO">Model!$S$236</definedName>
    <definedName name="v_83_XE">Model!$P$236</definedName>
    <definedName name="v_83_XE_ana">Model!$Q$236</definedName>
    <definedName name="v_83_XFeS">Model!$BY$236</definedName>
    <definedName name="v_83_XHAO_H">Model!$BM$236</definedName>
    <definedName name="v_83_XHAO_H_P">Model!$BP$236</definedName>
    <definedName name="v_83_XHAO_H_P_old">Model!$BR$236</definedName>
    <definedName name="v_83_XHAO_L">Model!$BN$236</definedName>
    <definedName name="v_83_XHAO_L_P">Model!$BQ$236</definedName>
    <definedName name="v_83_XHAO_L_P_old">Model!$BS$236</definedName>
    <definedName name="v_83_XHAO_old">Model!$BO$236</definedName>
    <definedName name="v_83_XHFO_H">Model!$BF$236</definedName>
    <definedName name="v_83_XHFO_H_P">Model!$BI$236</definedName>
    <definedName name="v_83_XHFO_H_P_old">Model!$BK$236</definedName>
    <definedName name="v_83_XHFO_L">Model!$BG$236</definedName>
    <definedName name="v_83_XHFO_L_P">Model!$BJ$236</definedName>
    <definedName name="v_83_XHFO_L_P_old">Model!$BL$236</definedName>
    <definedName name="v_83_XHFO_old">Model!$BH$236</definedName>
    <definedName name="v_83_XHMETO">Model!$Y$236</definedName>
    <definedName name="v_83_XHSRO">Model!$AA$236</definedName>
    <definedName name="v_83_XINORG">Model!$AV$236</definedName>
    <definedName name="v_83_XMEOLO">Model!$T$236</definedName>
    <definedName name="v_83_XN_B">Model!$AI$236</definedName>
    <definedName name="v_83_XN_Be">Model!$AJ$236</definedName>
    <definedName name="v_83_XN_U">Model!$AK$236</definedName>
    <definedName name="v_83_XNOB">Model!$V$236</definedName>
    <definedName name="v_83_XOHO">Model!$R$236</definedName>
    <definedName name="v_83_XP_B">Model!$AO$236</definedName>
    <definedName name="v_83_XP_Be">Model!$AP$236</definedName>
    <definedName name="v_83_XP_U">Model!$AQ$236</definedName>
    <definedName name="v_83_XPFOA">Model!$CA$236</definedName>
    <definedName name="v_83_XPFOS">Model!$CC$236</definedName>
    <definedName name="v_83_XPHA_GAO">Model!$O$236</definedName>
    <definedName name="v_83_XPHA_PAO">Model!$N$236</definedName>
    <definedName name="v_83_XPP">Model!$AM$236</definedName>
    <definedName name="v_83_XS">Model!$BD$236</definedName>
    <definedName name="v_83_XSOO">Model!$AB$236</definedName>
    <definedName name="v_83_XSTR">Model!$BW$236</definedName>
    <definedName name="v_83_XU">Model!$M$236</definedName>
    <definedName name="v_83_XVivi">Model!$BX$236</definedName>
    <definedName name="v_84_CB">Model!$H$237</definedName>
    <definedName name="v_84_CU">Model!$L$237</definedName>
    <definedName name="v_84_GCH4">Model!$CH$237</definedName>
    <definedName name="v_84_GCH4_atm">Model!$CO$237</definedName>
    <definedName name="v_84_GCO2">Model!$CG$237</definedName>
    <definedName name="v_84_GCO2_atm">Model!$CN$237</definedName>
    <definedName name="v_84_GH2">Model!$CI$237</definedName>
    <definedName name="v_84_GH2_atm">Model!$CP$237</definedName>
    <definedName name="v_84_GH2S">Model!$CM$237</definedName>
    <definedName name="v_84_GH2S_atm">Model!$CT$237</definedName>
    <definedName name="v_84_GN2">Model!$CL$237</definedName>
    <definedName name="v_84_GN2_atm">Model!$CS$237</definedName>
    <definedName name="v_84_GNH3">Model!$CK$237</definedName>
    <definedName name="v_84_GNH3_atm">Model!$CR$237</definedName>
    <definedName name="v_84_GO2">Model!$CJ$237</definedName>
    <definedName name="v_84_GO2_atm">Model!$CQ$237</definedName>
    <definedName name="v_84_SALPHA">Model!$CE$237</definedName>
    <definedName name="v_84_SAN">Model!$AX$237</definedName>
    <definedName name="v_84_SB">Model!$F$237</definedName>
    <definedName name="v_84_SCa">Model!$AY$237</definedName>
    <definedName name="v_84_SCAT">Model!$AW$237</definedName>
    <definedName name="v_84_SCH4">Model!$AS$237</definedName>
    <definedName name="v_84_SCO2">Model!$AU$237</definedName>
    <definedName name="v_84_SFe2">Model!$BE$237</definedName>
    <definedName name="v_84_SH">Model!$CD$237</definedName>
    <definedName name="v_84_SH2">Model!$AT$237</definedName>
    <definedName name="v_84_SH2S">Model!$BB$237</definedName>
    <definedName name="v_84_SK">Model!$BA$237</definedName>
    <definedName name="v_84_SMEOL">Model!$G$237</definedName>
    <definedName name="v_84_SMg">Model!$AZ$237</definedName>
    <definedName name="v_84_SMM_index">Model!$CU$237</definedName>
    <definedName name="v_84_SN_B">Model!$AH$237</definedName>
    <definedName name="v_84_SN2">Model!$AG$237</definedName>
    <definedName name="v_84_SNHx">Model!$AD$237</definedName>
    <definedName name="v_84_SNO2">Model!$AE$237</definedName>
    <definedName name="v_84_SNO3">Model!$AF$237</definedName>
    <definedName name="v_84_SO2">Model!$AR$237</definedName>
    <definedName name="v_84_SORPswitch">Model!$CF$237</definedName>
    <definedName name="v_84_SP_B">Model!$AN$237</definedName>
    <definedName name="v_84_SPFOA">Model!$BZ$237</definedName>
    <definedName name="v_84_SPFOS">Model!$CB$237</definedName>
    <definedName name="v_84_SPO4">Model!$AL$237</definedName>
    <definedName name="v_84_SSO4">Model!$BC$237</definedName>
    <definedName name="v_84_SU">Model!$K$237</definedName>
    <definedName name="v_84_SVFA">Model!$E$237</definedName>
    <definedName name="v_84_XACP">Model!$BU$237</definedName>
    <definedName name="v_84_XALGAE">Model!$AC$237</definedName>
    <definedName name="v_84_XAMETO">Model!$X$237</definedName>
    <definedName name="v_84_XAMX">Model!$W$237</definedName>
    <definedName name="v_84_XAOB">Model!$U$237</definedName>
    <definedName name="v_84_XASRO">Model!$Z$237</definedName>
    <definedName name="v_84_XB">Model!$I$237</definedName>
    <definedName name="v_84_XB_e">Model!$J$237</definedName>
    <definedName name="v_84_XBSH">Model!$BV$237</definedName>
    <definedName name="v_84_XCaCO3">Model!$BT$237</definedName>
    <definedName name="v_84_XCASTO">Model!$S$237</definedName>
    <definedName name="v_84_XE">Model!$P$237</definedName>
    <definedName name="v_84_XE_ana">Model!$Q$237</definedName>
    <definedName name="v_84_XFeS">Model!$BY$237</definedName>
    <definedName name="v_84_XHAO_H">Model!$BM$237</definedName>
    <definedName name="v_84_XHAO_H_P">Model!$BP$237</definedName>
    <definedName name="v_84_XHAO_H_P_old">Model!$BR$237</definedName>
    <definedName name="v_84_XHAO_L">Model!$BN$237</definedName>
    <definedName name="v_84_XHAO_L_P">Model!$BQ$237</definedName>
    <definedName name="v_84_XHAO_L_P_old">Model!$BS$237</definedName>
    <definedName name="v_84_XHAO_old">Model!$BO$237</definedName>
    <definedName name="v_84_XHFO_H">Model!$BF$237</definedName>
    <definedName name="v_84_XHFO_H_P">Model!$BI$237</definedName>
    <definedName name="v_84_XHFO_H_P_old">Model!$BK$237</definedName>
    <definedName name="v_84_XHFO_L">Model!$BG$237</definedName>
    <definedName name="v_84_XHFO_L_P">Model!$BJ$237</definedName>
    <definedName name="v_84_XHFO_L_P_old">Model!$BL$237</definedName>
    <definedName name="v_84_XHFO_old">Model!$BH$237</definedName>
    <definedName name="v_84_XHMETO">Model!$Y$237</definedName>
    <definedName name="v_84_XHSRO">Model!$AA$237</definedName>
    <definedName name="v_84_XINORG">Model!$AV$237</definedName>
    <definedName name="v_84_XMEOLO">Model!$T$237</definedName>
    <definedName name="v_84_XN_B">Model!$AI$237</definedName>
    <definedName name="v_84_XN_Be">Model!$AJ$237</definedName>
    <definedName name="v_84_XN_U">Model!$AK$237</definedName>
    <definedName name="v_84_XNOB">Model!$V$237</definedName>
    <definedName name="v_84_XOHO">Model!$R$237</definedName>
    <definedName name="v_84_XP_B">Model!$AO$237</definedName>
    <definedName name="v_84_XP_Be">Model!$AP$237</definedName>
    <definedName name="v_84_XP_U">Model!$AQ$237</definedName>
    <definedName name="v_84_XPFOA">Model!$CA$237</definedName>
    <definedName name="v_84_XPFOS">Model!$CC$237</definedName>
    <definedName name="v_84_XPHA_GAO">Model!$O$237</definedName>
    <definedName name="v_84_XPHA_PAO">Model!$N$237</definedName>
    <definedName name="v_84_XPP">Model!$AM$237</definedName>
    <definedName name="v_84_XS">Model!$BD$237</definedName>
    <definedName name="v_84_XSOO">Model!$AB$237</definedName>
    <definedName name="v_84_XSTR">Model!$BW$237</definedName>
    <definedName name="v_84_XU">Model!$M$237</definedName>
    <definedName name="v_84_XVivi">Model!$BX$237</definedName>
    <definedName name="v_85_CB">Model!$H$238</definedName>
    <definedName name="v_85_CU">Model!$L$238</definedName>
    <definedName name="v_85_GCH4">Model!$CH$238</definedName>
    <definedName name="v_85_GCH4_atm">Model!$CO$238</definedName>
    <definedName name="v_85_GCO2">Model!$CG$238</definedName>
    <definedName name="v_85_GCO2_atm">Model!$CN$238</definedName>
    <definedName name="v_85_GH2">Model!$CI$238</definedName>
    <definedName name="v_85_GH2_atm">Model!$CP$238</definedName>
    <definedName name="v_85_GH2S">Model!$CM$238</definedName>
    <definedName name="v_85_GH2S_atm">Model!$CT$238</definedName>
    <definedName name="v_85_GN2">Model!$CL$238</definedName>
    <definedName name="v_85_GN2_atm">Model!$CS$238</definedName>
    <definedName name="v_85_GNH3">Model!$CK$238</definedName>
    <definedName name="v_85_GNH3_atm">Model!$CR$238</definedName>
    <definedName name="v_85_GO2">Model!$CJ$238</definedName>
    <definedName name="v_85_GO2_atm">Model!$CQ$238</definedName>
    <definedName name="v_85_SALPHA">Model!$CE$238</definedName>
    <definedName name="v_85_SAN">Model!$AX$238</definedName>
    <definedName name="v_85_SB">Model!$F$238</definedName>
    <definedName name="v_85_SCa">Model!$AY$238</definedName>
    <definedName name="v_85_SCAT">Model!$AW$238</definedName>
    <definedName name="v_85_SCH4">Model!$AS$238</definedName>
    <definedName name="v_85_SCO2">Model!$AU$238</definedName>
    <definedName name="v_85_SFe2">Model!$BE$238</definedName>
    <definedName name="v_85_SH">Model!$CD$238</definedName>
    <definedName name="v_85_SH2">Model!$AT$238</definedName>
    <definedName name="v_85_SH2S">Model!$BB$238</definedName>
    <definedName name="v_85_SK">Model!$BA$238</definedName>
    <definedName name="v_85_SMEOL">Model!$G$238</definedName>
    <definedName name="v_85_SMg">Model!$AZ$238</definedName>
    <definedName name="v_85_SMM_index">Model!$CU$238</definedName>
    <definedName name="v_85_SN_B">Model!$AH$238</definedName>
    <definedName name="v_85_SN2">Model!$AG$238</definedName>
    <definedName name="v_85_SNHx">Model!$AD$238</definedName>
    <definedName name="v_85_SNO2">Model!$AE$238</definedName>
    <definedName name="v_85_SNO3">Model!$AF$238</definedName>
    <definedName name="v_85_SO2">Model!$AR$238</definedName>
    <definedName name="v_85_SORPswitch">Model!$CF$238</definedName>
    <definedName name="v_85_SP_B">Model!$AN$238</definedName>
    <definedName name="v_85_SPFOA">Model!$BZ$238</definedName>
    <definedName name="v_85_SPFOS">Model!$CB$238</definedName>
    <definedName name="v_85_SPO4">Model!$AL$238</definedName>
    <definedName name="v_85_SSO4">Model!$BC$238</definedName>
    <definedName name="v_85_SU">Model!$K$238</definedName>
    <definedName name="v_85_SVFA">Model!$E$238</definedName>
    <definedName name="v_85_XACP">Model!$BU$238</definedName>
    <definedName name="v_85_XALGAE">Model!$AC$238</definedName>
    <definedName name="v_85_XAMETO">Model!$X$238</definedName>
    <definedName name="v_85_XAMX">Model!$W$238</definedName>
    <definedName name="v_85_XAOB">Model!$U$238</definedName>
    <definedName name="v_85_XASRO">Model!$Z$238</definedName>
    <definedName name="v_85_XB">Model!$I$238</definedName>
    <definedName name="v_85_XB_e">Model!$J$238</definedName>
    <definedName name="v_85_XBSH">Model!$BV$238</definedName>
    <definedName name="v_85_XCaCO3">Model!$BT$238</definedName>
    <definedName name="v_85_XCASTO">Model!$S$238</definedName>
    <definedName name="v_85_XE">Model!$P$238</definedName>
    <definedName name="v_85_XE_ana">Model!$Q$238</definedName>
    <definedName name="v_85_XFeS">Model!$BY$238</definedName>
    <definedName name="v_85_XHAO_H">Model!$BM$238</definedName>
    <definedName name="v_85_XHAO_H_P">Model!$BP$238</definedName>
    <definedName name="v_85_XHAO_H_P_old">Model!$BR$238</definedName>
    <definedName name="v_85_XHAO_L">Model!$BN$238</definedName>
    <definedName name="v_85_XHAO_L_P">Model!$BQ$238</definedName>
    <definedName name="v_85_XHAO_L_P_old">Model!$BS$238</definedName>
    <definedName name="v_85_XHAO_old">Model!$BO$238</definedName>
    <definedName name="v_85_XHFO_H">Model!$BF$238</definedName>
    <definedName name="v_85_XHFO_H_P">Model!$BI$238</definedName>
    <definedName name="v_85_XHFO_H_P_old">Model!$BK$238</definedName>
    <definedName name="v_85_XHFO_L">Model!$BG$238</definedName>
    <definedName name="v_85_XHFO_L_P">Model!$BJ$238</definedName>
    <definedName name="v_85_XHFO_L_P_old">Model!$BL$238</definedName>
    <definedName name="v_85_XHFO_old">Model!$BH$238</definedName>
    <definedName name="v_85_XHMETO">Model!$Y$238</definedName>
    <definedName name="v_85_XHSRO">Model!$AA$238</definedName>
    <definedName name="v_85_XINORG">Model!$AV$238</definedName>
    <definedName name="v_85_XMEOLO">Model!$T$238</definedName>
    <definedName name="v_85_XN_B">Model!$AI$238</definedName>
    <definedName name="v_85_XN_Be">Model!$AJ$238</definedName>
    <definedName name="v_85_XN_U">Model!$AK$238</definedName>
    <definedName name="v_85_XNOB">Model!$V$238</definedName>
    <definedName name="v_85_XOHO">Model!$R$238</definedName>
    <definedName name="v_85_XP_B">Model!$AO$238</definedName>
    <definedName name="v_85_XP_Be">Model!$AP$238</definedName>
    <definedName name="v_85_XP_U">Model!$AQ$238</definedName>
    <definedName name="v_85_XPFOA">Model!$CA$238</definedName>
    <definedName name="v_85_XPFOS">Model!$CC$238</definedName>
    <definedName name="v_85_XPHA_GAO">Model!$O$238</definedName>
    <definedName name="v_85_XPHA_PAO">Model!$N$238</definedName>
    <definedName name="v_85_XPP">Model!$AM$238</definedName>
    <definedName name="v_85_XS">Model!$BD$238</definedName>
    <definedName name="v_85_XSOO">Model!$AB$238</definedName>
    <definedName name="v_85_XSTR">Model!$BW$238</definedName>
    <definedName name="v_85_XU">Model!$M$238</definedName>
    <definedName name="v_85_XVivi">Model!$BX$238</definedName>
    <definedName name="v_86_CB">Model!$H$239</definedName>
    <definedName name="v_86_CU">Model!$L$239</definedName>
    <definedName name="v_86_GCH4">Model!$CH$239</definedName>
    <definedName name="v_86_GCH4_atm">Model!$CO$239</definedName>
    <definedName name="v_86_GCO2">Model!$CG$239</definedName>
    <definedName name="v_86_GCO2_atm">Model!$CN$239</definedName>
    <definedName name="v_86_GH2">Model!$CI$239</definedName>
    <definedName name="v_86_GH2_atm">Model!$CP$239</definedName>
    <definedName name="v_86_GH2S">Model!$CM$239</definedName>
    <definedName name="v_86_GH2S_atm">Model!$CT$239</definedName>
    <definedName name="v_86_GN2">Model!$CL$239</definedName>
    <definedName name="v_86_GN2_atm">Model!$CS$239</definedName>
    <definedName name="v_86_GNH3">Model!$CK$239</definedName>
    <definedName name="v_86_GNH3_atm">Model!$CR$239</definedName>
    <definedName name="v_86_GO2">Model!$CJ$239</definedName>
    <definedName name="v_86_GO2_atm">Model!$CQ$239</definedName>
    <definedName name="v_86_SALPHA">Model!$CE$239</definedName>
    <definedName name="v_86_SAN">Model!$AX$239</definedName>
    <definedName name="v_86_SB">Model!$F$239</definedName>
    <definedName name="v_86_SCa">Model!$AY$239</definedName>
    <definedName name="v_86_SCAT">Model!$AW$239</definedName>
    <definedName name="v_86_SCH4">Model!$AS$239</definedName>
    <definedName name="v_86_SCO2">Model!$AU$239</definedName>
    <definedName name="v_86_SFe2">Model!$BE$239</definedName>
    <definedName name="v_86_SH">Model!$CD$239</definedName>
    <definedName name="v_86_SH2">Model!$AT$239</definedName>
    <definedName name="v_86_SH2S">Model!$BB$239</definedName>
    <definedName name="v_86_SK">Model!$BA$239</definedName>
    <definedName name="v_86_SMEOL">Model!$G$239</definedName>
    <definedName name="v_86_SMg">Model!$AZ$239</definedName>
    <definedName name="v_86_SMM_index">Model!$CU$239</definedName>
    <definedName name="v_86_SN_B">Model!$AH$239</definedName>
    <definedName name="v_86_SN2">Model!$AG$239</definedName>
    <definedName name="v_86_SNHx">Model!$AD$239</definedName>
    <definedName name="v_86_SNO2">Model!$AE$239</definedName>
    <definedName name="v_86_SNO3">Model!$AF$239</definedName>
    <definedName name="v_86_SO2">Model!$AR$239</definedName>
    <definedName name="v_86_SORPswitch">Model!$CF$239</definedName>
    <definedName name="v_86_SP_B">Model!$AN$239</definedName>
    <definedName name="v_86_SPFOA">Model!$BZ$239</definedName>
    <definedName name="v_86_SPFOS">Model!$CB$239</definedName>
    <definedName name="v_86_SPO4">Model!$AL$239</definedName>
    <definedName name="v_86_SSO4">Model!$BC$239</definedName>
    <definedName name="v_86_SU">Model!$K$239</definedName>
    <definedName name="v_86_SVFA">Model!$E$239</definedName>
    <definedName name="v_86_XACP">Model!$BU$239</definedName>
    <definedName name="v_86_XALGAE">Model!$AC$239</definedName>
    <definedName name="v_86_XAMETO">Model!$X$239</definedName>
    <definedName name="v_86_XAMX">Model!$W$239</definedName>
    <definedName name="v_86_XAOB">Model!$U$239</definedName>
    <definedName name="v_86_XASRO">Model!$Z$239</definedName>
    <definedName name="v_86_XB">Model!$I$239</definedName>
    <definedName name="v_86_XB_e">Model!$J$239</definedName>
    <definedName name="v_86_XBSH">Model!$BV$239</definedName>
    <definedName name="v_86_XCaCO3">Model!$BT$239</definedName>
    <definedName name="v_86_XCASTO">Model!$S$239</definedName>
    <definedName name="v_86_XE">Model!$P$239</definedName>
    <definedName name="v_86_XE_ana">Model!$Q$239</definedName>
    <definedName name="v_86_XFeS">Model!$BY$239</definedName>
    <definedName name="v_86_XHAO_H">Model!$BM$239</definedName>
    <definedName name="v_86_XHAO_H_P">Model!$BP$239</definedName>
    <definedName name="v_86_XHAO_H_P_old">Model!$BR$239</definedName>
    <definedName name="v_86_XHAO_L">Model!$BN$239</definedName>
    <definedName name="v_86_XHAO_L_P">Model!$BQ$239</definedName>
    <definedName name="v_86_XHAO_L_P_old">Model!$BS$239</definedName>
    <definedName name="v_86_XHAO_old">Model!$BO$239</definedName>
    <definedName name="v_86_XHFO_H">Model!$BF$239</definedName>
    <definedName name="v_86_XHFO_H_P">Model!$BI$239</definedName>
    <definedName name="v_86_XHFO_H_P_old">Model!$BK$239</definedName>
    <definedName name="v_86_XHFO_L">Model!$BG$239</definedName>
    <definedName name="v_86_XHFO_L_P">Model!$BJ$239</definedName>
    <definedName name="v_86_XHFO_L_P_old">Model!$BL$239</definedName>
    <definedName name="v_86_XHFO_old">Model!$BH$239</definedName>
    <definedName name="v_86_XHMETO">Model!$Y$239</definedName>
    <definedName name="v_86_XHSRO">Model!$AA$239</definedName>
    <definedName name="v_86_XINORG">Model!$AV$239</definedName>
    <definedName name="v_86_XMEOLO">Model!$T$239</definedName>
    <definedName name="v_86_XN_B">Model!$AI$239</definedName>
    <definedName name="v_86_XN_Be">Model!$AJ$239</definedName>
    <definedName name="v_86_XN_U">Model!$AK$239</definedName>
    <definedName name="v_86_XNOB">Model!$V$239</definedName>
    <definedName name="v_86_XOHO">Model!$R$239</definedName>
    <definedName name="v_86_XP_B">Model!$AO$239</definedName>
    <definedName name="v_86_XP_Be">Model!$AP$239</definedName>
    <definedName name="v_86_XP_U">Model!$AQ$239</definedName>
    <definedName name="v_86_XPFOA">Model!$CA$239</definedName>
    <definedName name="v_86_XPFOS">Model!$CC$239</definedName>
    <definedName name="v_86_XPHA_GAO">Model!$O$239</definedName>
    <definedName name="v_86_XPHA_PAO">Model!$N$239</definedName>
    <definedName name="v_86_XPP">Model!$AM$239</definedName>
    <definedName name="v_86_XS">Model!$BD$239</definedName>
    <definedName name="v_86_XSOO">Model!$AB$239</definedName>
    <definedName name="v_86_XSTR">Model!$BW$239</definedName>
    <definedName name="v_86_XU">Model!$M$239</definedName>
    <definedName name="v_86_XVivi">Model!$BX$239</definedName>
    <definedName name="v_87_CB">Model!$H$240</definedName>
    <definedName name="v_87_CU">Model!$L$240</definedName>
    <definedName name="v_87_GCH4">Model!$CH$240</definedName>
    <definedName name="v_87_GCH4_atm">Model!$CO$240</definedName>
    <definedName name="v_87_GCO2">Model!$CG$240</definedName>
    <definedName name="v_87_GCO2_atm">Model!$CN$240</definedName>
    <definedName name="v_87_GH2">Model!$CI$240</definedName>
    <definedName name="v_87_GH2_atm">Model!$CP$240</definedName>
    <definedName name="v_87_GH2S">Model!$CM$240</definedName>
    <definedName name="v_87_GH2S_atm">Model!$CT$240</definedName>
    <definedName name="v_87_GN2">Model!$CL$240</definedName>
    <definedName name="v_87_GN2_atm">Model!$CS$240</definedName>
    <definedName name="v_87_GNH3">Model!$CK$240</definedName>
    <definedName name="v_87_GNH3_atm">Model!$CR$240</definedName>
    <definedName name="v_87_GO2">Model!$CJ$240</definedName>
    <definedName name="v_87_GO2_atm">Model!$CQ$240</definedName>
    <definedName name="v_87_SALPHA">Model!$CE$240</definedName>
    <definedName name="v_87_SAN">Model!$AX$240</definedName>
    <definedName name="v_87_SB">Model!$F$240</definedName>
    <definedName name="v_87_SCa">Model!$AY$240</definedName>
    <definedName name="v_87_SCAT">Model!$AW$240</definedName>
    <definedName name="v_87_SCH4">Model!$AS$240</definedName>
    <definedName name="v_87_SCO2">Model!$AU$240</definedName>
    <definedName name="v_87_SFe2">Model!$BE$240</definedName>
    <definedName name="v_87_SH">Model!$CD$240</definedName>
    <definedName name="v_87_SH2">Model!$AT$240</definedName>
    <definedName name="v_87_SH2S">Model!$BB$240</definedName>
    <definedName name="v_87_SK">Model!$BA$240</definedName>
    <definedName name="v_87_SMEOL">Model!$G$240</definedName>
    <definedName name="v_87_SMg">Model!$AZ$240</definedName>
    <definedName name="v_87_SMM_index">Model!$CU$240</definedName>
    <definedName name="v_87_SN_B">Model!$AH$240</definedName>
    <definedName name="v_87_SN2">Model!$AG$240</definedName>
    <definedName name="v_87_SNHx">Model!$AD$240</definedName>
    <definedName name="v_87_SNO2">Model!$AE$240</definedName>
    <definedName name="v_87_SNO3">Model!$AF$240</definedName>
    <definedName name="v_87_SO2">Model!$AR$240</definedName>
    <definedName name="v_87_SORPswitch">Model!$CF$240</definedName>
    <definedName name="v_87_SP_B">Model!$AN$240</definedName>
    <definedName name="v_87_SPFOA">Model!$BZ$240</definedName>
    <definedName name="v_87_SPFOS">Model!$CB$240</definedName>
    <definedName name="v_87_SPO4">Model!$AL$240</definedName>
    <definedName name="v_87_SSO4">Model!$BC$240</definedName>
    <definedName name="v_87_SU">Model!$K$240</definedName>
    <definedName name="v_87_SVFA">Model!$E$240</definedName>
    <definedName name="v_87_XACP">Model!$BU$240</definedName>
    <definedName name="v_87_XALGAE">Model!$AC$240</definedName>
    <definedName name="v_87_XAMETO">Model!$X$240</definedName>
    <definedName name="v_87_XAMX">Model!$W$240</definedName>
    <definedName name="v_87_XAOB">Model!$U$240</definedName>
    <definedName name="v_87_XASRO">Model!$Z$240</definedName>
    <definedName name="v_87_XB">Model!$I$240</definedName>
    <definedName name="v_87_XB_e">Model!$J$240</definedName>
    <definedName name="v_87_XBSH">Model!$BV$240</definedName>
    <definedName name="v_87_XCaCO3">Model!$BT$240</definedName>
    <definedName name="v_87_XCASTO">Model!$S$240</definedName>
    <definedName name="v_87_XE">Model!$P$240</definedName>
    <definedName name="v_87_XE_ana">Model!$Q$240</definedName>
    <definedName name="v_87_XFeS">Model!$BY$240</definedName>
    <definedName name="v_87_XHAO_H">Model!$BM$240</definedName>
    <definedName name="v_87_XHAO_H_P">Model!$BP$240</definedName>
    <definedName name="v_87_XHAO_H_P_old">Model!$BR$240</definedName>
    <definedName name="v_87_XHAO_L">Model!$BN$240</definedName>
    <definedName name="v_87_XHAO_L_P">Model!$BQ$240</definedName>
    <definedName name="v_87_XHAO_L_P_old">Model!$BS$240</definedName>
    <definedName name="v_87_XHAO_old">Model!$BO$240</definedName>
    <definedName name="v_87_XHFO_H">Model!$BF$240</definedName>
    <definedName name="v_87_XHFO_H_P">Model!$BI$240</definedName>
    <definedName name="v_87_XHFO_H_P_old">Model!$BK$240</definedName>
    <definedName name="v_87_XHFO_L">Model!$BG$240</definedName>
    <definedName name="v_87_XHFO_L_P">Model!$BJ$240</definedName>
    <definedName name="v_87_XHFO_L_P_old">Model!$BL$240</definedName>
    <definedName name="v_87_XHFO_old">Model!$BH$240</definedName>
    <definedName name="v_87_XHMETO">Model!$Y$240</definedName>
    <definedName name="v_87_XHSRO">Model!$AA$240</definedName>
    <definedName name="v_87_XINORG">Model!$AV$240</definedName>
    <definedName name="v_87_XMEOLO">Model!$T$240</definedName>
    <definedName name="v_87_XN_B">Model!$AI$240</definedName>
    <definedName name="v_87_XN_Be">Model!$AJ$240</definedName>
    <definedName name="v_87_XN_U">Model!$AK$240</definedName>
    <definedName name="v_87_XNOB">Model!$V$240</definedName>
    <definedName name="v_87_XOHO">Model!$R$240</definedName>
    <definedName name="v_87_XP_B">Model!$AO$240</definedName>
    <definedName name="v_87_XP_Be">Model!$AP$240</definedName>
    <definedName name="v_87_XP_U">Model!$AQ$240</definedName>
    <definedName name="v_87_XPFOA">Model!$CA$240</definedName>
    <definedName name="v_87_XPFOS">Model!$CC$240</definedName>
    <definedName name="v_87_XPHA_GAO">Model!$O$240</definedName>
    <definedName name="v_87_XPHA_PAO">Model!$N$240</definedName>
    <definedName name="v_87_XPP">Model!$AM$240</definedName>
    <definedName name="v_87_XS">Model!$BD$240</definedName>
    <definedName name="v_87_XSOO">Model!$AB$240</definedName>
    <definedName name="v_87_XSTR">Model!$BW$240</definedName>
    <definedName name="v_87_XU">Model!$M$240</definedName>
    <definedName name="v_87_XVivi">Model!$BX$240</definedName>
    <definedName name="v_88_CB">Model!$H$241</definedName>
    <definedName name="v_88_CU">Model!$L$241</definedName>
    <definedName name="v_88_GCH4">Model!$CH$241</definedName>
    <definedName name="v_88_GCH4_atm">Model!$CO$241</definedName>
    <definedName name="v_88_GCO2">Model!$CG$241</definedName>
    <definedName name="v_88_GCO2_atm">Model!$CN$241</definedName>
    <definedName name="v_88_GH2">Model!$CI$241</definedName>
    <definedName name="v_88_GH2_atm">Model!$CP$241</definedName>
    <definedName name="v_88_GH2S">Model!$CM$241</definedName>
    <definedName name="v_88_GH2S_atm">Model!$CT$241</definedName>
    <definedName name="v_88_GN2">Model!$CL$241</definedName>
    <definedName name="v_88_GN2_atm">Model!$CS$241</definedName>
    <definedName name="v_88_GNH3">Model!$CK$241</definedName>
    <definedName name="v_88_GNH3_atm">Model!$CR$241</definedName>
    <definedName name="v_88_GO2">Model!$CJ$241</definedName>
    <definedName name="v_88_GO2_atm">Model!$CQ$241</definedName>
    <definedName name="v_88_SALPHA">Model!$CE$241</definedName>
    <definedName name="v_88_SAN">Model!$AX$241</definedName>
    <definedName name="v_88_SB">Model!$F$241</definedName>
    <definedName name="v_88_SCa">Model!$AY$241</definedName>
    <definedName name="v_88_SCAT">Model!$AW$241</definedName>
    <definedName name="v_88_SCH4">Model!$AS$241</definedName>
    <definedName name="v_88_SCO2">Model!$AU$241</definedName>
    <definedName name="v_88_SFe2">Model!$BE$241</definedName>
    <definedName name="v_88_SH">Model!$CD$241</definedName>
    <definedName name="v_88_SH2">Model!$AT$241</definedName>
    <definedName name="v_88_SH2S">Model!$BB$241</definedName>
    <definedName name="v_88_SK">Model!$BA$241</definedName>
    <definedName name="v_88_SMEOL">Model!$G$241</definedName>
    <definedName name="v_88_SMg">Model!$AZ$241</definedName>
    <definedName name="v_88_SMM_index">Model!$CU$241</definedName>
    <definedName name="v_88_SN_B">Model!$AH$241</definedName>
    <definedName name="v_88_SN2">Model!$AG$241</definedName>
    <definedName name="v_88_SNHx">Model!$AD$241</definedName>
    <definedName name="v_88_SNO2">Model!$AE$241</definedName>
    <definedName name="v_88_SNO3">Model!$AF$241</definedName>
    <definedName name="v_88_SO2">Model!$AR$241</definedName>
    <definedName name="v_88_SORPswitch">Model!$CF$241</definedName>
    <definedName name="v_88_SP_B">Model!$AN$241</definedName>
    <definedName name="v_88_SPFOA">Model!$BZ$241</definedName>
    <definedName name="v_88_SPFOS">Model!$CB$241</definedName>
    <definedName name="v_88_SPO4">Model!$AL$241</definedName>
    <definedName name="v_88_SSO4">Model!$BC$241</definedName>
    <definedName name="v_88_SU">Model!$K$241</definedName>
    <definedName name="v_88_SVFA">Model!$E$241</definedName>
    <definedName name="v_88_XACP">Model!$BU$241</definedName>
    <definedName name="v_88_XALGAE">Model!$AC$241</definedName>
    <definedName name="v_88_XAMETO">Model!$X$241</definedName>
    <definedName name="v_88_XAMX">Model!$W$241</definedName>
    <definedName name="v_88_XAOB">Model!$U$241</definedName>
    <definedName name="v_88_XASRO">Model!$Z$241</definedName>
    <definedName name="v_88_XB">Model!$I$241</definedName>
    <definedName name="v_88_XB_e">Model!$J$241</definedName>
    <definedName name="v_88_XBSH">Model!$BV$241</definedName>
    <definedName name="v_88_XCaCO3">Model!$BT$241</definedName>
    <definedName name="v_88_XCASTO">Model!$S$241</definedName>
    <definedName name="v_88_XE">Model!$P$241</definedName>
    <definedName name="v_88_XE_ana">Model!$Q$241</definedName>
    <definedName name="v_88_XFeS">Model!$BY$241</definedName>
    <definedName name="v_88_XHAO_H">Model!$BM$241</definedName>
    <definedName name="v_88_XHAO_H_P">Model!$BP$241</definedName>
    <definedName name="v_88_XHAO_H_P_old">Model!$BR$241</definedName>
    <definedName name="v_88_XHAO_L">Model!$BN$241</definedName>
    <definedName name="v_88_XHAO_L_P">Model!$BQ$241</definedName>
    <definedName name="v_88_XHAO_L_P_old">Model!$BS$241</definedName>
    <definedName name="v_88_XHAO_old">Model!$BO$241</definedName>
    <definedName name="v_88_XHFO_H">Model!$BF$241</definedName>
    <definedName name="v_88_XHFO_H_P">Model!$BI$241</definedName>
    <definedName name="v_88_XHFO_H_P_old">Model!$BK$241</definedName>
    <definedName name="v_88_XHFO_L">Model!$BG$241</definedName>
    <definedName name="v_88_XHFO_L_P">Model!$BJ$241</definedName>
    <definedName name="v_88_XHFO_L_P_old">Model!$BL$241</definedName>
    <definedName name="v_88_XHFO_old">Model!$BH$241</definedName>
    <definedName name="v_88_XHMETO">Model!$Y$241</definedName>
    <definedName name="v_88_XHSRO">Model!$AA$241</definedName>
    <definedName name="v_88_XINORG">Model!$AV$241</definedName>
    <definedName name="v_88_XMEOLO">Model!$T$241</definedName>
    <definedName name="v_88_XN_B">Model!$AI$241</definedName>
    <definedName name="v_88_XN_Be">Model!$AJ$241</definedName>
    <definedName name="v_88_XN_U">Model!$AK$241</definedName>
    <definedName name="v_88_XNOB">Model!$V$241</definedName>
    <definedName name="v_88_XOHO">Model!$R$241</definedName>
    <definedName name="v_88_XP_B">Model!$AO$241</definedName>
    <definedName name="v_88_XP_Be">Model!$AP$241</definedName>
    <definedName name="v_88_XP_U">Model!$AQ$241</definedName>
    <definedName name="v_88_XPFOA">Model!$CA$241</definedName>
    <definedName name="v_88_XPFOS">Model!$CC$241</definedName>
    <definedName name="v_88_XPHA_GAO">Model!$O$241</definedName>
    <definedName name="v_88_XPHA_PAO">Model!$N$241</definedName>
    <definedName name="v_88_XPP">Model!$AM$241</definedName>
    <definedName name="v_88_XS">Model!$BD$241</definedName>
    <definedName name="v_88_XSOO">Model!$AB$241</definedName>
    <definedName name="v_88_XSTR">Model!$BW$241</definedName>
    <definedName name="v_88_XU">Model!$M$241</definedName>
    <definedName name="v_88_XVivi">Model!$BX$241</definedName>
    <definedName name="v_89_CB">Model!$H$242</definedName>
    <definedName name="v_89_CU">Model!$L$242</definedName>
    <definedName name="v_89_GCH4">Model!$CH$242</definedName>
    <definedName name="v_89_GCH4_atm">Model!$CO$242</definedName>
    <definedName name="v_89_GCO2">Model!$CG$242</definedName>
    <definedName name="v_89_GCO2_atm">Model!$CN$242</definedName>
    <definedName name="v_89_GH2">Model!$CI$242</definedName>
    <definedName name="v_89_GH2_atm">Model!$CP$242</definedName>
    <definedName name="v_89_GH2S">Model!$CM$242</definedName>
    <definedName name="v_89_GH2S_atm">Model!$CT$242</definedName>
    <definedName name="v_89_GN2">Model!$CL$242</definedName>
    <definedName name="v_89_GN2_atm">Model!$CS$242</definedName>
    <definedName name="v_89_GNH3">Model!$CK$242</definedName>
    <definedName name="v_89_GNH3_atm">Model!$CR$242</definedName>
    <definedName name="v_89_GO2">Model!$CJ$242</definedName>
    <definedName name="v_89_GO2_atm">Model!$CQ$242</definedName>
    <definedName name="v_89_SALPHA">Model!$CE$242</definedName>
    <definedName name="v_89_SAN">Model!$AX$242</definedName>
    <definedName name="v_89_SB">Model!$F$242</definedName>
    <definedName name="v_89_SCa">Model!$AY$242</definedName>
    <definedName name="v_89_SCAT">Model!$AW$242</definedName>
    <definedName name="v_89_SCH4">Model!$AS$242</definedName>
    <definedName name="v_89_SCO2">Model!$AU$242</definedName>
    <definedName name="v_89_SFe2">Model!$BE$242</definedName>
    <definedName name="v_89_SH">Model!$CD$242</definedName>
    <definedName name="v_89_SH2">Model!$AT$242</definedName>
    <definedName name="v_89_SH2S">Model!$BB$242</definedName>
    <definedName name="v_89_SK">Model!$BA$242</definedName>
    <definedName name="v_89_SMEOL">Model!$G$242</definedName>
    <definedName name="v_89_SMg">Model!$AZ$242</definedName>
    <definedName name="v_89_SMM_index">Model!$CU$242</definedName>
    <definedName name="v_89_SN_B">Model!$AH$242</definedName>
    <definedName name="v_89_SN2">Model!$AG$242</definedName>
    <definedName name="v_89_SNHx">Model!$AD$242</definedName>
    <definedName name="v_89_SNO2">Model!$AE$242</definedName>
    <definedName name="v_89_SNO3">Model!$AF$242</definedName>
    <definedName name="v_89_SO2">Model!$AR$242</definedName>
    <definedName name="v_89_SORPswitch">Model!$CF$242</definedName>
    <definedName name="v_89_SP_B">Model!$AN$242</definedName>
    <definedName name="v_89_SPFOA">Model!$BZ$242</definedName>
    <definedName name="v_89_SPFOS">Model!$CB$242</definedName>
    <definedName name="v_89_SPO4">Model!$AL$242</definedName>
    <definedName name="v_89_SSO4">Model!$BC$242</definedName>
    <definedName name="v_89_SU">Model!$K$242</definedName>
    <definedName name="v_89_SVFA">Model!$E$242</definedName>
    <definedName name="v_89_XACP">Model!$BU$242</definedName>
    <definedName name="v_89_XALGAE">Model!$AC$242</definedName>
    <definedName name="v_89_XAMETO">Model!$X$242</definedName>
    <definedName name="v_89_XAMX">Model!$W$242</definedName>
    <definedName name="v_89_XAOB">Model!$U$242</definedName>
    <definedName name="v_89_XASRO">Model!$Z$242</definedName>
    <definedName name="v_89_XB">Model!$I$242</definedName>
    <definedName name="v_89_XB_e">Model!$J$242</definedName>
    <definedName name="v_89_XBSH">Model!$BV$242</definedName>
    <definedName name="v_89_XCaCO3">Model!$BT$242</definedName>
    <definedName name="v_89_XCASTO">Model!$S$242</definedName>
    <definedName name="v_89_XE">Model!$P$242</definedName>
    <definedName name="v_89_XE_ana">Model!$Q$242</definedName>
    <definedName name="v_89_XFeS">Model!$BY$242</definedName>
    <definedName name="v_89_XHAO_H">Model!$BM$242</definedName>
    <definedName name="v_89_XHAO_H_P">Model!$BP$242</definedName>
    <definedName name="v_89_XHAO_H_P_old">Model!$BR$242</definedName>
    <definedName name="v_89_XHAO_L">Model!$BN$242</definedName>
    <definedName name="v_89_XHAO_L_P">Model!$BQ$242</definedName>
    <definedName name="v_89_XHAO_L_P_old">Model!$BS$242</definedName>
    <definedName name="v_89_XHAO_old">Model!$BO$242</definedName>
    <definedName name="v_89_XHFO_H">Model!$BF$242</definedName>
    <definedName name="v_89_XHFO_H_P">Model!$BI$242</definedName>
    <definedName name="v_89_XHFO_H_P_old">Model!$BK$242</definedName>
    <definedName name="v_89_XHFO_L">Model!$BG$242</definedName>
    <definedName name="v_89_XHFO_L_P">Model!$BJ$242</definedName>
    <definedName name="v_89_XHFO_L_P_old">Model!$BL$242</definedName>
    <definedName name="v_89_XHFO_old">Model!$BH$242</definedName>
    <definedName name="v_89_XHMETO">Model!$Y$242</definedName>
    <definedName name="v_89_XHSRO">Model!$AA$242</definedName>
    <definedName name="v_89_XINORG">Model!$AV$242</definedName>
    <definedName name="v_89_XMEOLO">Model!$T$242</definedName>
    <definedName name="v_89_XN_B">Model!$AI$242</definedName>
    <definedName name="v_89_XN_Be">Model!$AJ$242</definedName>
    <definedName name="v_89_XN_U">Model!$AK$242</definedName>
    <definedName name="v_89_XNOB">Model!$V$242</definedName>
    <definedName name="v_89_XOHO">Model!$R$242</definedName>
    <definedName name="v_89_XP_B">Model!$AO$242</definedName>
    <definedName name="v_89_XP_Be">Model!$AP$242</definedName>
    <definedName name="v_89_XP_U">Model!$AQ$242</definedName>
    <definedName name="v_89_XPFOA">Model!$CA$242</definedName>
    <definedName name="v_89_XPFOS">Model!$CC$242</definedName>
    <definedName name="v_89_XPHA_GAO">Model!$O$242</definedName>
    <definedName name="v_89_XPHA_PAO">Model!$N$242</definedName>
    <definedName name="v_89_XPP">Model!$AM$242</definedName>
    <definedName name="v_89_XS">Model!$BD$242</definedName>
    <definedName name="v_89_XSOO">Model!$AB$242</definedName>
    <definedName name="v_89_XSTR">Model!$BW$242</definedName>
    <definedName name="v_89_XU">Model!$M$242</definedName>
    <definedName name="v_89_XVivi">Model!$BX$242</definedName>
    <definedName name="v_9_CB">Model!$H$162</definedName>
    <definedName name="v_9_CU">Model!$L$162</definedName>
    <definedName name="v_9_GCH4">Model!$CH$162</definedName>
    <definedName name="v_9_GCH4_atm">Model!$CO$162</definedName>
    <definedName name="v_9_GCO2">Model!$CG$162</definedName>
    <definedName name="v_9_GCO2_atm">Model!$CN$162</definedName>
    <definedName name="v_9_GH2">Model!$CI$162</definedName>
    <definedName name="v_9_GH2_atm">Model!$CP$162</definedName>
    <definedName name="v_9_GH2S">Model!$CM$162</definedName>
    <definedName name="v_9_GH2S_atm">Model!$CT$162</definedName>
    <definedName name="v_9_GN2">Model!$CL$162</definedName>
    <definedName name="v_9_GN2_atm">Model!$CS$162</definedName>
    <definedName name="v_9_GNH3">Model!$CK$162</definedName>
    <definedName name="v_9_GNH3_atm">Model!$CR$162</definedName>
    <definedName name="v_9_GO2">Model!$CJ$162</definedName>
    <definedName name="v_9_GO2_atm">Model!$CQ$162</definedName>
    <definedName name="v_9_SALPHA">Model!$CE$162</definedName>
    <definedName name="v_9_SAN">Model!$AX$162</definedName>
    <definedName name="v_9_SB">Model!$F$162</definedName>
    <definedName name="v_9_SCa">Model!$AY$162</definedName>
    <definedName name="v_9_SCAT">Model!$AW$162</definedName>
    <definedName name="v_9_SCH4">Model!$AS$162</definedName>
    <definedName name="v_9_SCO2">Model!$AU$162</definedName>
    <definedName name="v_9_SFe2">Model!$BE$162</definedName>
    <definedName name="v_9_SH">Model!$CD$162</definedName>
    <definedName name="v_9_SH2">Model!$AT$162</definedName>
    <definedName name="v_9_SH2S">Model!$BB$162</definedName>
    <definedName name="v_9_SK">Model!$BA$162</definedName>
    <definedName name="v_9_SMEOL">Model!$G$162</definedName>
    <definedName name="v_9_SMg">Model!$AZ$162</definedName>
    <definedName name="v_9_SMM_index">Model!$CU$162</definedName>
    <definedName name="v_9_SN_B">Model!$AH$162</definedName>
    <definedName name="v_9_SN2">Model!$AG$162</definedName>
    <definedName name="v_9_SNHx">Model!$AD$162</definedName>
    <definedName name="v_9_SNO2">Model!$AE$162</definedName>
    <definedName name="v_9_SNO3">Model!$AF$162</definedName>
    <definedName name="v_9_SO2">Model!$AR$162</definedName>
    <definedName name="v_9_SORPswitch">Model!$CF$162</definedName>
    <definedName name="v_9_SP_B">Model!$AN$162</definedName>
    <definedName name="v_9_SPFOA">Model!$BZ$162</definedName>
    <definedName name="v_9_SPFOS">Model!$CB$162</definedName>
    <definedName name="v_9_SPO4">Model!$AL$162</definedName>
    <definedName name="v_9_SSO4">Model!$BC$162</definedName>
    <definedName name="v_9_SU">Model!$K$162</definedName>
    <definedName name="v_9_SVFA">Model!$E$162</definedName>
    <definedName name="v_9_XACP">Model!$BU$162</definedName>
    <definedName name="v_9_XALGAE">Model!$AC$162</definedName>
    <definedName name="v_9_XAMETO">Model!$X$162</definedName>
    <definedName name="v_9_XAMX">Model!$W$162</definedName>
    <definedName name="v_9_XAOB">Model!$U$162</definedName>
    <definedName name="v_9_XASRO">Model!$Z$162</definedName>
    <definedName name="v_9_XB">Model!$I$162</definedName>
    <definedName name="v_9_XB_e">Model!$J$162</definedName>
    <definedName name="v_9_XBSH">Model!$BV$162</definedName>
    <definedName name="v_9_XCaCO3">Model!$BT$162</definedName>
    <definedName name="v_9_XCASTO">Model!$S$162</definedName>
    <definedName name="v_9_XE">Model!$P$162</definedName>
    <definedName name="v_9_XE_ana">Model!$Q$162</definedName>
    <definedName name="v_9_XFeS">Model!$BY$162</definedName>
    <definedName name="v_9_XHAO_H">Model!$BM$162</definedName>
    <definedName name="v_9_XHAO_H_P">Model!$BP$162</definedName>
    <definedName name="v_9_XHAO_H_P_old">Model!$BR$162</definedName>
    <definedName name="v_9_XHAO_L">Model!$BN$162</definedName>
    <definedName name="v_9_XHAO_L_P">Model!$BQ$162</definedName>
    <definedName name="v_9_XHAO_L_P_old">Model!$BS$162</definedName>
    <definedName name="v_9_XHAO_old">Model!$BO$162</definedName>
    <definedName name="v_9_XHFO_H">Model!$BF$162</definedName>
    <definedName name="v_9_XHFO_H_P">Model!$BI$162</definedName>
    <definedName name="v_9_XHFO_H_P_old">Model!$BK$162</definedName>
    <definedName name="v_9_XHFO_L">Model!$BG$162</definedName>
    <definedName name="v_9_XHFO_L_P">Model!$BJ$162</definedName>
    <definedName name="v_9_XHFO_L_P_old">Model!$BL$162</definedName>
    <definedName name="v_9_XHFO_old">Model!$BH$162</definedName>
    <definedName name="v_9_XHMETO">Model!$Y$162</definedName>
    <definedName name="v_9_XHSRO">Model!$AA$162</definedName>
    <definedName name="v_9_XINORG">Model!$AV$162</definedName>
    <definedName name="v_9_XMEOLO">Model!$T$162</definedName>
    <definedName name="v_9_XN_B">Model!$AI$162</definedName>
    <definedName name="v_9_XN_Be">Model!$AJ$162</definedName>
    <definedName name="v_9_XN_U">Model!$AK$162</definedName>
    <definedName name="v_9_XNOB">Model!$V$162</definedName>
    <definedName name="v_9_XOHO">Model!$R$162</definedName>
    <definedName name="v_9_XP_B">Model!$AO$162</definedName>
    <definedName name="v_9_XP_Be">Model!$AP$162</definedName>
    <definedName name="v_9_XP_U">Model!$AQ$162</definedName>
    <definedName name="v_9_XPFOA">Model!$CA$162</definedName>
    <definedName name="v_9_XPFOS">Model!$CC$162</definedName>
    <definedName name="v_9_XPHA_GAO">Model!$O$162</definedName>
    <definedName name="v_9_XPHA_PAO">Model!$N$162</definedName>
    <definedName name="v_9_XPP">Model!$AM$162</definedName>
    <definedName name="v_9_XS">Model!$BD$162</definedName>
    <definedName name="v_9_XSOO">Model!$AB$162</definedName>
    <definedName name="v_9_XSTR">Model!$BW$162</definedName>
    <definedName name="v_9_XU">Model!$M$162</definedName>
    <definedName name="v_9_XVivi">Model!$BX$162</definedName>
    <definedName name="v_90_CB">Model!$H$243</definedName>
    <definedName name="v_90_CU">Model!$L$243</definedName>
    <definedName name="v_90_GCH4">Model!$CH$243</definedName>
    <definedName name="v_90_GCH4_atm">Model!$CO$243</definedName>
    <definedName name="v_90_GCO2">Model!$CG$243</definedName>
    <definedName name="v_90_GCO2_atm">Model!$CN$243</definedName>
    <definedName name="v_90_GH2">Model!$CI$243</definedName>
    <definedName name="v_90_GH2_atm">Model!$CP$243</definedName>
    <definedName name="v_90_GH2S">Model!$CM$243</definedName>
    <definedName name="v_90_GH2S_atm">Model!$CT$243</definedName>
    <definedName name="v_90_GN2">Model!$CL$243</definedName>
    <definedName name="v_90_GN2_atm">Model!$CS$243</definedName>
    <definedName name="v_90_GNH3">Model!$CK$243</definedName>
    <definedName name="v_90_GNH3_atm">Model!$CR$243</definedName>
    <definedName name="v_90_GO2">Model!$CJ$243</definedName>
    <definedName name="v_90_GO2_atm">Model!$CQ$243</definedName>
    <definedName name="v_90_SALPHA">Model!$CE$243</definedName>
    <definedName name="v_90_SAN">Model!$AX$243</definedName>
    <definedName name="v_90_SB">Model!$F$243</definedName>
    <definedName name="v_90_SCa">Model!$AY$243</definedName>
    <definedName name="v_90_SCAT">Model!$AW$243</definedName>
    <definedName name="v_90_SCH4">Model!$AS$243</definedName>
    <definedName name="v_90_SCO2">Model!$AU$243</definedName>
    <definedName name="v_90_SFe2">Model!$BE$243</definedName>
    <definedName name="v_90_SH">Model!$CD$243</definedName>
    <definedName name="v_90_SH2">Model!$AT$243</definedName>
    <definedName name="v_90_SH2S">Model!$BB$243</definedName>
    <definedName name="v_90_SK">Model!$BA$243</definedName>
    <definedName name="v_90_SMEOL">Model!$G$243</definedName>
    <definedName name="v_90_SMg">Model!$AZ$243</definedName>
    <definedName name="v_90_SMM_index">Model!$CU$243</definedName>
    <definedName name="v_90_SN_B">Model!$AH$243</definedName>
    <definedName name="v_90_SN2">Model!$AG$243</definedName>
    <definedName name="v_90_SNHx">Model!$AD$243</definedName>
    <definedName name="v_90_SNO2">Model!$AE$243</definedName>
    <definedName name="v_90_SNO3">Model!$AF$243</definedName>
    <definedName name="v_90_SO2">Model!$AR$243</definedName>
    <definedName name="v_90_SORPswitch">Model!$CF$243</definedName>
    <definedName name="v_90_SP_B">Model!$AN$243</definedName>
    <definedName name="v_90_SPFOA">Model!$BZ$243</definedName>
    <definedName name="v_90_SPFOS">Model!$CB$243</definedName>
    <definedName name="v_90_SPO4">Model!$AL$243</definedName>
    <definedName name="v_90_SSO4">Model!$BC$243</definedName>
    <definedName name="v_90_SU">Model!$K$243</definedName>
    <definedName name="v_90_SVFA">Model!$E$243</definedName>
    <definedName name="v_90_XACP">Model!$BU$243</definedName>
    <definedName name="v_90_XALGAE">Model!$AC$243</definedName>
    <definedName name="v_90_XAMETO">Model!$X$243</definedName>
    <definedName name="v_90_XAMX">Model!$W$243</definedName>
    <definedName name="v_90_XAOB">Model!$U$243</definedName>
    <definedName name="v_90_XASRO">Model!$Z$243</definedName>
    <definedName name="v_90_XB">Model!$I$243</definedName>
    <definedName name="v_90_XB_e">Model!$J$243</definedName>
    <definedName name="v_90_XBSH">Model!$BV$243</definedName>
    <definedName name="v_90_XCaCO3">Model!$BT$243</definedName>
    <definedName name="v_90_XCASTO">Model!$S$243</definedName>
    <definedName name="v_90_XE">Model!$P$243</definedName>
    <definedName name="v_90_XE_ana">Model!$Q$243</definedName>
    <definedName name="v_90_XFeS">Model!$BY$243</definedName>
    <definedName name="v_90_XHAO_H">Model!$BM$243</definedName>
    <definedName name="v_90_XHAO_H_P">Model!$BP$243</definedName>
    <definedName name="v_90_XHAO_H_P_old">Model!$BR$243</definedName>
    <definedName name="v_90_XHAO_L">Model!$BN$243</definedName>
    <definedName name="v_90_XHAO_L_P">Model!$BQ$243</definedName>
    <definedName name="v_90_XHAO_L_P_old">Model!$BS$243</definedName>
    <definedName name="v_90_XHAO_old">Model!$BO$243</definedName>
    <definedName name="v_90_XHFO_H">Model!$BF$243</definedName>
    <definedName name="v_90_XHFO_H_P">Model!$BI$243</definedName>
    <definedName name="v_90_XHFO_H_P_old">Model!$BK$243</definedName>
    <definedName name="v_90_XHFO_L">Model!$BG$243</definedName>
    <definedName name="v_90_XHFO_L_P">Model!$BJ$243</definedName>
    <definedName name="v_90_XHFO_L_P_old">Model!$BL$243</definedName>
    <definedName name="v_90_XHFO_old">Model!$BH$243</definedName>
    <definedName name="v_90_XHMETO">Model!$Y$243</definedName>
    <definedName name="v_90_XHSRO">Model!$AA$243</definedName>
    <definedName name="v_90_XINORG">Model!$AV$243</definedName>
    <definedName name="v_90_XMEOLO">Model!$T$243</definedName>
    <definedName name="v_90_XN_B">Model!$AI$243</definedName>
    <definedName name="v_90_XN_Be">Model!$AJ$243</definedName>
    <definedName name="v_90_XN_U">Model!$AK$243</definedName>
    <definedName name="v_90_XNOB">Model!$V$243</definedName>
    <definedName name="v_90_XOHO">Model!$R$243</definedName>
    <definedName name="v_90_XP_B">Model!$AO$243</definedName>
    <definedName name="v_90_XP_Be">Model!$AP$243</definedName>
    <definedName name="v_90_XP_U">Model!$AQ$243</definedName>
    <definedName name="v_90_XPFOA">Model!$CA$243</definedName>
    <definedName name="v_90_XPFOS">Model!$CC$243</definedName>
    <definedName name="v_90_XPHA_GAO">Model!$O$243</definedName>
    <definedName name="v_90_XPHA_PAO">Model!$N$243</definedName>
    <definedName name="v_90_XPP">Model!$AM$243</definedName>
    <definedName name="v_90_XS">Model!$BD$243</definedName>
    <definedName name="v_90_XSOO">Model!$AB$243</definedName>
    <definedName name="v_90_XSTR">Model!$BW$243</definedName>
    <definedName name="v_90_XU">Model!$M$243</definedName>
    <definedName name="v_90_XVivi">Model!$BX$243</definedName>
    <definedName name="v_91_CB">Model!$H$244</definedName>
    <definedName name="v_91_CU">Model!$L$244</definedName>
    <definedName name="v_91_GCH4">Model!$CH$244</definedName>
    <definedName name="v_91_GCH4_atm">Model!$CO$244</definedName>
    <definedName name="v_91_GCO2">Model!$CG$244</definedName>
    <definedName name="v_91_GCO2_atm">Model!$CN$244</definedName>
    <definedName name="v_91_GH2">Model!$CI$244</definedName>
    <definedName name="v_91_GH2_atm">Model!$CP$244</definedName>
    <definedName name="v_91_GH2S">Model!$CM$244</definedName>
    <definedName name="v_91_GH2S_atm">Model!$CT$244</definedName>
    <definedName name="v_91_GN2">Model!$CL$244</definedName>
    <definedName name="v_91_GN2_atm">Model!$CS$244</definedName>
    <definedName name="v_91_GNH3">Model!$CK$244</definedName>
    <definedName name="v_91_GNH3_atm">Model!$CR$244</definedName>
    <definedName name="v_91_GO2">Model!$CJ$244</definedName>
    <definedName name="v_91_GO2_atm">Model!$CQ$244</definedName>
    <definedName name="v_91_SALPHA">Model!$CE$244</definedName>
    <definedName name="v_91_SAN">Model!$AX$244</definedName>
    <definedName name="v_91_SB">Model!$F$244</definedName>
    <definedName name="v_91_SCa">Model!$AY$244</definedName>
    <definedName name="v_91_SCAT">Model!$AW$244</definedName>
    <definedName name="v_91_SCH4">Model!$AS$244</definedName>
    <definedName name="v_91_SCO2">Model!$AU$244</definedName>
    <definedName name="v_91_SFe2">Model!$BE$244</definedName>
    <definedName name="v_91_SH">Model!$CD$244</definedName>
    <definedName name="v_91_SH2">Model!$AT$244</definedName>
    <definedName name="v_91_SH2S">Model!$BB$244</definedName>
    <definedName name="v_91_SK">Model!$BA$244</definedName>
    <definedName name="v_91_SMEOL">Model!$G$244</definedName>
    <definedName name="v_91_SMg">Model!$AZ$244</definedName>
    <definedName name="v_91_SMM_index">Model!$CU$244</definedName>
    <definedName name="v_91_SN_B">Model!$AH$244</definedName>
    <definedName name="v_91_SN2">Model!$AG$244</definedName>
    <definedName name="v_91_SNHx">Model!$AD$244</definedName>
    <definedName name="v_91_SNO2">Model!$AE$244</definedName>
    <definedName name="v_91_SNO3">Model!$AF$244</definedName>
    <definedName name="v_91_SO2">Model!$AR$244</definedName>
    <definedName name="v_91_SORPswitch">Model!$CF$244</definedName>
    <definedName name="v_91_SP_B">Model!$AN$244</definedName>
    <definedName name="v_91_SPFOA">Model!$BZ$244</definedName>
    <definedName name="v_91_SPFOS">Model!$CB$244</definedName>
    <definedName name="v_91_SPO4">Model!$AL$244</definedName>
    <definedName name="v_91_SSO4">Model!$BC$244</definedName>
    <definedName name="v_91_SU">Model!$K$244</definedName>
    <definedName name="v_91_SVFA">Model!$E$244</definedName>
    <definedName name="v_91_XACP">Model!$BU$244</definedName>
    <definedName name="v_91_XALGAE">Model!$AC$244</definedName>
    <definedName name="v_91_XAMETO">Model!$X$244</definedName>
    <definedName name="v_91_XAMX">Model!$W$244</definedName>
    <definedName name="v_91_XAOB">Model!$U$244</definedName>
    <definedName name="v_91_XASRO">Model!$Z$244</definedName>
    <definedName name="v_91_XB">Model!$I$244</definedName>
    <definedName name="v_91_XB_e">Model!$J$244</definedName>
    <definedName name="v_91_XBSH">Model!$BV$244</definedName>
    <definedName name="v_91_XCaCO3">Model!$BT$244</definedName>
    <definedName name="v_91_XCASTO">Model!$S$244</definedName>
    <definedName name="v_91_XE">Model!$P$244</definedName>
    <definedName name="v_91_XE_ana">Model!$Q$244</definedName>
    <definedName name="v_91_XFeS">Model!$BY$244</definedName>
    <definedName name="v_91_XHAO_H">Model!$BM$244</definedName>
    <definedName name="v_91_XHAO_H_P">Model!$BP$244</definedName>
    <definedName name="v_91_XHAO_H_P_old">Model!$BR$244</definedName>
    <definedName name="v_91_XHAO_L">Model!$BN$244</definedName>
    <definedName name="v_91_XHAO_L_P">Model!$BQ$244</definedName>
    <definedName name="v_91_XHAO_L_P_old">Model!$BS$244</definedName>
    <definedName name="v_91_XHAO_old">Model!$BO$244</definedName>
    <definedName name="v_91_XHFO_H">Model!$BF$244</definedName>
    <definedName name="v_91_XHFO_H_P">Model!$BI$244</definedName>
    <definedName name="v_91_XHFO_H_P_old">Model!$BK$244</definedName>
    <definedName name="v_91_XHFO_L">Model!$BG$244</definedName>
    <definedName name="v_91_XHFO_L_P">Model!$BJ$244</definedName>
    <definedName name="v_91_XHFO_L_P_old">Model!$BL$244</definedName>
    <definedName name="v_91_XHFO_old">Model!$BH$244</definedName>
    <definedName name="v_91_XHMETO">Model!$Y$244</definedName>
    <definedName name="v_91_XHSRO">Model!$AA$244</definedName>
    <definedName name="v_91_XINORG">Model!$AV$244</definedName>
    <definedName name="v_91_XMEOLO">Model!$T$244</definedName>
    <definedName name="v_91_XN_B">Model!$AI$244</definedName>
    <definedName name="v_91_XN_Be">Model!$AJ$244</definedName>
    <definedName name="v_91_XN_U">Model!$AK$244</definedName>
    <definedName name="v_91_XNOB">Model!$V$244</definedName>
    <definedName name="v_91_XOHO">Model!$R$244</definedName>
    <definedName name="v_91_XP_B">Model!$AO$244</definedName>
    <definedName name="v_91_XP_Be">Model!$AP$244</definedName>
    <definedName name="v_91_XP_U">Model!$AQ$244</definedName>
    <definedName name="v_91_XPFOA">Model!$CA$244</definedName>
    <definedName name="v_91_XPFOS">Model!$CC$244</definedName>
    <definedName name="v_91_XPHA_GAO">Model!$O$244</definedName>
    <definedName name="v_91_XPHA_PAO">Model!$N$244</definedName>
    <definedName name="v_91_XPP">Model!$AM$244</definedName>
    <definedName name="v_91_XS">Model!$BD$244</definedName>
    <definedName name="v_91_XSOO">Model!$AB$244</definedName>
    <definedName name="v_91_XSTR">Model!$BW$244</definedName>
    <definedName name="v_91_XU">Model!$M$244</definedName>
    <definedName name="v_91_XVivi">Model!$BX$244</definedName>
    <definedName name="v_92_CB">Model!$H$245</definedName>
    <definedName name="v_92_CU">Model!$L$245</definedName>
    <definedName name="v_92_GCH4">Model!$CH$245</definedName>
    <definedName name="v_92_GCH4_atm">Model!$CO$245</definedName>
    <definedName name="v_92_GCO2">Model!$CG$245</definedName>
    <definedName name="v_92_GCO2_atm">Model!$CN$245</definedName>
    <definedName name="v_92_GH2">Model!$CI$245</definedName>
    <definedName name="v_92_GH2_atm">Model!$CP$245</definedName>
    <definedName name="v_92_GH2S">Model!$CM$245</definedName>
    <definedName name="v_92_GH2S_atm">Model!$CT$245</definedName>
    <definedName name="v_92_GN2">Model!$CL$245</definedName>
    <definedName name="v_92_GN2_atm">Model!$CS$245</definedName>
    <definedName name="v_92_GNH3">Model!$CK$245</definedName>
    <definedName name="v_92_GNH3_atm">Model!$CR$245</definedName>
    <definedName name="v_92_GO2">Model!$CJ$245</definedName>
    <definedName name="v_92_GO2_atm">Model!$CQ$245</definedName>
    <definedName name="v_92_SALPHA">Model!$CE$245</definedName>
    <definedName name="v_92_SAN">Model!$AX$245</definedName>
    <definedName name="v_92_SB">Model!$F$245</definedName>
    <definedName name="v_92_SCa">Model!$AY$245</definedName>
    <definedName name="v_92_SCAT">Model!$AW$245</definedName>
    <definedName name="v_92_SCH4">Model!$AS$245</definedName>
    <definedName name="v_92_SCO2">Model!$AU$245</definedName>
    <definedName name="v_92_SFe2">Model!$BE$245</definedName>
    <definedName name="v_92_SH">Model!$CD$245</definedName>
    <definedName name="v_92_SH2">Model!$AT$245</definedName>
    <definedName name="v_92_SH2S">Model!$BB$245</definedName>
    <definedName name="v_92_SK">Model!$BA$245</definedName>
    <definedName name="v_92_SMEOL">Model!$G$245</definedName>
    <definedName name="v_92_SMg">Model!$AZ$245</definedName>
    <definedName name="v_92_SMM_index">Model!$CU$245</definedName>
    <definedName name="v_92_SN_B">Model!$AH$245</definedName>
    <definedName name="v_92_SN2">Model!$AG$245</definedName>
    <definedName name="v_92_SNHx">Model!$AD$245</definedName>
    <definedName name="v_92_SNO2">Model!$AE$245</definedName>
    <definedName name="v_92_SNO3">Model!$AF$245</definedName>
    <definedName name="v_92_SO2">Model!$AR$245</definedName>
    <definedName name="v_92_SORPswitch">Model!$CF$245</definedName>
    <definedName name="v_92_SP_B">Model!$AN$245</definedName>
    <definedName name="v_92_SPFOA">Model!$BZ$245</definedName>
    <definedName name="v_92_SPFOS">Model!$CB$245</definedName>
    <definedName name="v_92_SPO4">Model!$AL$245</definedName>
    <definedName name="v_92_SSO4">Model!$BC$245</definedName>
    <definedName name="v_92_SU">Model!$K$245</definedName>
    <definedName name="v_92_SVFA">Model!$E$245</definedName>
    <definedName name="v_92_XACP">Model!$BU$245</definedName>
    <definedName name="v_92_XALGAE">Model!$AC$245</definedName>
    <definedName name="v_92_XAMETO">Model!$X$245</definedName>
    <definedName name="v_92_XAMX">Model!$W$245</definedName>
    <definedName name="v_92_XAOB">Model!$U$245</definedName>
    <definedName name="v_92_XASRO">Model!$Z$245</definedName>
    <definedName name="v_92_XB">Model!$I$245</definedName>
    <definedName name="v_92_XB_e">Model!$J$245</definedName>
    <definedName name="v_92_XBSH">Model!$BV$245</definedName>
    <definedName name="v_92_XCaCO3">Model!$BT$245</definedName>
    <definedName name="v_92_XCASTO">Model!$S$245</definedName>
    <definedName name="v_92_XE">Model!$P$245</definedName>
    <definedName name="v_92_XE_ana">Model!$Q$245</definedName>
    <definedName name="v_92_XFeS">Model!$BY$245</definedName>
    <definedName name="v_92_XHAO_H">Model!$BM$245</definedName>
    <definedName name="v_92_XHAO_H_P">Model!$BP$245</definedName>
    <definedName name="v_92_XHAO_H_P_old">Model!$BR$245</definedName>
    <definedName name="v_92_XHAO_L">Model!$BN$245</definedName>
    <definedName name="v_92_XHAO_L_P">Model!$BQ$245</definedName>
    <definedName name="v_92_XHAO_L_P_old">Model!$BS$245</definedName>
    <definedName name="v_92_XHAO_old">Model!$BO$245</definedName>
    <definedName name="v_92_XHFO_H">Model!$BF$245</definedName>
    <definedName name="v_92_XHFO_H_P">Model!$BI$245</definedName>
    <definedName name="v_92_XHFO_H_P_old">Model!$BK$245</definedName>
    <definedName name="v_92_XHFO_L">Model!$BG$245</definedName>
    <definedName name="v_92_XHFO_L_P">Model!$BJ$245</definedName>
    <definedName name="v_92_XHFO_L_P_old">Model!$BL$245</definedName>
    <definedName name="v_92_XHFO_old">Model!$BH$245</definedName>
    <definedName name="v_92_XHMETO">Model!$Y$245</definedName>
    <definedName name="v_92_XHSRO">Model!$AA$245</definedName>
    <definedName name="v_92_XINORG">Model!$AV$245</definedName>
    <definedName name="v_92_XMEOLO">Model!$T$245</definedName>
    <definedName name="v_92_XN_B">Model!$AI$245</definedName>
    <definedName name="v_92_XN_Be">Model!$AJ$245</definedName>
    <definedName name="v_92_XN_U">Model!$AK$245</definedName>
    <definedName name="v_92_XNOB">Model!$V$245</definedName>
    <definedName name="v_92_XOHO">Model!$R$245</definedName>
    <definedName name="v_92_XP_B">Model!$AO$245</definedName>
    <definedName name="v_92_XP_Be">Model!$AP$245</definedName>
    <definedName name="v_92_XP_U">Model!$AQ$245</definedName>
    <definedName name="v_92_XPFOA">Model!$CA$245</definedName>
    <definedName name="v_92_XPFOS">Model!$CC$245</definedName>
    <definedName name="v_92_XPHA_GAO">Model!$O$245</definedName>
    <definedName name="v_92_XPHA_PAO">Model!$N$245</definedName>
    <definedName name="v_92_XPP">Model!$AM$245</definedName>
    <definedName name="v_92_XS">Model!$BD$245</definedName>
    <definedName name="v_92_XSOO">Model!$AB$245</definedName>
    <definedName name="v_92_XSTR">Model!$BW$245</definedName>
    <definedName name="v_92_XU">Model!$M$245</definedName>
    <definedName name="v_92_XVivi">Model!$BX$245</definedName>
    <definedName name="v_93_CB">Model!$H$246</definedName>
    <definedName name="v_93_CU">Model!$L$246</definedName>
    <definedName name="v_93_GCH4">Model!$CH$246</definedName>
    <definedName name="v_93_GCH4_atm">Model!$CO$246</definedName>
    <definedName name="v_93_GCO2">Model!$CG$246</definedName>
    <definedName name="v_93_GCO2_atm">Model!$CN$246</definedName>
    <definedName name="v_93_GH2">Model!$CI$246</definedName>
    <definedName name="v_93_GH2_atm">Model!$CP$246</definedName>
    <definedName name="v_93_GH2S">Model!$CM$246</definedName>
    <definedName name="v_93_GH2S_atm">Model!$CT$246</definedName>
    <definedName name="v_93_GN2">Model!$CL$246</definedName>
    <definedName name="v_93_GN2_atm">Model!$CS$246</definedName>
    <definedName name="v_93_GNH3">Model!$CK$246</definedName>
    <definedName name="v_93_GNH3_atm">Model!$CR$246</definedName>
    <definedName name="v_93_GO2">Model!$CJ$246</definedName>
    <definedName name="v_93_GO2_atm">Model!$CQ$246</definedName>
    <definedName name="v_93_SALPHA">Model!$CE$246</definedName>
    <definedName name="v_93_SAN">Model!$AX$246</definedName>
    <definedName name="v_93_SB">Model!$F$246</definedName>
    <definedName name="v_93_SCa">Model!$AY$246</definedName>
    <definedName name="v_93_SCAT">Model!$AW$246</definedName>
    <definedName name="v_93_SCH4">Model!$AS$246</definedName>
    <definedName name="v_93_SCO2">Model!$AU$246</definedName>
    <definedName name="v_93_SFe2">Model!$BE$246</definedName>
    <definedName name="v_93_SH">Model!$CD$246</definedName>
    <definedName name="v_93_SH2">Model!$AT$246</definedName>
    <definedName name="v_93_SH2S">Model!$BB$246</definedName>
    <definedName name="v_93_SK">Model!$BA$246</definedName>
    <definedName name="v_93_SMEOL">Model!$G$246</definedName>
    <definedName name="v_93_SMg">Model!$AZ$246</definedName>
    <definedName name="v_93_SMM_index">Model!$CU$246</definedName>
    <definedName name="v_93_SN_B">Model!$AH$246</definedName>
    <definedName name="v_93_SN2">Model!$AG$246</definedName>
    <definedName name="v_93_SNHx">Model!$AD$246</definedName>
    <definedName name="v_93_SNO2">Model!$AE$246</definedName>
    <definedName name="v_93_SNO3">Model!$AF$246</definedName>
    <definedName name="v_93_SO2">Model!$AR$246</definedName>
    <definedName name="v_93_SORPswitch">Model!$CF$246</definedName>
    <definedName name="v_93_SP_B">Model!$AN$246</definedName>
    <definedName name="v_93_SPFOA">Model!$BZ$246</definedName>
    <definedName name="v_93_SPFOS">Model!$CB$246</definedName>
    <definedName name="v_93_SPO4">Model!$AL$246</definedName>
    <definedName name="v_93_SSO4">Model!$BC$246</definedName>
    <definedName name="v_93_SU">Model!$K$246</definedName>
    <definedName name="v_93_SVFA">Model!$E$246</definedName>
    <definedName name="v_93_XACP">Model!$BU$246</definedName>
    <definedName name="v_93_XALGAE">Model!$AC$246</definedName>
    <definedName name="v_93_XAMETO">Model!$X$246</definedName>
    <definedName name="v_93_XAMX">Model!$W$246</definedName>
    <definedName name="v_93_XAOB">Model!$U$246</definedName>
    <definedName name="v_93_XASRO">Model!$Z$246</definedName>
    <definedName name="v_93_XB">Model!$I$246</definedName>
    <definedName name="v_93_XB_e">Model!$J$246</definedName>
    <definedName name="v_93_XBSH">Model!$BV$246</definedName>
    <definedName name="v_93_XCaCO3">Model!$BT$246</definedName>
    <definedName name="v_93_XCASTO">Model!$S$246</definedName>
    <definedName name="v_93_XE">Model!$P$246</definedName>
    <definedName name="v_93_XE_ana">Model!$Q$246</definedName>
    <definedName name="v_93_XFeS">Model!$BY$246</definedName>
    <definedName name="v_93_XHAO_H">Model!$BM$246</definedName>
    <definedName name="v_93_XHAO_H_P">Model!$BP$246</definedName>
    <definedName name="v_93_XHAO_H_P_old">Model!$BR$246</definedName>
    <definedName name="v_93_XHAO_L">Model!$BN$246</definedName>
    <definedName name="v_93_XHAO_L_P">Model!$BQ$246</definedName>
    <definedName name="v_93_XHAO_L_P_old">Model!$BS$246</definedName>
    <definedName name="v_93_XHAO_old">Model!$BO$246</definedName>
    <definedName name="v_93_XHFO_H">Model!$BF$246</definedName>
    <definedName name="v_93_XHFO_H_P">Model!$BI$246</definedName>
    <definedName name="v_93_XHFO_H_P_old">Model!$BK$246</definedName>
    <definedName name="v_93_XHFO_L">Model!$BG$246</definedName>
    <definedName name="v_93_XHFO_L_P">Model!$BJ$246</definedName>
    <definedName name="v_93_XHFO_L_P_old">Model!$BL$246</definedName>
    <definedName name="v_93_XHFO_old">Model!$BH$246</definedName>
    <definedName name="v_93_XHMETO">Model!$Y$246</definedName>
    <definedName name="v_93_XHSRO">Model!$AA$246</definedName>
    <definedName name="v_93_XINORG">Model!$AV$246</definedName>
    <definedName name="v_93_XMEOLO">Model!$T$246</definedName>
    <definedName name="v_93_XN_B">Model!$AI$246</definedName>
    <definedName name="v_93_XN_Be">Model!$AJ$246</definedName>
    <definedName name="v_93_XN_U">Model!$AK$246</definedName>
    <definedName name="v_93_XNOB">Model!$V$246</definedName>
    <definedName name="v_93_XOHO">Model!$R$246</definedName>
    <definedName name="v_93_XP_B">Model!$AO$246</definedName>
    <definedName name="v_93_XP_Be">Model!$AP$246</definedName>
    <definedName name="v_93_XP_U">Model!$AQ$246</definedName>
    <definedName name="v_93_XPFOA">Model!$CA$246</definedName>
    <definedName name="v_93_XPFOS">Model!$CC$246</definedName>
    <definedName name="v_93_XPHA_GAO">Model!$O$246</definedName>
    <definedName name="v_93_XPHA_PAO">Model!$N$246</definedName>
    <definedName name="v_93_XPP">Model!$AM$246</definedName>
    <definedName name="v_93_XS">Model!$BD$246</definedName>
    <definedName name="v_93_XSOO">Model!$AB$246</definedName>
    <definedName name="v_93_XSTR">Model!$BW$246</definedName>
    <definedName name="v_93_XU">Model!$M$246</definedName>
    <definedName name="v_93_XVivi">Model!$BX$246</definedName>
    <definedName name="v_94_CB">Model!$H$247</definedName>
    <definedName name="v_94_CU">Model!$L$247</definedName>
    <definedName name="v_94_GCH4">Model!$CH$247</definedName>
    <definedName name="v_94_GCH4_atm">Model!$CO$247</definedName>
    <definedName name="v_94_GCO2">Model!$CG$247</definedName>
    <definedName name="v_94_GCO2_atm">Model!$CN$247</definedName>
    <definedName name="v_94_GH2">Model!$CI$247</definedName>
    <definedName name="v_94_GH2_atm">Model!$CP$247</definedName>
    <definedName name="v_94_GH2S">Model!$CM$247</definedName>
    <definedName name="v_94_GH2S_atm">Model!$CT$247</definedName>
    <definedName name="v_94_GN2">Model!$CL$247</definedName>
    <definedName name="v_94_GN2_atm">Model!$CS$247</definedName>
    <definedName name="v_94_GNH3">Model!$CK$247</definedName>
    <definedName name="v_94_GNH3_atm">Model!$CR$247</definedName>
    <definedName name="v_94_GO2">Model!$CJ$247</definedName>
    <definedName name="v_94_GO2_atm">Model!$CQ$247</definedName>
    <definedName name="v_94_SALPHA">Model!$CE$247</definedName>
    <definedName name="v_94_SAN">Model!$AX$247</definedName>
    <definedName name="v_94_SB">Model!$F$247</definedName>
    <definedName name="v_94_SCa">Model!$AY$247</definedName>
    <definedName name="v_94_SCAT">Model!$AW$247</definedName>
    <definedName name="v_94_SCH4">Model!$AS$247</definedName>
    <definedName name="v_94_SCO2">Model!$AU$247</definedName>
    <definedName name="v_94_SFe2">Model!$BE$247</definedName>
    <definedName name="v_94_SH">Model!$CD$247</definedName>
    <definedName name="v_94_SH2">Model!$AT$247</definedName>
    <definedName name="v_94_SH2S">Model!$BB$247</definedName>
    <definedName name="v_94_SK">Model!$BA$247</definedName>
    <definedName name="v_94_SMEOL">Model!$G$247</definedName>
    <definedName name="v_94_SMg">Model!$AZ$247</definedName>
    <definedName name="v_94_SMM_index">Model!$CU$247</definedName>
    <definedName name="v_94_SN_B">Model!$AH$247</definedName>
    <definedName name="v_94_SN2">Model!$AG$247</definedName>
    <definedName name="v_94_SNHx">Model!$AD$247</definedName>
    <definedName name="v_94_SNO2">Model!$AE$247</definedName>
    <definedName name="v_94_SNO3">Model!$AF$247</definedName>
    <definedName name="v_94_SO2">Model!$AR$247</definedName>
    <definedName name="v_94_SORPswitch">Model!$CF$247</definedName>
    <definedName name="v_94_SP_B">Model!$AN$247</definedName>
    <definedName name="v_94_SPFOA">Model!$BZ$247</definedName>
    <definedName name="v_94_SPFOS">Model!$CB$247</definedName>
    <definedName name="v_94_SPO4">Model!$AL$247</definedName>
    <definedName name="v_94_SSO4">Model!$BC$247</definedName>
    <definedName name="v_94_SU">Model!$K$247</definedName>
    <definedName name="v_94_SVFA">Model!$E$247</definedName>
    <definedName name="v_94_XACP">Model!$BU$247</definedName>
    <definedName name="v_94_XALGAE">Model!$AC$247</definedName>
    <definedName name="v_94_XAMETO">Model!$X$247</definedName>
    <definedName name="v_94_XAMX">Model!$W$247</definedName>
    <definedName name="v_94_XAOB">Model!$U$247</definedName>
    <definedName name="v_94_XASRO">Model!$Z$247</definedName>
    <definedName name="v_94_XB">Model!$I$247</definedName>
    <definedName name="v_94_XB_e">Model!$J$247</definedName>
    <definedName name="v_94_XBSH">Model!$BV$247</definedName>
    <definedName name="v_94_XCaCO3">Model!$BT$247</definedName>
    <definedName name="v_94_XCASTO">Model!$S$247</definedName>
    <definedName name="v_94_XE">Model!$P$247</definedName>
    <definedName name="v_94_XE_ana">Model!$Q$247</definedName>
    <definedName name="v_94_XFeS">Model!$BY$247</definedName>
    <definedName name="v_94_XHAO_H">Model!$BM$247</definedName>
    <definedName name="v_94_XHAO_H_P">Model!$BP$247</definedName>
    <definedName name="v_94_XHAO_H_P_old">Model!$BR$247</definedName>
    <definedName name="v_94_XHAO_L">Model!$BN$247</definedName>
    <definedName name="v_94_XHAO_L_P">Model!$BQ$247</definedName>
    <definedName name="v_94_XHAO_L_P_old">Model!$BS$247</definedName>
    <definedName name="v_94_XHAO_old">Model!$BO$247</definedName>
    <definedName name="v_94_XHFO_H">Model!$BF$247</definedName>
    <definedName name="v_94_XHFO_H_P">Model!$BI$247</definedName>
    <definedName name="v_94_XHFO_H_P_old">Model!$BK$247</definedName>
    <definedName name="v_94_XHFO_L">Model!$BG$247</definedName>
    <definedName name="v_94_XHFO_L_P">Model!$BJ$247</definedName>
    <definedName name="v_94_XHFO_L_P_old">Model!$BL$247</definedName>
    <definedName name="v_94_XHFO_old">Model!$BH$247</definedName>
    <definedName name="v_94_XHMETO">Model!$Y$247</definedName>
    <definedName name="v_94_XHSRO">Model!$AA$247</definedName>
    <definedName name="v_94_XINORG">Model!$AV$247</definedName>
    <definedName name="v_94_XMEOLO">Model!$T$247</definedName>
    <definedName name="v_94_XN_B">Model!$AI$247</definedName>
    <definedName name="v_94_XN_Be">Model!$AJ$247</definedName>
    <definedName name="v_94_XN_U">Model!$AK$247</definedName>
    <definedName name="v_94_XNOB">Model!$V$247</definedName>
    <definedName name="v_94_XOHO">Model!$R$247</definedName>
    <definedName name="v_94_XP_B">Model!$AO$247</definedName>
    <definedName name="v_94_XP_Be">Model!$AP$247</definedName>
    <definedName name="v_94_XP_U">Model!$AQ$247</definedName>
    <definedName name="v_94_XPFOA">Model!$CA$247</definedName>
    <definedName name="v_94_XPFOS">Model!$CC$247</definedName>
    <definedName name="v_94_XPHA_GAO">Model!$O$247</definedName>
    <definedName name="v_94_XPHA_PAO">Model!$N$247</definedName>
    <definedName name="v_94_XPP">Model!$AM$247</definedName>
    <definedName name="v_94_XS">Model!$BD$247</definedName>
    <definedName name="v_94_XSOO">Model!$AB$247</definedName>
    <definedName name="v_94_XSTR">Model!$BW$247</definedName>
    <definedName name="v_94_XU">Model!$M$247</definedName>
    <definedName name="v_94_XVivi">Model!$BX$247</definedName>
    <definedName name="v_95_CB">Model!$H$248</definedName>
    <definedName name="v_95_CU">Model!$L$248</definedName>
    <definedName name="v_95_GCH4">Model!$CH$248</definedName>
    <definedName name="v_95_GCH4_atm">Model!$CO$248</definedName>
    <definedName name="v_95_GCO2">Model!$CG$248</definedName>
    <definedName name="v_95_GCO2_atm">Model!$CN$248</definedName>
    <definedName name="v_95_GH2">Model!$CI$248</definedName>
    <definedName name="v_95_GH2_atm">Model!$CP$248</definedName>
    <definedName name="v_95_GH2S">Model!$CM$248</definedName>
    <definedName name="v_95_GH2S_atm">Model!$CT$248</definedName>
    <definedName name="v_95_GN2">Model!$CL$248</definedName>
    <definedName name="v_95_GN2_atm">Model!$CS$248</definedName>
    <definedName name="v_95_GNH3">Model!$CK$248</definedName>
    <definedName name="v_95_GNH3_atm">Model!$CR$248</definedName>
    <definedName name="v_95_GO2">Model!$CJ$248</definedName>
    <definedName name="v_95_GO2_atm">Model!$CQ$248</definedName>
    <definedName name="v_95_SALPHA">Model!$CE$248</definedName>
    <definedName name="v_95_SAN">Model!$AX$248</definedName>
    <definedName name="v_95_SB">Model!$F$248</definedName>
    <definedName name="v_95_SCa">Model!$AY$248</definedName>
    <definedName name="v_95_SCAT">Model!$AW$248</definedName>
    <definedName name="v_95_SCH4">Model!$AS$248</definedName>
    <definedName name="v_95_SCO2">Model!$AU$248</definedName>
    <definedName name="v_95_SFe2">Model!$BE$248</definedName>
    <definedName name="v_95_SH">Model!$CD$248</definedName>
    <definedName name="v_95_SH2">Model!$AT$248</definedName>
    <definedName name="v_95_SH2S">Model!$BB$248</definedName>
    <definedName name="v_95_SK">Model!$BA$248</definedName>
    <definedName name="v_95_SMEOL">Model!$G$248</definedName>
    <definedName name="v_95_SMg">Model!$AZ$248</definedName>
    <definedName name="v_95_SMM_index">Model!$CU$248</definedName>
    <definedName name="v_95_SN_B">Model!$AH$248</definedName>
    <definedName name="v_95_SN2">Model!$AG$248</definedName>
    <definedName name="v_95_SNHx">Model!$AD$248</definedName>
    <definedName name="v_95_SNO2">Model!$AE$248</definedName>
    <definedName name="v_95_SNO3">Model!$AF$248</definedName>
    <definedName name="v_95_SO2">Model!$AR$248</definedName>
    <definedName name="v_95_SORPswitch">Model!$CF$248</definedName>
    <definedName name="v_95_SP_B">Model!$AN$248</definedName>
    <definedName name="v_95_SPFOA">Model!$BZ$248</definedName>
    <definedName name="v_95_SPFOS">Model!$CB$248</definedName>
    <definedName name="v_95_SPO4">Model!$AL$248</definedName>
    <definedName name="v_95_SSO4">Model!$BC$248</definedName>
    <definedName name="v_95_SU">Model!$K$248</definedName>
    <definedName name="v_95_SVFA">Model!$E$248</definedName>
    <definedName name="v_95_XACP">Model!$BU$248</definedName>
    <definedName name="v_95_XALGAE">Model!$AC$248</definedName>
    <definedName name="v_95_XAMETO">Model!$X$248</definedName>
    <definedName name="v_95_XAMX">Model!$W$248</definedName>
    <definedName name="v_95_XAOB">Model!$U$248</definedName>
    <definedName name="v_95_XASRO">Model!$Z$248</definedName>
    <definedName name="v_95_XB">Model!$I$248</definedName>
    <definedName name="v_95_XB_e">Model!$J$248</definedName>
    <definedName name="v_95_XBSH">Model!$BV$248</definedName>
    <definedName name="v_95_XCaCO3">Model!$BT$248</definedName>
    <definedName name="v_95_XCASTO">Model!$S$248</definedName>
    <definedName name="v_95_XE">Model!$P$248</definedName>
    <definedName name="v_95_XE_ana">Model!$Q$248</definedName>
    <definedName name="v_95_XFeS">Model!$BY$248</definedName>
    <definedName name="v_95_XHAO_H">Model!$BM$248</definedName>
    <definedName name="v_95_XHAO_H_P">Model!$BP$248</definedName>
    <definedName name="v_95_XHAO_H_P_old">Model!$BR$248</definedName>
    <definedName name="v_95_XHAO_L">Model!$BN$248</definedName>
    <definedName name="v_95_XHAO_L_P">Model!$BQ$248</definedName>
    <definedName name="v_95_XHAO_L_P_old">Model!$BS$248</definedName>
    <definedName name="v_95_XHAO_old">Model!$BO$248</definedName>
    <definedName name="v_95_XHFO_H">Model!$BF$248</definedName>
    <definedName name="v_95_XHFO_H_P">Model!$BI$248</definedName>
    <definedName name="v_95_XHFO_H_P_old">Model!$BK$248</definedName>
    <definedName name="v_95_XHFO_L">Model!$BG$248</definedName>
    <definedName name="v_95_XHFO_L_P">Model!$BJ$248</definedName>
    <definedName name="v_95_XHFO_L_P_old">Model!$BL$248</definedName>
    <definedName name="v_95_XHFO_old">Model!$BH$248</definedName>
    <definedName name="v_95_XHMETO">Model!$Y$248</definedName>
    <definedName name="v_95_XHSRO">Model!$AA$248</definedName>
    <definedName name="v_95_XINORG">Model!$AV$248</definedName>
    <definedName name="v_95_XMEOLO">Model!$T$248</definedName>
    <definedName name="v_95_XN_B">Model!$AI$248</definedName>
    <definedName name="v_95_XN_Be">Model!$AJ$248</definedName>
    <definedName name="v_95_XN_U">Model!$AK$248</definedName>
    <definedName name="v_95_XNOB">Model!$V$248</definedName>
    <definedName name="v_95_XOHO">Model!$R$248</definedName>
    <definedName name="v_95_XP_B">Model!$AO$248</definedName>
    <definedName name="v_95_XP_Be">Model!$AP$248</definedName>
    <definedName name="v_95_XP_U">Model!$AQ$248</definedName>
    <definedName name="v_95_XPFOA">Model!$CA$248</definedName>
    <definedName name="v_95_XPFOS">Model!$CC$248</definedName>
    <definedName name="v_95_XPHA_GAO">Model!$O$248</definedName>
    <definedName name="v_95_XPHA_PAO">Model!$N$248</definedName>
    <definedName name="v_95_XPP">Model!$AM$248</definedName>
    <definedName name="v_95_XS">Model!$BD$248</definedName>
    <definedName name="v_95_XSOO">Model!$AB$248</definedName>
    <definedName name="v_95_XSTR">Model!$BW$248</definedName>
    <definedName name="v_95_XU">Model!$M$248</definedName>
    <definedName name="v_95_XVivi">Model!$BX$248</definedName>
    <definedName name="v_96_CB">Model!$H$249</definedName>
    <definedName name="v_96_CU">Model!$L$249</definedName>
    <definedName name="v_96_GCH4">Model!$CH$249</definedName>
    <definedName name="v_96_GCH4_atm">Model!$CO$249</definedName>
    <definedName name="v_96_GCO2">Model!$CG$249</definedName>
    <definedName name="v_96_GCO2_atm">Model!$CN$249</definedName>
    <definedName name="v_96_GH2">Model!$CI$249</definedName>
    <definedName name="v_96_GH2_atm">Model!$CP$249</definedName>
    <definedName name="v_96_GH2S">Model!$CM$249</definedName>
    <definedName name="v_96_GH2S_atm">Model!$CT$249</definedName>
    <definedName name="v_96_GN2">Model!$CL$249</definedName>
    <definedName name="v_96_GN2_atm">Model!$CS$249</definedName>
    <definedName name="v_96_GNH3">Model!$CK$249</definedName>
    <definedName name="v_96_GNH3_atm">Model!$CR$249</definedName>
    <definedName name="v_96_GO2">Model!$CJ$249</definedName>
    <definedName name="v_96_GO2_atm">Model!$CQ$249</definedName>
    <definedName name="v_96_SALPHA">Model!$CE$249</definedName>
    <definedName name="v_96_SAN">Model!$AX$249</definedName>
    <definedName name="v_96_SB">Model!$F$249</definedName>
    <definedName name="v_96_SCa">Model!$AY$249</definedName>
    <definedName name="v_96_SCAT">Model!$AW$249</definedName>
    <definedName name="v_96_SCH4">Model!$AS$249</definedName>
    <definedName name="v_96_SCO2">Model!$AU$249</definedName>
    <definedName name="v_96_SFe2">Model!$BE$249</definedName>
    <definedName name="v_96_SH">Model!$CD$249</definedName>
    <definedName name="v_96_SH2">Model!$AT$249</definedName>
    <definedName name="v_96_SH2S">Model!$BB$249</definedName>
    <definedName name="v_96_SK">Model!$BA$249</definedName>
    <definedName name="v_96_SMEOL">Model!$G$249</definedName>
    <definedName name="v_96_SMg">Model!$AZ$249</definedName>
    <definedName name="v_96_SMM_index">Model!$CU$249</definedName>
    <definedName name="v_96_SN_B">Model!$AH$249</definedName>
    <definedName name="v_96_SN2">Model!$AG$249</definedName>
    <definedName name="v_96_SNHx">Model!$AD$249</definedName>
    <definedName name="v_96_SNO2">Model!$AE$249</definedName>
    <definedName name="v_96_SNO3">Model!$AF$249</definedName>
    <definedName name="v_96_SO2">Model!$AR$249</definedName>
    <definedName name="v_96_SORPswitch">Model!$CF$249</definedName>
    <definedName name="v_96_SP_B">Model!$AN$249</definedName>
    <definedName name="v_96_SPFOA">Model!$BZ$249</definedName>
    <definedName name="v_96_SPFOS">Model!$CB$249</definedName>
    <definedName name="v_96_SPO4">Model!$AL$249</definedName>
    <definedName name="v_96_SSO4">Model!$BC$249</definedName>
    <definedName name="v_96_SU">Model!$K$249</definedName>
    <definedName name="v_96_SVFA">Model!$E$249</definedName>
    <definedName name="v_96_XACP">Model!$BU$249</definedName>
    <definedName name="v_96_XALGAE">Model!$AC$249</definedName>
    <definedName name="v_96_XAMETO">Model!$X$249</definedName>
    <definedName name="v_96_XAMX">Model!$W$249</definedName>
    <definedName name="v_96_XAOB">Model!$U$249</definedName>
    <definedName name="v_96_XASRO">Model!$Z$249</definedName>
    <definedName name="v_96_XB">Model!$I$249</definedName>
    <definedName name="v_96_XB_e">Model!$J$249</definedName>
    <definedName name="v_96_XBSH">Model!$BV$249</definedName>
    <definedName name="v_96_XCaCO3">Model!$BT$249</definedName>
    <definedName name="v_96_XCASTO">Model!$S$249</definedName>
    <definedName name="v_96_XE">Model!$P$249</definedName>
    <definedName name="v_96_XE_ana">Model!$Q$249</definedName>
    <definedName name="v_96_XFeS">Model!$BY$249</definedName>
    <definedName name="v_96_XHAO_H">Model!$BM$249</definedName>
    <definedName name="v_96_XHAO_H_P">Model!$BP$249</definedName>
    <definedName name="v_96_XHAO_H_P_old">Model!$BR$249</definedName>
    <definedName name="v_96_XHAO_L">Model!$BN$249</definedName>
    <definedName name="v_96_XHAO_L_P">Model!$BQ$249</definedName>
    <definedName name="v_96_XHAO_L_P_old">Model!$BS$249</definedName>
    <definedName name="v_96_XHAO_old">Model!$BO$249</definedName>
    <definedName name="v_96_XHFO_H">Model!$BF$249</definedName>
    <definedName name="v_96_XHFO_H_P">Model!$BI$249</definedName>
    <definedName name="v_96_XHFO_H_P_old">Model!$BK$249</definedName>
    <definedName name="v_96_XHFO_L">Model!$BG$249</definedName>
    <definedName name="v_96_XHFO_L_P">Model!$BJ$249</definedName>
    <definedName name="v_96_XHFO_L_P_old">Model!$BL$249</definedName>
    <definedName name="v_96_XHFO_old">Model!$BH$249</definedName>
    <definedName name="v_96_XHMETO">Model!$Y$249</definedName>
    <definedName name="v_96_XHSRO">Model!$AA$249</definedName>
    <definedName name="v_96_XINORG">Model!$AV$249</definedName>
    <definedName name="v_96_XMEOLO">Model!$T$249</definedName>
    <definedName name="v_96_XN_B">Model!$AI$249</definedName>
    <definedName name="v_96_XN_Be">Model!$AJ$249</definedName>
    <definedName name="v_96_XN_U">Model!$AK$249</definedName>
    <definedName name="v_96_XNOB">Model!$V$249</definedName>
    <definedName name="v_96_XOHO">Model!$R$249</definedName>
    <definedName name="v_96_XP_B">Model!$AO$249</definedName>
    <definedName name="v_96_XP_Be">Model!$AP$249</definedName>
    <definedName name="v_96_XP_U">Model!$AQ$249</definedName>
    <definedName name="v_96_XPFOA">Model!$CA$249</definedName>
    <definedName name="v_96_XPFOS">Model!$CC$249</definedName>
    <definedName name="v_96_XPHA_GAO">Model!$O$249</definedName>
    <definedName name="v_96_XPHA_PAO">Model!$N$249</definedName>
    <definedName name="v_96_XPP">Model!$AM$249</definedName>
    <definedName name="v_96_XS">Model!$BD$249</definedName>
    <definedName name="v_96_XSOO">Model!$AB$249</definedName>
    <definedName name="v_96_XSTR">Model!$BW$249</definedName>
    <definedName name="v_96_XU">Model!$M$249</definedName>
    <definedName name="v_96_XVivi">Model!$BX$249</definedName>
    <definedName name="v_97_CB">Model!$H$250</definedName>
    <definedName name="v_97_CU">Model!$L$250</definedName>
    <definedName name="v_97_GCH4">Model!$CH$250</definedName>
    <definedName name="v_97_GCH4_atm">Model!$CO$250</definedName>
    <definedName name="v_97_GCO2">Model!$CG$250</definedName>
    <definedName name="v_97_GCO2_atm">Model!$CN$250</definedName>
    <definedName name="v_97_GH2">Model!$CI$250</definedName>
    <definedName name="v_97_GH2_atm">Model!$CP$250</definedName>
    <definedName name="v_97_GH2S">Model!$CM$250</definedName>
    <definedName name="v_97_GH2S_atm">Model!$CT$250</definedName>
    <definedName name="v_97_GN2">Model!$CL$250</definedName>
    <definedName name="v_97_GN2_atm">Model!$CS$250</definedName>
    <definedName name="v_97_GNH3">Model!$CK$250</definedName>
    <definedName name="v_97_GNH3_atm">Model!$CR$250</definedName>
    <definedName name="v_97_GO2">Model!$CJ$250</definedName>
    <definedName name="v_97_GO2_atm">Model!$CQ$250</definedName>
    <definedName name="v_97_SALPHA">Model!$CE$250</definedName>
    <definedName name="v_97_SAN">Model!$AX$250</definedName>
    <definedName name="v_97_SB">Model!$F$250</definedName>
    <definedName name="v_97_SCa">Model!$AY$250</definedName>
    <definedName name="v_97_SCAT">Model!$AW$250</definedName>
    <definedName name="v_97_SCH4">Model!$AS$250</definedName>
    <definedName name="v_97_SCO2">Model!$AU$250</definedName>
    <definedName name="v_97_SFe2">Model!$BE$250</definedName>
    <definedName name="v_97_SH">Model!$CD$250</definedName>
    <definedName name="v_97_SH2">Model!$AT$250</definedName>
    <definedName name="v_97_SH2S">Model!$BB$250</definedName>
    <definedName name="v_97_SK">Model!$BA$250</definedName>
    <definedName name="v_97_SMEOL">Model!$G$250</definedName>
    <definedName name="v_97_SMg">Model!$AZ$250</definedName>
    <definedName name="v_97_SMM_index">Model!$CU$250</definedName>
    <definedName name="v_97_SN_B">Model!$AH$250</definedName>
    <definedName name="v_97_SN2">Model!$AG$250</definedName>
    <definedName name="v_97_SNHx">Model!$AD$250</definedName>
    <definedName name="v_97_SNO2">Model!$AE$250</definedName>
    <definedName name="v_97_SNO3">Model!$AF$250</definedName>
    <definedName name="v_97_SO2">Model!$AR$250</definedName>
    <definedName name="v_97_SORPswitch">Model!$CF$250</definedName>
    <definedName name="v_97_SP_B">Model!$AN$250</definedName>
    <definedName name="v_97_SPFOA">Model!$BZ$250</definedName>
    <definedName name="v_97_SPFOS">Model!$CB$250</definedName>
    <definedName name="v_97_SPO4">Model!$AL$250</definedName>
    <definedName name="v_97_SSO4">Model!$BC$250</definedName>
    <definedName name="v_97_SU">Model!$K$250</definedName>
    <definedName name="v_97_SVFA">Model!$E$250</definedName>
    <definedName name="v_97_XACP">Model!$BU$250</definedName>
    <definedName name="v_97_XALGAE">Model!$AC$250</definedName>
    <definedName name="v_97_XAMETO">Model!$X$250</definedName>
    <definedName name="v_97_XAMX">Model!$W$250</definedName>
    <definedName name="v_97_XAOB">Model!$U$250</definedName>
    <definedName name="v_97_XASRO">Model!$Z$250</definedName>
    <definedName name="v_97_XB">Model!$I$250</definedName>
    <definedName name="v_97_XB_e">Model!$J$250</definedName>
    <definedName name="v_97_XBSH">Model!$BV$250</definedName>
    <definedName name="v_97_XCaCO3">Model!$BT$250</definedName>
    <definedName name="v_97_XCASTO">Model!$S$250</definedName>
    <definedName name="v_97_XE">Model!$P$250</definedName>
    <definedName name="v_97_XE_ana">Model!$Q$250</definedName>
    <definedName name="v_97_XFeS">Model!$BY$250</definedName>
    <definedName name="v_97_XHAO_H">Model!$BM$250</definedName>
    <definedName name="v_97_XHAO_H_P">Model!$BP$250</definedName>
    <definedName name="v_97_XHAO_H_P_old">Model!$BR$250</definedName>
    <definedName name="v_97_XHAO_L">Model!$BN$250</definedName>
    <definedName name="v_97_XHAO_L_P">Model!$BQ$250</definedName>
    <definedName name="v_97_XHAO_L_P_old">Model!$BS$250</definedName>
    <definedName name="v_97_XHAO_old">Model!$BO$250</definedName>
    <definedName name="v_97_XHFO_H">Model!$BF$250</definedName>
    <definedName name="v_97_XHFO_H_P">Model!$BI$250</definedName>
    <definedName name="v_97_XHFO_H_P_old">Model!$BK$250</definedName>
    <definedName name="v_97_XHFO_L">Model!$BG$250</definedName>
    <definedName name="v_97_XHFO_L_P">Model!$BJ$250</definedName>
    <definedName name="v_97_XHFO_L_P_old">Model!$BL$250</definedName>
    <definedName name="v_97_XHFO_old">Model!$BH$250</definedName>
    <definedName name="v_97_XHMETO">Model!$Y$250</definedName>
    <definedName name="v_97_XHSRO">Model!$AA$250</definedName>
    <definedName name="v_97_XINORG">Model!$AV$250</definedName>
    <definedName name="v_97_XMEOLO">Model!$T$250</definedName>
    <definedName name="v_97_XN_B">Model!$AI$250</definedName>
    <definedName name="v_97_XN_Be">Model!$AJ$250</definedName>
    <definedName name="v_97_XN_U">Model!$AK$250</definedName>
    <definedName name="v_97_XNOB">Model!$V$250</definedName>
    <definedName name="v_97_XOHO">Model!$R$250</definedName>
    <definedName name="v_97_XP_B">Model!$AO$250</definedName>
    <definedName name="v_97_XP_Be">Model!$AP$250</definedName>
    <definedName name="v_97_XP_U">Model!$AQ$250</definedName>
    <definedName name="v_97_XPFOA">Model!$CA$250</definedName>
    <definedName name="v_97_XPFOS">Model!$CC$250</definedName>
    <definedName name="v_97_XPHA_GAO">Model!$O$250</definedName>
    <definedName name="v_97_XPHA_PAO">Model!$N$250</definedName>
    <definedName name="v_97_XPP">Model!$AM$250</definedName>
    <definedName name="v_97_XS">Model!$BD$250</definedName>
    <definedName name="v_97_XSOO">Model!$AB$250</definedName>
    <definedName name="v_97_XSTR">Model!$BW$250</definedName>
    <definedName name="v_97_XU">Model!$M$250</definedName>
    <definedName name="v_97_XVivi">Model!$BX$250</definedName>
    <definedName name="v_98_CB">Model!$H$251</definedName>
    <definedName name="v_98_CU">Model!$L$251</definedName>
    <definedName name="v_98_GCH4">Model!$CH$251</definedName>
    <definedName name="v_98_GCH4_atm">Model!$CO$251</definedName>
    <definedName name="v_98_GCO2">Model!$CG$251</definedName>
    <definedName name="v_98_GCO2_atm">Model!$CN$251</definedName>
    <definedName name="v_98_GH2">Model!$CI$251</definedName>
    <definedName name="v_98_GH2_atm">Model!$CP$251</definedName>
    <definedName name="v_98_GH2S">Model!$CM$251</definedName>
    <definedName name="v_98_GH2S_atm">Model!$CT$251</definedName>
    <definedName name="v_98_GN2">Model!$CL$251</definedName>
    <definedName name="v_98_GN2_atm">Model!$CS$251</definedName>
    <definedName name="v_98_GNH3">Model!$CK$251</definedName>
    <definedName name="v_98_GNH3_atm">Model!$CR$251</definedName>
    <definedName name="v_98_GO2">Model!$CJ$251</definedName>
    <definedName name="v_98_GO2_atm">Model!$CQ$251</definedName>
    <definedName name="v_98_SALPHA">Model!$CE$251</definedName>
    <definedName name="v_98_SAN">Model!$AX$251</definedName>
    <definedName name="v_98_SB">Model!$F$251</definedName>
    <definedName name="v_98_SCa">Model!$AY$251</definedName>
    <definedName name="v_98_SCAT">Model!$AW$251</definedName>
    <definedName name="v_98_SCH4">Model!$AS$251</definedName>
    <definedName name="v_98_SCO2">Model!$AU$251</definedName>
    <definedName name="v_98_SFe2">Model!$BE$251</definedName>
    <definedName name="v_98_SH">Model!$CD$251</definedName>
    <definedName name="v_98_SH2">Model!$AT$251</definedName>
    <definedName name="v_98_SH2S">Model!$BB$251</definedName>
    <definedName name="v_98_SK">Model!$BA$251</definedName>
    <definedName name="v_98_SMEOL">Model!$G$251</definedName>
    <definedName name="v_98_SMg">Model!$AZ$251</definedName>
    <definedName name="v_98_SMM_index">Model!$CU$251</definedName>
    <definedName name="v_98_SN_B">Model!$AH$251</definedName>
    <definedName name="v_98_SN2">Model!$AG$251</definedName>
    <definedName name="v_98_SNHx">Model!$AD$251</definedName>
    <definedName name="v_98_SNO2">Model!$AE$251</definedName>
    <definedName name="v_98_SNO3">Model!$AF$251</definedName>
    <definedName name="v_98_SO2">Model!$AR$251</definedName>
    <definedName name="v_98_SORPswitch">Model!$CF$251</definedName>
    <definedName name="v_98_SP_B">Model!$AN$251</definedName>
    <definedName name="v_98_SPFOA">Model!$BZ$251</definedName>
    <definedName name="v_98_SPFOS">Model!$CB$251</definedName>
    <definedName name="v_98_SPO4">Model!$AL$251</definedName>
    <definedName name="v_98_SSO4">Model!$BC$251</definedName>
    <definedName name="v_98_SU">Model!$K$251</definedName>
    <definedName name="v_98_SVFA">Model!$E$251</definedName>
    <definedName name="v_98_XACP">Model!$BU$251</definedName>
    <definedName name="v_98_XALGAE">Model!$AC$251</definedName>
    <definedName name="v_98_XAMETO">Model!$X$251</definedName>
    <definedName name="v_98_XAMX">Model!$W$251</definedName>
    <definedName name="v_98_XAOB">Model!$U$251</definedName>
    <definedName name="v_98_XASRO">Model!$Z$251</definedName>
    <definedName name="v_98_XB">Model!$I$251</definedName>
    <definedName name="v_98_XB_e">Model!$J$251</definedName>
    <definedName name="v_98_XBSH">Model!$BV$251</definedName>
    <definedName name="v_98_XCaCO3">Model!$BT$251</definedName>
    <definedName name="v_98_XCASTO">Model!$S$251</definedName>
    <definedName name="v_98_XE">Model!$P$251</definedName>
    <definedName name="v_98_XE_ana">Model!$Q$251</definedName>
    <definedName name="v_98_XFeS">Model!$BY$251</definedName>
    <definedName name="v_98_XHAO_H">Model!$BM$251</definedName>
    <definedName name="v_98_XHAO_H_P">Model!$BP$251</definedName>
    <definedName name="v_98_XHAO_H_P_old">Model!$BR$251</definedName>
    <definedName name="v_98_XHAO_L">Model!$BN$251</definedName>
    <definedName name="v_98_XHAO_L_P">Model!$BQ$251</definedName>
    <definedName name="v_98_XHAO_L_P_old">Model!$BS$251</definedName>
    <definedName name="v_98_XHAO_old">Model!$BO$251</definedName>
    <definedName name="v_98_XHFO_H">Model!$BF$251</definedName>
    <definedName name="v_98_XHFO_H_P">Model!$BI$251</definedName>
    <definedName name="v_98_XHFO_H_P_old">Model!$BK$251</definedName>
    <definedName name="v_98_XHFO_L">Model!$BG$251</definedName>
    <definedName name="v_98_XHFO_L_P">Model!$BJ$251</definedName>
    <definedName name="v_98_XHFO_L_P_old">Model!$BL$251</definedName>
    <definedName name="v_98_XHFO_old">Model!$BH$251</definedName>
    <definedName name="v_98_XHMETO">Model!$Y$251</definedName>
    <definedName name="v_98_XHSRO">Model!$AA$251</definedName>
    <definedName name="v_98_XINORG">Model!$AV$251</definedName>
    <definedName name="v_98_XMEOLO">Model!$T$251</definedName>
    <definedName name="v_98_XN_B">Model!$AI$251</definedName>
    <definedName name="v_98_XN_Be">Model!$AJ$251</definedName>
    <definedName name="v_98_XN_U">Model!$AK$251</definedName>
    <definedName name="v_98_XNOB">Model!$V$251</definedName>
    <definedName name="v_98_XOHO">Model!$R$251</definedName>
    <definedName name="v_98_XP_B">Model!$AO$251</definedName>
    <definedName name="v_98_XP_Be">Model!$AP$251</definedName>
    <definedName name="v_98_XP_U">Model!$AQ$251</definedName>
    <definedName name="v_98_XPFOA">Model!$CA$251</definedName>
    <definedName name="v_98_XPFOS">Model!$CC$251</definedName>
    <definedName name="v_98_XPHA_GAO">Model!$O$251</definedName>
    <definedName name="v_98_XPHA_PAO">Model!$N$251</definedName>
    <definedName name="v_98_XPP">Model!$AM$251</definedName>
    <definedName name="v_98_XS">Model!$BD$251</definedName>
    <definedName name="v_98_XSOO">Model!$AB$251</definedName>
    <definedName name="v_98_XSTR">Model!$BW$251</definedName>
    <definedName name="v_98_XU">Model!$M$251</definedName>
    <definedName name="v_98_XVivi">Model!$BX$251</definedName>
    <definedName name="v_99_CB">Model!$H$252</definedName>
    <definedName name="v_99_CU">Model!$L$252</definedName>
    <definedName name="v_99_GCH4">Model!$CH$252</definedName>
    <definedName name="v_99_GCH4_atm">Model!$CO$252</definedName>
    <definedName name="v_99_GCO2">Model!$CG$252</definedName>
    <definedName name="v_99_GCO2_atm">Model!$CN$252</definedName>
    <definedName name="v_99_GH2">Model!$CI$252</definedName>
    <definedName name="v_99_GH2_atm">Model!$CP$252</definedName>
    <definedName name="v_99_GH2S">Model!$CM$252</definedName>
    <definedName name="v_99_GH2S_atm">Model!$CT$252</definedName>
    <definedName name="v_99_GN2">Model!$CL$252</definedName>
    <definedName name="v_99_GN2_atm">Model!$CS$252</definedName>
    <definedName name="v_99_GNH3">Model!$CK$252</definedName>
    <definedName name="v_99_GNH3_atm">Model!$CR$252</definedName>
    <definedName name="v_99_GO2">Model!$CJ$252</definedName>
    <definedName name="v_99_GO2_atm">Model!$CQ$252</definedName>
    <definedName name="v_99_SALPHA">Model!$CE$252</definedName>
    <definedName name="v_99_SAN">Model!$AX$252</definedName>
    <definedName name="v_99_SB">Model!$F$252</definedName>
    <definedName name="v_99_SCa">Model!$AY$252</definedName>
    <definedName name="v_99_SCAT">Model!$AW$252</definedName>
    <definedName name="v_99_SCH4">Model!$AS$252</definedName>
    <definedName name="v_99_SCO2">Model!$AU$252</definedName>
    <definedName name="v_99_SFe2">Model!$BE$252</definedName>
    <definedName name="v_99_SH">Model!$CD$252</definedName>
    <definedName name="v_99_SH2">Model!$AT$252</definedName>
    <definedName name="v_99_SH2S">Model!$BB$252</definedName>
    <definedName name="v_99_SK">Model!$BA$252</definedName>
    <definedName name="v_99_SMEOL">Model!$G$252</definedName>
    <definedName name="v_99_SMg">Model!$AZ$252</definedName>
    <definedName name="v_99_SMM_index">Model!$CU$252</definedName>
    <definedName name="v_99_SN_B">Model!$AH$252</definedName>
    <definedName name="v_99_SN2">Model!$AG$252</definedName>
    <definedName name="v_99_SNHx">Model!$AD$252</definedName>
    <definedName name="v_99_SNO2">Model!$AE$252</definedName>
    <definedName name="v_99_SNO3">Model!$AF$252</definedName>
    <definedName name="v_99_SO2">Model!$AR$252</definedName>
    <definedName name="v_99_SORPswitch">Model!$CF$252</definedName>
    <definedName name="v_99_SP_B">Model!$AN$252</definedName>
    <definedName name="v_99_SPFOA">Model!$BZ$252</definedName>
    <definedName name="v_99_SPFOS">Model!$CB$252</definedName>
    <definedName name="v_99_SPO4">Model!$AL$252</definedName>
    <definedName name="v_99_SSO4">Model!$BC$252</definedName>
    <definedName name="v_99_SU">Model!$K$252</definedName>
    <definedName name="v_99_SVFA">Model!$E$252</definedName>
    <definedName name="v_99_XACP">Model!$BU$252</definedName>
    <definedName name="v_99_XALGAE">Model!$AC$252</definedName>
    <definedName name="v_99_XAMETO">Model!$X$252</definedName>
    <definedName name="v_99_XAMX">Model!$W$252</definedName>
    <definedName name="v_99_XAOB">Model!$U$252</definedName>
    <definedName name="v_99_XASRO">Model!$Z$252</definedName>
    <definedName name="v_99_XB">Model!$I$252</definedName>
    <definedName name="v_99_XB_e">Model!$J$252</definedName>
    <definedName name="v_99_XBSH">Model!$BV$252</definedName>
    <definedName name="v_99_XCaCO3">Model!$BT$252</definedName>
    <definedName name="v_99_XCASTO">Model!$S$252</definedName>
    <definedName name="v_99_XE">Model!$P$252</definedName>
    <definedName name="v_99_XE_ana">Model!$Q$252</definedName>
    <definedName name="v_99_XFeS">Model!$BY$252</definedName>
    <definedName name="v_99_XHAO_H">Model!$BM$252</definedName>
    <definedName name="v_99_XHAO_H_P">Model!$BP$252</definedName>
    <definedName name="v_99_XHAO_H_P_old">Model!$BR$252</definedName>
    <definedName name="v_99_XHAO_L">Model!$BN$252</definedName>
    <definedName name="v_99_XHAO_L_P">Model!$BQ$252</definedName>
    <definedName name="v_99_XHAO_L_P_old">Model!$BS$252</definedName>
    <definedName name="v_99_XHAO_old">Model!$BO$252</definedName>
    <definedName name="v_99_XHFO_H">Model!$BF$252</definedName>
    <definedName name="v_99_XHFO_H_P">Model!$BI$252</definedName>
    <definedName name="v_99_XHFO_H_P_old">Model!$BK$252</definedName>
    <definedName name="v_99_XHFO_L">Model!$BG$252</definedName>
    <definedName name="v_99_XHFO_L_P">Model!$BJ$252</definedName>
    <definedName name="v_99_XHFO_L_P_old">Model!$BL$252</definedName>
    <definedName name="v_99_XHFO_old">Model!$BH$252</definedName>
    <definedName name="v_99_XHMETO">Model!$Y$252</definedName>
    <definedName name="v_99_XHSRO">Model!$AA$252</definedName>
    <definedName name="v_99_XINORG">Model!$AV$252</definedName>
    <definedName name="v_99_XMEOLO">Model!$T$252</definedName>
    <definedName name="v_99_XN_B">Model!$AI$252</definedName>
    <definedName name="v_99_XN_Be">Model!$AJ$252</definedName>
    <definedName name="v_99_XN_U">Model!$AK$252</definedName>
    <definedName name="v_99_XNOB">Model!$V$252</definedName>
    <definedName name="v_99_XOHO">Model!$R$252</definedName>
    <definedName name="v_99_XP_B">Model!$AO$252</definedName>
    <definedName name="v_99_XP_Be">Model!$AP$252</definedName>
    <definedName name="v_99_XP_U">Model!$AQ$252</definedName>
    <definedName name="v_99_XPFOA">Model!$CA$252</definedName>
    <definedName name="v_99_XPFOS">Model!$CC$252</definedName>
    <definedName name="v_99_XPHA_GAO">Model!$O$252</definedName>
    <definedName name="v_99_XPHA_PAO">Model!$N$252</definedName>
    <definedName name="v_99_XPP">Model!$AM$252</definedName>
    <definedName name="v_99_XS">Model!$BD$252</definedName>
    <definedName name="v_99_XSOO">Model!$AB$252</definedName>
    <definedName name="v_99_XSTR">Model!$BW$252</definedName>
    <definedName name="v_99_XU">Model!$M$252</definedName>
    <definedName name="v_99_XVivi">Model!$BX$252</definedName>
    <definedName name="V_mol_N">systemcode_constants!$D$62</definedName>
    <definedName name="X_ACP">Components!$E$72</definedName>
    <definedName name="X_ALGAE">Components!$E$28</definedName>
    <definedName name="X_AMETO">Components!$E$23</definedName>
    <definedName name="X_AMX">Components!$E$22</definedName>
    <definedName name="X_AOB">Components!$E$20</definedName>
    <definedName name="X_ASRO">Components!$E$25</definedName>
    <definedName name="X_B">Components!$E$8</definedName>
    <definedName name="X_B_e">Components!$E$9</definedName>
    <definedName name="X_BIO">'Calculated variables'!$E$4</definedName>
    <definedName name="X_BOD_5">'Calculated variables'!$E$29</definedName>
    <definedName name="X_BOD_ult">'Calculated variables'!$E$26</definedName>
    <definedName name="X_BSH">Components!$E$73</definedName>
    <definedName name="X_CaCO3">Components!$E$71</definedName>
    <definedName name="X_CASTO">Components!$E$18</definedName>
    <definedName name="X_COD">'Calculated variables'!$E$6</definedName>
    <definedName name="X_CsbCOD">'Calculated variables'!$E$8</definedName>
    <definedName name="X_DM">'Calculated variables'!$E$24</definedName>
    <definedName name="X_E">Components!$E$15</definedName>
    <definedName name="X_E_ana">Components!$E$16</definedName>
    <definedName name="X_FeS">Components!$E$76</definedName>
    <definedName name="X_GAO">'Calculated variables'!$E$71</definedName>
    <definedName name="X_HAO">'Calculated variables'!$E$49</definedName>
    <definedName name="X_HAO_H">Components!$E$64</definedName>
    <definedName name="X_HAO_H_P">Components!$E$67</definedName>
    <definedName name="X_HAO_H_P_old">Components!$E$69</definedName>
    <definedName name="X_HAO_ISS">'Calculated variables'!$E$15</definedName>
    <definedName name="X_HAO_L">Components!$E$65</definedName>
    <definedName name="X_HAO_L_P">Components!$E$68</definedName>
    <definedName name="X_HAO_L_P_old">Components!$E$70</definedName>
    <definedName name="X_HAO_old">Components!$E$66</definedName>
    <definedName name="X_HAO_P">'Calculated variables'!$E$54</definedName>
    <definedName name="X_HAO_TSS">'Calculated variables'!$E$19</definedName>
    <definedName name="X_HET">'Calculated variables'!$E$5</definedName>
    <definedName name="X_HET_HYD_lim">Parameters!$D$305</definedName>
    <definedName name="X_HFO">'Calculated variables'!$E$47</definedName>
    <definedName name="X_HFO_H">Components!$E$57</definedName>
    <definedName name="X_HFO_H_P">Components!$E$60</definedName>
    <definedName name="X_HFO_H_P_old">Components!$E$62</definedName>
    <definedName name="X_HFO_ISS">'Calculated variables'!$E$14</definedName>
    <definedName name="X_HFO_L">Components!$E$58</definedName>
    <definedName name="X_HFO_L_P">Components!$E$61</definedName>
    <definedName name="X_HFO_L_P_old">Components!$E$63</definedName>
    <definedName name="X_HFO_old">Components!$E$59</definedName>
    <definedName name="X_HFO_P">'Calculated variables'!$E$53</definedName>
    <definedName name="X_HFO_TSS">'Calculated variables'!$E$18</definedName>
    <definedName name="X_HMETO">Components!$E$24</definedName>
    <definedName name="X_HSRO">Components!$E$26</definedName>
    <definedName name="X_INORG">Components!$E$47</definedName>
    <definedName name="X_ISS">'Calculated variables'!$E$22</definedName>
    <definedName name="X_KN">'Calculated variables'!$E$39</definedName>
    <definedName name="X_Me_H2O_TSS">'Calculated variables'!$E$20</definedName>
    <definedName name="X_Me_H2O_VSS">'Calculated variables'!$E$17</definedName>
    <definedName name="X_Me_ISS">'Calculated variables'!$E$16</definedName>
    <definedName name="X_Me_TSS">'Calculated variables'!$E$21</definedName>
    <definedName name="X_MEOLO">Components!$E$19</definedName>
    <definedName name="X_N_B">Components!$E$34</definedName>
    <definedName name="X_N_Be">Components!$E$35</definedName>
    <definedName name="X_N_U">Components!$E$36</definedName>
    <definedName name="X_NOB">Components!$E$21</definedName>
    <definedName name="X_OHO">Components!$E$17</definedName>
    <definedName name="X_P">'Calculated variables'!$E$44</definedName>
    <definedName name="X_P_B">Components!$E$40</definedName>
    <definedName name="X_P_Be">Components!$E$41</definedName>
    <definedName name="X_P_U">Components!$E$42</definedName>
    <definedName name="X_PAO">'Calculated variables'!$E$70</definedName>
    <definedName name="X_PFOA">Components!$E$78</definedName>
    <definedName name="X_PFOS">Components!$E$80</definedName>
    <definedName name="X_PHA_CASTO">'Calculated variables'!$E$66</definedName>
    <definedName name="X_PHA_GAO">Components!$E$14</definedName>
    <definedName name="X_PHA_PAO">Components!$E$13</definedName>
    <definedName name="X_PP">Components!$E$38</definedName>
    <definedName name="X_PP_PAO_min">Parameters!$D$69</definedName>
    <definedName name="X_precip">'Calculated variables'!$E$13</definedName>
    <definedName name="X_S">Components!$E$55</definedName>
    <definedName name="X_SOO">Components!$E$27</definedName>
    <definedName name="X_STC">'Calculated variables'!$E$67</definedName>
    <definedName name="X_STR">Components!$E$74</definedName>
    <definedName name="X_TSS">'Calculated variables'!$E$23</definedName>
    <definedName name="X_U">Components!$E$12</definedName>
    <definedName name="X_Vivi">Components!$E$75</definedName>
    <definedName name="X_VS">'Calculated variables'!$E$11</definedName>
    <definedName name="X_VS_ult">'Calculated variables'!$E$12</definedName>
    <definedName name="X_VSS">'Calculated variables'!$E$10</definedName>
    <definedName name="X_VSS_BIO">'Calculated variables'!$E$9</definedName>
    <definedName name="Y_AMETO">Parameters!$D$412</definedName>
    <definedName name="Y_AMX_NO2">Parameters!$D$410</definedName>
    <definedName name="Y_AMX_NO3">Parameters!$D$411</definedName>
    <definedName name="Y_AOB">Parameters!$D$408</definedName>
    <definedName name="Y_ASRO">Parameters!$D$418</definedName>
    <definedName name="Y_BOD_ult">Parameters!$D$478</definedName>
    <definedName name="Y_CASTO_H2_ana_high">Parameters!$D$400</definedName>
    <definedName name="Y_CASTO_H2_ana_low">Parameters!$D$401</definedName>
    <definedName name="Y_CASTO_SB_ana">Parameters!$D$399</definedName>
    <definedName name="Y_CASTO_STC_anox">'Calculated variables'!$E$76</definedName>
    <definedName name="Y_CASTO_STC_ox">'Calculated variables'!$E$75</definedName>
    <definedName name="y_fdi">'Calculated variables'!$E$621</definedName>
    <definedName name="y_fmono">'Calculated variables'!$E$620</definedName>
    <definedName name="y_ftri">'Calculated variables'!$E$622</definedName>
    <definedName name="Y_GAO_PHA_anox">Parameters!$D$407</definedName>
    <definedName name="Y_GAO_PHA_ox">Parameters!$D$406</definedName>
    <definedName name="Y_HMETO">Parameters!$D$413</definedName>
    <definedName name="Y_HSRO">Parameters!$D$419</definedName>
    <definedName name="Y_MEOLO">Parameters!$D$396</definedName>
    <definedName name="Y_NOB">Parameters!$D$409</definedName>
    <definedName name="Y_OHO_H2_ana_high">Parameters!$D$393</definedName>
    <definedName name="Y_OHO_H2_ana_low">Parameters!$D$394</definedName>
    <definedName name="Y_OHO_SB_ana">Parameters!$D$392</definedName>
    <definedName name="Y_OHO_SB_anox">Parameters!$D$391</definedName>
    <definedName name="Y_OHO_SB_ox">Parameters!$D$390</definedName>
    <definedName name="Y_OHO_SMEOL_ox">Parameters!$D$395</definedName>
    <definedName name="Y_OHO_VFA_anox">Parameters!$D$389</definedName>
    <definedName name="Y_OHO_VFA_ox">Parameters!$D$388</definedName>
    <definedName name="y_ORP_GAO_Half_T">'Calculated variables'!$E$91</definedName>
    <definedName name="Y_PAO_PHA_anox">Parameters!$D$398</definedName>
    <definedName name="Y_PAO_PHA_ox">Parameters!$D$397</definedName>
    <definedName name="Y_PP_CASTO_anox">Parameters!$D$403</definedName>
    <definedName name="Y_PP_CASTO_ox">Parameters!$D$402</definedName>
    <definedName name="Y_SOO_H2S_anox">Parameters!$D$415</definedName>
    <definedName name="Y_SOO_H2S_ox">Parameters!$D$414</definedName>
    <definedName name="Y_SOO_S_anox">Parameters!$D$417</definedName>
    <definedName name="Y_SOO_S_ox">Parameters!$D$416</definedName>
    <definedName name="α_pred">'Calculated variables'!$E$857</definedName>
    <definedName name="Δ_atm">systemcode_constants!$D$56</definedName>
    <definedName name="ε__">'Calculated variables'!$E$618</definedName>
    <definedName name="η_b_ana">Parameters!$D$284</definedName>
    <definedName name="η_b_anox">Parameters!$D$283</definedName>
    <definedName name="η_bCASTO_ana">Parameters!$D$52</definedName>
    <definedName name="η_bCASTO_anox">Parameters!$D$51</definedName>
    <definedName name="η_bPHA_ana">Parameters!$D$79</definedName>
    <definedName name="η_bPP_aer">Parameters!$D$54</definedName>
    <definedName name="η_bPP_anox">Parameters!$D$55</definedName>
    <definedName name="η_bSTC_anox">Parameters!$D$53</definedName>
    <definedName name="η_CASTO_anox">Parameters!$D$50</definedName>
    <definedName name="η_H2O">systemcode_constants!$D$42</definedName>
    <definedName name="η_HYD_ana">Parameters!$D$296</definedName>
    <definedName name="η_HYD_anox">Parameters!$D$295</definedName>
    <definedName name="η_OHO_anox">Parameters!$D$10</definedName>
    <definedName name="η_OHO_anox_NO2red">Parameters!$D$11</definedName>
    <definedName name="θ_µ_ALGAE">Parameters!$D$369</definedName>
    <definedName name="θ_µ_AMETO">Parameters!$D$365</definedName>
    <definedName name="θ_µ_AMX">Parameters!$D$356</definedName>
    <definedName name="θ_µ_AOB">Parameters!$D$352</definedName>
    <definedName name="θ_µ_ASRO">Parameters!$D$358</definedName>
    <definedName name="θ_µ_CASTO">Parameters!$D$343</definedName>
    <definedName name="θ_µ_HMETO">Parameters!$D$367</definedName>
    <definedName name="θ_µ_HSRO">Parameters!$D$359</definedName>
    <definedName name="θ_µ_MEOLO">Parameters!$D$341</definedName>
    <definedName name="θ_µ_NOB">Parameters!$D$354</definedName>
    <definedName name="θ_µ_OHO">Parameters!$D$338</definedName>
    <definedName name="θ_µ_PAO_lim">Parameters!$D$344</definedName>
    <definedName name="θ_µ_SOO_H2S">Parameters!$D$362</definedName>
    <definedName name="θ_µ_SOO_S">Parameters!$D$363</definedName>
    <definedName name="θ_b_ALGAE">Parameters!$D$370</definedName>
    <definedName name="θ_b_AMETO">Parameters!$D$366</definedName>
    <definedName name="θ_b_AMX">Parameters!$D$357</definedName>
    <definedName name="θ_b_AOB">Parameters!$D$353</definedName>
    <definedName name="θ_b_ASRO">Parameters!$D$360</definedName>
    <definedName name="θ_b_CASTO">Parameters!$D$348</definedName>
    <definedName name="θ_b_HMETO">Parameters!$D$368</definedName>
    <definedName name="θ_b_HSRO">Parameters!$D$361</definedName>
    <definedName name="θ_b_MEOLO">Parameters!$D$342</definedName>
    <definedName name="θ_b_NOB">Parameters!$D$355</definedName>
    <definedName name="θ_b_OHO">Parameters!$D$340</definedName>
    <definedName name="θ_b_PP_ana">Parameters!$D$350</definedName>
    <definedName name="θ_b_SOO">Parameters!$D$364</definedName>
    <definedName name="θ_b_STC">Parameters!$D$349</definedName>
    <definedName name="θ_FERM_OHO">Parameters!$D$339</definedName>
    <definedName name="θ_FERM_PAO">Parameters!$D$345</definedName>
    <definedName name="θ_q_AMMON">Parameters!$D$375</definedName>
    <definedName name="θ_q_ASSIM">Parameters!$D$379</definedName>
    <definedName name="θ_q_Fe2_OX">Parameters!$D$380</definedName>
    <definedName name="θ_q_FeS_OX">Parameters!$D$381</definedName>
    <definedName name="θ_q_FLOC">Parameters!$D$371</definedName>
    <definedName name="θ_q_FLOC_HAO">Parameters!$D$373</definedName>
    <definedName name="θ_q_FLOC_HFO">Parameters!$D$372</definedName>
    <definedName name="θ_q_GAO_PHA">Parameters!$D$351</definedName>
    <definedName name="θ_q_HFO_H2S_RED">Parameters!$D$383</definedName>
    <definedName name="θ_q_HFO_RED">Parameters!$D$382</definedName>
    <definedName name="θ_q_HYD">Parameters!$D$374</definedName>
    <definedName name="θ_q_PAO_PHA">Parameters!$D$347</definedName>
    <definedName name="θ_q_PAO_PP">Parameters!$D$346</definedName>
    <definedName name="θ_q_SPB">Parameters!$D$376</definedName>
    <definedName name="θ_q_XE">Parameters!$D$377</definedName>
    <definedName name="θ_q_XU">Parameters!$D$378</definedName>
    <definedName name="κ__">systemcode_constants!$D$63</definedName>
    <definedName name="λ_H">systemcode_constants!$D$356</definedName>
    <definedName name="ρ__">'Calculated variables'!$E$619</definedName>
    <definedName name="ρ_air">systemcode_constants!$D$50</definedName>
    <definedName name="ρ_H2O">systemcode_constants!$D$41</definedName>
    <definedName name="σ_H2O">systemcode_constants!$D$40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957" i="5" l="1"/>
  <c r="E956" i="5"/>
  <c r="E955" i="5"/>
  <c r="E954" i="5"/>
  <c r="E953" i="5"/>
  <c r="E952" i="5"/>
  <c r="E951" i="5"/>
  <c r="E947" i="5"/>
  <c r="E946" i="5"/>
  <c r="E945" i="5"/>
  <c r="E944" i="5"/>
  <c r="E943" i="5"/>
  <c r="E942" i="5"/>
  <c r="E941" i="5"/>
  <c r="E940" i="5"/>
  <c r="E939" i="5"/>
  <c r="E938" i="5"/>
  <c r="E937" i="5"/>
  <c r="E936" i="5"/>
  <c r="E935" i="5"/>
  <c r="E934" i="5"/>
  <c r="E933" i="5"/>
  <c r="E929" i="5"/>
  <c r="E928" i="5"/>
  <c r="E924" i="5"/>
  <c r="E923" i="5"/>
  <c r="E922" i="5"/>
  <c r="E921" i="5"/>
  <c r="E920" i="5"/>
  <c r="E919" i="5"/>
  <c r="E915" i="5"/>
  <c r="E914" i="5"/>
  <c r="E913" i="5"/>
  <c r="E912" i="5"/>
  <c r="E911" i="5"/>
  <c r="E907" i="5"/>
  <c r="E906" i="5"/>
  <c r="E905" i="5"/>
  <c r="E901" i="5"/>
  <c r="E900" i="5"/>
  <c r="E899" i="5"/>
  <c r="E898" i="5"/>
  <c r="E894" i="5"/>
  <c r="E893" i="5"/>
  <c r="E892" i="5"/>
  <c r="E891" i="5"/>
  <c r="E890" i="5"/>
  <c r="E889" i="5"/>
  <c r="E888" i="5"/>
  <c r="E884" i="5"/>
  <c r="E883" i="5"/>
  <c r="E879" i="5"/>
  <c r="E878" i="5"/>
  <c r="E877" i="5"/>
  <c r="E876" i="5"/>
  <c r="E875" i="5"/>
  <c r="E871" i="5"/>
  <c r="E867" i="5"/>
  <c r="E863" i="5"/>
  <c r="E862" i="5"/>
  <c r="E640" i="5" s="1"/>
  <c r="E857" i="5"/>
  <c r="E853" i="5"/>
  <c r="E852" i="5"/>
  <c r="E851" i="5"/>
  <c r="E850" i="5"/>
  <c r="E846" i="5"/>
  <c r="E845" i="5"/>
  <c r="E844" i="5"/>
  <c r="E843" i="5"/>
  <c r="E842" i="5"/>
  <c r="E841" i="5"/>
  <c r="E840" i="5"/>
  <c r="E839" i="5"/>
  <c r="E838" i="5"/>
  <c r="E837" i="5"/>
  <c r="E836" i="5"/>
  <c r="E835" i="5"/>
  <c r="E682" i="5"/>
  <c r="E642" i="5"/>
  <c r="E641" i="5"/>
  <c r="E639" i="5"/>
  <c r="E638" i="5"/>
  <c r="E637" i="5"/>
  <c r="E634" i="5"/>
  <c r="E633" i="5"/>
  <c r="E619" i="5"/>
  <c r="E618" i="5"/>
  <c r="E617" i="5" s="1"/>
  <c r="E613" i="5"/>
  <c r="E612" i="5"/>
  <c r="E611" i="5"/>
  <c r="E610" i="5"/>
  <c r="E609" i="5"/>
  <c r="CV239" i="1" s="1"/>
  <c r="E608" i="5"/>
  <c r="CV233" i="1" s="1"/>
  <c r="E607" i="5"/>
  <c r="E606" i="5"/>
  <c r="CV230" i="1" s="1"/>
  <c r="E605" i="5"/>
  <c r="E604" i="5"/>
  <c r="E603" i="5"/>
  <c r="E602" i="5"/>
  <c r="E601" i="5"/>
  <c r="E600" i="5"/>
  <c r="E599" i="5"/>
  <c r="E598" i="5"/>
  <c r="E597" i="5"/>
  <c r="E596" i="5"/>
  <c r="E595" i="5"/>
  <c r="E594" i="5"/>
  <c r="CV210" i="1" s="1"/>
  <c r="E593" i="5"/>
  <c r="CV206" i="1" s="1"/>
  <c r="E592" i="5"/>
  <c r="E591" i="5"/>
  <c r="E590" i="5"/>
  <c r="E589" i="5"/>
  <c r="E588" i="5"/>
  <c r="E587" i="5"/>
  <c r="E586" i="5"/>
  <c r="CV198" i="1" s="1"/>
  <c r="E585" i="5"/>
  <c r="E584" i="5"/>
  <c r="E583" i="5"/>
  <c r="E582" i="5"/>
  <c r="E581" i="5"/>
  <c r="E580" i="5"/>
  <c r="E579" i="5"/>
  <c r="E578" i="5"/>
  <c r="E577" i="5"/>
  <c r="E576" i="5"/>
  <c r="E575" i="5"/>
  <c r="E574" i="5"/>
  <c r="E573" i="5"/>
  <c r="E572" i="5"/>
  <c r="E571" i="5"/>
  <c r="E570" i="5"/>
  <c r="E569" i="5"/>
  <c r="E568" i="5"/>
  <c r="E567" i="5"/>
  <c r="E563" i="5"/>
  <c r="E562" i="5"/>
  <c r="E561" i="5"/>
  <c r="E560" i="5"/>
  <c r="E559" i="5"/>
  <c r="E558" i="5"/>
  <c r="E557" i="5"/>
  <c r="E556" i="5"/>
  <c r="E555" i="5"/>
  <c r="E554" i="5"/>
  <c r="E553" i="5"/>
  <c r="E552" i="5"/>
  <c r="CV243" i="1" s="1"/>
  <c r="E551" i="5"/>
  <c r="E550" i="5"/>
  <c r="E549" i="5"/>
  <c r="E548" i="5"/>
  <c r="E547" i="5"/>
  <c r="E546" i="5"/>
  <c r="E545" i="5"/>
  <c r="E544" i="5"/>
  <c r="E543" i="5"/>
  <c r="E542" i="5"/>
  <c r="E541" i="5"/>
  <c r="E540" i="5"/>
  <c r="E539" i="5"/>
  <c r="E538" i="5"/>
  <c r="E537" i="5"/>
  <c r="E536" i="5"/>
  <c r="E535" i="5"/>
  <c r="E534" i="5"/>
  <c r="E533" i="5"/>
  <c r="E532" i="5"/>
  <c r="E531" i="5"/>
  <c r="E530" i="5"/>
  <c r="E529" i="5"/>
  <c r="E528" i="5"/>
  <c r="E527" i="5"/>
  <c r="E526" i="5"/>
  <c r="CV222" i="1" s="1"/>
  <c r="E525" i="5"/>
  <c r="E524" i="5"/>
  <c r="E523" i="5"/>
  <c r="E522" i="5"/>
  <c r="E521" i="5"/>
  <c r="E520" i="5"/>
  <c r="E519" i="5"/>
  <c r="E518" i="5"/>
  <c r="E517" i="5"/>
  <c r="E516" i="5"/>
  <c r="E515" i="5"/>
  <c r="E514" i="5"/>
  <c r="E513" i="5"/>
  <c r="E512" i="5"/>
  <c r="E511" i="5"/>
  <c r="E510" i="5"/>
  <c r="E509" i="5"/>
  <c r="E508" i="5"/>
  <c r="E507" i="5"/>
  <c r="E506" i="5"/>
  <c r="E505" i="5"/>
  <c r="E504" i="5"/>
  <c r="E503" i="5"/>
  <c r="E502" i="5"/>
  <c r="E501" i="5"/>
  <c r="E500" i="5"/>
  <c r="E499" i="5"/>
  <c r="E498" i="5"/>
  <c r="E497" i="5"/>
  <c r="E496" i="5"/>
  <c r="E495" i="5"/>
  <c r="E494" i="5"/>
  <c r="E493" i="5"/>
  <c r="E492" i="5"/>
  <c r="E491" i="5"/>
  <c r="E490" i="5"/>
  <c r="E489" i="5"/>
  <c r="E488" i="5"/>
  <c r="E487" i="5"/>
  <c r="E486" i="5"/>
  <c r="E485" i="5"/>
  <c r="E484" i="5"/>
  <c r="E483" i="5"/>
  <c r="E482" i="5"/>
  <c r="E481" i="5"/>
  <c r="E480" i="5"/>
  <c r="E479" i="5"/>
  <c r="E478" i="5"/>
  <c r="E477" i="5"/>
  <c r="E476" i="5"/>
  <c r="E475" i="5"/>
  <c r="E474" i="5"/>
  <c r="E473" i="5"/>
  <c r="E472" i="5"/>
  <c r="E471" i="5"/>
  <c r="E470" i="5"/>
  <c r="E469" i="5"/>
  <c r="E468" i="5"/>
  <c r="E467" i="5"/>
  <c r="E466" i="5"/>
  <c r="E465" i="5"/>
  <c r="E464" i="5"/>
  <c r="E463" i="5"/>
  <c r="E462" i="5"/>
  <c r="E461" i="5"/>
  <c r="E460" i="5"/>
  <c r="E459" i="5"/>
  <c r="E458" i="5"/>
  <c r="E457" i="5"/>
  <c r="E456" i="5"/>
  <c r="E455" i="5"/>
  <c r="E454" i="5"/>
  <c r="E453" i="5"/>
  <c r="E452" i="5"/>
  <c r="E451" i="5"/>
  <c r="E450" i="5"/>
  <c r="E449" i="5"/>
  <c r="E448" i="5"/>
  <c r="E447" i="5"/>
  <c r="E446" i="5"/>
  <c r="E445" i="5"/>
  <c r="E444" i="5"/>
  <c r="E443" i="5"/>
  <c r="E442" i="5"/>
  <c r="E441" i="5"/>
  <c r="E440" i="5"/>
  <c r="E439" i="5"/>
  <c r="E438" i="5"/>
  <c r="E437" i="5"/>
  <c r="E436" i="5"/>
  <c r="E435" i="5"/>
  <c r="E434" i="5"/>
  <c r="E433" i="5"/>
  <c r="E432" i="5"/>
  <c r="E431" i="5"/>
  <c r="E430" i="5"/>
  <c r="E429" i="5"/>
  <c r="E428" i="5"/>
  <c r="E427" i="5"/>
  <c r="E426" i="5"/>
  <c r="E425" i="5"/>
  <c r="E424" i="5"/>
  <c r="E423" i="5"/>
  <c r="E422" i="5"/>
  <c r="E421" i="5"/>
  <c r="E420" i="5"/>
  <c r="E419" i="5"/>
  <c r="E418" i="5"/>
  <c r="E417" i="5"/>
  <c r="E416" i="5"/>
  <c r="E415" i="5"/>
  <c r="E414" i="5"/>
  <c r="E413" i="5"/>
  <c r="E412" i="5"/>
  <c r="E411" i="5"/>
  <c r="E410" i="5"/>
  <c r="E409" i="5"/>
  <c r="E408" i="5"/>
  <c r="E407" i="5"/>
  <c r="E406" i="5"/>
  <c r="E394" i="5"/>
  <c r="E392" i="5"/>
  <c r="E390" i="5"/>
  <c r="E388" i="5"/>
  <c r="E386" i="5"/>
  <c r="E384" i="5"/>
  <c r="E382" i="5"/>
  <c r="E378" i="5"/>
  <c r="E377" i="5"/>
  <c r="E376" i="5"/>
  <c r="E375" i="5"/>
  <c r="E374" i="5"/>
  <c r="E373" i="5"/>
  <c r="E371" i="5"/>
  <c r="E369" i="5"/>
  <c r="E368" i="5"/>
  <c r="E367" i="5"/>
  <c r="E365" i="5"/>
  <c r="E364" i="5"/>
  <c r="E363" i="5"/>
  <c r="E361" i="5"/>
  <c r="E360" i="5"/>
  <c r="E359" i="5"/>
  <c r="E358" i="5"/>
  <c r="E353" i="5"/>
  <c r="E351" i="5"/>
  <c r="E349" i="5"/>
  <c r="E347" i="5"/>
  <c r="E345" i="5"/>
  <c r="E343" i="5"/>
  <c r="E341" i="5"/>
  <c r="E339" i="5"/>
  <c r="E337" i="5"/>
  <c r="E335" i="5"/>
  <c r="E333" i="5"/>
  <c r="E331" i="5"/>
  <c r="E329" i="5"/>
  <c r="E327" i="5"/>
  <c r="E322" i="5"/>
  <c r="E320" i="5"/>
  <c r="E318" i="5"/>
  <c r="E316" i="5"/>
  <c r="E314" i="5"/>
  <c r="E312" i="5"/>
  <c r="E310" i="5"/>
  <c r="E308" i="5"/>
  <c r="E306" i="5"/>
  <c r="E301" i="5"/>
  <c r="E299" i="5"/>
  <c r="E297" i="5"/>
  <c r="E295" i="5"/>
  <c r="E293" i="5"/>
  <c r="E288" i="5"/>
  <c r="E286" i="5"/>
  <c r="E284" i="5"/>
  <c r="E282" i="5"/>
  <c r="E280" i="5"/>
  <c r="E275" i="5"/>
  <c r="E273" i="5"/>
  <c r="E271" i="5"/>
  <c r="E266" i="5"/>
  <c r="E264" i="5"/>
  <c r="E262" i="5"/>
  <c r="E260" i="5"/>
  <c r="E258" i="5"/>
  <c r="E253" i="5"/>
  <c r="E251" i="5"/>
  <c r="E249" i="5"/>
  <c r="E247" i="5"/>
  <c r="E245" i="5"/>
  <c r="E243" i="5"/>
  <c r="E241" i="5"/>
  <c r="E239" i="5"/>
  <c r="E237" i="5"/>
  <c r="E232" i="5"/>
  <c r="E230" i="5"/>
  <c r="E228" i="5"/>
  <c r="E226" i="5"/>
  <c r="E224" i="5"/>
  <c r="E218" i="5"/>
  <c r="E216" i="5"/>
  <c r="E214" i="5"/>
  <c r="E212" i="5"/>
  <c r="E210" i="5"/>
  <c r="E208" i="5"/>
  <c r="E206" i="5"/>
  <c r="E204" i="5"/>
  <c r="E202" i="5"/>
  <c r="E197" i="5"/>
  <c r="E195" i="5"/>
  <c r="E193" i="5"/>
  <c r="E192" i="5"/>
  <c r="E190" i="5"/>
  <c r="E188" i="5"/>
  <c r="E183" i="5"/>
  <c r="E181" i="5"/>
  <c r="E178" i="5"/>
  <c r="E177" i="5"/>
  <c r="E175" i="5"/>
  <c r="E170" i="5"/>
  <c r="E168" i="5"/>
  <c r="E165" i="5"/>
  <c r="E163" i="5"/>
  <c r="E161" i="5"/>
  <c r="E157" i="5"/>
  <c r="E106" i="5"/>
  <c r="E99" i="5"/>
  <c r="E92" i="5"/>
  <c r="E93" i="5" s="1"/>
  <c r="E91" i="5"/>
  <c r="E90" i="5"/>
  <c r="E89" i="5"/>
  <c r="E82" i="5"/>
  <c r="E81" i="5"/>
  <c r="E77" i="5"/>
  <c r="E76" i="5"/>
  <c r="E75" i="5"/>
  <c r="E71" i="5"/>
  <c r="E70" i="5"/>
  <c r="E69" i="5"/>
  <c r="E68" i="5"/>
  <c r="E67" i="5"/>
  <c r="E66" i="5"/>
  <c r="E62" i="5"/>
  <c r="E61" i="5"/>
  <c r="E60" i="5"/>
  <c r="E58" i="5"/>
  <c r="E55" i="5"/>
  <c r="E54" i="5"/>
  <c r="E53" i="5"/>
  <c r="E52" i="5"/>
  <c r="E51" i="5"/>
  <c r="E50" i="5"/>
  <c r="E49" i="5"/>
  <c r="E17" i="5" s="1"/>
  <c r="E48" i="5"/>
  <c r="E47" i="5"/>
  <c r="E18" i="5" s="1"/>
  <c r="E46" i="5"/>
  <c r="E45" i="5"/>
  <c r="E43" i="5"/>
  <c r="E42" i="5"/>
  <c r="E38" i="5" s="1"/>
  <c r="E41" i="5"/>
  <c r="E40" i="5"/>
  <c r="E39" i="5" s="1"/>
  <c r="E36" i="5"/>
  <c r="E35" i="5"/>
  <c r="E34" i="5"/>
  <c r="E33" i="5"/>
  <c r="E32" i="5"/>
  <c r="E31" i="5"/>
  <c r="E30" i="5"/>
  <c r="E29" i="5"/>
  <c r="E28" i="5"/>
  <c r="E27" i="5"/>
  <c r="E26" i="5"/>
  <c r="E25" i="5"/>
  <c r="E19" i="5"/>
  <c r="E15" i="5"/>
  <c r="E14" i="5"/>
  <c r="E13" i="5"/>
  <c r="E12" i="5"/>
  <c r="E10" i="5"/>
  <c r="E11" i="5" s="1"/>
  <c r="E9" i="5"/>
  <c r="E8" i="5"/>
  <c r="E7" i="5"/>
  <c r="E6" i="5"/>
  <c r="E5" i="5"/>
  <c r="E4" i="5"/>
  <c r="DI283" i="1"/>
  <c r="DH283" i="1"/>
  <c r="DG283" i="1"/>
  <c r="DF283" i="1"/>
  <c r="DE283" i="1"/>
  <c r="DD283" i="1"/>
  <c r="DC283" i="1"/>
  <c r="DB283" i="1"/>
  <c r="DA283" i="1"/>
  <c r="CZ283" i="1"/>
  <c r="CY283" i="1"/>
  <c r="CX283" i="1"/>
  <c r="DI282" i="1"/>
  <c r="DH282" i="1"/>
  <c r="DG282" i="1"/>
  <c r="DF282" i="1"/>
  <c r="DE282" i="1"/>
  <c r="DD282" i="1"/>
  <c r="DC282" i="1"/>
  <c r="DB282" i="1"/>
  <c r="DA282" i="1"/>
  <c r="CZ282" i="1"/>
  <c r="CY282" i="1"/>
  <c r="CX282" i="1"/>
  <c r="DI281" i="1"/>
  <c r="DH281" i="1"/>
  <c r="DG281" i="1"/>
  <c r="DF281" i="1"/>
  <c r="DE281" i="1"/>
  <c r="DD281" i="1"/>
  <c r="DC281" i="1"/>
  <c r="DB281" i="1"/>
  <c r="DA281" i="1"/>
  <c r="CZ281" i="1"/>
  <c r="CY281" i="1"/>
  <c r="CX281" i="1"/>
  <c r="DI280" i="1"/>
  <c r="DH280" i="1"/>
  <c r="DG280" i="1"/>
  <c r="DF280" i="1"/>
  <c r="DE280" i="1"/>
  <c r="DD280" i="1"/>
  <c r="DC280" i="1"/>
  <c r="DB280" i="1"/>
  <c r="DA280" i="1"/>
  <c r="CZ280" i="1"/>
  <c r="CY280" i="1"/>
  <c r="CX280" i="1"/>
  <c r="DI279" i="1"/>
  <c r="DH279" i="1"/>
  <c r="DG279" i="1"/>
  <c r="DF279" i="1"/>
  <c r="DE279" i="1"/>
  <c r="DD279" i="1"/>
  <c r="DC279" i="1"/>
  <c r="DB279" i="1"/>
  <c r="DA279" i="1"/>
  <c r="CZ279" i="1"/>
  <c r="CY279" i="1"/>
  <c r="CX279" i="1"/>
  <c r="DI278" i="1"/>
  <c r="DH278" i="1"/>
  <c r="DG278" i="1"/>
  <c r="DF278" i="1"/>
  <c r="DE278" i="1"/>
  <c r="DD278" i="1"/>
  <c r="DC278" i="1"/>
  <c r="DB278" i="1"/>
  <c r="DA278" i="1"/>
  <c r="CZ278" i="1"/>
  <c r="CY278" i="1"/>
  <c r="CX278" i="1"/>
  <c r="DI277" i="1"/>
  <c r="DH277" i="1"/>
  <c r="DG277" i="1"/>
  <c r="DF277" i="1"/>
  <c r="DE277" i="1"/>
  <c r="DD277" i="1"/>
  <c r="DC277" i="1"/>
  <c r="DB277" i="1"/>
  <c r="DA277" i="1"/>
  <c r="CZ277" i="1"/>
  <c r="CY277" i="1"/>
  <c r="CX277" i="1"/>
  <c r="DI276" i="1"/>
  <c r="DH276" i="1"/>
  <c r="DG276" i="1"/>
  <c r="DF276" i="1"/>
  <c r="DE276" i="1"/>
  <c r="DD276" i="1"/>
  <c r="DC276" i="1"/>
  <c r="DB276" i="1"/>
  <c r="DA276" i="1"/>
  <c r="CZ276" i="1"/>
  <c r="CY276" i="1"/>
  <c r="CX276" i="1"/>
  <c r="DI275" i="1"/>
  <c r="DH275" i="1"/>
  <c r="DG275" i="1"/>
  <c r="DF275" i="1"/>
  <c r="DE275" i="1"/>
  <c r="DD275" i="1"/>
  <c r="DC275" i="1"/>
  <c r="DB275" i="1"/>
  <c r="DA275" i="1"/>
  <c r="CZ275" i="1"/>
  <c r="CY275" i="1"/>
  <c r="CX275" i="1"/>
  <c r="DI274" i="1"/>
  <c r="DH274" i="1"/>
  <c r="DG274" i="1"/>
  <c r="DF274" i="1"/>
  <c r="DE274" i="1"/>
  <c r="DD274" i="1"/>
  <c r="DC274" i="1"/>
  <c r="DB274" i="1"/>
  <c r="DA274" i="1"/>
  <c r="CZ274" i="1"/>
  <c r="CY274" i="1"/>
  <c r="CX274" i="1"/>
  <c r="DI273" i="1"/>
  <c r="DH273" i="1"/>
  <c r="DG273" i="1"/>
  <c r="DF273" i="1"/>
  <c r="DE273" i="1"/>
  <c r="DD273" i="1"/>
  <c r="DC273" i="1"/>
  <c r="DB273" i="1"/>
  <c r="DA273" i="1"/>
  <c r="CZ273" i="1"/>
  <c r="CY273" i="1"/>
  <c r="CX273" i="1"/>
  <c r="DI272" i="1"/>
  <c r="DH272" i="1"/>
  <c r="DG272" i="1"/>
  <c r="DF272" i="1"/>
  <c r="DE272" i="1"/>
  <c r="DD272" i="1"/>
  <c r="DC272" i="1"/>
  <c r="DB272" i="1"/>
  <c r="DA272" i="1"/>
  <c r="CZ272" i="1"/>
  <c r="CY272" i="1"/>
  <c r="CX272" i="1"/>
  <c r="DI271" i="1"/>
  <c r="DH271" i="1"/>
  <c r="DG271" i="1"/>
  <c r="DF271" i="1"/>
  <c r="DE271" i="1"/>
  <c r="DD271" i="1"/>
  <c r="DC271" i="1"/>
  <c r="DB271" i="1"/>
  <c r="DA271" i="1"/>
  <c r="CZ271" i="1"/>
  <c r="CY271" i="1"/>
  <c r="CX271" i="1"/>
  <c r="DI270" i="1"/>
  <c r="DH270" i="1"/>
  <c r="DG270" i="1"/>
  <c r="DF270" i="1"/>
  <c r="DE270" i="1"/>
  <c r="DD270" i="1"/>
  <c r="DC270" i="1"/>
  <c r="DB270" i="1"/>
  <c r="DA270" i="1"/>
  <c r="CZ270" i="1"/>
  <c r="CY270" i="1"/>
  <c r="CX270" i="1"/>
  <c r="DI269" i="1"/>
  <c r="DH269" i="1"/>
  <c r="DG269" i="1"/>
  <c r="DF269" i="1"/>
  <c r="DE269" i="1"/>
  <c r="DD269" i="1"/>
  <c r="DC269" i="1"/>
  <c r="DB269" i="1"/>
  <c r="DA269" i="1"/>
  <c r="CZ269" i="1"/>
  <c r="CY269" i="1"/>
  <c r="CX269" i="1"/>
  <c r="DI268" i="1"/>
  <c r="DH268" i="1"/>
  <c r="DG268" i="1"/>
  <c r="DF268" i="1"/>
  <c r="DE268" i="1"/>
  <c r="DD268" i="1"/>
  <c r="DC268" i="1"/>
  <c r="DB268" i="1"/>
  <c r="DA268" i="1"/>
  <c r="CZ268" i="1"/>
  <c r="CY268" i="1"/>
  <c r="CX268" i="1"/>
  <c r="DI267" i="1"/>
  <c r="DH267" i="1"/>
  <c r="DG267" i="1"/>
  <c r="DF267" i="1"/>
  <c r="DE267" i="1"/>
  <c r="DD267" i="1"/>
  <c r="DC267" i="1"/>
  <c r="DB267" i="1"/>
  <c r="DA267" i="1"/>
  <c r="CZ267" i="1"/>
  <c r="CY267" i="1"/>
  <c r="CX267" i="1"/>
  <c r="DI266" i="1"/>
  <c r="DH266" i="1"/>
  <c r="DG266" i="1"/>
  <c r="DF266" i="1"/>
  <c r="DE266" i="1"/>
  <c r="DD266" i="1"/>
  <c r="DC266" i="1"/>
  <c r="DB266" i="1"/>
  <c r="DA266" i="1"/>
  <c r="CZ266" i="1"/>
  <c r="CY266" i="1"/>
  <c r="CX266" i="1"/>
  <c r="DI265" i="1"/>
  <c r="DH265" i="1"/>
  <c r="DG265" i="1"/>
  <c r="DF265" i="1"/>
  <c r="DE265" i="1"/>
  <c r="DD265" i="1"/>
  <c r="DC265" i="1"/>
  <c r="DB265" i="1"/>
  <c r="DA265" i="1"/>
  <c r="CZ265" i="1"/>
  <c r="CY265" i="1"/>
  <c r="CX265" i="1"/>
  <c r="DI264" i="1"/>
  <c r="DH264" i="1"/>
  <c r="DG264" i="1"/>
  <c r="DF264" i="1"/>
  <c r="DE264" i="1"/>
  <c r="DD264" i="1"/>
  <c r="DC264" i="1"/>
  <c r="DB264" i="1"/>
  <c r="DA264" i="1"/>
  <c r="CZ264" i="1"/>
  <c r="CY264" i="1"/>
  <c r="CX264" i="1"/>
  <c r="DI263" i="1"/>
  <c r="DH263" i="1"/>
  <c r="DG263" i="1"/>
  <c r="DF263" i="1"/>
  <c r="DE263" i="1"/>
  <c r="DD263" i="1"/>
  <c r="DC263" i="1"/>
  <c r="DB263" i="1"/>
  <c r="DA263" i="1"/>
  <c r="CZ263" i="1"/>
  <c r="CY263" i="1"/>
  <c r="CX263" i="1"/>
  <c r="DI262" i="1"/>
  <c r="DH262" i="1"/>
  <c r="DG262" i="1"/>
  <c r="DF262" i="1"/>
  <c r="DE262" i="1"/>
  <c r="DD262" i="1"/>
  <c r="DC262" i="1"/>
  <c r="DB262" i="1"/>
  <c r="DA262" i="1"/>
  <c r="CZ262" i="1"/>
  <c r="CY262" i="1"/>
  <c r="CX262" i="1"/>
  <c r="DI261" i="1"/>
  <c r="DH261" i="1"/>
  <c r="DG261" i="1"/>
  <c r="DF261" i="1"/>
  <c r="DE261" i="1"/>
  <c r="DD261" i="1"/>
  <c r="DC261" i="1"/>
  <c r="DB261" i="1"/>
  <c r="DA261" i="1"/>
  <c r="CZ261" i="1"/>
  <c r="CY261" i="1"/>
  <c r="CX261" i="1"/>
  <c r="DI260" i="1"/>
  <c r="DH260" i="1"/>
  <c r="DG260" i="1"/>
  <c r="DF260" i="1"/>
  <c r="DE260" i="1"/>
  <c r="DD260" i="1"/>
  <c r="DC260" i="1"/>
  <c r="DB260" i="1"/>
  <c r="DA260" i="1"/>
  <c r="CZ260" i="1"/>
  <c r="CY260" i="1"/>
  <c r="CX260" i="1"/>
  <c r="DI259" i="1"/>
  <c r="DH259" i="1"/>
  <c r="DG259" i="1"/>
  <c r="DF259" i="1"/>
  <c r="DE259" i="1"/>
  <c r="DD259" i="1"/>
  <c r="DC259" i="1"/>
  <c r="DB259" i="1"/>
  <c r="DA259" i="1"/>
  <c r="CZ259" i="1"/>
  <c r="CY259" i="1"/>
  <c r="CX259" i="1"/>
  <c r="DI258" i="1"/>
  <c r="DH258" i="1"/>
  <c r="DG258" i="1"/>
  <c r="DF258" i="1"/>
  <c r="DE258" i="1"/>
  <c r="DD258" i="1"/>
  <c r="DC258" i="1"/>
  <c r="DB258" i="1"/>
  <c r="DA258" i="1"/>
  <c r="CZ258" i="1"/>
  <c r="CY258" i="1"/>
  <c r="CX258" i="1"/>
  <c r="DI257" i="1"/>
  <c r="DH257" i="1"/>
  <c r="DG257" i="1"/>
  <c r="DF257" i="1"/>
  <c r="DE257" i="1"/>
  <c r="DD257" i="1"/>
  <c r="DC257" i="1"/>
  <c r="DB257" i="1"/>
  <c r="DA257" i="1"/>
  <c r="CZ257" i="1"/>
  <c r="CY257" i="1"/>
  <c r="CX257" i="1"/>
  <c r="DI256" i="1"/>
  <c r="DH256" i="1"/>
  <c r="DG256" i="1"/>
  <c r="DF256" i="1"/>
  <c r="DE256" i="1"/>
  <c r="DD256" i="1"/>
  <c r="DC256" i="1"/>
  <c r="DB256" i="1"/>
  <c r="DA256" i="1"/>
  <c r="CZ256" i="1"/>
  <c r="CY256" i="1"/>
  <c r="CX256" i="1"/>
  <c r="DI253" i="1"/>
  <c r="DH253" i="1"/>
  <c r="DG253" i="1"/>
  <c r="DF253" i="1"/>
  <c r="DE253" i="1"/>
  <c r="DD253" i="1"/>
  <c r="DC253" i="1"/>
  <c r="DB253" i="1"/>
  <c r="DA253" i="1"/>
  <c r="CZ253" i="1"/>
  <c r="CY253" i="1"/>
  <c r="CX253" i="1"/>
  <c r="DI252" i="1"/>
  <c r="DH252" i="1"/>
  <c r="DG252" i="1"/>
  <c r="DF252" i="1"/>
  <c r="DE252" i="1"/>
  <c r="DD252" i="1"/>
  <c r="DC252" i="1"/>
  <c r="DB252" i="1"/>
  <c r="DA252" i="1"/>
  <c r="CZ252" i="1"/>
  <c r="CY252" i="1"/>
  <c r="CX252" i="1"/>
  <c r="DI251" i="1"/>
  <c r="DH251" i="1"/>
  <c r="DG251" i="1"/>
  <c r="DF251" i="1"/>
  <c r="DE251" i="1"/>
  <c r="DD251" i="1"/>
  <c r="DC251" i="1"/>
  <c r="DB251" i="1"/>
  <c r="DA251" i="1"/>
  <c r="CZ251" i="1"/>
  <c r="CY251" i="1"/>
  <c r="CX251" i="1"/>
  <c r="DI250" i="1"/>
  <c r="DH250" i="1"/>
  <c r="DG250" i="1"/>
  <c r="DF250" i="1"/>
  <c r="DE250" i="1"/>
  <c r="DD250" i="1"/>
  <c r="DC250" i="1"/>
  <c r="DB250" i="1"/>
  <c r="DA250" i="1"/>
  <c r="CZ250" i="1"/>
  <c r="CY250" i="1"/>
  <c r="CX250" i="1"/>
  <c r="DI249" i="1"/>
  <c r="DH249" i="1"/>
  <c r="DG249" i="1"/>
  <c r="DF249" i="1"/>
  <c r="DE249" i="1"/>
  <c r="DD249" i="1"/>
  <c r="DC249" i="1"/>
  <c r="DB249" i="1"/>
  <c r="DA249" i="1"/>
  <c r="CZ249" i="1"/>
  <c r="CY249" i="1"/>
  <c r="CX249" i="1"/>
  <c r="DI248" i="1"/>
  <c r="DH248" i="1"/>
  <c r="DG248" i="1"/>
  <c r="DF248" i="1"/>
  <c r="DE248" i="1"/>
  <c r="DD248" i="1"/>
  <c r="DC248" i="1"/>
  <c r="DB248" i="1"/>
  <c r="DA248" i="1"/>
  <c r="CZ248" i="1"/>
  <c r="CY248" i="1"/>
  <c r="CX248" i="1"/>
  <c r="DI247" i="1"/>
  <c r="DH247" i="1"/>
  <c r="DG247" i="1"/>
  <c r="DF247" i="1"/>
  <c r="DE247" i="1"/>
  <c r="DD247" i="1"/>
  <c r="DC247" i="1"/>
  <c r="DB247" i="1"/>
  <c r="DA247" i="1"/>
  <c r="CZ247" i="1"/>
  <c r="CY247" i="1"/>
  <c r="CX247" i="1"/>
  <c r="DI246" i="1"/>
  <c r="DH246" i="1"/>
  <c r="DG246" i="1"/>
  <c r="DF246" i="1"/>
  <c r="DE246" i="1"/>
  <c r="DD246" i="1"/>
  <c r="DC246" i="1"/>
  <c r="DB246" i="1"/>
  <c r="DA246" i="1"/>
  <c r="CZ246" i="1"/>
  <c r="CY246" i="1"/>
  <c r="CX246" i="1"/>
  <c r="DI245" i="1"/>
  <c r="DH245" i="1"/>
  <c r="DG245" i="1"/>
  <c r="DF245" i="1"/>
  <c r="DE245" i="1"/>
  <c r="DD245" i="1"/>
  <c r="DC245" i="1"/>
  <c r="DB245" i="1"/>
  <c r="DA245" i="1"/>
  <c r="CZ245" i="1"/>
  <c r="CY245" i="1"/>
  <c r="CX245" i="1"/>
  <c r="DI244" i="1"/>
  <c r="DH244" i="1"/>
  <c r="DG244" i="1"/>
  <c r="DF244" i="1"/>
  <c r="DE244" i="1"/>
  <c r="DD244" i="1"/>
  <c r="DC244" i="1"/>
  <c r="DB244" i="1"/>
  <c r="DA244" i="1"/>
  <c r="CZ244" i="1"/>
  <c r="CY244" i="1"/>
  <c r="CX244" i="1"/>
  <c r="DI243" i="1"/>
  <c r="DH243" i="1"/>
  <c r="DG243" i="1"/>
  <c r="DF243" i="1"/>
  <c r="DE243" i="1"/>
  <c r="DD243" i="1"/>
  <c r="DC243" i="1"/>
  <c r="DB243" i="1"/>
  <c r="DA243" i="1"/>
  <c r="CZ243" i="1"/>
  <c r="CY243" i="1"/>
  <c r="CX243" i="1"/>
  <c r="DI242" i="1"/>
  <c r="DH242" i="1"/>
  <c r="DG242" i="1"/>
  <c r="DF242" i="1"/>
  <c r="DE242" i="1"/>
  <c r="DD242" i="1"/>
  <c r="DC242" i="1"/>
  <c r="DB242" i="1"/>
  <c r="DA242" i="1"/>
  <c r="CZ242" i="1"/>
  <c r="CY242" i="1"/>
  <c r="CX242" i="1"/>
  <c r="DI241" i="1"/>
  <c r="DH241" i="1"/>
  <c r="DG241" i="1"/>
  <c r="DF241" i="1"/>
  <c r="DE241" i="1"/>
  <c r="DD241" i="1"/>
  <c r="DC241" i="1"/>
  <c r="DB241" i="1"/>
  <c r="DA241" i="1"/>
  <c r="CZ241" i="1"/>
  <c r="CY241" i="1"/>
  <c r="CX241" i="1"/>
  <c r="DI240" i="1"/>
  <c r="DH240" i="1"/>
  <c r="DG240" i="1"/>
  <c r="DF240" i="1"/>
  <c r="DE240" i="1"/>
  <c r="DD240" i="1"/>
  <c r="DC240" i="1"/>
  <c r="DB240" i="1"/>
  <c r="DA240" i="1"/>
  <c r="CZ240" i="1"/>
  <c r="CY240" i="1"/>
  <c r="CX240" i="1"/>
  <c r="DI239" i="1"/>
  <c r="DH239" i="1"/>
  <c r="DG239" i="1"/>
  <c r="DF239" i="1"/>
  <c r="DE239" i="1"/>
  <c r="DD239" i="1"/>
  <c r="DC239" i="1"/>
  <c r="DB239" i="1"/>
  <c r="DA239" i="1"/>
  <c r="CZ239" i="1"/>
  <c r="CY239" i="1"/>
  <c r="CX239" i="1"/>
  <c r="DI238" i="1"/>
  <c r="DH238" i="1"/>
  <c r="DG238" i="1"/>
  <c r="DF238" i="1"/>
  <c r="DE238" i="1"/>
  <c r="DD238" i="1"/>
  <c r="DC238" i="1"/>
  <c r="DB238" i="1"/>
  <c r="DA238" i="1"/>
  <c r="CZ238" i="1"/>
  <c r="CY238" i="1"/>
  <c r="CX238" i="1"/>
  <c r="DI237" i="1"/>
  <c r="DH237" i="1"/>
  <c r="DG237" i="1"/>
  <c r="DF237" i="1"/>
  <c r="DE237" i="1"/>
  <c r="DD237" i="1"/>
  <c r="DC237" i="1"/>
  <c r="DB237" i="1"/>
  <c r="DA237" i="1"/>
  <c r="CZ237" i="1"/>
  <c r="CY237" i="1"/>
  <c r="CX237" i="1"/>
  <c r="DE235" i="1"/>
  <c r="DC235" i="1"/>
  <c r="DI234" i="1"/>
  <c r="DH234" i="1"/>
  <c r="DG234" i="1"/>
  <c r="DF234" i="1"/>
  <c r="DE234" i="1"/>
  <c r="DD234" i="1"/>
  <c r="DC234" i="1"/>
  <c r="DB234" i="1"/>
  <c r="DA234" i="1"/>
  <c r="CZ234" i="1"/>
  <c r="CY234" i="1"/>
  <c r="CX234" i="1"/>
  <c r="DI233" i="1"/>
  <c r="DH233" i="1"/>
  <c r="DG233" i="1"/>
  <c r="DF233" i="1"/>
  <c r="DE233" i="1"/>
  <c r="DD233" i="1"/>
  <c r="DC233" i="1"/>
  <c r="DB233" i="1"/>
  <c r="DA233" i="1"/>
  <c r="CZ233" i="1"/>
  <c r="CY233" i="1"/>
  <c r="CX233" i="1"/>
  <c r="DI232" i="1"/>
  <c r="DH232" i="1"/>
  <c r="DG232" i="1"/>
  <c r="DF232" i="1"/>
  <c r="DE232" i="1"/>
  <c r="DD232" i="1"/>
  <c r="DC232" i="1"/>
  <c r="DB232" i="1"/>
  <c r="DA232" i="1"/>
  <c r="CZ232" i="1"/>
  <c r="CY232" i="1"/>
  <c r="CX232" i="1"/>
  <c r="DI231" i="1"/>
  <c r="DH231" i="1"/>
  <c r="DG231" i="1"/>
  <c r="DF231" i="1"/>
  <c r="DE231" i="1"/>
  <c r="DD231" i="1"/>
  <c r="DC231" i="1"/>
  <c r="DB231" i="1"/>
  <c r="DA231" i="1"/>
  <c r="CZ231" i="1"/>
  <c r="CY231" i="1"/>
  <c r="CX231" i="1"/>
  <c r="DI230" i="1"/>
  <c r="DH230" i="1"/>
  <c r="DG230" i="1"/>
  <c r="DF230" i="1"/>
  <c r="DE230" i="1"/>
  <c r="DD230" i="1"/>
  <c r="DC230" i="1"/>
  <c r="DB230" i="1"/>
  <c r="DA230" i="1"/>
  <c r="CZ230" i="1"/>
  <c r="CY230" i="1"/>
  <c r="CX230" i="1"/>
  <c r="DI229" i="1"/>
  <c r="DH229" i="1"/>
  <c r="DG229" i="1"/>
  <c r="DF229" i="1"/>
  <c r="DE229" i="1"/>
  <c r="DD229" i="1"/>
  <c r="DC229" i="1"/>
  <c r="DB229" i="1"/>
  <c r="DA229" i="1"/>
  <c r="CZ229" i="1"/>
  <c r="CY229" i="1"/>
  <c r="CX229" i="1"/>
  <c r="DI228" i="1"/>
  <c r="DH228" i="1"/>
  <c r="DG228" i="1"/>
  <c r="DF228" i="1"/>
  <c r="DE228" i="1"/>
  <c r="DD228" i="1"/>
  <c r="DC228" i="1"/>
  <c r="DB228" i="1"/>
  <c r="DA228" i="1"/>
  <c r="CZ228" i="1"/>
  <c r="CY228" i="1"/>
  <c r="CX228" i="1"/>
  <c r="DI227" i="1"/>
  <c r="DH227" i="1"/>
  <c r="DG227" i="1"/>
  <c r="DF227" i="1"/>
  <c r="DE227" i="1"/>
  <c r="DD227" i="1"/>
  <c r="DC227" i="1"/>
  <c r="DB227" i="1"/>
  <c r="DA227" i="1"/>
  <c r="CZ227" i="1"/>
  <c r="CY227" i="1"/>
  <c r="CX227" i="1"/>
  <c r="DI226" i="1"/>
  <c r="DH226" i="1"/>
  <c r="DG226" i="1"/>
  <c r="DF226" i="1"/>
  <c r="DE226" i="1"/>
  <c r="DD226" i="1"/>
  <c r="DC226" i="1"/>
  <c r="DB226" i="1"/>
  <c r="DA226" i="1"/>
  <c r="CZ226" i="1"/>
  <c r="CY226" i="1"/>
  <c r="CX226" i="1"/>
  <c r="DI225" i="1"/>
  <c r="DH225" i="1"/>
  <c r="DG225" i="1"/>
  <c r="DF225" i="1"/>
  <c r="DE225" i="1"/>
  <c r="DD225" i="1"/>
  <c r="DC225" i="1"/>
  <c r="DB225" i="1"/>
  <c r="DA225" i="1"/>
  <c r="CZ225" i="1"/>
  <c r="CY225" i="1"/>
  <c r="CX225" i="1"/>
  <c r="DI224" i="1"/>
  <c r="DH224" i="1"/>
  <c r="DG224" i="1"/>
  <c r="DF224" i="1"/>
  <c r="DE224" i="1"/>
  <c r="DD224" i="1"/>
  <c r="DC224" i="1"/>
  <c r="DB224" i="1"/>
  <c r="DA224" i="1"/>
  <c r="CZ224" i="1"/>
  <c r="CY224" i="1"/>
  <c r="CX224" i="1"/>
  <c r="DI223" i="1"/>
  <c r="DH223" i="1"/>
  <c r="DG223" i="1"/>
  <c r="DF223" i="1"/>
  <c r="DE223" i="1"/>
  <c r="DD223" i="1"/>
  <c r="DC223" i="1"/>
  <c r="DB223" i="1"/>
  <c r="DA223" i="1"/>
  <c r="CZ223" i="1"/>
  <c r="CY223" i="1"/>
  <c r="CX223" i="1"/>
  <c r="DI222" i="1"/>
  <c r="DH222" i="1"/>
  <c r="DG222" i="1"/>
  <c r="DF222" i="1"/>
  <c r="DE222" i="1"/>
  <c r="DD222" i="1"/>
  <c r="DC222" i="1"/>
  <c r="DB222" i="1"/>
  <c r="DA222" i="1"/>
  <c r="CZ222" i="1"/>
  <c r="CY222" i="1"/>
  <c r="CX222" i="1"/>
  <c r="DI221" i="1"/>
  <c r="DH221" i="1"/>
  <c r="DG221" i="1"/>
  <c r="DF221" i="1"/>
  <c r="DE221" i="1"/>
  <c r="DD221" i="1"/>
  <c r="DC221" i="1"/>
  <c r="DB221" i="1"/>
  <c r="DA221" i="1"/>
  <c r="CZ221" i="1"/>
  <c r="CY221" i="1"/>
  <c r="CX221" i="1"/>
  <c r="DI220" i="1"/>
  <c r="DH220" i="1"/>
  <c r="DG220" i="1"/>
  <c r="DF220" i="1"/>
  <c r="DE220" i="1"/>
  <c r="DD220" i="1"/>
  <c r="DC220" i="1"/>
  <c r="DB220" i="1"/>
  <c r="DA220" i="1"/>
  <c r="CZ220" i="1"/>
  <c r="CY220" i="1"/>
  <c r="CX220" i="1"/>
  <c r="DB219" i="1"/>
  <c r="DI218" i="1"/>
  <c r="DH218" i="1"/>
  <c r="DG218" i="1"/>
  <c r="DF218" i="1"/>
  <c r="DE218" i="1"/>
  <c r="DD218" i="1"/>
  <c r="DC218" i="1"/>
  <c r="DB218" i="1"/>
  <c r="DA218" i="1"/>
  <c r="CZ218" i="1"/>
  <c r="CY218" i="1"/>
  <c r="CX218" i="1"/>
  <c r="DI217" i="1"/>
  <c r="DH217" i="1"/>
  <c r="DG217" i="1"/>
  <c r="DF217" i="1"/>
  <c r="DE217" i="1"/>
  <c r="DD217" i="1"/>
  <c r="DC217" i="1"/>
  <c r="DB217" i="1"/>
  <c r="DA217" i="1"/>
  <c r="CZ217" i="1"/>
  <c r="CY217" i="1"/>
  <c r="CX217" i="1"/>
  <c r="DI216" i="1"/>
  <c r="DH216" i="1"/>
  <c r="DG216" i="1"/>
  <c r="DF216" i="1"/>
  <c r="DE216" i="1"/>
  <c r="DD216" i="1"/>
  <c r="DC216" i="1"/>
  <c r="DB216" i="1"/>
  <c r="DA216" i="1"/>
  <c r="CZ216" i="1"/>
  <c r="CY216" i="1"/>
  <c r="CX216" i="1"/>
  <c r="DI215" i="1"/>
  <c r="DH215" i="1"/>
  <c r="DG215" i="1"/>
  <c r="DF215" i="1"/>
  <c r="DE215" i="1"/>
  <c r="DD215" i="1"/>
  <c r="DC215" i="1"/>
  <c r="DB215" i="1"/>
  <c r="DA215" i="1"/>
  <c r="CZ215" i="1"/>
  <c r="CY215" i="1"/>
  <c r="CX215" i="1"/>
  <c r="DI214" i="1"/>
  <c r="DH214" i="1"/>
  <c r="DG214" i="1"/>
  <c r="DF214" i="1"/>
  <c r="DE214" i="1"/>
  <c r="DD214" i="1"/>
  <c r="DC214" i="1"/>
  <c r="DB214" i="1"/>
  <c r="DA214" i="1"/>
  <c r="CZ214" i="1"/>
  <c r="CY214" i="1"/>
  <c r="CX214" i="1"/>
  <c r="DI213" i="1"/>
  <c r="DH213" i="1"/>
  <c r="DG213" i="1"/>
  <c r="DF213" i="1"/>
  <c r="DE213" i="1"/>
  <c r="DD213" i="1"/>
  <c r="DC213" i="1"/>
  <c r="DB213" i="1"/>
  <c r="DA213" i="1"/>
  <c r="CZ213" i="1"/>
  <c r="CY213" i="1"/>
  <c r="CX213" i="1"/>
  <c r="DI212" i="1"/>
  <c r="DH212" i="1"/>
  <c r="DG212" i="1"/>
  <c r="DF212" i="1"/>
  <c r="DE212" i="1"/>
  <c r="DD212" i="1"/>
  <c r="DC212" i="1"/>
  <c r="DB212" i="1"/>
  <c r="DA212" i="1"/>
  <c r="CZ212" i="1"/>
  <c r="CY212" i="1"/>
  <c r="CX212" i="1"/>
  <c r="DI211" i="1"/>
  <c r="DH211" i="1"/>
  <c r="DG211" i="1"/>
  <c r="DF211" i="1"/>
  <c r="DE211" i="1"/>
  <c r="DD211" i="1"/>
  <c r="DC211" i="1"/>
  <c r="DB211" i="1"/>
  <c r="DA211" i="1"/>
  <c r="CZ211" i="1"/>
  <c r="CY211" i="1"/>
  <c r="CX211" i="1"/>
  <c r="DI210" i="1"/>
  <c r="DH210" i="1"/>
  <c r="DG210" i="1"/>
  <c r="DF210" i="1"/>
  <c r="DE210" i="1"/>
  <c r="DD210" i="1"/>
  <c r="DC210" i="1"/>
  <c r="DB210" i="1"/>
  <c r="DA210" i="1"/>
  <c r="CZ210" i="1"/>
  <c r="CY210" i="1"/>
  <c r="CX210" i="1"/>
  <c r="DI209" i="1"/>
  <c r="DH209" i="1"/>
  <c r="DG209" i="1"/>
  <c r="DF209" i="1"/>
  <c r="DE209" i="1"/>
  <c r="DD209" i="1"/>
  <c r="DC209" i="1"/>
  <c r="DB209" i="1"/>
  <c r="DA209" i="1"/>
  <c r="CZ209" i="1"/>
  <c r="CY209" i="1"/>
  <c r="CX209" i="1"/>
  <c r="DI208" i="1"/>
  <c r="DH208" i="1"/>
  <c r="DG208" i="1"/>
  <c r="DF208" i="1"/>
  <c r="DE208" i="1"/>
  <c r="DD208" i="1"/>
  <c r="DC208" i="1"/>
  <c r="DB208" i="1"/>
  <c r="DA208" i="1"/>
  <c r="CZ208" i="1"/>
  <c r="CY208" i="1"/>
  <c r="CX208" i="1"/>
  <c r="DI207" i="1"/>
  <c r="DH207" i="1"/>
  <c r="DG207" i="1"/>
  <c r="DF207" i="1"/>
  <c r="DE207" i="1"/>
  <c r="DD207" i="1"/>
  <c r="DC207" i="1"/>
  <c r="DB207" i="1"/>
  <c r="DA207" i="1"/>
  <c r="CZ207" i="1"/>
  <c r="CY207" i="1"/>
  <c r="CX207" i="1"/>
  <c r="DI206" i="1"/>
  <c r="DH206" i="1"/>
  <c r="DG206" i="1"/>
  <c r="DF206" i="1"/>
  <c r="DE206" i="1"/>
  <c r="DD206" i="1"/>
  <c r="DC206" i="1"/>
  <c r="DB206" i="1"/>
  <c r="DA206" i="1"/>
  <c r="CZ206" i="1"/>
  <c r="CY206" i="1"/>
  <c r="CX206" i="1"/>
  <c r="DI205" i="1"/>
  <c r="DH205" i="1"/>
  <c r="DG205" i="1"/>
  <c r="DF205" i="1"/>
  <c r="DE205" i="1"/>
  <c r="DD205" i="1"/>
  <c r="DC205" i="1"/>
  <c r="DB205" i="1"/>
  <c r="DA205" i="1"/>
  <c r="CZ205" i="1"/>
  <c r="CY205" i="1"/>
  <c r="CX205" i="1"/>
  <c r="DI204" i="1"/>
  <c r="DH204" i="1"/>
  <c r="DG204" i="1"/>
  <c r="DF204" i="1"/>
  <c r="DE204" i="1"/>
  <c r="DD204" i="1"/>
  <c r="DC204" i="1"/>
  <c r="DB204" i="1"/>
  <c r="DA204" i="1"/>
  <c r="CZ204" i="1"/>
  <c r="CY204" i="1"/>
  <c r="CX204" i="1"/>
  <c r="DI203" i="1"/>
  <c r="DH203" i="1"/>
  <c r="DG203" i="1"/>
  <c r="DF203" i="1"/>
  <c r="DE203" i="1"/>
  <c r="DD203" i="1"/>
  <c r="DC203" i="1"/>
  <c r="DB203" i="1"/>
  <c r="DA203" i="1"/>
  <c r="CZ203" i="1"/>
  <c r="CY203" i="1"/>
  <c r="CX203" i="1"/>
  <c r="DI202" i="1"/>
  <c r="DH202" i="1"/>
  <c r="DG202" i="1"/>
  <c r="DF202" i="1"/>
  <c r="DE202" i="1"/>
  <c r="DD202" i="1"/>
  <c r="DC202" i="1"/>
  <c r="DB202" i="1"/>
  <c r="DA202" i="1"/>
  <c r="CZ202" i="1"/>
  <c r="CY202" i="1"/>
  <c r="CX202" i="1"/>
  <c r="DI201" i="1"/>
  <c r="DH201" i="1"/>
  <c r="DG201" i="1"/>
  <c r="DF201" i="1"/>
  <c r="DE201" i="1"/>
  <c r="DD201" i="1"/>
  <c r="DC201" i="1"/>
  <c r="DB201" i="1"/>
  <c r="DA201" i="1"/>
  <c r="CZ201" i="1"/>
  <c r="CY201" i="1"/>
  <c r="CX201" i="1"/>
  <c r="DI200" i="1"/>
  <c r="DH200" i="1"/>
  <c r="DG200" i="1"/>
  <c r="DF200" i="1"/>
  <c r="DE200" i="1"/>
  <c r="DD200" i="1"/>
  <c r="DC200" i="1"/>
  <c r="DB200" i="1"/>
  <c r="DA200" i="1"/>
  <c r="CZ200" i="1"/>
  <c r="CY200" i="1"/>
  <c r="CX200" i="1"/>
  <c r="DI199" i="1"/>
  <c r="DH199" i="1"/>
  <c r="DG199" i="1"/>
  <c r="DF199" i="1"/>
  <c r="DE199" i="1"/>
  <c r="DD199" i="1"/>
  <c r="DC199" i="1"/>
  <c r="DB199" i="1"/>
  <c r="DA199" i="1"/>
  <c r="CZ199" i="1"/>
  <c r="CY199" i="1"/>
  <c r="CX199" i="1"/>
  <c r="DI198" i="1"/>
  <c r="DH198" i="1"/>
  <c r="DG198" i="1"/>
  <c r="DF198" i="1"/>
  <c r="DE198" i="1"/>
  <c r="DD198" i="1"/>
  <c r="DC198" i="1"/>
  <c r="DB198" i="1"/>
  <c r="DA198" i="1"/>
  <c r="CZ198" i="1"/>
  <c r="CY198" i="1"/>
  <c r="CX198" i="1"/>
  <c r="DI197" i="1"/>
  <c r="DH197" i="1"/>
  <c r="DG197" i="1"/>
  <c r="DF197" i="1"/>
  <c r="DE197" i="1"/>
  <c r="DD197" i="1"/>
  <c r="DC197" i="1"/>
  <c r="DB197" i="1"/>
  <c r="DA197" i="1"/>
  <c r="CZ197" i="1"/>
  <c r="CY197" i="1"/>
  <c r="CX197" i="1"/>
  <c r="DI196" i="1"/>
  <c r="DH196" i="1"/>
  <c r="DG196" i="1"/>
  <c r="DF196" i="1"/>
  <c r="DE196" i="1"/>
  <c r="DD196" i="1"/>
  <c r="DC196" i="1"/>
  <c r="DB196" i="1"/>
  <c r="DA196" i="1"/>
  <c r="CZ196" i="1"/>
  <c r="CY196" i="1"/>
  <c r="CX196" i="1"/>
  <c r="DI195" i="1"/>
  <c r="DH195" i="1"/>
  <c r="DG195" i="1"/>
  <c r="DF195" i="1"/>
  <c r="DE195" i="1"/>
  <c r="DD195" i="1"/>
  <c r="DC195" i="1"/>
  <c r="DB195" i="1"/>
  <c r="DA195" i="1"/>
  <c r="CZ195" i="1"/>
  <c r="CY195" i="1"/>
  <c r="CX195" i="1"/>
  <c r="DI194" i="1"/>
  <c r="DH194" i="1"/>
  <c r="DG194" i="1"/>
  <c r="DF194" i="1"/>
  <c r="DE194" i="1"/>
  <c r="DD194" i="1"/>
  <c r="DC194" i="1"/>
  <c r="DB194" i="1"/>
  <c r="DA194" i="1"/>
  <c r="CZ194" i="1"/>
  <c r="CY194" i="1"/>
  <c r="CX194" i="1"/>
  <c r="DI193" i="1"/>
  <c r="DH193" i="1"/>
  <c r="DG193" i="1"/>
  <c r="DF193" i="1"/>
  <c r="DE193" i="1"/>
  <c r="DD193" i="1"/>
  <c r="DC193" i="1"/>
  <c r="DB193" i="1"/>
  <c r="DA193" i="1"/>
  <c r="CZ193" i="1"/>
  <c r="CY193" i="1"/>
  <c r="CX193" i="1"/>
  <c r="DI192" i="1"/>
  <c r="DH192" i="1"/>
  <c r="DG192" i="1"/>
  <c r="DF192" i="1"/>
  <c r="DE192" i="1"/>
  <c r="DD192" i="1"/>
  <c r="DC192" i="1"/>
  <c r="DB192" i="1"/>
  <c r="DA192" i="1"/>
  <c r="CZ192" i="1"/>
  <c r="CY192" i="1"/>
  <c r="CX192" i="1"/>
  <c r="DI191" i="1"/>
  <c r="DH191" i="1"/>
  <c r="DG191" i="1"/>
  <c r="DF191" i="1"/>
  <c r="DE191" i="1"/>
  <c r="DD191" i="1"/>
  <c r="DC191" i="1"/>
  <c r="DB191" i="1"/>
  <c r="DA191" i="1"/>
  <c r="CZ191" i="1"/>
  <c r="CY191" i="1"/>
  <c r="CX191" i="1"/>
  <c r="DI190" i="1"/>
  <c r="DH190" i="1"/>
  <c r="DG190" i="1"/>
  <c r="DF190" i="1"/>
  <c r="DE190" i="1"/>
  <c r="DD190" i="1"/>
  <c r="DC190" i="1"/>
  <c r="DB190" i="1"/>
  <c r="DA190" i="1"/>
  <c r="CZ190" i="1"/>
  <c r="CY190" i="1"/>
  <c r="CX190" i="1"/>
  <c r="DI189" i="1"/>
  <c r="DH189" i="1"/>
  <c r="DG189" i="1"/>
  <c r="DF189" i="1"/>
  <c r="DE189" i="1"/>
  <c r="DD189" i="1"/>
  <c r="DC189" i="1"/>
  <c r="DB189" i="1"/>
  <c r="DA189" i="1"/>
  <c r="CZ189" i="1"/>
  <c r="CY189" i="1"/>
  <c r="CX189" i="1"/>
  <c r="DI186" i="1"/>
  <c r="DH186" i="1"/>
  <c r="DG186" i="1"/>
  <c r="DF186" i="1"/>
  <c r="DE186" i="1"/>
  <c r="DD186" i="1"/>
  <c r="DC186" i="1"/>
  <c r="DB186" i="1"/>
  <c r="DA186" i="1"/>
  <c r="CZ186" i="1"/>
  <c r="CY186" i="1"/>
  <c r="CX186" i="1"/>
  <c r="DI185" i="1"/>
  <c r="DH185" i="1"/>
  <c r="DG185" i="1"/>
  <c r="DF185" i="1"/>
  <c r="DE185" i="1"/>
  <c r="DD185" i="1"/>
  <c r="DC185" i="1"/>
  <c r="DB185" i="1"/>
  <c r="DA185" i="1"/>
  <c r="CZ185" i="1"/>
  <c r="CY185" i="1"/>
  <c r="CX185" i="1"/>
  <c r="DI184" i="1"/>
  <c r="DH184" i="1"/>
  <c r="DG184" i="1"/>
  <c r="DF184" i="1"/>
  <c r="DE184" i="1"/>
  <c r="DD184" i="1"/>
  <c r="DC184" i="1"/>
  <c r="DB184" i="1"/>
  <c r="DA184" i="1"/>
  <c r="CZ184" i="1"/>
  <c r="CY184" i="1"/>
  <c r="CX184" i="1"/>
  <c r="DI183" i="1"/>
  <c r="DH183" i="1"/>
  <c r="DG183" i="1"/>
  <c r="DF183" i="1"/>
  <c r="DE183" i="1"/>
  <c r="DD183" i="1"/>
  <c r="DC183" i="1"/>
  <c r="DB183" i="1"/>
  <c r="DA183" i="1"/>
  <c r="CZ183" i="1"/>
  <c r="CY183" i="1"/>
  <c r="CX183" i="1"/>
  <c r="DI179" i="1"/>
  <c r="DH179" i="1"/>
  <c r="DG179" i="1"/>
  <c r="DF179" i="1"/>
  <c r="DE179" i="1"/>
  <c r="DD179" i="1"/>
  <c r="DC179" i="1"/>
  <c r="DB179" i="1"/>
  <c r="DA179" i="1"/>
  <c r="CZ179" i="1"/>
  <c r="CY179" i="1"/>
  <c r="CX179" i="1"/>
  <c r="DI178" i="1"/>
  <c r="DH178" i="1"/>
  <c r="DG178" i="1"/>
  <c r="DF178" i="1"/>
  <c r="DE178" i="1"/>
  <c r="DD178" i="1"/>
  <c r="DC178" i="1"/>
  <c r="DB178" i="1"/>
  <c r="DA178" i="1"/>
  <c r="CZ178" i="1"/>
  <c r="CY178" i="1"/>
  <c r="CX178" i="1"/>
  <c r="DI177" i="1"/>
  <c r="DH177" i="1"/>
  <c r="DG177" i="1"/>
  <c r="DF177" i="1"/>
  <c r="DE177" i="1"/>
  <c r="DD177" i="1"/>
  <c r="DC177" i="1"/>
  <c r="DB177" i="1"/>
  <c r="DA177" i="1"/>
  <c r="CZ177" i="1"/>
  <c r="CY177" i="1"/>
  <c r="CX177" i="1"/>
  <c r="DI176" i="1"/>
  <c r="DH176" i="1"/>
  <c r="DG176" i="1"/>
  <c r="DF176" i="1"/>
  <c r="DE176" i="1"/>
  <c r="DD176" i="1"/>
  <c r="DC176" i="1"/>
  <c r="DB176" i="1"/>
  <c r="DA176" i="1"/>
  <c r="CZ176" i="1"/>
  <c r="CY176" i="1"/>
  <c r="CX176" i="1"/>
  <c r="DI175" i="1"/>
  <c r="DH175" i="1"/>
  <c r="DG175" i="1"/>
  <c r="DF175" i="1"/>
  <c r="DE175" i="1"/>
  <c r="DD175" i="1"/>
  <c r="DC175" i="1"/>
  <c r="DB175" i="1"/>
  <c r="DA175" i="1"/>
  <c r="CZ175" i="1"/>
  <c r="CY175" i="1"/>
  <c r="CX175" i="1"/>
  <c r="DI174" i="1"/>
  <c r="DH174" i="1"/>
  <c r="DG174" i="1"/>
  <c r="DF174" i="1"/>
  <c r="DE174" i="1"/>
  <c r="DD174" i="1"/>
  <c r="DC174" i="1"/>
  <c r="DB174" i="1"/>
  <c r="DA174" i="1"/>
  <c r="CZ174" i="1"/>
  <c r="CY174" i="1"/>
  <c r="CX174" i="1"/>
  <c r="DI173" i="1"/>
  <c r="DH173" i="1"/>
  <c r="DG173" i="1"/>
  <c r="DF173" i="1"/>
  <c r="DE173" i="1"/>
  <c r="DD173" i="1"/>
  <c r="DC173" i="1"/>
  <c r="DB173" i="1"/>
  <c r="DA173" i="1"/>
  <c r="CZ173" i="1"/>
  <c r="CY173" i="1"/>
  <c r="CX173" i="1"/>
  <c r="DI172" i="1"/>
  <c r="DH172" i="1"/>
  <c r="DG172" i="1"/>
  <c r="DF172" i="1"/>
  <c r="DE172" i="1"/>
  <c r="DD172" i="1"/>
  <c r="DC172" i="1"/>
  <c r="DB172" i="1"/>
  <c r="DA172" i="1"/>
  <c r="CZ172" i="1"/>
  <c r="CY172" i="1"/>
  <c r="CX172" i="1"/>
  <c r="DI168" i="1"/>
  <c r="DH168" i="1"/>
  <c r="DG168" i="1"/>
  <c r="DF168" i="1"/>
  <c r="DE168" i="1"/>
  <c r="DD168" i="1"/>
  <c r="DC168" i="1"/>
  <c r="DB168" i="1"/>
  <c r="DA168" i="1"/>
  <c r="CZ168" i="1"/>
  <c r="CY168" i="1"/>
  <c r="CX168" i="1"/>
  <c r="DI167" i="1"/>
  <c r="DH167" i="1"/>
  <c r="DG167" i="1"/>
  <c r="DF167" i="1"/>
  <c r="DE167" i="1"/>
  <c r="DD167" i="1"/>
  <c r="DC167" i="1"/>
  <c r="DB167" i="1"/>
  <c r="DA167" i="1"/>
  <c r="CZ167" i="1"/>
  <c r="CY167" i="1"/>
  <c r="CX167" i="1"/>
  <c r="DI166" i="1"/>
  <c r="DH166" i="1"/>
  <c r="DG166" i="1"/>
  <c r="DF166" i="1"/>
  <c r="DE166" i="1"/>
  <c r="DD166" i="1"/>
  <c r="DC166" i="1"/>
  <c r="DB166" i="1"/>
  <c r="DA166" i="1"/>
  <c r="CZ166" i="1"/>
  <c r="CY166" i="1"/>
  <c r="CX166" i="1"/>
  <c r="DI165" i="1"/>
  <c r="DH165" i="1"/>
  <c r="DG165" i="1"/>
  <c r="DF165" i="1"/>
  <c r="DE165" i="1"/>
  <c r="DD165" i="1"/>
  <c r="DC165" i="1"/>
  <c r="DB165" i="1"/>
  <c r="DA165" i="1"/>
  <c r="CZ165" i="1"/>
  <c r="CY165" i="1"/>
  <c r="CX165" i="1"/>
  <c r="DI164" i="1"/>
  <c r="DH164" i="1"/>
  <c r="DG164" i="1"/>
  <c r="DF164" i="1"/>
  <c r="DE164" i="1"/>
  <c r="DD164" i="1"/>
  <c r="DC164" i="1"/>
  <c r="DB164" i="1"/>
  <c r="DA164" i="1"/>
  <c r="CZ164" i="1"/>
  <c r="CY164" i="1"/>
  <c r="CX164" i="1"/>
  <c r="DI163" i="1"/>
  <c r="DH163" i="1"/>
  <c r="DG163" i="1"/>
  <c r="DF163" i="1"/>
  <c r="DE163" i="1"/>
  <c r="DD163" i="1"/>
  <c r="DC163" i="1"/>
  <c r="DB163" i="1"/>
  <c r="DA163" i="1"/>
  <c r="CZ163" i="1"/>
  <c r="CY163" i="1"/>
  <c r="CX163" i="1"/>
  <c r="DI162" i="1"/>
  <c r="DH162" i="1"/>
  <c r="DG162" i="1"/>
  <c r="DF162" i="1"/>
  <c r="DE162" i="1"/>
  <c r="DD162" i="1"/>
  <c r="DC162" i="1"/>
  <c r="DB162" i="1"/>
  <c r="DA162" i="1"/>
  <c r="CZ162" i="1"/>
  <c r="CY162" i="1"/>
  <c r="CX162" i="1"/>
  <c r="DI161" i="1"/>
  <c r="DH161" i="1"/>
  <c r="DG161" i="1"/>
  <c r="DF161" i="1"/>
  <c r="DE161" i="1"/>
  <c r="DD161" i="1"/>
  <c r="DC161" i="1"/>
  <c r="DB161" i="1"/>
  <c r="DA161" i="1"/>
  <c r="CZ161" i="1"/>
  <c r="CY161" i="1"/>
  <c r="CX161" i="1"/>
  <c r="DI160" i="1"/>
  <c r="DH160" i="1"/>
  <c r="DG160" i="1"/>
  <c r="DF160" i="1"/>
  <c r="DE160" i="1"/>
  <c r="DD160" i="1"/>
  <c r="DC160" i="1"/>
  <c r="DB160" i="1"/>
  <c r="DA160" i="1"/>
  <c r="CZ160" i="1"/>
  <c r="CY160" i="1"/>
  <c r="CX160" i="1"/>
  <c r="DI159" i="1"/>
  <c r="DH159" i="1"/>
  <c r="DG159" i="1"/>
  <c r="DF159" i="1"/>
  <c r="DE159" i="1"/>
  <c r="DD159" i="1"/>
  <c r="DC159" i="1"/>
  <c r="DB159" i="1"/>
  <c r="DA159" i="1"/>
  <c r="CZ159" i="1"/>
  <c r="CY159" i="1"/>
  <c r="CX159" i="1"/>
  <c r="DI158" i="1"/>
  <c r="DH158" i="1"/>
  <c r="DG158" i="1"/>
  <c r="DF158" i="1"/>
  <c r="DE158" i="1"/>
  <c r="DD158" i="1"/>
  <c r="DC158" i="1"/>
  <c r="DB158" i="1"/>
  <c r="DA158" i="1"/>
  <c r="CZ158" i="1"/>
  <c r="CY158" i="1"/>
  <c r="CX158" i="1"/>
  <c r="DI157" i="1"/>
  <c r="DH157" i="1"/>
  <c r="DG157" i="1"/>
  <c r="DF157" i="1"/>
  <c r="DE157" i="1"/>
  <c r="DD157" i="1"/>
  <c r="DC157" i="1"/>
  <c r="DB157" i="1"/>
  <c r="DA157" i="1"/>
  <c r="CZ157" i="1"/>
  <c r="CY157" i="1"/>
  <c r="CX157" i="1"/>
  <c r="DI156" i="1"/>
  <c r="DH156" i="1"/>
  <c r="DG156" i="1"/>
  <c r="DF156" i="1"/>
  <c r="DE156" i="1"/>
  <c r="DD156" i="1"/>
  <c r="DC156" i="1"/>
  <c r="DB156" i="1"/>
  <c r="DA156" i="1"/>
  <c r="CZ156" i="1"/>
  <c r="CY156" i="1"/>
  <c r="CX156" i="1"/>
  <c r="DI155" i="1"/>
  <c r="DH155" i="1"/>
  <c r="DG155" i="1"/>
  <c r="DF155" i="1"/>
  <c r="DE155" i="1"/>
  <c r="DD155" i="1"/>
  <c r="DC155" i="1"/>
  <c r="DB155" i="1"/>
  <c r="DA155" i="1"/>
  <c r="CZ155" i="1"/>
  <c r="CY155" i="1"/>
  <c r="CX155" i="1"/>
  <c r="DI154" i="1"/>
  <c r="DH154" i="1"/>
  <c r="DG154" i="1"/>
  <c r="DF154" i="1"/>
  <c r="DE154" i="1"/>
  <c r="DD154" i="1"/>
  <c r="DC154" i="1"/>
  <c r="DB154" i="1"/>
  <c r="DA154" i="1"/>
  <c r="CZ154" i="1"/>
  <c r="CY154" i="1"/>
  <c r="CX154" i="1"/>
  <c r="BY297" i="1"/>
  <c r="BX297" i="1"/>
  <c r="AV296" i="1"/>
  <c r="BW295" i="1"/>
  <c r="AV295" i="1"/>
  <c r="AM295" i="1"/>
  <c r="BV294" i="1"/>
  <c r="BU294" i="1"/>
  <c r="BT294" i="1"/>
  <c r="AV294" i="1"/>
  <c r="AM294" i="1"/>
  <c r="AM293" i="1"/>
  <c r="AV292" i="1"/>
  <c r="CT291" i="1"/>
  <c r="BY291" i="1"/>
  <c r="AC291" i="1"/>
  <c r="AB291" i="1"/>
  <c r="AA291" i="1"/>
  <c r="Z291" i="1"/>
  <c r="Y291" i="1"/>
  <c r="X291" i="1"/>
  <c r="W291" i="1"/>
  <c r="V291" i="1"/>
  <c r="U291" i="1"/>
  <c r="T291" i="1"/>
  <c r="S291" i="1"/>
  <c r="R291" i="1"/>
  <c r="Q291" i="1"/>
  <c r="P291" i="1"/>
  <c r="M291" i="1"/>
  <c r="L291" i="1"/>
  <c r="K291" i="1"/>
  <c r="J291" i="1"/>
  <c r="I291" i="1"/>
  <c r="H291" i="1"/>
  <c r="F291" i="1"/>
  <c r="BX290" i="1"/>
  <c r="BW290" i="1"/>
  <c r="BV290" i="1"/>
  <c r="BU290" i="1"/>
  <c r="BS290" i="1"/>
  <c r="BR290" i="1"/>
  <c r="BQ290" i="1"/>
  <c r="BP290" i="1"/>
  <c r="BL290" i="1"/>
  <c r="BK290" i="1"/>
  <c r="BJ290" i="1"/>
  <c r="BI290" i="1"/>
  <c r="AC290" i="1"/>
  <c r="AB290" i="1"/>
  <c r="AA290" i="1"/>
  <c r="Z290" i="1"/>
  <c r="Y290" i="1"/>
  <c r="X290" i="1"/>
  <c r="W290" i="1"/>
  <c r="V290" i="1"/>
  <c r="U290" i="1"/>
  <c r="T290" i="1"/>
  <c r="S290" i="1"/>
  <c r="R290" i="1"/>
  <c r="Q290" i="1"/>
  <c r="P290" i="1"/>
  <c r="L290" i="1"/>
  <c r="K290" i="1"/>
  <c r="H290" i="1"/>
  <c r="CS289" i="1"/>
  <c r="CR289" i="1"/>
  <c r="BW289" i="1"/>
  <c r="AC289" i="1"/>
  <c r="AB289" i="1"/>
  <c r="AA289" i="1"/>
  <c r="Z289" i="1"/>
  <c r="Y289" i="1"/>
  <c r="X289" i="1"/>
  <c r="W289" i="1"/>
  <c r="V289" i="1"/>
  <c r="U289" i="1"/>
  <c r="T289" i="1"/>
  <c r="S289" i="1"/>
  <c r="R289" i="1"/>
  <c r="Q289" i="1"/>
  <c r="P289" i="1"/>
  <c r="L289" i="1"/>
  <c r="K289" i="1"/>
  <c r="H289" i="1"/>
  <c r="CO288" i="1"/>
  <c r="CN288" i="1"/>
  <c r="CH288" i="1"/>
  <c r="BT288" i="1"/>
  <c r="AS288" i="1"/>
  <c r="AC288" i="1"/>
  <c r="AB288" i="1"/>
  <c r="AA288" i="1"/>
  <c r="Z288" i="1"/>
  <c r="Y288" i="1"/>
  <c r="X288" i="1"/>
  <c r="W288" i="1"/>
  <c r="V288" i="1"/>
  <c r="U288" i="1"/>
  <c r="T288" i="1"/>
  <c r="S288" i="1"/>
  <c r="R288" i="1"/>
  <c r="Q288" i="1"/>
  <c r="P288" i="1"/>
  <c r="O288" i="1"/>
  <c r="N288" i="1"/>
  <c r="M288" i="1"/>
  <c r="L288" i="1"/>
  <c r="K288" i="1"/>
  <c r="J288" i="1"/>
  <c r="I288" i="1"/>
  <c r="H288" i="1"/>
  <c r="G288" i="1"/>
  <c r="F288" i="1"/>
  <c r="E288" i="1"/>
  <c r="CT287" i="1"/>
  <c r="CS287" i="1"/>
  <c r="CQ287" i="1"/>
  <c r="CP287" i="1"/>
  <c r="CO287" i="1"/>
  <c r="CM287" i="1"/>
  <c r="CL287" i="1"/>
  <c r="BY287" i="1"/>
  <c r="BX287" i="1"/>
  <c r="BE287" i="1"/>
  <c r="BD287" i="1"/>
  <c r="BB287" i="1"/>
  <c r="AG287" i="1"/>
  <c r="AF287" i="1"/>
  <c r="AE287" i="1"/>
  <c r="CV279" i="1"/>
  <c r="CV277" i="1"/>
  <c r="CV276" i="1"/>
  <c r="CV275" i="1"/>
  <c r="CV272" i="1"/>
  <c r="CV270" i="1"/>
  <c r="CV269" i="1"/>
  <c r="CV268" i="1"/>
  <c r="CV253" i="1"/>
  <c r="CV252" i="1"/>
  <c r="CV251" i="1"/>
  <c r="CV250" i="1"/>
  <c r="CV249" i="1"/>
  <c r="CV248" i="1"/>
  <c r="CV247" i="1"/>
  <c r="CV245" i="1"/>
  <c r="CV244" i="1"/>
  <c r="CV242" i="1"/>
  <c r="CV241" i="1"/>
  <c r="CV240" i="1"/>
  <c r="CV238" i="1"/>
  <c r="CV231" i="1"/>
  <c r="CV229" i="1"/>
  <c r="CV226" i="1"/>
  <c r="CV225" i="1"/>
  <c r="CV221" i="1"/>
  <c r="CU283" i="1"/>
  <c r="CU282" i="1"/>
  <c r="CU281" i="1"/>
  <c r="CU280" i="1"/>
  <c r="CU279" i="1"/>
  <c r="CU278" i="1"/>
  <c r="CU277" i="1"/>
  <c r="CU276" i="1"/>
  <c r="CU275" i="1"/>
  <c r="CU274" i="1"/>
  <c r="CU273" i="1"/>
  <c r="CU272" i="1"/>
  <c r="CU271" i="1"/>
  <c r="CU270" i="1"/>
  <c r="CU269" i="1"/>
  <c r="CU268" i="1"/>
  <c r="CU267" i="1"/>
  <c r="CU266" i="1"/>
  <c r="CU265" i="1"/>
  <c r="CU264" i="1"/>
  <c r="CU263" i="1"/>
  <c r="CU262" i="1"/>
  <c r="CU261" i="1"/>
  <c r="CU260" i="1"/>
  <c r="CU259" i="1"/>
  <c r="CU258" i="1"/>
  <c r="CU257" i="1"/>
  <c r="CU256" i="1"/>
  <c r="CU255" i="1"/>
  <c r="CU254" i="1"/>
  <c r="CU253" i="1"/>
  <c r="CU252" i="1"/>
  <c r="CU251" i="1"/>
  <c r="CU250" i="1"/>
  <c r="CU249" i="1"/>
  <c r="CU248" i="1"/>
  <c r="CU247" i="1"/>
  <c r="CU246" i="1"/>
  <c r="CU245" i="1"/>
  <c r="CU244" i="1"/>
  <c r="CU243" i="1"/>
  <c r="CU242" i="1"/>
  <c r="CU241" i="1"/>
  <c r="CU240" i="1"/>
  <c r="CU239" i="1"/>
  <c r="CU238" i="1"/>
  <c r="CU237" i="1"/>
  <c r="CU236" i="1"/>
  <c r="CU235" i="1"/>
  <c r="CU234" i="1"/>
  <c r="CU233" i="1"/>
  <c r="CU232" i="1"/>
  <c r="CU231" i="1"/>
  <c r="CU230" i="1"/>
  <c r="CU229" i="1"/>
  <c r="CU228" i="1"/>
  <c r="CU227" i="1"/>
  <c r="CU226" i="1"/>
  <c r="CU225" i="1"/>
  <c r="CU224" i="1"/>
  <c r="CU223" i="1"/>
  <c r="CU222" i="1"/>
  <c r="CU221" i="1"/>
  <c r="CU220" i="1"/>
  <c r="CU219" i="1"/>
  <c r="CU218" i="1"/>
  <c r="CU217" i="1"/>
  <c r="CU216" i="1"/>
  <c r="CU215" i="1"/>
  <c r="CU214" i="1"/>
  <c r="CU213" i="1"/>
  <c r="CU212" i="1"/>
  <c r="CU211" i="1"/>
  <c r="CU210" i="1"/>
  <c r="CU209" i="1"/>
  <c r="CU208" i="1"/>
  <c r="CU207" i="1"/>
  <c r="CU206" i="1"/>
  <c r="CU205" i="1"/>
  <c r="CU204" i="1"/>
  <c r="CU203" i="1"/>
  <c r="CU202" i="1"/>
  <c r="CU201" i="1"/>
  <c r="CU200" i="1"/>
  <c r="CU199" i="1"/>
  <c r="CU198" i="1"/>
  <c r="CU197" i="1"/>
  <c r="CU196" i="1"/>
  <c r="CU195" i="1"/>
  <c r="CU194" i="1"/>
  <c r="CU193" i="1"/>
  <c r="CU192" i="1"/>
  <c r="CU191" i="1"/>
  <c r="CU190" i="1"/>
  <c r="CU189" i="1"/>
  <c r="CU188" i="1"/>
  <c r="CU187" i="1"/>
  <c r="CU186" i="1"/>
  <c r="CU185" i="1"/>
  <c r="CU184" i="1"/>
  <c r="CU183" i="1"/>
  <c r="CU182" i="1"/>
  <c r="CU181" i="1"/>
  <c r="CU180" i="1"/>
  <c r="CU179" i="1"/>
  <c r="CU178" i="1"/>
  <c r="CU177" i="1"/>
  <c r="CU176" i="1"/>
  <c r="CU175" i="1"/>
  <c r="CU174" i="1"/>
  <c r="CU173" i="1"/>
  <c r="CU172" i="1"/>
  <c r="CU171" i="1"/>
  <c r="CU170" i="1"/>
  <c r="CU169" i="1"/>
  <c r="CU168" i="1"/>
  <c r="CU167" i="1"/>
  <c r="CU166" i="1"/>
  <c r="CU165" i="1"/>
  <c r="CU164" i="1"/>
  <c r="CU163" i="1"/>
  <c r="CU162" i="1"/>
  <c r="CU161" i="1"/>
  <c r="CU160" i="1"/>
  <c r="CU159" i="1"/>
  <c r="CU158" i="1"/>
  <c r="CU157" i="1"/>
  <c r="CU156" i="1"/>
  <c r="CU155" i="1"/>
  <c r="CU154" i="1"/>
  <c r="CT283" i="1"/>
  <c r="CT282" i="1"/>
  <c r="CT281" i="1"/>
  <c r="CT280" i="1"/>
  <c r="CT279" i="1"/>
  <c r="CT278" i="1"/>
  <c r="CT277" i="1"/>
  <c r="CT276" i="1"/>
  <c r="CT275" i="1"/>
  <c r="CT274" i="1"/>
  <c r="CT273" i="1"/>
  <c r="CT272" i="1"/>
  <c r="CT271" i="1"/>
  <c r="CT270" i="1"/>
  <c r="CT269" i="1"/>
  <c r="CT268" i="1"/>
  <c r="CT267" i="1"/>
  <c r="CT266" i="1"/>
  <c r="CT265" i="1"/>
  <c r="CT264" i="1"/>
  <c r="CT263" i="1"/>
  <c r="CT262" i="1"/>
  <c r="CT261" i="1"/>
  <c r="CT260" i="1"/>
  <c r="CT259" i="1"/>
  <c r="CT258" i="1"/>
  <c r="CT257" i="1"/>
  <c r="CT256" i="1"/>
  <c r="CT255" i="1"/>
  <c r="CT254" i="1"/>
  <c r="CT253" i="1"/>
  <c r="CT252" i="1"/>
  <c r="CT251" i="1"/>
  <c r="CT250" i="1"/>
  <c r="CT249" i="1"/>
  <c r="CT248" i="1"/>
  <c r="CT247" i="1"/>
  <c r="CT246" i="1"/>
  <c r="CT245" i="1"/>
  <c r="CT244" i="1"/>
  <c r="CT243" i="1"/>
  <c r="CT242" i="1"/>
  <c r="CT241" i="1"/>
  <c r="CT240" i="1"/>
  <c r="CT239" i="1"/>
  <c r="CT238" i="1"/>
  <c r="CT237" i="1"/>
  <c r="CT236" i="1"/>
  <c r="CT235" i="1"/>
  <c r="CT234" i="1"/>
  <c r="CT233" i="1"/>
  <c r="CT232" i="1"/>
  <c r="CT231" i="1"/>
  <c r="CT230" i="1"/>
  <c r="CT229" i="1"/>
  <c r="CT228" i="1"/>
  <c r="CT227" i="1"/>
  <c r="CT226" i="1"/>
  <c r="CT225" i="1"/>
  <c r="CT224" i="1"/>
  <c r="CT223" i="1"/>
  <c r="CT222" i="1"/>
  <c r="CT221" i="1"/>
  <c r="CT220" i="1"/>
  <c r="CT219" i="1"/>
  <c r="CT218" i="1"/>
  <c r="CT217" i="1"/>
  <c r="CT216" i="1"/>
  <c r="CT215" i="1"/>
  <c r="CT214" i="1"/>
  <c r="CT213" i="1"/>
  <c r="CT212" i="1"/>
  <c r="CT211" i="1"/>
  <c r="CT210" i="1"/>
  <c r="CT209" i="1"/>
  <c r="CT208" i="1"/>
  <c r="CT207" i="1"/>
  <c r="CT206" i="1"/>
  <c r="CT205" i="1"/>
  <c r="CT204" i="1"/>
  <c r="CT203" i="1"/>
  <c r="CT202" i="1"/>
  <c r="CT201" i="1"/>
  <c r="CT200" i="1"/>
  <c r="CT199" i="1"/>
  <c r="CT198" i="1"/>
  <c r="CT197" i="1"/>
  <c r="CT196" i="1"/>
  <c r="CT195" i="1"/>
  <c r="CT194" i="1"/>
  <c r="CT193" i="1"/>
  <c r="CT192" i="1"/>
  <c r="CT191" i="1"/>
  <c r="CT190" i="1"/>
  <c r="CT189" i="1"/>
  <c r="CT188" i="1"/>
  <c r="CT187" i="1"/>
  <c r="CT186" i="1"/>
  <c r="CT185" i="1"/>
  <c r="CT184" i="1"/>
  <c r="CT183" i="1"/>
  <c r="CT182" i="1"/>
  <c r="CT181" i="1"/>
  <c r="CT180" i="1"/>
  <c r="CT179" i="1"/>
  <c r="CT178" i="1"/>
  <c r="CT177" i="1"/>
  <c r="CT176" i="1"/>
  <c r="CT175" i="1"/>
  <c r="CT174" i="1"/>
  <c r="CT173" i="1"/>
  <c r="CT172" i="1"/>
  <c r="CT171" i="1"/>
  <c r="CT170" i="1"/>
  <c r="CT169" i="1"/>
  <c r="CT168" i="1"/>
  <c r="CT167" i="1"/>
  <c r="CT166" i="1"/>
  <c r="CT165" i="1"/>
  <c r="CT164" i="1"/>
  <c r="CT163" i="1"/>
  <c r="CT162" i="1"/>
  <c r="CT161" i="1"/>
  <c r="CT160" i="1"/>
  <c r="CT159" i="1"/>
  <c r="CT158" i="1"/>
  <c r="CT157" i="1"/>
  <c r="CT156" i="1"/>
  <c r="CT155" i="1"/>
  <c r="CT154" i="1"/>
  <c r="CS283" i="1"/>
  <c r="CS282" i="1"/>
  <c r="CS281" i="1"/>
  <c r="CS280" i="1"/>
  <c r="CS279" i="1"/>
  <c r="CS278" i="1"/>
  <c r="CS277" i="1"/>
  <c r="CS276" i="1"/>
  <c r="CS275" i="1"/>
  <c r="CS274" i="1"/>
  <c r="CS273" i="1"/>
  <c r="CS272" i="1"/>
  <c r="CS271" i="1"/>
  <c r="CS270" i="1"/>
  <c r="CS269" i="1"/>
  <c r="CS268" i="1"/>
  <c r="CS267" i="1"/>
  <c r="CS266" i="1"/>
  <c r="CS265" i="1"/>
  <c r="CS264" i="1"/>
  <c r="CS263" i="1"/>
  <c r="CS262" i="1"/>
  <c r="CS261" i="1"/>
  <c r="CS260" i="1"/>
  <c r="CS259" i="1"/>
  <c r="CS258" i="1"/>
  <c r="CS257" i="1"/>
  <c r="CS256" i="1"/>
  <c r="CS255" i="1"/>
  <c r="CS254" i="1"/>
  <c r="CS253" i="1"/>
  <c r="CS252" i="1"/>
  <c r="CS251" i="1"/>
  <c r="CS250" i="1"/>
  <c r="CS249" i="1"/>
  <c r="CS248" i="1"/>
  <c r="CS247" i="1"/>
  <c r="CS246" i="1"/>
  <c r="CS245" i="1"/>
  <c r="CS244" i="1"/>
  <c r="CS243" i="1"/>
  <c r="CS242" i="1"/>
  <c r="CS241" i="1"/>
  <c r="CS240" i="1"/>
  <c r="CS239" i="1"/>
  <c r="CS238" i="1"/>
  <c r="CS237" i="1"/>
  <c r="CS236" i="1"/>
  <c r="CS235" i="1"/>
  <c r="CS234" i="1"/>
  <c r="CS233" i="1"/>
  <c r="CS232" i="1"/>
  <c r="CS231" i="1"/>
  <c r="CS230" i="1"/>
  <c r="CS229" i="1"/>
  <c r="CS228" i="1"/>
  <c r="CS227" i="1"/>
  <c r="CS226" i="1"/>
  <c r="CS225" i="1"/>
  <c r="CS224" i="1"/>
  <c r="CS223" i="1"/>
  <c r="CS222" i="1"/>
  <c r="CS221" i="1"/>
  <c r="CS220" i="1"/>
  <c r="CS219" i="1"/>
  <c r="CS218" i="1"/>
  <c r="CS217" i="1"/>
  <c r="CS216" i="1"/>
  <c r="CS215" i="1"/>
  <c r="CS214" i="1"/>
  <c r="CS213" i="1"/>
  <c r="CS212" i="1"/>
  <c r="CS211" i="1"/>
  <c r="CS210" i="1"/>
  <c r="CS209" i="1"/>
  <c r="CS208" i="1"/>
  <c r="CS207" i="1"/>
  <c r="CS206" i="1"/>
  <c r="CS205" i="1"/>
  <c r="CS204" i="1"/>
  <c r="CS203" i="1"/>
  <c r="CS202" i="1"/>
  <c r="CS201" i="1"/>
  <c r="CS200" i="1"/>
  <c r="CS199" i="1"/>
  <c r="CS198" i="1"/>
  <c r="CS197" i="1"/>
  <c r="CS196" i="1"/>
  <c r="CS195" i="1"/>
  <c r="CS194" i="1"/>
  <c r="CS193" i="1"/>
  <c r="CS192" i="1"/>
  <c r="CS191" i="1"/>
  <c r="CS190" i="1"/>
  <c r="CS189" i="1"/>
  <c r="CS188" i="1"/>
  <c r="CS187" i="1"/>
  <c r="CS186" i="1"/>
  <c r="CS185" i="1"/>
  <c r="CS184" i="1"/>
  <c r="CS183" i="1"/>
  <c r="CS182" i="1"/>
  <c r="CS181" i="1"/>
  <c r="CS180" i="1"/>
  <c r="CS179" i="1"/>
  <c r="CS178" i="1"/>
  <c r="CS177" i="1"/>
  <c r="CS176" i="1"/>
  <c r="CS175" i="1"/>
  <c r="CS174" i="1"/>
  <c r="CS173" i="1"/>
  <c r="CS172" i="1"/>
  <c r="CS171" i="1"/>
  <c r="CS170" i="1"/>
  <c r="CS169" i="1"/>
  <c r="CS168" i="1"/>
  <c r="CS167" i="1"/>
  <c r="CS166" i="1"/>
  <c r="CS165" i="1"/>
  <c r="CS164" i="1"/>
  <c r="CS163" i="1"/>
  <c r="CS162" i="1"/>
  <c r="CS161" i="1"/>
  <c r="CS160" i="1"/>
  <c r="CS159" i="1"/>
  <c r="CS158" i="1"/>
  <c r="CS157" i="1"/>
  <c r="CS156" i="1"/>
  <c r="CS155" i="1"/>
  <c r="CS154" i="1"/>
  <c r="CR283" i="1"/>
  <c r="CR282" i="1"/>
  <c r="CR281" i="1"/>
  <c r="CR280" i="1"/>
  <c r="CR279" i="1"/>
  <c r="CR278" i="1"/>
  <c r="CR277" i="1"/>
  <c r="CR276" i="1"/>
  <c r="CR275" i="1"/>
  <c r="CR274" i="1"/>
  <c r="CR273" i="1"/>
  <c r="CR272" i="1"/>
  <c r="CR271" i="1"/>
  <c r="CR270" i="1"/>
  <c r="CR269" i="1"/>
  <c r="CR268" i="1"/>
  <c r="CR267" i="1"/>
  <c r="CR266" i="1"/>
  <c r="CR265" i="1"/>
  <c r="CR264" i="1"/>
  <c r="CR263" i="1"/>
  <c r="CR262" i="1"/>
  <c r="CR261" i="1"/>
  <c r="CR260" i="1"/>
  <c r="CR259" i="1"/>
  <c r="CR258" i="1"/>
  <c r="CR257" i="1"/>
  <c r="CR256" i="1"/>
  <c r="CR255" i="1"/>
  <c r="CR254" i="1"/>
  <c r="CR253" i="1"/>
  <c r="CR252" i="1"/>
  <c r="CR251" i="1"/>
  <c r="CR250" i="1"/>
  <c r="CR249" i="1"/>
  <c r="CR248" i="1"/>
  <c r="CR247" i="1"/>
  <c r="CR246" i="1"/>
  <c r="CR245" i="1"/>
  <c r="CR244" i="1"/>
  <c r="CR243" i="1"/>
  <c r="CR242" i="1"/>
  <c r="CR241" i="1"/>
  <c r="CR240" i="1"/>
  <c r="CR239" i="1"/>
  <c r="CR238" i="1"/>
  <c r="CR237" i="1"/>
  <c r="CR236" i="1"/>
  <c r="CR235" i="1"/>
  <c r="CR234" i="1"/>
  <c r="CR233" i="1"/>
  <c r="CR232" i="1"/>
  <c r="CR231" i="1"/>
  <c r="CR230" i="1"/>
  <c r="CR229" i="1"/>
  <c r="CR228" i="1"/>
  <c r="CR227" i="1"/>
  <c r="CR226" i="1"/>
  <c r="CR225" i="1"/>
  <c r="CR224" i="1"/>
  <c r="CR223" i="1"/>
  <c r="CR222" i="1"/>
  <c r="CR221" i="1"/>
  <c r="CR220" i="1"/>
  <c r="CR219" i="1"/>
  <c r="CR218" i="1"/>
  <c r="CR217" i="1"/>
  <c r="CR216" i="1"/>
  <c r="CR215" i="1"/>
  <c r="CR214" i="1"/>
  <c r="CR213" i="1"/>
  <c r="CR212" i="1"/>
  <c r="CR211" i="1"/>
  <c r="CR210" i="1"/>
  <c r="CR209" i="1"/>
  <c r="CR208" i="1"/>
  <c r="CR207" i="1"/>
  <c r="CR206" i="1"/>
  <c r="CR205" i="1"/>
  <c r="CR204" i="1"/>
  <c r="CR203" i="1"/>
  <c r="CR202" i="1"/>
  <c r="CR201" i="1"/>
  <c r="CR200" i="1"/>
  <c r="CR199" i="1"/>
  <c r="CR198" i="1"/>
  <c r="CR197" i="1"/>
  <c r="CR196" i="1"/>
  <c r="CR195" i="1"/>
  <c r="CR194" i="1"/>
  <c r="CR193" i="1"/>
  <c r="CR192" i="1"/>
  <c r="CR191" i="1"/>
  <c r="CR190" i="1"/>
  <c r="CR189" i="1"/>
  <c r="CR188" i="1"/>
  <c r="CR187" i="1"/>
  <c r="CR186" i="1"/>
  <c r="CR185" i="1"/>
  <c r="CR184" i="1"/>
  <c r="CR183" i="1"/>
  <c r="CR182" i="1"/>
  <c r="CR181" i="1"/>
  <c r="CR180" i="1"/>
  <c r="CR179" i="1"/>
  <c r="CR178" i="1"/>
  <c r="CR177" i="1"/>
  <c r="CR176" i="1"/>
  <c r="CR175" i="1"/>
  <c r="CR174" i="1"/>
  <c r="CR173" i="1"/>
  <c r="CR172" i="1"/>
  <c r="CR171" i="1"/>
  <c r="CR170" i="1"/>
  <c r="CR169" i="1"/>
  <c r="CR168" i="1"/>
  <c r="CR167" i="1"/>
  <c r="CR166" i="1"/>
  <c r="CR165" i="1"/>
  <c r="CR164" i="1"/>
  <c r="CR163" i="1"/>
  <c r="CR162" i="1"/>
  <c r="CR161" i="1"/>
  <c r="CR160" i="1"/>
  <c r="CR159" i="1"/>
  <c r="CR158" i="1"/>
  <c r="CR157" i="1"/>
  <c r="CR156" i="1"/>
  <c r="CR155" i="1"/>
  <c r="CR154" i="1"/>
  <c r="CQ283" i="1"/>
  <c r="CQ282" i="1"/>
  <c r="CQ281" i="1"/>
  <c r="CQ280" i="1"/>
  <c r="CQ279" i="1"/>
  <c r="CQ278" i="1"/>
  <c r="CQ277" i="1"/>
  <c r="CQ276" i="1"/>
  <c r="CQ275" i="1"/>
  <c r="CQ274" i="1"/>
  <c r="CQ273" i="1"/>
  <c r="CQ272" i="1"/>
  <c r="CQ271" i="1"/>
  <c r="CQ270" i="1"/>
  <c r="CQ269" i="1"/>
  <c r="CQ268" i="1"/>
  <c r="CQ267" i="1"/>
  <c r="CQ266" i="1"/>
  <c r="CQ265" i="1"/>
  <c r="CQ264" i="1"/>
  <c r="CQ263" i="1"/>
  <c r="CQ262" i="1"/>
  <c r="CQ261" i="1"/>
  <c r="CQ260" i="1"/>
  <c r="CQ259" i="1"/>
  <c r="CQ258" i="1"/>
  <c r="CQ257" i="1"/>
  <c r="CQ256" i="1"/>
  <c r="CQ255" i="1"/>
  <c r="CQ254" i="1"/>
  <c r="CQ253" i="1"/>
  <c r="CQ252" i="1"/>
  <c r="CQ251" i="1"/>
  <c r="CQ250" i="1"/>
  <c r="CQ249" i="1"/>
  <c r="CQ248" i="1"/>
  <c r="CQ247" i="1"/>
  <c r="CQ246" i="1"/>
  <c r="CQ245" i="1"/>
  <c r="CQ244" i="1"/>
  <c r="CQ243" i="1"/>
  <c r="CQ242" i="1"/>
  <c r="CQ241" i="1"/>
  <c r="CQ240" i="1"/>
  <c r="CQ239" i="1"/>
  <c r="CQ238" i="1"/>
  <c r="CQ237" i="1"/>
  <c r="CQ236" i="1"/>
  <c r="CQ235" i="1"/>
  <c r="CQ234" i="1"/>
  <c r="CQ233" i="1"/>
  <c r="CQ232" i="1"/>
  <c r="CQ231" i="1"/>
  <c r="CQ230" i="1"/>
  <c r="CQ229" i="1"/>
  <c r="CQ228" i="1"/>
  <c r="CQ227" i="1"/>
  <c r="CQ226" i="1"/>
  <c r="CQ225" i="1"/>
  <c r="CQ224" i="1"/>
  <c r="CQ223" i="1"/>
  <c r="CQ222" i="1"/>
  <c r="CQ221" i="1"/>
  <c r="CQ220" i="1"/>
  <c r="CQ219" i="1"/>
  <c r="CQ218" i="1"/>
  <c r="CQ217" i="1"/>
  <c r="CQ216" i="1"/>
  <c r="CQ215" i="1"/>
  <c r="CQ214" i="1"/>
  <c r="CQ213" i="1"/>
  <c r="CQ212" i="1"/>
  <c r="CQ211" i="1"/>
  <c r="CQ210" i="1"/>
  <c r="CQ209" i="1"/>
  <c r="CQ208" i="1"/>
  <c r="CQ207" i="1"/>
  <c r="CQ206" i="1"/>
  <c r="CQ205" i="1"/>
  <c r="CQ204" i="1"/>
  <c r="CQ203" i="1"/>
  <c r="CQ202" i="1"/>
  <c r="CQ201" i="1"/>
  <c r="CQ200" i="1"/>
  <c r="CQ199" i="1"/>
  <c r="CQ198" i="1"/>
  <c r="CQ197" i="1"/>
  <c r="CQ196" i="1"/>
  <c r="CQ195" i="1"/>
  <c r="CQ194" i="1"/>
  <c r="CQ193" i="1"/>
  <c r="CQ192" i="1"/>
  <c r="CQ191" i="1"/>
  <c r="CQ190" i="1"/>
  <c r="CQ189" i="1"/>
  <c r="CQ188" i="1"/>
  <c r="CQ187" i="1"/>
  <c r="CQ186" i="1"/>
  <c r="CQ185" i="1"/>
  <c r="CQ184" i="1"/>
  <c r="CQ183" i="1"/>
  <c r="CQ182" i="1"/>
  <c r="CQ181" i="1"/>
  <c r="CQ180" i="1"/>
  <c r="CQ179" i="1"/>
  <c r="CQ178" i="1"/>
  <c r="CQ177" i="1"/>
  <c r="CQ176" i="1"/>
  <c r="CQ175" i="1"/>
  <c r="CQ174" i="1"/>
  <c r="CQ173" i="1"/>
  <c r="CQ172" i="1"/>
  <c r="CQ171" i="1"/>
  <c r="CQ170" i="1"/>
  <c r="CQ169" i="1"/>
  <c r="CQ168" i="1"/>
  <c r="CQ167" i="1"/>
  <c r="CQ166" i="1"/>
  <c r="CQ165" i="1"/>
  <c r="CQ164" i="1"/>
  <c r="CQ163" i="1"/>
  <c r="CQ162" i="1"/>
  <c r="CQ161" i="1"/>
  <c r="CQ160" i="1"/>
  <c r="CQ159" i="1"/>
  <c r="CQ158" i="1"/>
  <c r="CQ157" i="1"/>
  <c r="CQ156" i="1"/>
  <c r="CQ155" i="1"/>
  <c r="CQ154" i="1"/>
  <c r="CP283" i="1"/>
  <c r="CP282" i="1"/>
  <c r="CP281" i="1"/>
  <c r="CP280" i="1"/>
  <c r="CP279" i="1"/>
  <c r="CP278" i="1"/>
  <c r="CP277" i="1"/>
  <c r="CP276" i="1"/>
  <c r="CP275" i="1"/>
  <c r="CP274" i="1"/>
  <c r="CP273" i="1"/>
  <c r="CP272" i="1"/>
  <c r="CP271" i="1"/>
  <c r="CP270" i="1"/>
  <c r="CP269" i="1"/>
  <c r="CP268" i="1"/>
  <c r="CP267" i="1"/>
  <c r="CP266" i="1"/>
  <c r="CP265" i="1"/>
  <c r="CP264" i="1"/>
  <c r="CP263" i="1"/>
  <c r="CP262" i="1"/>
  <c r="CP261" i="1"/>
  <c r="CP260" i="1"/>
  <c r="CP259" i="1"/>
  <c r="CP258" i="1"/>
  <c r="CP257" i="1"/>
  <c r="CP256" i="1"/>
  <c r="CP255" i="1"/>
  <c r="CP254" i="1"/>
  <c r="CP253" i="1"/>
  <c r="CP252" i="1"/>
  <c r="CP251" i="1"/>
  <c r="CP250" i="1"/>
  <c r="CP249" i="1"/>
  <c r="CP248" i="1"/>
  <c r="CP247" i="1"/>
  <c r="CP246" i="1"/>
  <c r="CP245" i="1"/>
  <c r="CP244" i="1"/>
  <c r="CP243" i="1"/>
  <c r="CP242" i="1"/>
  <c r="CP241" i="1"/>
  <c r="CP240" i="1"/>
  <c r="CP239" i="1"/>
  <c r="CP238" i="1"/>
  <c r="CP237" i="1"/>
  <c r="CP236" i="1"/>
  <c r="CP235" i="1"/>
  <c r="CP234" i="1"/>
  <c r="CP233" i="1"/>
  <c r="CP232" i="1"/>
  <c r="CP231" i="1"/>
  <c r="CP230" i="1"/>
  <c r="CP229" i="1"/>
  <c r="CP228" i="1"/>
  <c r="CP227" i="1"/>
  <c r="CP226" i="1"/>
  <c r="CP225" i="1"/>
  <c r="CP224" i="1"/>
  <c r="CP223" i="1"/>
  <c r="CP222" i="1"/>
  <c r="CP221" i="1"/>
  <c r="CP220" i="1"/>
  <c r="CP219" i="1"/>
  <c r="CP218" i="1"/>
  <c r="CP217" i="1"/>
  <c r="CP216" i="1"/>
  <c r="CP215" i="1"/>
  <c r="CP214" i="1"/>
  <c r="CP213" i="1"/>
  <c r="CP212" i="1"/>
  <c r="CP211" i="1"/>
  <c r="CP210" i="1"/>
  <c r="CP209" i="1"/>
  <c r="CP208" i="1"/>
  <c r="CP207" i="1"/>
  <c r="CP206" i="1"/>
  <c r="CP205" i="1"/>
  <c r="CP204" i="1"/>
  <c r="CP203" i="1"/>
  <c r="CP202" i="1"/>
  <c r="CP201" i="1"/>
  <c r="CP200" i="1"/>
  <c r="CP199" i="1"/>
  <c r="CP198" i="1"/>
  <c r="CP197" i="1"/>
  <c r="CP196" i="1"/>
  <c r="CP195" i="1"/>
  <c r="CP194" i="1"/>
  <c r="CP193" i="1"/>
  <c r="CP192" i="1"/>
  <c r="CP191" i="1"/>
  <c r="CP190" i="1"/>
  <c r="CP189" i="1"/>
  <c r="CP188" i="1"/>
  <c r="CP187" i="1"/>
  <c r="CP186" i="1"/>
  <c r="CP185" i="1"/>
  <c r="CP184" i="1"/>
  <c r="CP183" i="1"/>
  <c r="CP182" i="1"/>
  <c r="CP181" i="1"/>
  <c r="CP180" i="1"/>
  <c r="CP179" i="1"/>
  <c r="CP178" i="1"/>
  <c r="CP177" i="1"/>
  <c r="CP176" i="1"/>
  <c r="CP175" i="1"/>
  <c r="CP174" i="1"/>
  <c r="CP173" i="1"/>
  <c r="CP172" i="1"/>
  <c r="CP171" i="1"/>
  <c r="CP170" i="1"/>
  <c r="CP169" i="1"/>
  <c r="CP168" i="1"/>
  <c r="CP167" i="1"/>
  <c r="CP166" i="1"/>
  <c r="CP165" i="1"/>
  <c r="CP164" i="1"/>
  <c r="CP163" i="1"/>
  <c r="CP162" i="1"/>
  <c r="CP161" i="1"/>
  <c r="CP160" i="1"/>
  <c r="CP159" i="1"/>
  <c r="CP158" i="1"/>
  <c r="CP157" i="1"/>
  <c r="CP156" i="1"/>
  <c r="CP155" i="1"/>
  <c r="CP154" i="1"/>
  <c r="CO283" i="1"/>
  <c r="CO282" i="1"/>
  <c r="CO281" i="1"/>
  <c r="CO280" i="1"/>
  <c r="CO279" i="1"/>
  <c r="CO278" i="1"/>
  <c r="CO277" i="1"/>
  <c r="CO276" i="1"/>
  <c r="CO275" i="1"/>
  <c r="CO274" i="1"/>
  <c r="CO273" i="1"/>
  <c r="CO272" i="1"/>
  <c r="CO271" i="1"/>
  <c r="CO270" i="1"/>
  <c r="CO269" i="1"/>
  <c r="CO268" i="1"/>
  <c r="CO267" i="1"/>
  <c r="CO266" i="1"/>
  <c r="CO265" i="1"/>
  <c r="CO264" i="1"/>
  <c r="CO263" i="1"/>
  <c r="CO262" i="1"/>
  <c r="CO261" i="1"/>
  <c r="CO260" i="1"/>
  <c r="CO259" i="1"/>
  <c r="CO258" i="1"/>
  <c r="CO257" i="1"/>
  <c r="CO256" i="1"/>
  <c r="CO255" i="1"/>
  <c r="CO254" i="1"/>
  <c r="CO253" i="1"/>
  <c r="CO252" i="1"/>
  <c r="CO251" i="1"/>
  <c r="CO250" i="1"/>
  <c r="CO249" i="1"/>
  <c r="CO248" i="1"/>
  <c r="CO247" i="1"/>
  <c r="CO246" i="1"/>
  <c r="CO245" i="1"/>
  <c r="CO244" i="1"/>
  <c r="CO243" i="1"/>
  <c r="CO242" i="1"/>
  <c r="CO241" i="1"/>
  <c r="CO240" i="1"/>
  <c r="CO239" i="1"/>
  <c r="CO238" i="1"/>
  <c r="CO237" i="1"/>
  <c r="CO236" i="1"/>
  <c r="CO235" i="1"/>
  <c r="CO234" i="1"/>
  <c r="CO233" i="1"/>
  <c r="CO232" i="1"/>
  <c r="CO231" i="1"/>
  <c r="CO230" i="1"/>
  <c r="CO229" i="1"/>
  <c r="CO228" i="1"/>
  <c r="CO227" i="1"/>
  <c r="CO226" i="1"/>
  <c r="CO225" i="1"/>
  <c r="CO224" i="1"/>
  <c r="CO223" i="1"/>
  <c r="CO222" i="1"/>
  <c r="CO221" i="1"/>
  <c r="CO220" i="1"/>
  <c r="CO219" i="1"/>
  <c r="CO218" i="1"/>
  <c r="CO217" i="1"/>
  <c r="CO216" i="1"/>
  <c r="CO215" i="1"/>
  <c r="CO214" i="1"/>
  <c r="CO213" i="1"/>
  <c r="CO212" i="1"/>
  <c r="CO211" i="1"/>
  <c r="CO210" i="1"/>
  <c r="CO209" i="1"/>
  <c r="CO208" i="1"/>
  <c r="CO207" i="1"/>
  <c r="CO206" i="1"/>
  <c r="CO205" i="1"/>
  <c r="CO204" i="1"/>
  <c r="CO203" i="1"/>
  <c r="CO202" i="1"/>
  <c r="CO201" i="1"/>
  <c r="CO200" i="1"/>
  <c r="CO199" i="1"/>
  <c r="CO198" i="1"/>
  <c r="CO197" i="1"/>
  <c r="CO196" i="1"/>
  <c r="CO195" i="1"/>
  <c r="CO194" i="1"/>
  <c r="CO193" i="1"/>
  <c r="CO192" i="1"/>
  <c r="CO191" i="1"/>
  <c r="CO190" i="1"/>
  <c r="CO189" i="1"/>
  <c r="CO188" i="1"/>
  <c r="CO187" i="1"/>
  <c r="CO186" i="1"/>
  <c r="CO185" i="1"/>
  <c r="CO184" i="1"/>
  <c r="CO183" i="1"/>
  <c r="CO182" i="1"/>
  <c r="CO181" i="1"/>
  <c r="CO180" i="1"/>
  <c r="CO179" i="1"/>
  <c r="CO178" i="1"/>
  <c r="CO177" i="1"/>
  <c r="CO176" i="1"/>
  <c r="CO175" i="1"/>
  <c r="CO174" i="1"/>
  <c r="CO173" i="1"/>
  <c r="CO172" i="1"/>
  <c r="CO171" i="1"/>
  <c r="CO170" i="1"/>
  <c r="CO169" i="1"/>
  <c r="CO168" i="1"/>
  <c r="CO167" i="1"/>
  <c r="CO166" i="1"/>
  <c r="CO165" i="1"/>
  <c r="CO164" i="1"/>
  <c r="CO163" i="1"/>
  <c r="CO162" i="1"/>
  <c r="CO161" i="1"/>
  <c r="CO160" i="1"/>
  <c r="CO159" i="1"/>
  <c r="CO158" i="1"/>
  <c r="CO157" i="1"/>
  <c r="CO156" i="1"/>
  <c r="CO155" i="1"/>
  <c r="CO154" i="1"/>
  <c r="CN283" i="1"/>
  <c r="CN282" i="1"/>
  <c r="CN281" i="1"/>
  <c r="CN280" i="1"/>
  <c r="CN279" i="1"/>
  <c r="CN278" i="1"/>
  <c r="CN277" i="1"/>
  <c r="CN276" i="1"/>
  <c r="CN275" i="1"/>
  <c r="CN274" i="1"/>
  <c r="CN273" i="1"/>
  <c r="CN272" i="1"/>
  <c r="CN271" i="1"/>
  <c r="CN270" i="1"/>
  <c r="CN269" i="1"/>
  <c r="CN268" i="1"/>
  <c r="CN267" i="1"/>
  <c r="CN266" i="1"/>
  <c r="CN265" i="1"/>
  <c r="CN264" i="1"/>
  <c r="CN263" i="1"/>
  <c r="CN262" i="1"/>
  <c r="CN261" i="1"/>
  <c r="CN260" i="1"/>
  <c r="CN259" i="1"/>
  <c r="CN258" i="1"/>
  <c r="CN257" i="1"/>
  <c r="CN256" i="1"/>
  <c r="CN255" i="1"/>
  <c r="CN254" i="1"/>
  <c r="CN253" i="1"/>
  <c r="CN252" i="1"/>
  <c r="CN251" i="1"/>
  <c r="CN250" i="1"/>
  <c r="CN249" i="1"/>
  <c r="CN248" i="1"/>
  <c r="CN247" i="1"/>
  <c r="CN246" i="1"/>
  <c r="CN245" i="1"/>
  <c r="CN244" i="1"/>
  <c r="CN243" i="1"/>
  <c r="CN242" i="1"/>
  <c r="CN241" i="1"/>
  <c r="CN240" i="1"/>
  <c r="CN239" i="1"/>
  <c r="CN238" i="1"/>
  <c r="CN237" i="1"/>
  <c r="CN236" i="1"/>
  <c r="CN235" i="1"/>
  <c r="CN234" i="1"/>
  <c r="CN233" i="1"/>
  <c r="CN232" i="1"/>
  <c r="CN231" i="1"/>
  <c r="CN230" i="1"/>
  <c r="CN229" i="1"/>
  <c r="CN228" i="1"/>
  <c r="CN227" i="1"/>
  <c r="CN226" i="1"/>
  <c r="CN225" i="1"/>
  <c r="CN224" i="1"/>
  <c r="CN223" i="1"/>
  <c r="CN222" i="1"/>
  <c r="CN221" i="1"/>
  <c r="CN220" i="1"/>
  <c r="CN219" i="1"/>
  <c r="CN218" i="1"/>
  <c r="CN217" i="1"/>
  <c r="CN216" i="1"/>
  <c r="CN215" i="1"/>
  <c r="CN214" i="1"/>
  <c r="CN213" i="1"/>
  <c r="CN212" i="1"/>
  <c r="CN211" i="1"/>
  <c r="CN210" i="1"/>
  <c r="CN209" i="1"/>
  <c r="CN208" i="1"/>
  <c r="CN207" i="1"/>
  <c r="CN206" i="1"/>
  <c r="CN205" i="1"/>
  <c r="CN204" i="1"/>
  <c r="CN203" i="1"/>
  <c r="CN202" i="1"/>
  <c r="CN201" i="1"/>
  <c r="CN200" i="1"/>
  <c r="CN199" i="1"/>
  <c r="CN198" i="1"/>
  <c r="CN197" i="1"/>
  <c r="CN196" i="1"/>
  <c r="CN195" i="1"/>
  <c r="CN194" i="1"/>
  <c r="CN193" i="1"/>
  <c r="CN192" i="1"/>
  <c r="CN191" i="1"/>
  <c r="CN190" i="1"/>
  <c r="CN189" i="1"/>
  <c r="CN188" i="1"/>
  <c r="CN187" i="1"/>
  <c r="CN186" i="1"/>
  <c r="CN185" i="1"/>
  <c r="CN184" i="1"/>
  <c r="CN183" i="1"/>
  <c r="CN182" i="1"/>
  <c r="CN181" i="1"/>
  <c r="CN180" i="1"/>
  <c r="CN179" i="1"/>
  <c r="CN178" i="1"/>
  <c r="CN177" i="1"/>
  <c r="CN176" i="1"/>
  <c r="CN175" i="1"/>
  <c r="CN174" i="1"/>
  <c r="CN173" i="1"/>
  <c r="CN172" i="1"/>
  <c r="CN171" i="1"/>
  <c r="CN170" i="1"/>
  <c r="CN169" i="1"/>
  <c r="CN168" i="1"/>
  <c r="CN167" i="1"/>
  <c r="CN166" i="1"/>
  <c r="CN165" i="1"/>
  <c r="CN164" i="1"/>
  <c r="CN163" i="1"/>
  <c r="CN162" i="1"/>
  <c r="CN161" i="1"/>
  <c r="CN160" i="1"/>
  <c r="CN159" i="1"/>
  <c r="CN158" i="1"/>
  <c r="CN157" i="1"/>
  <c r="CN156" i="1"/>
  <c r="CN155" i="1"/>
  <c r="CN154" i="1"/>
  <c r="CM283" i="1"/>
  <c r="CM282" i="1"/>
  <c r="CM281" i="1"/>
  <c r="CM280" i="1"/>
  <c r="CM279" i="1"/>
  <c r="CM278" i="1"/>
  <c r="CM277" i="1"/>
  <c r="CM276" i="1"/>
  <c r="CM275" i="1"/>
  <c r="CM274" i="1"/>
  <c r="CM273" i="1"/>
  <c r="CM272" i="1"/>
  <c r="CM271" i="1"/>
  <c r="CM270" i="1"/>
  <c r="CM269" i="1"/>
  <c r="CM268" i="1"/>
  <c r="CM267" i="1"/>
  <c r="CM266" i="1"/>
  <c r="CM265" i="1"/>
  <c r="CM264" i="1"/>
  <c r="CM263" i="1"/>
  <c r="CM262" i="1"/>
  <c r="CM261" i="1"/>
  <c r="CM260" i="1"/>
  <c r="CM259" i="1"/>
  <c r="CM258" i="1"/>
  <c r="CM257" i="1"/>
  <c r="CM256" i="1"/>
  <c r="CM255" i="1"/>
  <c r="CM254" i="1"/>
  <c r="CM253" i="1"/>
  <c r="CM252" i="1"/>
  <c r="CM251" i="1"/>
  <c r="CM250" i="1"/>
  <c r="CM249" i="1"/>
  <c r="CM248" i="1"/>
  <c r="CM247" i="1"/>
  <c r="CM246" i="1"/>
  <c r="CM245" i="1"/>
  <c r="CM244" i="1"/>
  <c r="CM243" i="1"/>
  <c r="CM242" i="1"/>
  <c r="CM241" i="1"/>
  <c r="CM240" i="1"/>
  <c r="CM239" i="1"/>
  <c r="CM238" i="1"/>
  <c r="CM237" i="1"/>
  <c r="CM236" i="1"/>
  <c r="CM235" i="1"/>
  <c r="CM234" i="1"/>
  <c r="CM233" i="1"/>
  <c r="CM232" i="1"/>
  <c r="CM231" i="1"/>
  <c r="CM230" i="1"/>
  <c r="CM229" i="1"/>
  <c r="CM228" i="1"/>
  <c r="CM227" i="1"/>
  <c r="CM226" i="1"/>
  <c r="CM225" i="1"/>
  <c r="CM224" i="1"/>
  <c r="CM223" i="1"/>
  <c r="CM222" i="1"/>
  <c r="CM221" i="1"/>
  <c r="CM220" i="1"/>
  <c r="CM219" i="1"/>
  <c r="CM218" i="1"/>
  <c r="CM217" i="1"/>
  <c r="CM216" i="1"/>
  <c r="CM215" i="1"/>
  <c r="CM214" i="1"/>
  <c r="CM213" i="1"/>
  <c r="CM212" i="1"/>
  <c r="CM211" i="1"/>
  <c r="CM210" i="1"/>
  <c r="CM209" i="1"/>
  <c r="CM208" i="1"/>
  <c r="CM207" i="1"/>
  <c r="CM206" i="1"/>
  <c r="CM205" i="1"/>
  <c r="CM204" i="1"/>
  <c r="CM203" i="1"/>
  <c r="CM202" i="1"/>
  <c r="CM201" i="1"/>
  <c r="CM200" i="1"/>
  <c r="CM199" i="1"/>
  <c r="CM198" i="1"/>
  <c r="CM197" i="1"/>
  <c r="CM196" i="1"/>
  <c r="CM195" i="1"/>
  <c r="CM194" i="1"/>
  <c r="CM193" i="1"/>
  <c r="CM192" i="1"/>
  <c r="CM191" i="1"/>
  <c r="CM190" i="1"/>
  <c r="CM189" i="1"/>
  <c r="CM188" i="1"/>
  <c r="CM187" i="1"/>
  <c r="CM186" i="1"/>
  <c r="CM185" i="1"/>
  <c r="CM184" i="1"/>
  <c r="CM183" i="1"/>
  <c r="CM182" i="1"/>
  <c r="CM181" i="1"/>
  <c r="CM180" i="1"/>
  <c r="CM179" i="1"/>
  <c r="CM178" i="1"/>
  <c r="CM177" i="1"/>
  <c r="CM176" i="1"/>
  <c r="CM175" i="1"/>
  <c r="CM174" i="1"/>
  <c r="CM173" i="1"/>
  <c r="CM172" i="1"/>
  <c r="CM171" i="1"/>
  <c r="CM170" i="1"/>
  <c r="CM169" i="1"/>
  <c r="CM168" i="1"/>
  <c r="CM167" i="1"/>
  <c r="CM166" i="1"/>
  <c r="CM165" i="1"/>
  <c r="CM164" i="1"/>
  <c r="CM163" i="1"/>
  <c r="CM162" i="1"/>
  <c r="CM161" i="1"/>
  <c r="CM160" i="1"/>
  <c r="CM159" i="1"/>
  <c r="CM158" i="1"/>
  <c r="CM157" i="1"/>
  <c r="CM156" i="1"/>
  <c r="CM155" i="1"/>
  <c r="CM154" i="1"/>
  <c r="CL283" i="1"/>
  <c r="CL282" i="1"/>
  <c r="CL281" i="1"/>
  <c r="CL280" i="1"/>
  <c r="CL279" i="1"/>
  <c r="CL278" i="1"/>
  <c r="CL277" i="1"/>
  <c r="CL276" i="1"/>
  <c r="CL275" i="1"/>
  <c r="CL274" i="1"/>
  <c r="CL273" i="1"/>
  <c r="CL272" i="1"/>
  <c r="CL271" i="1"/>
  <c r="CL270" i="1"/>
  <c r="CL269" i="1"/>
  <c r="CL268" i="1"/>
  <c r="CL267" i="1"/>
  <c r="CL266" i="1"/>
  <c r="CL265" i="1"/>
  <c r="CL264" i="1"/>
  <c r="CL263" i="1"/>
  <c r="CL262" i="1"/>
  <c r="CL261" i="1"/>
  <c r="CL260" i="1"/>
  <c r="CL259" i="1"/>
  <c r="CL258" i="1"/>
  <c r="CL257" i="1"/>
  <c r="CL256" i="1"/>
  <c r="CL255" i="1"/>
  <c r="CL254" i="1"/>
  <c r="CL253" i="1"/>
  <c r="CL252" i="1"/>
  <c r="CL251" i="1"/>
  <c r="CL250" i="1"/>
  <c r="CL249" i="1"/>
  <c r="CL248" i="1"/>
  <c r="CL247" i="1"/>
  <c r="CL246" i="1"/>
  <c r="CL245" i="1"/>
  <c r="CL244" i="1"/>
  <c r="CL243" i="1"/>
  <c r="CL242" i="1"/>
  <c r="CL241" i="1"/>
  <c r="CL240" i="1"/>
  <c r="CL239" i="1"/>
  <c r="CL238" i="1"/>
  <c r="CL237" i="1"/>
  <c r="CL236" i="1"/>
  <c r="CL235" i="1"/>
  <c r="CL234" i="1"/>
  <c r="CL233" i="1"/>
  <c r="CL232" i="1"/>
  <c r="CL231" i="1"/>
  <c r="CL230" i="1"/>
  <c r="CL229" i="1"/>
  <c r="CL228" i="1"/>
  <c r="CL227" i="1"/>
  <c r="CL226" i="1"/>
  <c r="CL225" i="1"/>
  <c r="CL224" i="1"/>
  <c r="CL223" i="1"/>
  <c r="CL222" i="1"/>
  <c r="CL221" i="1"/>
  <c r="CL220" i="1"/>
  <c r="CL219" i="1"/>
  <c r="CL218" i="1"/>
  <c r="CL217" i="1"/>
  <c r="CL216" i="1"/>
  <c r="CL215" i="1"/>
  <c r="CL214" i="1"/>
  <c r="CL213" i="1"/>
  <c r="CL212" i="1"/>
  <c r="CL211" i="1"/>
  <c r="CL210" i="1"/>
  <c r="CL209" i="1"/>
  <c r="CL208" i="1"/>
  <c r="CL207" i="1"/>
  <c r="CL206" i="1"/>
  <c r="CL205" i="1"/>
  <c r="CL204" i="1"/>
  <c r="CL203" i="1"/>
  <c r="CL202" i="1"/>
  <c r="CL201" i="1"/>
  <c r="CL200" i="1"/>
  <c r="CL199" i="1"/>
  <c r="CL198" i="1"/>
  <c r="CL197" i="1"/>
  <c r="CL196" i="1"/>
  <c r="CL195" i="1"/>
  <c r="CL194" i="1"/>
  <c r="CL193" i="1"/>
  <c r="CL192" i="1"/>
  <c r="CL191" i="1"/>
  <c r="CL190" i="1"/>
  <c r="CL189" i="1"/>
  <c r="CL188" i="1"/>
  <c r="CL187" i="1"/>
  <c r="CL186" i="1"/>
  <c r="CL185" i="1"/>
  <c r="CL184" i="1"/>
  <c r="CL183" i="1"/>
  <c r="CL182" i="1"/>
  <c r="CL181" i="1"/>
  <c r="CL180" i="1"/>
  <c r="CL179" i="1"/>
  <c r="CL178" i="1"/>
  <c r="CL177" i="1"/>
  <c r="CL176" i="1"/>
  <c r="CL175" i="1"/>
  <c r="CL174" i="1"/>
  <c r="CL173" i="1"/>
  <c r="CL172" i="1"/>
  <c r="CL171" i="1"/>
  <c r="CL170" i="1"/>
  <c r="CL169" i="1"/>
  <c r="CL168" i="1"/>
  <c r="CL167" i="1"/>
  <c r="CL166" i="1"/>
  <c r="CL165" i="1"/>
  <c r="CL164" i="1"/>
  <c r="CL163" i="1"/>
  <c r="CL162" i="1"/>
  <c r="CL161" i="1"/>
  <c r="CL160" i="1"/>
  <c r="CL159" i="1"/>
  <c r="CL158" i="1"/>
  <c r="CL157" i="1"/>
  <c r="CL156" i="1"/>
  <c r="CL155" i="1"/>
  <c r="CL154" i="1"/>
  <c r="CK283" i="1"/>
  <c r="CK282" i="1"/>
  <c r="CK281" i="1"/>
  <c r="CK280" i="1"/>
  <c r="CK279" i="1"/>
  <c r="CK278" i="1"/>
  <c r="CK277" i="1"/>
  <c r="CK276" i="1"/>
  <c r="CK275" i="1"/>
  <c r="CK274" i="1"/>
  <c r="CK273" i="1"/>
  <c r="CK272" i="1"/>
  <c r="CK271" i="1"/>
  <c r="CK270" i="1"/>
  <c r="CK269" i="1"/>
  <c r="CK268" i="1"/>
  <c r="CK267" i="1"/>
  <c r="CK266" i="1"/>
  <c r="CK265" i="1"/>
  <c r="CK264" i="1"/>
  <c r="CK263" i="1"/>
  <c r="CK262" i="1"/>
  <c r="CK261" i="1"/>
  <c r="CK260" i="1"/>
  <c r="CK259" i="1"/>
  <c r="CK258" i="1"/>
  <c r="CK257" i="1"/>
  <c r="CK256" i="1"/>
  <c r="CK255" i="1"/>
  <c r="CK254" i="1"/>
  <c r="CK253" i="1"/>
  <c r="CK252" i="1"/>
  <c r="CK251" i="1"/>
  <c r="CK250" i="1"/>
  <c r="CK249" i="1"/>
  <c r="CK248" i="1"/>
  <c r="CK247" i="1"/>
  <c r="CK246" i="1"/>
  <c r="CK245" i="1"/>
  <c r="CK244" i="1"/>
  <c r="CK243" i="1"/>
  <c r="CK242" i="1"/>
  <c r="CK241" i="1"/>
  <c r="CK240" i="1"/>
  <c r="CK239" i="1"/>
  <c r="CK238" i="1"/>
  <c r="CK237" i="1"/>
  <c r="CK236" i="1"/>
  <c r="CK235" i="1"/>
  <c r="CK234" i="1"/>
  <c r="CK233" i="1"/>
  <c r="CK232" i="1"/>
  <c r="CK231" i="1"/>
  <c r="CK230" i="1"/>
  <c r="CK229" i="1"/>
  <c r="CK228" i="1"/>
  <c r="CK227" i="1"/>
  <c r="CK226" i="1"/>
  <c r="CK225" i="1"/>
  <c r="CK224" i="1"/>
  <c r="CK223" i="1"/>
  <c r="CK222" i="1"/>
  <c r="CK221" i="1"/>
  <c r="CK220" i="1"/>
  <c r="CK219" i="1"/>
  <c r="CK218" i="1"/>
  <c r="CK217" i="1"/>
  <c r="CK216" i="1"/>
  <c r="CK215" i="1"/>
  <c r="CK214" i="1"/>
  <c r="CK213" i="1"/>
  <c r="CK212" i="1"/>
  <c r="CK211" i="1"/>
  <c r="CK210" i="1"/>
  <c r="CK209" i="1"/>
  <c r="CK208" i="1"/>
  <c r="CK207" i="1"/>
  <c r="CK206" i="1"/>
  <c r="CK205" i="1"/>
  <c r="CK204" i="1"/>
  <c r="CK203" i="1"/>
  <c r="CK202" i="1"/>
  <c r="CK201" i="1"/>
  <c r="CK200" i="1"/>
  <c r="CK199" i="1"/>
  <c r="CK198" i="1"/>
  <c r="CK197" i="1"/>
  <c r="CK196" i="1"/>
  <c r="CK195" i="1"/>
  <c r="CK194" i="1"/>
  <c r="CK193" i="1"/>
  <c r="CK192" i="1"/>
  <c r="CK191" i="1"/>
  <c r="CK190" i="1"/>
  <c r="CK189" i="1"/>
  <c r="CK188" i="1"/>
  <c r="CK187" i="1"/>
  <c r="CK186" i="1"/>
  <c r="CK185" i="1"/>
  <c r="CK184" i="1"/>
  <c r="CK183" i="1"/>
  <c r="CK182" i="1"/>
  <c r="CK181" i="1"/>
  <c r="CK180" i="1"/>
  <c r="CK179" i="1"/>
  <c r="CK178" i="1"/>
  <c r="CK177" i="1"/>
  <c r="CK176" i="1"/>
  <c r="CK175" i="1"/>
  <c r="CK174" i="1"/>
  <c r="CK173" i="1"/>
  <c r="CK172" i="1"/>
  <c r="CK171" i="1"/>
  <c r="CK170" i="1"/>
  <c r="CK169" i="1"/>
  <c r="CK168" i="1"/>
  <c r="CK167" i="1"/>
  <c r="CK166" i="1"/>
  <c r="CK165" i="1"/>
  <c r="CK164" i="1"/>
  <c r="CK163" i="1"/>
  <c r="CK162" i="1"/>
  <c r="CK161" i="1"/>
  <c r="CK160" i="1"/>
  <c r="CK159" i="1"/>
  <c r="CK158" i="1"/>
  <c r="CK157" i="1"/>
  <c r="CK156" i="1"/>
  <c r="CK155" i="1"/>
  <c r="CK154" i="1"/>
  <c r="CJ283" i="1"/>
  <c r="CJ282" i="1"/>
  <c r="CJ281" i="1"/>
  <c r="CJ280" i="1"/>
  <c r="CJ279" i="1"/>
  <c r="CJ278" i="1"/>
  <c r="CJ277" i="1"/>
  <c r="CJ276" i="1"/>
  <c r="CJ275" i="1"/>
  <c r="CJ274" i="1"/>
  <c r="CJ273" i="1"/>
  <c r="CJ272" i="1"/>
  <c r="CJ271" i="1"/>
  <c r="CJ270" i="1"/>
  <c r="CJ269" i="1"/>
  <c r="CJ268" i="1"/>
  <c r="CJ267" i="1"/>
  <c r="CJ266" i="1"/>
  <c r="CJ265" i="1"/>
  <c r="CJ264" i="1"/>
  <c r="CJ263" i="1"/>
  <c r="CJ262" i="1"/>
  <c r="CJ261" i="1"/>
  <c r="CJ260" i="1"/>
  <c r="CJ259" i="1"/>
  <c r="CJ258" i="1"/>
  <c r="CJ257" i="1"/>
  <c r="CJ256" i="1"/>
  <c r="CJ255" i="1"/>
  <c r="CJ254" i="1"/>
  <c r="CJ253" i="1"/>
  <c r="CJ252" i="1"/>
  <c r="CJ251" i="1"/>
  <c r="CJ250" i="1"/>
  <c r="CJ249" i="1"/>
  <c r="CJ248" i="1"/>
  <c r="CJ247" i="1"/>
  <c r="CJ246" i="1"/>
  <c r="CJ245" i="1"/>
  <c r="CJ244" i="1"/>
  <c r="CJ243" i="1"/>
  <c r="CJ242" i="1"/>
  <c r="CJ241" i="1"/>
  <c r="CJ240" i="1"/>
  <c r="CJ239" i="1"/>
  <c r="CJ238" i="1"/>
  <c r="CJ237" i="1"/>
  <c r="CJ236" i="1"/>
  <c r="CJ235" i="1"/>
  <c r="CJ234" i="1"/>
  <c r="CJ233" i="1"/>
  <c r="CJ232" i="1"/>
  <c r="CJ231" i="1"/>
  <c r="CJ230" i="1"/>
  <c r="CJ229" i="1"/>
  <c r="CJ228" i="1"/>
  <c r="CJ227" i="1"/>
  <c r="CJ226" i="1"/>
  <c r="CJ225" i="1"/>
  <c r="CJ224" i="1"/>
  <c r="CJ223" i="1"/>
  <c r="CJ222" i="1"/>
  <c r="CJ221" i="1"/>
  <c r="CJ220" i="1"/>
  <c r="CJ219" i="1"/>
  <c r="CJ218" i="1"/>
  <c r="CJ217" i="1"/>
  <c r="CJ216" i="1"/>
  <c r="CJ215" i="1"/>
  <c r="CJ214" i="1"/>
  <c r="CJ213" i="1"/>
  <c r="CJ212" i="1"/>
  <c r="CJ211" i="1"/>
  <c r="CJ210" i="1"/>
  <c r="CJ209" i="1"/>
  <c r="CJ208" i="1"/>
  <c r="CJ207" i="1"/>
  <c r="CJ206" i="1"/>
  <c r="CJ205" i="1"/>
  <c r="CJ204" i="1"/>
  <c r="CJ203" i="1"/>
  <c r="CJ202" i="1"/>
  <c r="CJ201" i="1"/>
  <c r="CJ200" i="1"/>
  <c r="CJ199" i="1"/>
  <c r="CJ198" i="1"/>
  <c r="CJ197" i="1"/>
  <c r="CJ196" i="1"/>
  <c r="CJ195" i="1"/>
  <c r="CJ194" i="1"/>
  <c r="CJ193" i="1"/>
  <c r="CJ192" i="1"/>
  <c r="CJ191" i="1"/>
  <c r="CJ190" i="1"/>
  <c r="CJ189" i="1"/>
  <c r="CJ188" i="1"/>
  <c r="CJ187" i="1"/>
  <c r="CJ186" i="1"/>
  <c r="CJ185" i="1"/>
  <c r="CJ184" i="1"/>
  <c r="CJ183" i="1"/>
  <c r="CJ182" i="1"/>
  <c r="CJ181" i="1"/>
  <c r="CJ180" i="1"/>
  <c r="CJ179" i="1"/>
  <c r="CJ178" i="1"/>
  <c r="CJ177" i="1"/>
  <c r="CJ176" i="1"/>
  <c r="CJ175" i="1"/>
  <c r="CJ174" i="1"/>
  <c r="CJ173" i="1"/>
  <c r="CJ172" i="1"/>
  <c r="CJ171" i="1"/>
  <c r="CJ170" i="1"/>
  <c r="CJ169" i="1"/>
  <c r="CJ168" i="1"/>
  <c r="CJ167" i="1"/>
  <c r="CJ166" i="1"/>
  <c r="CJ165" i="1"/>
  <c r="CJ164" i="1"/>
  <c r="CJ163" i="1"/>
  <c r="CJ162" i="1"/>
  <c r="CJ161" i="1"/>
  <c r="CJ160" i="1"/>
  <c r="CJ159" i="1"/>
  <c r="CJ158" i="1"/>
  <c r="CJ157" i="1"/>
  <c r="CJ156" i="1"/>
  <c r="CJ155" i="1"/>
  <c r="CJ154" i="1"/>
  <c r="CI283" i="1"/>
  <c r="CI282" i="1"/>
  <c r="CI281" i="1"/>
  <c r="CI280" i="1"/>
  <c r="CI279" i="1"/>
  <c r="CI278" i="1"/>
  <c r="CI277" i="1"/>
  <c r="CI276" i="1"/>
  <c r="CI275" i="1"/>
  <c r="CI274" i="1"/>
  <c r="CI273" i="1"/>
  <c r="CI272" i="1"/>
  <c r="CI271" i="1"/>
  <c r="CI270" i="1"/>
  <c r="CI269" i="1"/>
  <c r="CI268" i="1"/>
  <c r="CI267" i="1"/>
  <c r="CI266" i="1"/>
  <c r="CI265" i="1"/>
  <c r="CI264" i="1"/>
  <c r="CI263" i="1"/>
  <c r="CI262" i="1"/>
  <c r="CI261" i="1"/>
  <c r="CI260" i="1"/>
  <c r="CI259" i="1"/>
  <c r="CI258" i="1"/>
  <c r="CI257" i="1"/>
  <c r="CI256" i="1"/>
  <c r="CI255" i="1"/>
  <c r="CI254" i="1"/>
  <c r="CI253" i="1"/>
  <c r="CI252" i="1"/>
  <c r="CI251" i="1"/>
  <c r="CI250" i="1"/>
  <c r="CI249" i="1"/>
  <c r="CI248" i="1"/>
  <c r="CI247" i="1"/>
  <c r="CI246" i="1"/>
  <c r="CI245" i="1"/>
  <c r="CI244" i="1"/>
  <c r="CI243" i="1"/>
  <c r="CI242" i="1"/>
  <c r="CI241" i="1"/>
  <c r="CI240" i="1"/>
  <c r="CI239" i="1"/>
  <c r="CI238" i="1"/>
  <c r="CI237" i="1"/>
  <c r="CI236" i="1"/>
  <c r="CI235" i="1"/>
  <c r="CI234" i="1"/>
  <c r="CI233" i="1"/>
  <c r="CI232" i="1"/>
  <c r="CI231" i="1"/>
  <c r="CI230" i="1"/>
  <c r="CI229" i="1"/>
  <c r="CI228" i="1"/>
  <c r="CI227" i="1"/>
  <c r="CI226" i="1"/>
  <c r="CI225" i="1"/>
  <c r="CI224" i="1"/>
  <c r="CI223" i="1"/>
  <c r="CI222" i="1"/>
  <c r="CI221" i="1"/>
  <c r="CI220" i="1"/>
  <c r="CI219" i="1"/>
  <c r="CI218" i="1"/>
  <c r="CI217" i="1"/>
  <c r="CI216" i="1"/>
  <c r="CI215" i="1"/>
  <c r="CI214" i="1"/>
  <c r="CI213" i="1"/>
  <c r="CI212" i="1"/>
  <c r="CI211" i="1"/>
  <c r="CI210" i="1"/>
  <c r="CI209" i="1"/>
  <c r="CI208" i="1"/>
  <c r="CI207" i="1"/>
  <c r="CI206" i="1"/>
  <c r="CI205" i="1"/>
  <c r="CI204" i="1"/>
  <c r="CI203" i="1"/>
  <c r="CI202" i="1"/>
  <c r="CI201" i="1"/>
  <c r="CI200" i="1"/>
  <c r="CI199" i="1"/>
  <c r="CI198" i="1"/>
  <c r="CI197" i="1"/>
  <c r="CI196" i="1"/>
  <c r="CI195" i="1"/>
  <c r="CI194" i="1"/>
  <c r="CI193" i="1"/>
  <c r="CI192" i="1"/>
  <c r="CI191" i="1"/>
  <c r="CI190" i="1"/>
  <c r="CI189" i="1"/>
  <c r="CI188" i="1"/>
  <c r="CI187" i="1"/>
  <c r="CI186" i="1"/>
  <c r="CI185" i="1"/>
  <c r="CI184" i="1"/>
  <c r="CI183" i="1"/>
  <c r="CI182" i="1"/>
  <c r="CI181" i="1"/>
  <c r="CI180" i="1"/>
  <c r="CI179" i="1"/>
  <c r="CI178" i="1"/>
  <c r="CI177" i="1"/>
  <c r="CI176" i="1"/>
  <c r="CI175" i="1"/>
  <c r="CI174" i="1"/>
  <c r="CI173" i="1"/>
  <c r="CI172" i="1"/>
  <c r="CI171" i="1"/>
  <c r="CI170" i="1"/>
  <c r="CI169" i="1"/>
  <c r="CI168" i="1"/>
  <c r="CI167" i="1"/>
  <c r="CI166" i="1"/>
  <c r="CI165" i="1"/>
  <c r="CI164" i="1"/>
  <c r="CI163" i="1"/>
  <c r="CI162" i="1"/>
  <c r="CI161" i="1"/>
  <c r="CI160" i="1"/>
  <c r="CI159" i="1"/>
  <c r="CI158" i="1"/>
  <c r="CI157" i="1"/>
  <c r="CI156" i="1"/>
  <c r="CI155" i="1"/>
  <c r="CI154" i="1"/>
  <c r="CH283" i="1"/>
  <c r="CH282" i="1"/>
  <c r="CH281" i="1"/>
  <c r="CH280" i="1"/>
  <c r="CH279" i="1"/>
  <c r="CH278" i="1"/>
  <c r="CH277" i="1"/>
  <c r="CH276" i="1"/>
  <c r="CH275" i="1"/>
  <c r="CH274" i="1"/>
  <c r="CH273" i="1"/>
  <c r="CH272" i="1"/>
  <c r="CH271" i="1"/>
  <c r="CH270" i="1"/>
  <c r="CH269" i="1"/>
  <c r="CH268" i="1"/>
  <c r="CH267" i="1"/>
  <c r="CH266" i="1"/>
  <c r="CH265" i="1"/>
  <c r="CH264" i="1"/>
  <c r="CH263" i="1"/>
  <c r="CH262" i="1"/>
  <c r="CH261" i="1"/>
  <c r="CH260" i="1"/>
  <c r="CH259" i="1"/>
  <c r="CH258" i="1"/>
  <c r="CH257" i="1"/>
  <c r="CH256" i="1"/>
  <c r="CH255" i="1"/>
  <c r="CH254" i="1"/>
  <c r="CH253" i="1"/>
  <c r="CH252" i="1"/>
  <c r="CH251" i="1"/>
  <c r="CH250" i="1"/>
  <c r="CH249" i="1"/>
  <c r="CH248" i="1"/>
  <c r="CH247" i="1"/>
  <c r="CH246" i="1"/>
  <c r="CH245" i="1"/>
  <c r="CH244" i="1"/>
  <c r="CH243" i="1"/>
  <c r="CH242" i="1"/>
  <c r="CH241" i="1"/>
  <c r="CH240" i="1"/>
  <c r="CH239" i="1"/>
  <c r="CH238" i="1"/>
  <c r="CH237" i="1"/>
  <c r="CH236" i="1"/>
  <c r="CH235" i="1"/>
  <c r="CH234" i="1"/>
  <c r="CH233" i="1"/>
  <c r="CH232" i="1"/>
  <c r="CH231" i="1"/>
  <c r="CH230" i="1"/>
  <c r="CH229" i="1"/>
  <c r="CH228" i="1"/>
  <c r="CH227" i="1"/>
  <c r="CH226" i="1"/>
  <c r="CH225" i="1"/>
  <c r="CH224" i="1"/>
  <c r="CH223" i="1"/>
  <c r="CH222" i="1"/>
  <c r="CH221" i="1"/>
  <c r="CH220" i="1"/>
  <c r="CH219" i="1"/>
  <c r="CH218" i="1"/>
  <c r="CH217" i="1"/>
  <c r="CH216" i="1"/>
  <c r="CH215" i="1"/>
  <c r="CH214" i="1"/>
  <c r="CH213" i="1"/>
  <c r="CH212" i="1"/>
  <c r="CH211" i="1"/>
  <c r="CH210" i="1"/>
  <c r="CH209" i="1"/>
  <c r="CH208" i="1"/>
  <c r="CH207" i="1"/>
  <c r="CH206" i="1"/>
  <c r="CH205" i="1"/>
  <c r="CH204" i="1"/>
  <c r="CH203" i="1"/>
  <c r="CH202" i="1"/>
  <c r="CH201" i="1"/>
  <c r="CH200" i="1"/>
  <c r="CH199" i="1"/>
  <c r="CH198" i="1"/>
  <c r="CH197" i="1"/>
  <c r="CH196" i="1"/>
  <c r="CH195" i="1"/>
  <c r="CH194" i="1"/>
  <c r="CH193" i="1"/>
  <c r="CH192" i="1"/>
  <c r="CH191" i="1"/>
  <c r="CH190" i="1"/>
  <c r="CH189" i="1"/>
  <c r="CH188" i="1"/>
  <c r="CH187" i="1"/>
  <c r="CH186" i="1"/>
  <c r="CH185" i="1"/>
  <c r="CH184" i="1"/>
  <c r="CH183" i="1"/>
  <c r="CH182" i="1"/>
  <c r="CH181" i="1"/>
  <c r="CH180" i="1"/>
  <c r="CH179" i="1"/>
  <c r="CH178" i="1"/>
  <c r="CH177" i="1"/>
  <c r="CH176" i="1"/>
  <c r="CH175" i="1"/>
  <c r="CH174" i="1"/>
  <c r="CH173" i="1"/>
  <c r="CH172" i="1"/>
  <c r="CH171" i="1"/>
  <c r="CH170" i="1"/>
  <c r="CH169" i="1"/>
  <c r="CH168" i="1"/>
  <c r="CH167" i="1"/>
  <c r="CH166" i="1"/>
  <c r="CH165" i="1"/>
  <c r="CH164" i="1"/>
  <c r="CH163" i="1"/>
  <c r="CH162" i="1"/>
  <c r="CH161" i="1"/>
  <c r="CH160" i="1"/>
  <c r="CH159" i="1"/>
  <c r="CH158" i="1"/>
  <c r="CH157" i="1"/>
  <c r="CH156" i="1"/>
  <c r="CH155" i="1"/>
  <c r="CH154" i="1"/>
  <c r="CG283" i="1"/>
  <c r="CG282" i="1"/>
  <c r="CG281" i="1"/>
  <c r="CG280" i="1"/>
  <c r="CG279" i="1"/>
  <c r="CG278" i="1"/>
  <c r="CG277" i="1"/>
  <c r="CG276" i="1"/>
  <c r="CG275" i="1"/>
  <c r="CG274" i="1"/>
  <c r="CG273" i="1"/>
  <c r="CG272" i="1"/>
  <c r="CG271" i="1"/>
  <c r="CG270" i="1"/>
  <c r="CG269" i="1"/>
  <c r="CG268" i="1"/>
  <c r="CG267" i="1"/>
  <c r="CG266" i="1"/>
  <c r="CG265" i="1"/>
  <c r="CG264" i="1"/>
  <c r="CG263" i="1"/>
  <c r="CG262" i="1"/>
  <c r="CG261" i="1"/>
  <c r="CG260" i="1"/>
  <c r="CG259" i="1"/>
  <c r="CG258" i="1"/>
  <c r="CG257" i="1"/>
  <c r="CG256" i="1"/>
  <c r="CG255" i="1"/>
  <c r="CG254" i="1"/>
  <c r="CG253" i="1"/>
  <c r="CG252" i="1"/>
  <c r="CG251" i="1"/>
  <c r="CG250" i="1"/>
  <c r="CG249" i="1"/>
  <c r="CG248" i="1"/>
  <c r="CG247" i="1"/>
  <c r="CG246" i="1"/>
  <c r="CG245" i="1"/>
  <c r="CG244" i="1"/>
  <c r="CG243" i="1"/>
  <c r="CG242" i="1"/>
  <c r="CG241" i="1"/>
  <c r="CG240" i="1"/>
  <c r="CG239" i="1"/>
  <c r="CG238" i="1"/>
  <c r="CG237" i="1"/>
  <c r="CG236" i="1"/>
  <c r="CG235" i="1"/>
  <c r="CG234" i="1"/>
  <c r="CG233" i="1"/>
  <c r="CG232" i="1"/>
  <c r="CG231" i="1"/>
  <c r="CG230" i="1"/>
  <c r="CG229" i="1"/>
  <c r="CG228" i="1"/>
  <c r="CG227" i="1"/>
  <c r="CG226" i="1"/>
  <c r="CG225" i="1"/>
  <c r="CG224" i="1"/>
  <c r="CG223" i="1"/>
  <c r="CG222" i="1"/>
  <c r="CG221" i="1"/>
  <c r="CG220" i="1"/>
  <c r="CG219" i="1"/>
  <c r="CG218" i="1"/>
  <c r="CG217" i="1"/>
  <c r="CG216" i="1"/>
  <c r="CG215" i="1"/>
  <c r="CG214" i="1"/>
  <c r="CG213" i="1"/>
  <c r="CG212" i="1"/>
  <c r="CG211" i="1"/>
  <c r="CG210" i="1"/>
  <c r="CG209" i="1"/>
  <c r="CG208" i="1"/>
  <c r="CG207" i="1"/>
  <c r="CG206" i="1"/>
  <c r="CG205" i="1"/>
  <c r="CG204" i="1"/>
  <c r="CG203" i="1"/>
  <c r="CG202" i="1"/>
  <c r="CG201" i="1"/>
  <c r="CG200" i="1"/>
  <c r="CG199" i="1"/>
  <c r="CG198" i="1"/>
  <c r="CG197" i="1"/>
  <c r="CG196" i="1"/>
  <c r="CG195" i="1"/>
  <c r="CG194" i="1"/>
  <c r="CG193" i="1"/>
  <c r="CG192" i="1"/>
  <c r="CG191" i="1"/>
  <c r="CG190" i="1"/>
  <c r="CG189" i="1"/>
  <c r="CG188" i="1"/>
  <c r="CG187" i="1"/>
  <c r="CG186" i="1"/>
  <c r="CG185" i="1"/>
  <c r="CG184" i="1"/>
  <c r="CG183" i="1"/>
  <c r="CG182" i="1"/>
  <c r="CG181" i="1"/>
  <c r="CG180" i="1"/>
  <c r="CG179" i="1"/>
  <c r="CG178" i="1"/>
  <c r="CG177" i="1"/>
  <c r="CG176" i="1"/>
  <c r="CG175" i="1"/>
  <c r="CG174" i="1"/>
  <c r="CG173" i="1"/>
  <c r="CG172" i="1"/>
  <c r="CG171" i="1"/>
  <c r="CG170" i="1"/>
  <c r="CG169" i="1"/>
  <c r="CG168" i="1"/>
  <c r="CG167" i="1"/>
  <c r="CG166" i="1"/>
  <c r="CG165" i="1"/>
  <c r="CG164" i="1"/>
  <c r="CG163" i="1"/>
  <c r="CG162" i="1"/>
  <c r="CG161" i="1"/>
  <c r="CG160" i="1"/>
  <c r="CG159" i="1"/>
  <c r="CG158" i="1"/>
  <c r="CG157" i="1"/>
  <c r="CG156" i="1"/>
  <c r="CG155" i="1"/>
  <c r="CG154" i="1"/>
  <c r="CF283" i="1"/>
  <c r="CF282" i="1"/>
  <c r="CF281" i="1"/>
  <c r="CF280" i="1"/>
  <c r="CF279" i="1"/>
  <c r="CF278" i="1"/>
  <c r="CF277" i="1"/>
  <c r="CF276" i="1"/>
  <c r="CF275" i="1"/>
  <c r="CF274" i="1"/>
  <c r="CF273" i="1"/>
  <c r="CF272" i="1"/>
  <c r="CF271" i="1"/>
  <c r="CF270" i="1"/>
  <c r="CF269" i="1"/>
  <c r="CF268" i="1"/>
  <c r="CF267" i="1"/>
  <c r="CF266" i="1"/>
  <c r="CF265" i="1"/>
  <c r="CF264" i="1"/>
  <c r="CF263" i="1"/>
  <c r="CF262" i="1"/>
  <c r="CF261" i="1"/>
  <c r="CF260" i="1"/>
  <c r="CF259" i="1"/>
  <c r="CF258" i="1"/>
  <c r="CF257" i="1"/>
  <c r="CF256" i="1"/>
  <c r="CF255" i="1"/>
  <c r="CF254" i="1"/>
  <c r="CF253" i="1"/>
  <c r="CF252" i="1"/>
  <c r="CF251" i="1"/>
  <c r="CF250" i="1"/>
  <c r="CF249" i="1"/>
  <c r="CF248" i="1"/>
  <c r="CF247" i="1"/>
  <c r="CF246" i="1"/>
  <c r="CF245" i="1"/>
  <c r="CF244" i="1"/>
  <c r="CF243" i="1"/>
  <c r="CF242" i="1"/>
  <c r="CF241" i="1"/>
  <c r="CF240" i="1"/>
  <c r="CF239" i="1"/>
  <c r="CF238" i="1"/>
  <c r="CF237" i="1"/>
  <c r="CF236" i="1"/>
  <c r="CF235" i="1"/>
  <c r="CF234" i="1"/>
  <c r="CF233" i="1"/>
  <c r="CF232" i="1"/>
  <c r="CF231" i="1"/>
  <c r="CF230" i="1"/>
  <c r="CF229" i="1"/>
  <c r="CF228" i="1"/>
  <c r="CF227" i="1"/>
  <c r="CF226" i="1"/>
  <c r="CF225" i="1"/>
  <c r="CF224" i="1"/>
  <c r="CF223" i="1"/>
  <c r="CF222" i="1"/>
  <c r="CF221" i="1"/>
  <c r="CF220" i="1"/>
  <c r="CF219" i="1"/>
  <c r="CF218" i="1"/>
  <c r="CF217" i="1"/>
  <c r="CF216" i="1"/>
  <c r="CF215" i="1"/>
  <c r="CF214" i="1"/>
  <c r="CF213" i="1"/>
  <c r="CF212" i="1"/>
  <c r="CF211" i="1"/>
  <c r="CF210" i="1"/>
  <c r="CF209" i="1"/>
  <c r="CF208" i="1"/>
  <c r="CF207" i="1"/>
  <c r="CF206" i="1"/>
  <c r="CF205" i="1"/>
  <c r="CF204" i="1"/>
  <c r="CF203" i="1"/>
  <c r="CF202" i="1"/>
  <c r="CF201" i="1"/>
  <c r="CF200" i="1"/>
  <c r="CF199" i="1"/>
  <c r="CF198" i="1"/>
  <c r="CF197" i="1"/>
  <c r="CF196" i="1"/>
  <c r="CF195" i="1"/>
  <c r="CF194" i="1"/>
  <c r="CF193" i="1"/>
  <c r="CF192" i="1"/>
  <c r="CF191" i="1"/>
  <c r="CF190" i="1"/>
  <c r="CF189" i="1"/>
  <c r="CF188" i="1"/>
  <c r="CF187" i="1"/>
  <c r="CF186" i="1"/>
  <c r="CF185" i="1"/>
  <c r="CF184" i="1"/>
  <c r="CF183" i="1"/>
  <c r="CF182" i="1"/>
  <c r="CF181" i="1"/>
  <c r="CF180" i="1"/>
  <c r="CF179" i="1"/>
  <c r="CF178" i="1"/>
  <c r="CF177" i="1"/>
  <c r="CF176" i="1"/>
  <c r="CF175" i="1"/>
  <c r="CF174" i="1"/>
  <c r="CF173" i="1"/>
  <c r="CF172" i="1"/>
  <c r="CF171" i="1"/>
  <c r="CF170" i="1"/>
  <c r="CF169" i="1"/>
  <c r="CF168" i="1"/>
  <c r="CF167" i="1"/>
  <c r="CF166" i="1"/>
  <c r="CF165" i="1"/>
  <c r="CF164" i="1"/>
  <c r="CF163" i="1"/>
  <c r="CF162" i="1"/>
  <c r="CF161" i="1"/>
  <c r="CF160" i="1"/>
  <c r="CF159" i="1"/>
  <c r="CF158" i="1"/>
  <c r="CF157" i="1"/>
  <c r="CF156" i="1"/>
  <c r="CF155" i="1"/>
  <c r="CF154" i="1"/>
  <c r="CE283" i="1"/>
  <c r="CE282" i="1"/>
  <c r="CE281" i="1"/>
  <c r="CE280" i="1"/>
  <c r="CE279" i="1"/>
  <c r="CE278" i="1"/>
  <c r="CE277" i="1"/>
  <c r="CE276" i="1"/>
  <c r="CE275" i="1"/>
  <c r="CE274" i="1"/>
  <c r="CE273" i="1"/>
  <c r="CE272" i="1"/>
  <c r="CE271" i="1"/>
  <c r="CE270" i="1"/>
  <c r="CE269" i="1"/>
  <c r="CE268" i="1"/>
  <c r="CE267" i="1"/>
  <c r="CE266" i="1"/>
  <c r="CE265" i="1"/>
  <c r="CE264" i="1"/>
  <c r="CE263" i="1"/>
  <c r="CE262" i="1"/>
  <c r="CE261" i="1"/>
  <c r="CE260" i="1"/>
  <c r="CE259" i="1"/>
  <c r="CE258" i="1"/>
  <c r="CE257" i="1"/>
  <c r="CE256" i="1"/>
  <c r="CE255" i="1"/>
  <c r="CE254" i="1"/>
  <c r="CE253" i="1"/>
  <c r="CE252" i="1"/>
  <c r="CE251" i="1"/>
  <c r="CE250" i="1"/>
  <c r="CE249" i="1"/>
  <c r="CE248" i="1"/>
  <c r="CE247" i="1"/>
  <c r="CE246" i="1"/>
  <c r="CE245" i="1"/>
  <c r="CE244" i="1"/>
  <c r="CE243" i="1"/>
  <c r="CE242" i="1"/>
  <c r="CE241" i="1"/>
  <c r="CE240" i="1"/>
  <c r="CE239" i="1"/>
  <c r="CE238" i="1"/>
  <c r="CE237" i="1"/>
  <c r="CE236" i="1"/>
  <c r="CE235" i="1"/>
  <c r="CE234" i="1"/>
  <c r="CE233" i="1"/>
  <c r="CE232" i="1"/>
  <c r="CE231" i="1"/>
  <c r="CE230" i="1"/>
  <c r="CE229" i="1"/>
  <c r="CE228" i="1"/>
  <c r="CE227" i="1"/>
  <c r="CE226" i="1"/>
  <c r="CE225" i="1"/>
  <c r="CE224" i="1"/>
  <c r="CE223" i="1"/>
  <c r="CE222" i="1"/>
  <c r="CE221" i="1"/>
  <c r="CE220" i="1"/>
  <c r="CE219" i="1"/>
  <c r="CE218" i="1"/>
  <c r="CE217" i="1"/>
  <c r="CE216" i="1"/>
  <c r="CE215" i="1"/>
  <c r="CE214" i="1"/>
  <c r="CE213" i="1"/>
  <c r="CE212" i="1"/>
  <c r="CE211" i="1"/>
  <c r="CE210" i="1"/>
  <c r="CE209" i="1"/>
  <c r="CE208" i="1"/>
  <c r="CE207" i="1"/>
  <c r="CE206" i="1"/>
  <c r="CE205" i="1"/>
  <c r="CE204" i="1"/>
  <c r="CE203" i="1"/>
  <c r="CE202" i="1"/>
  <c r="CE201" i="1"/>
  <c r="CE200" i="1"/>
  <c r="CE199" i="1"/>
  <c r="CE198" i="1"/>
  <c r="CE197" i="1"/>
  <c r="CE196" i="1"/>
  <c r="CE195" i="1"/>
  <c r="CE194" i="1"/>
  <c r="CE193" i="1"/>
  <c r="CE192" i="1"/>
  <c r="CE191" i="1"/>
  <c r="CE190" i="1"/>
  <c r="CE189" i="1"/>
  <c r="CE188" i="1"/>
  <c r="CE187" i="1"/>
  <c r="CE186" i="1"/>
  <c r="CE185" i="1"/>
  <c r="CE184" i="1"/>
  <c r="CE183" i="1"/>
  <c r="CE182" i="1"/>
  <c r="CE181" i="1"/>
  <c r="CE180" i="1"/>
  <c r="CE179" i="1"/>
  <c r="CE178" i="1"/>
  <c r="CE177" i="1"/>
  <c r="CE176" i="1"/>
  <c r="CE175" i="1"/>
  <c r="CE174" i="1"/>
  <c r="CE173" i="1"/>
  <c r="CE172" i="1"/>
  <c r="CE171" i="1"/>
  <c r="CE170" i="1"/>
  <c r="CE169" i="1"/>
  <c r="CE168" i="1"/>
  <c r="CE167" i="1"/>
  <c r="CE166" i="1"/>
  <c r="CE165" i="1"/>
  <c r="CE164" i="1"/>
  <c r="CE163" i="1"/>
  <c r="CE162" i="1"/>
  <c r="CE161" i="1"/>
  <c r="CE160" i="1"/>
  <c r="CE159" i="1"/>
  <c r="CE158" i="1"/>
  <c r="CE157" i="1"/>
  <c r="CE156" i="1"/>
  <c r="CE155" i="1"/>
  <c r="CE154" i="1"/>
  <c r="CD283" i="1"/>
  <c r="CD282" i="1"/>
  <c r="CD281" i="1"/>
  <c r="CD280" i="1"/>
  <c r="CD279" i="1"/>
  <c r="CD278" i="1"/>
  <c r="CD277" i="1"/>
  <c r="CD276" i="1"/>
  <c r="CD275" i="1"/>
  <c r="CD274" i="1"/>
  <c r="CD273" i="1"/>
  <c r="CD272" i="1"/>
  <c r="CD271" i="1"/>
  <c r="CD270" i="1"/>
  <c r="CD269" i="1"/>
  <c r="CD268" i="1"/>
  <c r="CD267" i="1"/>
  <c r="CD266" i="1"/>
  <c r="CD265" i="1"/>
  <c r="CD264" i="1"/>
  <c r="CD263" i="1"/>
  <c r="CD262" i="1"/>
  <c r="CD261" i="1"/>
  <c r="CD260" i="1"/>
  <c r="CD259" i="1"/>
  <c r="CD258" i="1"/>
  <c r="CD257" i="1"/>
  <c r="CD256" i="1"/>
  <c r="CD255" i="1"/>
  <c r="CD254" i="1"/>
  <c r="CD253" i="1"/>
  <c r="CD252" i="1"/>
  <c r="CD251" i="1"/>
  <c r="CD250" i="1"/>
  <c r="CD249" i="1"/>
  <c r="CD248" i="1"/>
  <c r="CD247" i="1"/>
  <c r="CD246" i="1"/>
  <c r="CD245" i="1"/>
  <c r="CD244" i="1"/>
  <c r="CD243" i="1"/>
  <c r="CD242" i="1"/>
  <c r="CD241" i="1"/>
  <c r="CD240" i="1"/>
  <c r="CD239" i="1"/>
  <c r="CD238" i="1"/>
  <c r="CD237" i="1"/>
  <c r="CD236" i="1"/>
  <c r="CD235" i="1"/>
  <c r="CD234" i="1"/>
  <c r="CD233" i="1"/>
  <c r="CD232" i="1"/>
  <c r="CD231" i="1"/>
  <c r="CD230" i="1"/>
  <c r="CD229" i="1"/>
  <c r="CD228" i="1"/>
  <c r="CD227" i="1"/>
  <c r="CD226" i="1"/>
  <c r="CD225" i="1"/>
  <c r="CD224" i="1"/>
  <c r="CD223" i="1"/>
  <c r="CD222" i="1"/>
  <c r="CD221" i="1"/>
  <c r="CD220" i="1"/>
  <c r="CD219" i="1"/>
  <c r="CD218" i="1"/>
  <c r="CD217" i="1"/>
  <c r="CD216" i="1"/>
  <c r="CD215" i="1"/>
  <c r="CD214" i="1"/>
  <c r="CD213" i="1"/>
  <c r="CD212" i="1"/>
  <c r="CD211" i="1"/>
  <c r="CD210" i="1"/>
  <c r="CD209" i="1"/>
  <c r="CD208" i="1"/>
  <c r="CD207" i="1"/>
  <c r="CD206" i="1"/>
  <c r="CD205" i="1"/>
  <c r="CD204" i="1"/>
  <c r="CD203" i="1"/>
  <c r="CD202" i="1"/>
  <c r="CD201" i="1"/>
  <c r="CD200" i="1"/>
  <c r="CD199" i="1"/>
  <c r="CD198" i="1"/>
  <c r="CD197" i="1"/>
  <c r="CD196" i="1"/>
  <c r="CD195" i="1"/>
  <c r="CD194" i="1"/>
  <c r="CD193" i="1"/>
  <c r="CD192" i="1"/>
  <c r="CD191" i="1"/>
  <c r="CD190" i="1"/>
  <c r="CD189" i="1"/>
  <c r="CD188" i="1"/>
  <c r="CD187" i="1"/>
  <c r="CD186" i="1"/>
  <c r="CD185" i="1"/>
  <c r="CD184" i="1"/>
  <c r="CD183" i="1"/>
  <c r="CD182" i="1"/>
  <c r="CD181" i="1"/>
  <c r="CD180" i="1"/>
  <c r="CD179" i="1"/>
  <c r="CD178" i="1"/>
  <c r="CD177" i="1"/>
  <c r="CD176" i="1"/>
  <c r="CD175" i="1"/>
  <c r="CD174" i="1"/>
  <c r="CD173" i="1"/>
  <c r="CD172" i="1"/>
  <c r="CD171" i="1"/>
  <c r="CD170" i="1"/>
  <c r="CD169" i="1"/>
  <c r="CD168" i="1"/>
  <c r="CD167" i="1"/>
  <c r="CD166" i="1"/>
  <c r="CD165" i="1"/>
  <c r="CD164" i="1"/>
  <c r="CD163" i="1"/>
  <c r="CD162" i="1"/>
  <c r="CD161" i="1"/>
  <c r="CD160" i="1"/>
  <c r="CD159" i="1"/>
  <c r="CD158" i="1"/>
  <c r="CD157" i="1"/>
  <c r="CD156" i="1"/>
  <c r="CD155" i="1"/>
  <c r="CD154" i="1"/>
  <c r="CC283" i="1"/>
  <c r="CC282" i="1"/>
  <c r="CC281" i="1"/>
  <c r="CC280" i="1"/>
  <c r="CC279" i="1"/>
  <c r="CC278" i="1"/>
  <c r="CC277" i="1"/>
  <c r="CC276" i="1"/>
  <c r="CC275" i="1"/>
  <c r="CC274" i="1"/>
  <c r="CC273" i="1"/>
  <c r="CC272" i="1"/>
  <c r="CC271" i="1"/>
  <c r="CC270" i="1"/>
  <c r="CC269" i="1"/>
  <c r="CC268" i="1"/>
  <c r="CC267" i="1"/>
  <c r="CC266" i="1"/>
  <c r="CC265" i="1"/>
  <c r="CC264" i="1"/>
  <c r="CC263" i="1"/>
  <c r="CC262" i="1"/>
  <c r="CC261" i="1"/>
  <c r="CC260" i="1"/>
  <c r="CC259" i="1"/>
  <c r="CC258" i="1"/>
  <c r="CC257" i="1"/>
  <c r="CC256" i="1"/>
  <c r="CC255" i="1"/>
  <c r="CC254" i="1"/>
  <c r="CC253" i="1"/>
  <c r="CC252" i="1"/>
  <c r="CC251" i="1"/>
  <c r="CC250" i="1"/>
  <c r="CC249" i="1"/>
  <c r="CC248" i="1"/>
  <c r="CC247" i="1"/>
  <c r="CC246" i="1"/>
  <c r="CC245" i="1"/>
  <c r="CC244" i="1"/>
  <c r="CC243" i="1"/>
  <c r="CC242" i="1"/>
  <c r="CC241" i="1"/>
  <c r="CC240" i="1"/>
  <c r="CC239" i="1"/>
  <c r="CC238" i="1"/>
  <c r="CC237" i="1"/>
  <c r="CC236" i="1"/>
  <c r="CC235" i="1"/>
  <c r="CC234" i="1"/>
  <c r="CC233" i="1"/>
  <c r="CC232" i="1"/>
  <c r="CC231" i="1"/>
  <c r="CC230" i="1"/>
  <c r="CC229" i="1"/>
  <c r="CC228" i="1"/>
  <c r="CC227" i="1"/>
  <c r="CC226" i="1"/>
  <c r="CC225" i="1"/>
  <c r="CC224" i="1"/>
  <c r="CC223" i="1"/>
  <c r="CC222" i="1"/>
  <c r="CC221" i="1"/>
  <c r="CC220" i="1"/>
  <c r="CC219" i="1"/>
  <c r="CC218" i="1"/>
  <c r="CC217" i="1"/>
  <c r="CC216" i="1"/>
  <c r="CC215" i="1"/>
  <c r="CC214" i="1"/>
  <c r="CC213" i="1"/>
  <c r="CC212" i="1"/>
  <c r="CC211" i="1"/>
  <c r="CC210" i="1"/>
  <c r="CC209" i="1"/>
  <c r="CC208" i="1"/>
  <c r="CC207" i="1"/>
  <c r="CC206" i="1"/>
  <c r="CC205" i="1"/>
  <c r="CC204" i="1"/>
  <c r="CC203" i="1"/>
  <c r="CC202" i="1"/>
  <c r="CC201" i="1"/>
  <c r="CC200" i="1"/>
  <c r="CC199" i="1"/>
  <c r="CC198" i="1"/>
  <c r="CC197" i="1"/>
  <c r="CC196" i="1"/>
  <c r="CC195" i="1"/>
  <c r="CC194" i="1"/>
  <c r="CC193" i="1"/>
  <c r="CC192" i="1"/>
  <c r="CC191" i="1"/>
  <c r="CC190" i="1"/>
  <c r="CC189" i="1"/>
  <c r="CC188" i="1"/>
  <c r="CC187" i="1"/>
  <c r="CC186" i="1"/>
  <c r="CC185" i="1"/>
  <c r="CC184" i="1"/>
  <c r="CC183" i="1"/>
  <c r="CC182" i="1"/>
  <c r="CC181" i="1"/>
  <c r="CC180" i="1"/>
  <c r="CC179" i="1"/>
  <c r="CC178" i="1"/>
  <c r="CC177" i="1"/>
  <c r="CC176" i="1"/>
  <c r="CC175" i="1"/>
  <c r="CC174" i="1"/>
  <c r="CC173" i="1"/>
  <c r="CC172" i="1"/>
  <c r="CC171" i="1"/>
  <c r="CC170" i="1"/>
  <c r="CC169" i="1"/>
  <c r="CC168" i="1"/>
  <c r="CC167" i="1"/>
  <c r="CC166" i="1"/>
  <c r="CC165" i="1"/>
  <c r="CC164" i="1"/>
  <c r="CC163" i="1"/>
  <c r="CC162" i="1"/>
  <c r="CC161" i="1"/>
  <c r="CC160" i="1"/>
  <c r="CC159" i="1"/>
  <c r="CC158" i="1"/>
  <c r="CC157" i="1"/>
  <c r="CC156" i="1"/>
  <c r="CC155" i="1"/>
  <c r="CC154" i="1"/>
  <c r="CB283" i="1"/>
  <c r="CB282" i="1"/>
  <c r="CB281" i="1"/>
  <c r="CB280" i="1"/>
  <c r="CB279" i="1"/>
  <c r="CB278" i="1"/>
  <c r="CB277" i="1"/>
  <c r="CB276" i="1"/>
  <c r="CB275" i="1"/>
  <c r="CB274" i="1"/>
  <c r="CB273" i="1"/>
  <c r="CB272" i="1"/>
  <c r="CB271" i="1"/>
  <c r="CB270" i="1"/>
  <c r="CB269" i="1"/>
  <c r="CB268" i="1"/>
  <c r="CB267" i="1"/>
  <c r="CB266" i="1"/>
  <c r="CB265" i="1"/>
  <c r="CB264" i="1"/>
  <c r="CB263" i="1"/>
  <c r="CB262" i="1"/>
  <c r="CB261" i="1"/>
  <c r="CB260" i="1"/>
  <c r="CB259" i="1"/>
  <c r="CB258" i="1"/>
  <c r="CB257" i="1"/>
  <c r="CB256" i="1"/>
  <c r="CB255" i="1"/>
  <c r="CB254" i="1"/>
  <c r="CB253" i="1"/>
  <c r="CB252" i="1"/>
  <c r="CB251" i="1"/>
  <c r="CB250" i="1"/>
  <c r="CB249" i="1"/>
  <c r="CB248" i="1"/>
  <c r="CB247" i="1"/>
  <c r="CB246" i="1"/>
  <c r="CB245" i="1"/>
  <c r="CB244" i="1"/>
  <c r="CB243" i="1"/>
  <c r="CB242" i="1"/>
  <c r="CB241" i="1"/>
  <c r="CB240" i="1"/>
  <c r="CB239" i="1"/>
  <c r="CB238" i="1"/>
  <c r="CB237" i="1"/>
  <c r="CB236" i="1"/>
  <c r="CB235" i="1"/>
  <c r="CB234" i="1"/>
  <c r="CB233" i="1"/>
  <c r="CB232" i="1"/>
  <c r="CB231" i="1"/>
  <c r="CB230" i="1"/>
  <c r="CB229" i="1"/>
  <c r="CB228" i="1"/>
  <c r="CB227" i="1"/>
  <c r="CB226" i="1"/>
  <c r="CB225" i="1"/>
  <c r="CB224" i="1"/>
  <c r="CB223" i="1"/>
  <c r="CB222" i="1"/>
  <c r="CB221" i="1"/>
  <c r="CB220" i="1"/>
  <c r="CB219" i="1"/>
  <c r="CB218" i="1"/>
  <c r="CB217" i="1"/>
  <c r="CB216" i="1"/>
  <c r="CB215" i="1"/>
  <c r="CB214" i="1"/>
  <c r="CB213" i="1"/>
  <c r="CB212" i="1"/>
  <c r="CB211" i="1"/>
  <c r="CB210" i="1"/>
  <c r="CB209" i="1"/>
  <c r="CB208" i="1"/>
  <c r="CB207" i="1"/>
  <c r="CB206" i="1"/>
  <c r="CB205" i="1"/>
  <c r="CB204" i="1"/>
  <c r="CB203" i="1"/>
  <c r="CB202" i="1"/>
  <c r="CB201" i="1"/>
  <c r="CB200" i="1"/>
  <c r="CB199" i="1"/>
  <c r="CB198" i="1"/>
  <c r="CB197" i="1"/>
  <c r="CB196" i="1"/>
  <c r="CB195" i="1"/>
  <c r="CB194" i="1"/>
  <c r="CB193" i="1"/>
  <c r="CB192" i="1"/>
  <c r="CB191" i="1"/>
  <c r="CB190" i="1"/>
  <c r="CB189" i="1"/>
  <c r="CB188" i="1"/>
  <c r="CB187" i="1"/>
  <c r="CB186" i="1"/>
  <c r="CB185" i="1"/>
  <c r="CB184" i="1"/>
  <c r="CB183" i="1"/>
  <c r="CB182" i="1"/>
  <c r="CB181" i="1"/>
  <c r="CB180" i="1"/>
  <c r="CB179" i="1"/>
  <c r="CB178" i="1"/>
  <c r="CB177" i="1"/>
  <c r="CB176" i="1"/>
  <c r="CB175" i="1"/>
  <c r="CB174" i="1"/>
  <c r="CB173" i="1"/>
  <c r="CB172" i="1"/>
  <c r="CB171" i="1"/>
  <c r="CB170" i="1"/>
  <c r="CB169" i="1"/>
  <c r="CB168" i="1"/>
  <c r="CB167" i="1"/>
  <c r="CB166" i="1"/>
  <c r="CB165" i="1"/>
  <c r="CB164" i="1"/>
  <c r="CB163" i="1"/>
  <c r="CB162" i="1"/>
  <c r="CB161" i="1"/>
  <c r="CB160" i="1"/>
  <c r="CB159" i="1"/>
  <c r="CB158" i="1"/>
  <c r="CB157" i="1"/>
  <c r="CB156" i="1"/>
  <c r="CB155" i="1"/>
  <c r="CB154" i="1"/>
  <c r="CA283" i="1"/>
  <c r="CA282" i="1"/>
  <c r="CA281" i="1"/>
  <c r="CA280" i="1"/>
  <c r="CA279" i="1"/>
  <c r="CA278" i="1"/>
  <c r="CA277" i="1"/>
  <c r="CA276" i="1"/>
  <c r="CA275" i="1"/>
  <c r="CA274" i="1"/>
  <c r="CA273" i="1"/>
  <c r="CA272" i="1"/>
  <c r="CA271" i="1"/>
  <c r="CA270" i="1"/>
  <c r="CA269" i="1"/>
  <c r="CA268" i="1"/>
  <c r="CA267" i="1"/>
  <c r="CA266" i="1"/>
  <c r="CA265" i="1"/>
  <c r="CA264" i="1"/>
  <c r="CA263" i="1"/>
  <c r="CA262" i="1"/>
  <c r="CA261" i="1"/>
  <c r="CA260" i="1"/>
  <c r="CA259" i="1"/>
  <c r="CA258" i="1"/>
  <c r="CA257" i="1"/>
  <c r="CA256" i="1"/>
  <c r="CA255" i="1"/>
  <c r="CA254" i="1"/>
  <c r="CA253" i="1"/>
  <c r="CA252" i="1"/>
  <c r="CA251" i="1"/>
  <c r="CA250" i="1"/>
  <c r="CA249" i="1"/>
  <c r="CA248" i="1"/>
  <c r="CA247" i="1"/>
  <c r="CA246" i="1"/>
  <c r="CA245" i="1"/>
  <c r="CA244" i="1"/>
  <c r="CA243" i="1"/>
  <c r="CA242" i="1"/>
  <c r="CA241" i="1"/>
  <c r="CA240" i="1"/>
  <c r="CA239" i="1"/>
  <c r="CA238" i="1"/>
  <c r="CA237" i="1"/>
  <c r="CA236" i="1"/>
  <c r="CA235" i="1"/>
  <c r="CA234" i="1"/>
  <c r="CA233" i="1"/>
  <c r="CA232" i="1"/>
  <c r="CA231" i="1"/>
  <c r="CA230" i="1"/>
  <c r="CA229" i="1"/>
  <c r="CA228" i="1"/>
  <c r="CA227" i="1"/>
  <c r="CA226" i="1"/>
  <c r="CA225" i="1"/>
  <c r="CA224" i="1"/>
  <c r="CA223" i="1"/>
  <c r="CA222" i="1"/>
  <c r="CA221" i="1"/>
  <c r="CA220" i="1"/>
  <c r="CA219" i="1"/>
  <c r="CA218" i="1"/>
  <c r="CA217" i="1"/>
  <c r="CA216" i="1"/>
  <c r="CA215" i="1"/>
  <c r="CA214" i="1"/>
  <c r="CA213" i="1"/>
  <c r="CA212" i="1"/>
  <c r="CA211" i="1"/>
  <c r="CA210" i="1"/>
  <c r="CA209" i="1"/>
  <c r="CA208" i="1"/>
  <c r="CA207" i="1"/>
  <c r="CA206" i="1"/>
  <c r="CA205" i="1"/>
  <c r="CA204" i="1"/>
  <c r="CA203" i="1"/>
  <c r="CA202" i="1"/>
  <c r="CA201" i="1"/>
  <c r="CA200" i="1"/>
  <c r="CA199" i="1"/>
  <c r="CA198" i="1"/>
  <c r="CA197" i="1"/>
  <c r="CA196" i="1"/>
  <c r="CA195" i="1"/>
  <c r="CA194" i="1"/>
  <c r="CA193" i="1"/>
  <c r="CA192" i="1"/>
  <c r="CA191" i="1"/>
  <c r="CA190" i="1"/>
  <c r="CA189" i="1"/>
  <c r="CA188" i="1"/>
  <c r="CA187" i="1"/>
  <c r="CA186" i="1"/>
  <c r="CA185" i="1"/>
  <c r="CA184" i="1"/>
  <c r="CA183" i="1"/>
  <c r="CA182" i="1"/>
  <c r="CA181" i="1"/>
  <c r="CA180" i="1"/>
  <c r="CA179" i="1"/>
  <c r="CA178" i="1"/>
  <c r="CA177" i="1"/>
  <c r="CA176" i="1"/>
  <c r="CA175" i="1"/>
  <c r="CA174" i="1"/>
  <c r="CA173" i="1"/>
  <c r="CA172" i="1"/>
  <c r="CA171" i="1"/>
  <c r="CA170" i="1"/>
  <c r="CA169" i="1"/>
  <c r="CA168" i="1"/>
  <c r="CA167" i="1"/>
  <c r="CA166" i="1"/>
  <c r="CA165" i="1"/>
  <c r="CA164" i="1"/>
  <c r="CA163" i="1"/>
  <c r="CA162" i="1"/>
  <c r="CA161" i="1"/>
  <c r="CA160" i="1"/>
  <c r="CA159" i="1"/>
  <c r="CA158" i="1"/>
  <c r="CA157" i="1"/>
  <c r="CA156" i="1"/>
  <c r="CA155" i="1"/>
  <c r="CA154" i="1"/>
  <c r="BZ283" i="1"/>
  <c r="BZ282" i="1"/>
  <c r="BZ281" i="1"/>
  <c r="BZ280" i="1"/>
  <c r="BZ279" i="1"/>
  <c r="BZ278" i="1"/>
  <c r="BZ277" i="1"/>
  <c r="BZ276" i="1"/>
  <c r="BZ275" i="1"/>
  <c r="BZ274" i="1"/>
  <c r="BZ273" i="1"/>
  <c r="BZ272" i="1"/>
  <c r="BZ271" i="1"/>
  <c r="BZ270" i="1"/>
  <c r="BZ269" i="1"/>
  <c r="BZ268" i="1"/>
  <c r="BZ267" i="1"/>
  <c r="BZ266" i="1"/>
  <c r="BZ265" i="1"/>
  <c r="BZ264" i="1"/>
  <c r="BZ263" i="1"/>
  <c r="BZ262" i="1"/>
  <c r="BZ261" i="1"/>
  <c r="BZ260" i="1"/>
  <c r="BZ259" i="1"/>
  <c r="BZ258" i="1"/>
  <c r="BZ257" i="1"/>
  <c r="BZ256" i="1"/>
  <c r="BZ255" i="1"/>
  <c r="BZ254" i="1"/>
  <c r="BZ253" i="1"/>
  <c r="BZ252" i="1"/>
  <c r="BZ251" i="1"/>
  <c r="BZ250" i="1"/>
  <c r="BZ249" i="1"/>
  <c r="BZ248" i="1"/>
  <c r="BZ247" i="1"/>
  <c r="BZ246" i="1"/>
  <c r="BZ245" i="1"/>
  <c r="BZ244" i="1"/>
  <c r="BZ243" i="1"/>
  <c r="BZ242" i="1"/>
  <c r="BZ241" i="1"/>
  <c r="BZ240" i="1"/>
  <c r="BZ239" i="1"/>
  <c r="BZ238" i="1"/>
  <c r="BZ237" i="1"/>
  <c r="BZ236" i="1"/>
  <c r="BZ235" i="1"/>
  <c r="BZ234" i="1"/>
  <c r="BZ233" i="1"/>
  <c r="BZ232" i="1"/>
  <c r="BZ231" i="1"/>
  <c r="BZ230" i="1"/>
  <c r="BZ229" i="1"/>
  <c r="BZ228" i="1"/>
  <c r="BZ227" i="1"/>
  <c r="BZ226" i="1"/>
  <c r="BZ225" i="1"/>
  <c r="BZ224" i="1"/>
  <c r="BZ223" i="1"/>
  <c r="BZ222" i="1"/>
  <c r="BZ221" i="1"/>
  <c r="BZ220" i="1"/>
  <c r="BZ219" i="1"/>
  <c r="BZ218" i="1"/>
  <c r="BZ217" i="1"/>
  <c r="BZ216" i="1"/>
  <c r="BZ215" i="1"/>
  <c r="BZ214" i="1"/>
  <c r="BZ213" i="1"/>
  <c r="BZ212" i="1"/>
  <c r="BZ211" i="1"/>
  <c r="BZ210" i="1"/>
  <c r="BZ209" i="1"/>
  <c r="BZ208" i="1"/>
  <c r="BZ207" i="1"/>
  <c r="BZ206" i="1"/>
  <c r="BZ205" i="1"/>
  <c r="BZ204" i="1"/>
  <c r="BZ203" i="1"/>
  <c r="BZ202" i="1"/>
  <c r="BZ201" i="1"/>
  <c r="BZ200" i="1"/>
  <c r="BZ199" i="1"/>
  <c r="BZ198" i="1"/>
  <c r="BZ197" i="1"/>
  <c r="BZ196" i="1"/>
  <c r="BZ195" i="1"/>
  <c r="BZ194" i="1"/>
  <c r="BZ193" i="1"/>
  <c r="BZ192" i="1"/>
  <c r="BZ191" i="1"/>
  <c r="BZ190" i="1"/>
  <c r="BZ189" i="1"/>
  <c r="BZ188" i="1"/>
  <c r="BZ187" i="1"/>
  <c r="BZ186" i="1"/>
  <c r="BZ185" i="1"/>
  <c r="BZ184" i="1"/>
  <c r="BZ183" i="1"/>
  <c r="BZ182" i="1"/>
  <c r="BZ181" i="1"/>
  <c r="BZ180" i="1"/>
  <c r="BZ179" i="1"/>
  <c r="BZ178" i="1"/>
  <c r="BZ177" i="1"/>
  <c r="BZ176" i="1"/>
  <c r="BZ175" i="1"/>
  <c r="BZ174" i="1"/>
  <c r="BZ173" i="1"/>
  <c r="BZ172" i="1"/>
  <c r="BZ171" i="1"/>
  <c r="BZ170" i="1"/>
  <c r="BZ169" i="1"/>
  <c r="BZ168" i="1"/>
  <c r="BZ167" i="1"/>
  <c r="BZ166" i="1"/>
  <c r="BZ165" i="1"/>
  <c r="BZ164" i="1"/>
  <c r="BZ163" i="1"/>
  <c r="BZ162" i="1"/>
  <c r="BZ161" i="1"/>
  <c r="BZ160" i="1"/>
  <c r="BZ159" i="1"/>
  <c r="BZ158" i="1"/>
  <c r="BZ157" i="1"/>
  <c r="BZ156" i="1"/>
  <c r="BZ155" i="1"/>
  <c r="BZ154" i="1"/>
  <c r="BY283" i="1"/>
  <c r="BY282" i="1"/>
  <c r="BY281" i="1"/>
  <c r="BY280" i="1"/>
  <c r="BY279" i="1"/>
  <c r="BY278" i="1"/>
  <c r="BY277" i="1"/>
  <c r="BY276" i="1"/>
  <c r="BY275" i="1"/>
  <c r="BY274" i="1"/>
  <c r="BY273" i="1"/>
  <c r="BY272" i="1"/>
  <c r="BY271" i="1"/>
  <c r="BY270" i="1"/>
  <c r="BY269" i="1"/>
  <c r="BY268" i="1"/>
  <c r="BY267" i="1"/>
  <c r="BY266" i="1"/>
  <c r="BY265" i="1"/>
  <c r="BY264" i="1"/>
  <c r="BY263" i="1"/>
  <c r="BY262" i="1"/>
  <c r="BY261" i="1"/>
  <c r="BY260" i="1"/>
  <c r="BY259" i="1"/>
  <c r="BY258" i="1"/>
  <c r="BY257" i="1"/>
  <c r="BY256" i="1"/>
  <c r="BY255" i="1"/>
  <c r="BY254" i="1"/>
  <c r="BY253" i="1"/>
  <c r="BY252" i="1"/>
  <c r="BY251" i="1"/>
  <c r="BY250" i="1"/>
  <c r="BY249" i="1"/>
  <c r="BY248" i="1"/>
  <c r="BY247" i="1"/>
  <c r="BY246" i="1"/>
  <c r="BY245" i="1"/>
  <c r="BY244" i="1"/>
  <c r="BY243" i="1"/>
  <c r="BY242" i="1"/>
  <c r="BY241" i="1"/>
  <c r="BY240" i="1"/>
  <c r="BY239" i="1"/>
  <c r="BY238" i="1"/>
  <c r="BY237" i="1"/>
  <c r="BY236" i="1"/>
  <c r="BY235" i="1"/>
  <c r="BY234" i="1"/>
  <c r="BY233" i="1"/>
  <c r="BY232" i="1"/>
  <c r="BY231" i="1"/>
  <c r="BY230" i="1"/>
  <c r="BY229" i="1"/>
  <c r="BY228" i="1"/>
  <c r="BY227" i="1"/>
  <c r="BY226" i="1"/>
  <c r="BY225" i="1"/>
  <c r="BY224" i="1"/>
  <c r="BY223" i="1"/>
  <c r="BY222" i="1"/>
  <c r="BY221" i="1"/>
  <c r="BY220" i="1"/>
  <c r="BY219" i="1"/>
  <c r="BY218" i="1"/>
  <c r="BY217" i="1"/>
  <c r="BY216" i="1"/>
  <c r="BY215" i="1"/>
  <c r="BY214" i="1"/>
  <c r="BY213" i="1"/>
  <c r="BY212" i="1"/>
  <c r="BY211" i="1"/>
  <c r="BY210" i="1"/>
  <c r="BY209" i="1"/>
  <c r="BY208" i="1"/>
  <c r="BY207" i="1"/>
  <c r="BY206" i="1"/>
  <c r="BY205" i="1"/>
  <c r="BY204" i="1"/>
  <c r="BY203" i="1"/>
  <c r="BY202" i="1"/>
  <c r="BY201" i="1"/>
  <c r="BY200" i="1"/>
  <c r="BY199" i="1"/>
  <c r="BY198" i="1"/>
  <c r="BY197" i="1"/>
  <c r="BY196" i="1"/>
  <c r="BY195" i="1"/>
  <c r="BY194" i="1"/>
  <c r="BY193" i="1"/>
  <c r="BY192" i="1"/>
  <c r="BY191" i="1"/>
  <c r="BY190" i="1"/>
  <c r="BY189" i="1"/>
  <c r="BY188" i="1"/>
  <c r="BY187" i="1"/>
  <c r="BY186" i="1"/>
  <c r="BY185" i="1"/>
  <c r="BY184" i="1"/>
  <c r="BY183" i="1"/>
  <c r="BY182" i="1"/>
  <c r="BY181" i="1"/>
  <c r="BY180" i="1"/>
  <c r="BY179" i="1"/>
  <c r="BY178" i="1"/>
  <c r="BY177" i="1"/>
  <c r="BY176" i="1"/>
  <c r="BY175" i="1"/>
  <c r="BY174" i="1"/>
  <c r="BY173" i="1"/>
  <c r="BY172" i="1"/>
  <c r="BY171" i="1"/>
  <c r="BY170" i="1"/>
  <c r="BY169" i="1"/>
  <c r="BY168" i="1"/>
  <c r="BY167" i="1"/>
  <c r="BY166" i="1"/>
  <c r="BY165" i="1"/>
  <c r="BY164" i="1"/>
  <c r="BY163" i="1"/>
  <c r="BY162" i="1"/>
  <c r="BY161" i="1"/>
  <c r="BY160" i="1"/>
  <c r="BY159" i="1"/>
  <c r="BY158" i="1"/>
  <c r="BY157" i="1"/>
  <c r="BY156" i="1"/>
  <c r="BY155" i="1"/>
  <c r="BY154" i="1"/>
  <c r="BX283" i="1"/>
  <c r="BX282" i="1"/>
  <c r="BX281" i="1"/>
  <c r="BX280" i="1"/>
  <c r="BX279" i="1"/>
  <c r="BX278" i="1"/>
  <c r="BX277" i="1"/>
  <c r="BX276" i="1"/>
  <c r="BX275" i="1"/>
  <c r="BX274" i="1"/>
  <c r="BX273" i="1"/>
  <c r="BX272" i="1"/>
  <c r="BX271" i="1"/>
  <c r="BX270" i="1"/>
  <c r="BX269" i="1"/>
  <c r="BX268" i="1"/>
  <c r="BX267" i="1"/>
  <c r="BX266" i="1"/>
  <c r="BX265" i="1"/>
  <c r="BX264" i="1"/>
  <c r="BX263" i="1"/>
  <c r="BX262" i="1"/>
  <c r="BX261" i="1"/>
  <c r="BX260" i="1"/>
  <c r="BX259" i="1"/>
  <c r="BX258" i="1"/>
  <c r="BX257" i="1"/>
  <c r="BX256" i="1"/>
  <c r="BX255" i="1"/>
  <c r="BX254" i="1"/>
  <c r="BX253" i="1"/>
  <c r="BX252" i="1"/>
  <c r="BX251" i="1"/>
  <c r="BX250" i="1"/>
  <c r="BX249" i="1"/>
  <c r="BX248" i="1"/>
  <c r="BX247" i="1"/>
  <c r="BX246" i="1"/>
  <c r="BX245" i="1"/>
  <c r="BX244" i="1"/>
  <c r="BX243" i="1"/>
  <c r="BX242" i="1"/>
  <c r="BX241" i="1"/>
  <c r="BX240" i="1"/>
  <c r="BX239" i="1"/>
  <c r="BX238" i="1"/>
  <c r="BX237" i="1"/>
  <c r="BX236" i="1"/>
  <c r="BX235" i="1"/>
  <c r="BX234" i="1"/>
  <c r="BX233" i="1"/>
  <c r="BX232" i="1"/>
  <c r="BX231" i="1"/>
  <c r="BX230" i="1"/>
  <c r="BX229" i="1"/>
  <c r="BX228" i="1"/>
  <c r="BX227" i="1"/>
  <c r="BX226" i="1"/>
  <c r="BX225" i="1"/>
  <c r="BX224" i="1"/>
  <c r="BX223" i="1"/>
  <c r="BX222" i="1"/>
  <c r="BX221" i="1"/>
  <c r="BX220" i="1"/>
  <c r="BX219" i="1"/>
  <c r="BX218" i="1"/>
  <c r="BX217" i="1"/>
  <c r="BX216" i="1"/>
  <c r="BX215" i="1"/>
  <c r="BX214" i="1"/>
  <c r="BX213" i="1"/>
  <c r="BX212" i="1"/>
  <c r="BX211" i="1"/>
  <c r="BX210" i="1"/>
  <c r="BX209" i="1"/>
  <c r="BX208" i="1"/>
  <c r="BX207" i="1"/>
  <c r="BX206" i="1"/>
  <c r="BX205" i="1"/>
  <c r="BX204" i="1"/>
  <c r="BX203" i="1"/>
  <c r="BX202" i="1"/>
  <c r="BX201" i="1"/>
  <c r="BX200" i="1"/>
  <c r="BX199" i="1"/>
  <c r="BX198" i="1"/>
  <c r="BX197" i="1"/>
  <c r="BX196" i="1"/>
  <c r="BX195" i="1"/>
  <c r="BX194" i="1"/>
  <c r="BX193" i="1"/>
  <c r="BX192" i="1"/>
  <c r="BX191" i="1"/>
  <c r="BX190" i="1"/>
  <c r="BX189" i="1"/>
  <c r="BX188" i="1"/>
  <c r="BX187" i="1"/>
  <c r="BX186" i="1"/>
  <c r="BX185" i="1"/>
  <c r="BX184" i="1"/>
  <c r="BX183" i="1"/>
  <c r="BX182" i="1"/>
  <c r="BX181" i="1"/>
  <c r="BX180" i="1"/>
  <c r="BX179" i="1"/>
  <c r="BX178" i="1"/>
  <c r="BX177" i="1"/>
  <c r="BX176" i="1"/>
  <c r="BX175" i="1"/>
  <c r="BX174" i="1"/>
  <c r="BX173" i="1"/>
  <c r="BX172" i="1"/>
  <c r="BX171" i="1"/>
  <c r="BX170" i="1"/>
  <c r="BX169" i="1"/>
  <c r="BX168" i="1"/>
  <c r="BX167" i="1"/>
  <c r="BX166" i="1"/>
  <c r="BX165" i="1"/>
  <c r="BX164" i="1"/>
  <c r="BX163" i="1"/>
  <c r="BX162" i="1"/>
  <c r="BX161" i="1"/>
  <c r="BX160" i="1"/>
  <c r="BX159" i="1"/>
  <c r="BX158" i="1"/>
  <c r="BX157" i="1"/>
  <c r="BX156" i="1"/>
  <c r="BX155" i="1"/>
  <c r="BX154" i="1"/>
  <c r="BW283" i="1"/>
  <c r="BW282" i="1"/>
  <c r="BW281" i="1"/>
  <c r="BW280" i="1"/>
  <c r="BW279" i="1"/>
  <c r="BW278" i="1"/>
  <c r="BW277" i="1"/>
  <c r="BW276" i="1"/>
  <c r="BW275" i="1"/>
  <c r="BW274" i="1"/>
  <c r="BW273" i="1"/>
  <c r="BW272" i="1"/>
  <c r="BW271" i="1"/>
  <c r="BW270" i="1"/>
  <c r="BW269" i="1"/>
  <c r="BW268" i="1"/>
  <c r="BW267" i="1"/>
  <c r="BW266" i="1"/>
  <c r="BW265" i="1"/>
  <c r="BW264" i="1"/>
  <c r="BW263" i="1"/>
  <c r="BW262" i="1"/>
  <c r="BW261" i="1"/>
  <c r="BW260" i="1"/>
  <c r="BW259" i="1"/>
  <c r="BW258" i="1"/>
  <c r="BW257" i="1"/>
  <c r="BW256" i="1"/>
  <c r="BW255" i="1"/>
  <c r="BW254" i="1"/>
  <c r="BW253" i="1"/>
  <c r="BW252" i="1"/>
  <c r="BW251" i="1"/>
  <c r="BW250" i="1"/>
  <c r="BW249" i="1"/>
  <c r="BW248" i="1"/>
  <c r="BW247" i="1"/>
  <c r="BW246" i="1"/>
  <c r="BW245" i="1"/>
  <c r="BW244" i="1"/>
  <c r="BW243" i="1"/>
  <c r="BW242" i="1"/>
  <c r="BW241" i="1"/>
  <c r="BW240" i="1"/>
  <c r="BW239" i="1"/>
  <c r="BW238" i="1"/>
  <c r="BW237" i="1"/>
  <c r="BW236" i="1"/>
  <c r="BW235" i="1"/>
  <c r="BW234" i="1"/>
  <c r="BW233" i="1"/>
  <c r="BW232" i="1"/>
  <c r="BW231" i="1"/>
  <c r="BW230" i="1"/>
  <c r="BW229" i="1"/>
  <c r="BW228" i="1"/>
  <c r="BW227" i="1"/>
  <c r="BW226" i="1"/>
  <c r="BW225" i="1"/>
  <c r="BW224" i="1"/>
  <c r="BW223" i="1"/>
  <c r="BW222" i="1"/>
  <c r="BW221" i="1"/>
  <c r="BW220" i="1"/>
  <c r="BW219" i="1"/>
  <c r="BW218" i="1"/>
  <c r="BW217" i="1"/>
  <c r="BW216" i="1"/>
  <c r="BW215" i="1"/>
  <c r="BW214" i="1"/>
  <c r="BW213" i="1"/>
  <c r="BW212" i="1"/>
  <c r="BW211" i="1"/>
  <c r="BW210" i="1"/>
  <c r="BW209" i="1"/>
  <c r="BW208" i="1"/>
  <c r="BW207" i="1"/>
  <c r="BW206" i="1"/>
  <c r="BW205" i="1"/>
  <c r="BW204" i="1"/>
  <c r="BW203" i="1"/>
  <c r="BW202" i="1"/>
  <c r="BW201" i="1"/>
  <c r="BW200" i="1"/>
  <c r="BW199" i="1"/>
  <c r="BW198" i="1"/>
  <c r="BW197" i="1"/>
  <c r="BW196" i="1"/>
  <c r="BW195" i="1"/>
  <c r="BW194" i="1"/>
  <c r="BW193" i="1"/>
  <c r="BW192" i="1"/>
  <c r="BW191" i="1"/>
  <c r="BW190" i="1"/>
  <c r="BW189" i="1"/>
  <c r="BW188" i="1"/>
  <c r="BW187" i="1"/>
  <c r="BW186" i="1"/>
  <c r="BW185" i="1"/>
  <c r="BW184" i="1"/>
  <c r="BW183" i="1"/>
  <c r="BW182" i="1"/>
  <c r="BW181" i="1"/>
  <c r="BW180" i="1"/>
  <c r="BW179" i="1"/>
  <c r="BW178" i="1"/>
  <c r="BW177" i="1"/>
  <c r="BW176" i="1"/>
  <c r="BW175" i="1"/>
  <c r="BW174" i="1"/>
  <c r="BW173" i="1"/>
  <c r="BW172" i="1"/>
  <c r="BW171" i="1"/>
  <c r="BW170" i="1"/>
  <c r="BW169" i="1"/>
  <c r="BW168" i="1"/>
  <c r="BW167" i="1"/>
  <c r="BW166" i="1"/>
  <c r="BW165" i="1"/>
  <c r="BW164" i="1"/>
  <c r="BW163" i="1"/>
  <c r="BW162" i="1"/>
  <c r="BW161" i="1"/>
  <c r="BW160" i="1"/>
  <c r="BW159" i="1"/>
  <c r="BW158" i="1"/>
  <c r="BW157" i="1"/>
  <c r="BW156" i="1"/>
  <c r="BW155" i="1"/>
  <c r="BW154" i="1"/>
  <c r="BV283" i="1"/>
  <c r="BV282" i="1"/>
  <c r="BV281" i="1"/>
  <c r="BV280" i="1"/>
  <c r="BV279" i="1"/>
  <c r="BV278" i="1"/>
  <c r="BV277" i="1"/>
  <c r="BV276" i="1"/>
  <c r="BV275" i="1"/>
  <c r="BV274" i="1"/>
  <c r="BV273" i="1"/>
  <c r="BV272" i="1"/>
  <c r="BV271" i="1"/>
  <c r="BV270" i="1"/>
  <c r="BV269" i="1"/>
  <c r="BV268" i="1"/>
  <c r="BV267" i="1"/>
  <c r="BV266" i="1"/>
  <c r="BV265" i="1"/>
  <c r="BV264" i="1"/>
  <c r="BV263" i="1"/>
  <c r="BV262" i="1"/>
  <c r="BV261" i="1"/>
  <c r="BV260" i="1"/>
  <c r="BV259" i="1"/>
  <c r="BV258" i="1"/>
  <c r="BV257" i="1"/>
  <c r="BV256" i="1"/>
  <c r="BV255" i="1"/>
  <c r="BV254" i="1"/>
  <c r="BV253" i="1"/>
  <c r="BV252" i="1"/>
  <c r="BV251" i="1"/>
  <c r="BV250" i="1"/>
  <c r="BV249" i="1"/>
  <c r="BV248" i="1"/>
  <c r="BV247" i="1"/>
  <c r="BV246" i="1"/>
  <c r="BV245" i="1"/>
  <c r="BV244" i="1"/>
  <c r="BV243" i="1"/>
  <c r="BV242" i="1"/>
  <c r="BV241" i="1"/>
  <c r="BV240" i="1"/>
  <c r="BV239" i="1"/>
  <c r="BV238" i="1"/>
  <c r="BV237" i="1"/>
  <c r="BV236" i="1"/>
  <c r="BV235" i="1"/>
  <c r="BV234" i="1"/>
  <c r="BV233" i="1"/>
  <c r="BV232" i="1"/>
  <c r="BV231" i="1"/>
  <c r="BV230" i="1"/>
  <c r="BV229" i="1"/>
  <c r="BV228" i="1"/>
  <c r="BV227" i="1"/>
  <c r="BV226" i="1"/>
  <c r="BV225" i="1"/>
  <c r="BV224" i="1"/>
  <c r="BV223" i="1"/>
  <c r="BV222" i="1"/>
  <c r="BV221" i="1"/>
  <c r="BV220" i="1"/>
  <c r="BV219" i="1"/>
  <c r="BV218" i="1"/>
  <c r="BV217" i="1"/>
  <c r="BV216" i="1"/>
  <c r="BV215" i="1"/>
  <c r="BV214" i="1"/>
  <c r="BV213" i="1"/>
  <c r="BV212" i="1"/>
  <c r="BV211" i="1"/>
  <c r="BV210" i="1"/>
  <c r="BV209" i="1"/>
  <c r="BV208" i="1"/>
  <c r="BV207" i="1"/>
  <c r="BV206" i="1"/>
  <c r="BV205" i="1"/>
  <c r="BV204" i="1"/>
  <c r="BV203" i="1"/>
  <c r="BV202" i="1"/>
  <c r="BV201" i="1"/>
  <c r="BV200" i="1"/>
  <c r="BV199" i="1"/>
  <c r="BV198" i="1"/>
  <c r="BV197" i="1"/>
  <c r="BV196" i="1"/>
  <c r="BV195" i="1"/>
  <c r="BV194" i="1"/>
  <c r="BV193" i="1"/>
  <c r="BV192" i="1"/>
  <c r="BV191" i="1"/>
  <c r="BV190" i="1"/>
  <c r="BV189" i="1"/>
  <c r="BV188" i="1"/>
  <c r="BV187" i="1"/>
  <c r="BV186" i="1"/>
  <c r="BV185" i="1"/>
  <c r="BV184" i="1"/>
  <c r="BV183" i="1"/>
  <c r="BV182" i="1"/>
  <c r="BV181" i="1"/>
  <c r="BV180" i="1"/>
  <c r="BV179" i="1"/>
  <c r="BV178" i="1"/>
  <c r="BV177" i="1"/>
  <c r="BV176" i="1"/>
  <c r="BV175" i="1"/>
  <c r="BV174" i="1"/>
  <c r="BV173" i="1"/>
  <c r="BV172" i="1"/>
  <c r="BV171" i="1"/>
  <c r="BV170" i="1"/>
  <c r="BV169" i="1"/>
  <c r="BV168" i="1"/>
  <c r="BV167" i="1"/>
  <c r="BV166" i="1"/>
  <c r="BV165" i="1"/>
  <c r="BV164" i="1"/>
  <c r="BV163" i="1"/>
  <c r="BV162" i="1"/>
  <c r="BV161" i="1"/>
  <c r="BV160" i="1"/>
  <c r="BV159" i="1"/>
  <c r="BV158" i="1"/>
  <c r="BV157" i="1"/>
  <c r="BV156" i="1"/>
  <c r="BV155" i="1"/>
  <c r="BV154" i="1"/>
  <c r="BU283" i="1"/>
  <c r="BU282" i="1"/>
  <c r="BU281" i="1"/>
  <c r="BU280" i="1"/>
  <c r="BU279" i="1"/>
  <c r="BU278" i="1"/>
  <c r="BU277" i="1"/>
  <c r="BU276" i="1"/>
  <c r="BU275" i="1"/>
  <c r="BU274" i="1"/>
  <c r="BU273" i="1"/>
  <c r="BU272" i="1"/>
  <c r="BU271" i="1"/>
  <c r="BU270" i="1"/>
  <c r="BU269" i="1"/>
  <c r="BU268" i="1"/>
  <c r="BU267" i="1"/>
  <c r="BU266" i="1"/>
  <c r="BU265" i="1"/>
  <c r="BU264" i="1"/>
  <c r="BU263" i="1"/>
  <c r="BU262" i="1"/>
  <c r="BU261" i="1"/>
  <c r="BU260" i="1"/>
  <c r="BU259" i="1"/>
  <c r="BU258" i="1"/>
  <c r="BU257" i="1"/>
  <c r="BU256" i="1"/>
  <c r="BU255" i="1"/>
  <c r="BU254" i="1"/>
  <c r="BU253" i="1"/>
  <c r="BU252" i="1"/>
  <c r="BU251" i="1"/>
  <c r="BU250" i="1"/>
  <c r="BU249" i="1"/>
  <c r="BU248" i="1"/>
  <c r="BU247" i="1"/>
  <c r="BU246" i="1"/>
  <c r="BU245" i="1"/>
  <c r="BU244" i="1"/>
  <c r="BU243" i="1"/>
  <c r="BU242" i="1"/>
  <c r="BU241" i="1"/>
  <c r="BU240" i="1"/>
  <c r="BU239" i="1"/>
  <c r="BU238" i="1"/>
  <c r="BU237" i="1"/>
  <c r="BU236" i="1"/>
  <c r="BU235" i="1"/>
  <c r="BU234" i="1"/>
  <c r="BU233" i="1"/>
  <c r="BU232" i="1"/>
  <c r="BU231" i="1"/>
  <c r="BU230" i="1"/>
  <c r="BU229" i="1"/>
  <c r="BU228" i="1"/>
  <c r="BU227" i="1"/>
  <c r="BU226" i="1"/>
  <c r="BU225" i="1"/>
  <c r="BU224" i="1"/>
  <c r="BU223" i="1"/>
  <c r="BU222" i="1"/>
  <c r="BU221" i="1"/>
  <c r="BU220" i="1"/>
  <c r="BU219" i="1"/>
  <c r="BU218" i="1"/>
  <c r="BU217" i="1"/>
  <c r="BU216" i="1"/>
  <c r="BU215" i="1"/>
  <c r="BU214" i="1"/>
  <c r="BU213" i="1"/>
  <c r="BU212" i="1"/>
  <c r="BU211" i="1"/>
  <c r="BU210" i="1"/>
  <c r="BU209" i="1"/>
  <c r="BU208" i="1"/>
  <c r="BU207" i="1"/>
  <c r="BU206" i="1"/>
  <c r="BU205" i="1"/>
  <c r="BU204" i="1"/>
  <c r="BU203" i="1"/>
  <c r="BU202" i="1"/>
  <c r="BU201" i="1"/>
  <c r="BU200" i="1"/>
  <c r="BU199" i="1"/>
  <c r="BU198" i="1"/>
  <c r="BU197" i="1"/>
  <c r="BU196" i="1"/>
  <c r="BU195" i="1"/>
  <c r="BU194" i="1"/>
  <c r="BU193" i="1"/>
  <c r="BU192" i="1"/>
  <c r="BU191" i="1"/>
  <c r="BU190" i="1"/>
  <c r="BU189" i="1"/>
  <c r="BU188" i="1"/>
  <c r="BU187" i="1"/>
  <c r="BU186" i="1"/>
  <c r="BU185" i="1"/>
  <c r="BU184" i="1"/>
  <c r="BU183" i="1"/>
  <c r="BU182" i="1"/>
  <c r="BU181" i="1"/>
  <c r="BU180" i="1"/>
  <c r="BU179" i="1"/>
  <c r="BU178" i="1"/>
  <c r="BU177" i="1"/>
  <c r="BU176" i="1"/>
  <c r="BU175" i="1"/>
  <c r="BU174" i="1"/>
  <c r="BU173" i="1"/>
  <c r="BU172" i="1"/>
  <c r="BU171" i="1"/>
  <c r="BU170" i="1"/>
  <c r="BU169" i="1"/>
  <c r="BU168" i="1"/>
  <c r="BU167" i="1"/>
  <c r="BU166" i="1"/>
  <c r="BU165" i="1"/>
  <c r="BU164" i="1"/>
  <c r="BU163" i="1"/>
  <c r="BU162" i="1"/>
  <c r="BU161" i="1"/>
  <c r="BU160" i="1"/>
  <c r="BU159" i="1"/>
  <c r="BU158" i="1"/>
  <c r="BU157" i="1"/>
  <c r="BU156" i="1"/>
  <c r="BU155" i="1"/>
  <c r="BU154" i="1"/>
  <c r="BT283" i="1"/>
  <c r="BT282" i="1"/>
  <c r="BT281" i="1"/>
  <c r="BT280" i="1"/>
  <c r="BT279" i="1"/>
  <c r="BT278" i="1"/>
  <c r="BT277" i="1"/>
  <c r="BT276" i="1"/>
  <c r="BT275" i="1"/>
  <c r="BT274" i="1"/>
  <c r="BT273" i="1"/>
  <c r="BT272" i="1"/>
  <c r="BT271" i="1"/>
  <c r="BT270" i="1"/>
  <c r="BT269" i="1"/>
  <c r="BT268" i="1"/>
  <c r="BT267" i="1"/>
  <c r="BT266" i="1"/>
  <c r="BT265" i="1"/>
  <c r="BT264" i="1"/>
  <c r="BT263" i="1"/>
  <c r="BT262" i="1"/>
  <c r="BT261" i="1"/>
  <c r="BT260" i="1"/>
  <c r="BT259" i="1"/>
  <c r="BT258" i="1"/>
  <c r="BT257" i="1"/>
  <c r="BT256" i="1"/>
  <c r="BT255" i="1"/>
  <c r="BT254" i="1"/>
  <c r="BT253" i="1"/>
  <c r="BT252" i="1"/>
  <c r="BT251" i="1"/>
  <c r="BT250" i="1"/>
  <c r="BT249" i="1"/>
  <c r="BT248" i="1"/>
  <c r="BT247" i="1"/>
  <c r="BT246" i="1"/>
  <c r="BT245" i="1"/>
  <c r="BT244" i="1"/>
  <c r="BT243" i="1"/>
  <c r="BT242" i="1"/>
  <c r="BT241" i="1"/>
  <c r="BT240" i="1"/>
  <c r="BT239" i="1"/>
  <c r="BT238" i="1"/>
  <c r="BT237" i="1"/>
  <c r="BT236" i="1"/>
  <c r="BT235" i="1"/>
  <c r="BT234" i="1"/>
  <c r="BT233" i="1"/>
  <c r="BT232" i="1"/>
  <c r="BT231" i="1"/>
  <c r="BT230" i="1"/>
  <c r="BT229" i="1"/>
  <c r="BT228" i="1"/>
  <c r="BT227" i="1"/>
  <c r="BT226" i="1"/>
  <c r="BT225" i="1"/>
  <c r="BT224" i="1"/>
  <c r="BT223" i="1"/>
  <c r="BT222" i="1"/>
  <c r="BT221" i="1"/>
  <c r="BT220" i="1"/>
  <c r="BT219" i="1"/>
  <c r="BT218" i="1"/>
  <c r="BT217" i="1"/>
  <c r="BT216" i="1"/>
  <c r="BT215" i="1"/>
  <c r="BT214" i="1"/>
  <c r="BT213" i="1"/>
  <c r="BT212" i="1"/>
  <c r="BT211" i="1"/>
  <c r="BT210" i="1"/>
  <c r="BT209" i="1"/>
  <c r="BT208" i="1"/>
  <c r="BT207" i="1"/>
  <c r="BT206" i="1"/>
  <c r="BT205" i="1"/>
  <c r="BT204" i="1"/>
  <c r="BT203" i="1"/>
  <c r="BT202" i="1"/>
  <c r="BT201" i="1"/>
  <c r="BT200" i="1"/>
  <c r="BT199" i="1"/>
  <c r="BT198" i="1"/>
  <c r="BT197" i="1"/>
  <c r="BT196" i="1"/>
  <c r="BT195" i="1"/>
  <c r="BT194" i="1"/>
  <c r="BT193" i="1"/>
  <c r="BT192" i="1"/>
  <c r="BT191" i="1"/>
  <c r="BT190" i="1"/>
  <c r="BT189" i="1"/>
  <c r="BT188" i="1"/>
  <c r="BT187" i="1"/>
  <c r="BT186" i="1"/>
  <c r="BT185" i="1"/>
  <c r="BT184" i="1"/>
  <c r="BT183" i="1"/>
  <c r="BT182" i="1"/>
  <c r="BT181" i="1"/>
  <c r="BT180" i="1"/>
  <c r="BT179" i="1"/>
  <c r="BT178" i="1"/>
  <c r="BT177" i="1"/>
  <c r="BT176" i="1"/>
  <c r="BT175" i="1"/>
  <c r="BT174" i="1"/>
  <c r="BT173" i="1"/>
  <c r="BT172" i="1"/>
  <c r="BT171" i="1"/>
  <c r="BT170" i="1"/>
  <c r="BT169" i="1"/>
  <c r="BT168" i="1"/>
  <c r="BT167" i="1"/>
  <c r="BT166" i="1"/>
  <c r="BT165" i="1"/>
  <c r="BT164" i="1"/>
  <c r="BT163" i="1"/>
  <c r="BT162" i="1"/>
  <c r="BT161" i="1"/>
  <c r="BT160" i="1"/>
  <c r="BT159" i="1"/>
  <c r="BT158" i="1"/>
  <c r="BT157" i="1"/>
  <c r="BT156" i="1"/>
  <c r="BT155" i="1"/>
  <c r="BT154" i="1"/>
  <c r="BS283" i="1"/>
  <c r="BS282" i="1"/>
  <c r="BS281" i="1"/>
  <c r="BS280" i="1"/>
  <c r="BS279" i="1"/>
  <c r="BS278" i="1"/>
  <c r="BS277" i="1"/>
  <c r="BS276" i="1"/>
  <c r="BS275" i="1"/>
  <c r="BS274" i="1"/>
  <c r="BS273" i="1"/>
  <c r="BS272" i="1"/>
  <c r="BS271" i="1"/>
  <c r="BS270" i="1"/>
  <c r="BS269" i="1"/>
  <c r="BS268" i="1"/>
  <c r="BS267" i="1"/>
  <c r="BS266" i="1"/>
  <c r="BS265" i="1"/>
  <c r="BS264" i="1"/>
  <c r="BS263" i="1"/>
  <c r="BS262" i="1"/>
  <c r="BS261" i="1"/>
  <c r="BS260" i="1"/>
  <c r="BS259" i="1"/>
  <c r="BS258" i="1"/>
  <c r="BS257" i="1"/>
  <c r="BS256" i="1"/>
  <c r="BS255" i="1"/>
  <c r="BS254" i="1"/>
  <c r="BS253" i="1"/>
  <c r="BS252" i="1"/>
  <c r="BS251" i="1"/>
  <c r="BS250" i="1"/>
  <c r="BS249" i="1"/>
  <c r="BS248" i="1"/>
  <c r="BS247" i="1"/>
  <c r="BS246" i="1"/>
  <c r="BS245" i="1"/>
  <c r="BS244" i="1"/>
  <c r="BS243" i="1"/>
  <c r="BS242" i="1"/>
  <c r="BS241" i="1"/>
  <c r="BS240" i="1"/>
  <c r="BS239" i="1"/>
  <c r="BS238" i="1"/>
  <c r="BS237" i="1"/>
  <c r="BS236" i="1"/>
  <c r="BS235" i="1"/>
  <c r="BS234" i="1"/>
  <c r="BS233" i="1"/>
  <c r="BS232" i="1"/>
  <c r="BS231" i="1"/>
  <c r="BS230" i="1"/>
  <c r="BS229" i="1"/>
  <c r="BS228" i="1"/>
  <c r="BS227" i="1"/>
  <c r="BS226" i="1"/>
  <c r="BS225" i="1"/>
  <c r="BS224" i="1"/>
  <c r="BS223" i="1"/>
  <c r="BS222" i="1"/>
  <c r="BS221" i="1"/>
  <c r="BS220" i="1"/>
  <c r="BS219" i="1"/>
  <c r="BS218" i="1"/>
  <c r="BS217" i="1"/>
  <c r="BS216" i="1"/>
  <c r="BS215" i="1"/>
  <c r="BS214" i="1"/>
  <c r="BS213" i="1"/>
  <c r="BS212" i="1"/>
  <c r="BS211" i="1"/>
  <c r="BS210" i="1"/>
  <c r="BS209" i="1"/>
  <c r="BS208" i="1"/>
  <c r="BS207" i="1"/>
  <c r="BS206" i="1"/>
  <c r="BS205" i="1"/>
  <c r="BS204" i="1"/>
  <c r="BS203" i="1"/>
  <c r="BS202" i="1"/>
  <c r="BS201" i="1"/>
  <c r="BS200" i="1"/>
  <c r="BS199" i="1"/>
  <c r="BS198" i="1"/>
  <c r="BS197" i="1"/>
  <c r="BS196" i="1"/>
  <c r="BS195" i="1"/>
  <c r="BS194" i="1"/>
  <c r="BS193" i="1"/>
  <c r="BS192" i="1"/>
  <c r="BS191" i="1"/>
  <c r="BS190" i="1"/>
  <c r="BS189" i="1"/>
  <c r="BS188" i="1"/>
  <c r="BS187" i="1"/>
  <c r="BS186" i="1"/>
  <c r="BS185" i="1"/>
  <c r="BS184" i="1"/>
  <c r="BS183" i="1"/>
  <c r="BS182" i="1"/>
  <c r="BS181" i="1"/>
  <c r="BS180" i="1"/>
  <c r="BS179" i="1"/>
  <c r="BS178" i="1"/>
  <c r="BS177" i="1"/>
  <c r="BS176" i="1"/>
  <c r="BS175" i="1"/>
  <c r="BS174" i="1"/>
  <c r="BS173" i="1"/>
  <c r="BS172" i="1"/>
  <c r="BS171" i="1"/>
  <c r="BS170" i="1"/>
  <c r="BS169" i="1"/>
  <c r="BS168" i="1"/>
  <c r="BS167" i="1"/>
  <c r="BS166" i="1"/>
  <c r="BS165" i="1"/>
  <c r="BS164" i="1"/>
  <c r="BS163" i="1"/>
  <c r="BS162" i="1"/>
  <c r="BS161" i="1"/>
  <c r="BS160" i="1"/>
  <c r="BS159" i="1"/>
  <c r="BS158" i="1"/>
  <c r="BS157" i="1"/>
  <c r="BS156" i="1"/>
  <c r="BS155" i="1"/>
  <c r="BS154" i="1"/>
  <c r="BR283" i="1"/>
  <c r="BR282" i="1"/>
  <c r="BR281" i="1"/>
  <c r="BR280" i="1"/>
  <c r="BR279" i="1"/>
  <c r="BR278" i="1"/>
  <c r="BR277" i="1"/>
  <c r="BR276" i="1"/>
  <c r="BR275" i="1"/>
  <c r="BR274" i="1"/>
  <c r="BR273" i="1"/>
  <c r="BR272" i="1"/>
  <c r="BR271" i="1"/>
  <c r="BR270" i="1"/>
  <c r="BR269" i="1"/>
  <c r="BR268" i="1"/>
  <c r="BR267" i="1"/>
  <c r="BR266" i="1"/>
  <c r="BR265" i="1"/>
  <c r="BR264" i="1"/>
  <c r="BR263" i="1"/>
  <c r="BR262" i="1"/>
  <c r="BR261" i="1"/>
  <c r="BR260" i="1"/>
  <c r="BR259" i="1"/>
  <c r="BR258" i="1"/>
  <c r="BR257" i="1"/>
  <c r="BR256" i="1"/>
  <c r="BR255" i="1"/>
  <c r="BR254" i="1"/>
  <c r="BR253" i="1"/>
  <c r="BR252" i="1"/>
  <c r="BR251" i="1"/>
  <c r="BR250" i="1"/>
  <c r="BR249" i="1"/>
  <c r="BR248" i="1"/>
  <c r="BR247" i="1"/>
  <c r="BR246" i="1"/>
  <c r="BR245" i="1"/>
  <c r="BR244" i="1"/>
  <c r="BR243" i="1"/>
  <c r="BR242" i="1"/>
  <c r="BR241" i="1"/>
  <c r="BR240" i="1"/>
  <c r="BR239" i="1"/>
  <c r="BR238" i="1"/>
  <c r="BR237" i="1"/>
  <c r="BR236" i="1"/>
  <c r="BR235" i="1"/>
  <c r="BR234" i="1"/>
  <c r="BR233" i="1"/>
  <c r="BR232" i="1"/>
  <c r="BR231" i="1"/>
  <c r="BR230" i="1"/>
  <c r="BR229" i="1"/>
  <c r="BR228" i="1"/>
  <c r="BR227" i="1"/>
  <c r="BR226" i="1"/>
  <c r="BR225" i="1"/>
  <c r="BR224" i="1"/>
  <c r="BR223" i="1"/>
  <c r="BR222" i="1"/>
  <c r="BR221" i="1"/>
  <c r="BR220" i="1"/>
  <c r="BR219" i="1"/>
  <c r="BR218" i="1"/>
  <c r="BR217" i="1"/>
  <c r="BR216" i="1"/>
  <c r="BR215" i="1"/>
  <c r="BR214" i="1"/>
  <c r="BR213" i="1"/>
  <c r="BR212" i="1"/>
  <c r="BR211" i="1"/>
  <c r="BR210" i="1"/>
  <c r="BR209" i="1"/>
  <c r="BR208" i="1"/>
  <c r="BR207" i="1"/>
  <c r="BR206" i="1"/>
  <c r="BR205" i="1"/>
  <c r="BR204" i="1"/>
  <c r="BR203" i="1"/>
  <c r="BR202" i="1"/>
  <c r="BR201" i="1"/>
  <c r="BR200" i="1"/>
  <c r="BR199" i="1"/>
  <c r="BR198" i="1"/>
  <c r="BR197" i="1"/>
  <c r="BR196" i="1"/>
  <c r="BR195" i="1"/>
  <c r="BR194" i="1"/>
  <c r="BR193" i="1"/>
  <c r="BR192" i="1"/>
  <c r="BR191" i="1"/>
  <c r="BR190" i="1"/>
  <c r="BR189" i="1"/>
  <c r="BR188" i="1"/>
  <c r="BR187" i="1"/>
  <c r="BR186" i="1"/>
  <c r="BR185" i="1"/>
  <c r="BR184" i="1"/>
  <c r="BR183" i="1"/>
  <c r="BR182" i="1"/>
  <c r="BR181" i="1"/>
  <c r="BR180" i="1"/>
  <c r="BR179" i="1"/>
  <c r="BR178" i="1"/>
  <c r="BR177" i="1"/>
  <c r="BR176" i="1"/>
  <c r="BR175" i="1"/>
  <c r="BR174" i="1"/>
  <c r="BR173" i="1"/>
  <c r="BR172" i="1"/>
  <c r="BR171" i="1"/>
  <c r="BR170" i="1"/>
  <c r="BR169" i="1"/>
  <c r="BR168" i="1"/>
  <c r="BR167" i="1"/>
  <c r="BR166" i="1"/>
  <c r="BR165" i="1"/>
  <c r="BR164" i="1"/>
  <c r="BR163" i="1"/>
  <c r="BR162" i="1"/>
  <c r="BR161" i="1"/>
  <c r="BR160" i="1"/>
  <c r="BR159" i="1"/>
  <c r="BR158" i="1"/>
  <c r="BR157" i="1"/>
  <c r="BR156" i="1"/>
  <c r="BR155" i="1"/>
  <c r="BR154" i="1"/>
  <c r="BQ283" i="1"/>
  <c r="BQ282" i="1"/>
  <c r="BQ281" i="1"/>
  <c r="BQ280" i="1"/>
  <c r="BQ279" i="1"/>
  <c r="BQ278" i="1"/>
  <c r="BQ277" i="1"/>
  <c r="BQ276" i="1"/>
  <c r="BQ275" i="1"/>
  <c r="BQ274" i="1"/>
  <c r="BQ273" i="1"/>
  <c r="BQ272" i="1"/>
  <c r="BQ271" i="1"/>
  <c r="BQ270" i="1"/>
  <c r="BQ269" i="1"/>
  <c r="BQ268" i="1"/>
  <c r="BQ267" i="1"/>
  <c r="BQ266" i="1"/>
  <c r="BQ265" i="1"/>
  <c r="BQ264" i="1"/>
  <c r="BQ263" i="1"/>
  <c r="BQ262" i="1"/>
  <c r="BQ261" i="1"/>
  <c r="BQ260" i="1"/>
  <c r="BQ259" i="1"/>
  <c r="BQ258" i="1"/>
  <c r="BQ257" i="1"/>
  <c r="BQ256" i="1"/>
  <c r="BQ255" i="1"/>
  <c r="BQ254" i="1"/>
  <c r="BQ253" i="1"/>
  <c r="BQ252" i="1"/>
  <c r="BQ251" i="1"/>
  <c r="BQ250" i="1"/>
  <c r="BQ249" i="1"/>
  <c r="BQ248" i="1"/>
  <c r="BQ247" i="1"/>
  <c r="BQ246" i="1"/>
  <c r="BQ245" i="1"/>
  <c r="BQ244" i="1"/>
  <c r="BQ243" i="1"/>
  <c r="BQ242" i="1"/>
  <c r="BQ241" i="1"/>
  <c r="BQ240" i="1"/>
  <c r="BQ239" i="1"/>
  <c r="BQ238" i="1"/>
  <c r="BQ237" i="1"/>
  <c r="BQ236" i="1"/>
  <c r="BQ235" i="1"/>
  <c r="BQ234" i="1"/>
  <c r="BQ233" i="1"/>
  <c r="BQ232" i="1"/>
  <c r="BQ231" i="1"/>
  <c r="BQ230" i="1"/>
  <c r="BQ229" i="1"/>
  <c r="BQ228" i="1"/>
  <c r="BQ227" i="1"/>
  <c r="BQ226" i="1"/>
  <c r="BQ225" i="1"/>
  <c r="BQ224" i="1"/>
  <c r="BQ223" i="1"/>
  <c r="BQ222" i="1"/>
  <c r="BQ221" i="1"/>
  <c r="BQ220" i="1"/>
  <c r="BQ219" i="1"/>
  <c r="BQ218" i="1"/>
  <c r="BQ217" i="1"/>
  <c r="BQ216" i="1"/>
  <c r="BQ215" i="1"/>
  <c r="BQ214" i="1"/>
  <c r="BQ213" i="1"/>
  <c r="BQ212" i="1"/>
  <c r="BQ211" i="1"/>
  <c r="BQ210" i="1"/>
  <c r="BQ209" i="1"/>
  <c r="BQ208" i="1"/>
  <c r="BQ207" i="1"/>
  <c r="BQ206" i="1"/>
  <c r="BQ205" i="1"/>
  <c r="BQ204" i="1"/>
  <c r="BQ203" i="1"/>
  <c r="BQ202" i="1"/>
  <c r="BQ201" i="1"/>
  <c r="BQ200" i="1"/>
  <c r="BQ199" i="1"/>
  <c r="BQ198" i="1"/>
  <c r="BQ197" i="1"/>
  <c r="BQ196" i="1"/>
  <c r="BQ195" i="1"/>
  <c r="BQ194" i="1"/>
  <c r="BQ193" i="1"/>
  <c r="BQ192" i="1"/>
  <c r="BQ191" i="1"/>
  <c r="BQ190" i="1"/>
  <c r="BQ189" i="1"/>
  <c r="BQ188" i="1"/>
  <c r="BQ187" i="1"/>
  <c r="BQ186" i="1"/>
  <c r="BQ185" i="1"/>
  <c r="BQ184" i="1"/>
  <c r="BQ183" i="1"/>
  <c r="BQ182" i="1"/>
  <c r="BQ181" i="1"/>
  <c r="BQ180" i="1"/>
  <c r="BQ179" i="1"/>
  <c r="BQ178" i="1"/>
  <c r="BQ177" i="1"/>
  <c r="BQ176" i="1"/>
  <c r="BQ175" i="1"/>
  <c r="BQ174" i="1"/>
  <c r="BQ173" i="1"/>
  <c r="BQ172" i="1"/>
  <c r="BQ171" i="1"/>
  <c r="BQ170" i="1"/>
  <c r="BQ169" i="1"/>
  <c r="BQ168" i="1"/>
  <c r="BQ167" i="1"/>
  <c r="BQ166" i="1"/>
  <c r="BQ165" i="1"/>
  <c r="BQ164" i="1"/>
  <c r="BQ163" i="1"/>
  <c r="BQ162" i="1"/>
  <c r="BQ161" i="1"/>
  <c r="BQ160" i="1"/>
  <c r="BQ159" i="1"/>
  <c r="BQ158" i="1"/>
  <c r="BQ157" i="1"/>
  <c r="BQ156" i="1"/>
  <c r="BQ155" i="1"/>
  <c r="BQ154" i="1"/>
  <c r="BP283" i="1"/>
  <c r="BP282" i="1"/>
  <c r="BP281" i="1"/>
  <c r="BP280" i="1"/>
  <c r="BP279" i="1"/>
  <c r="BP278" i="1"/>
  <c r="BP277" i="1"/>
  <c r="BP276" i="1"/>
  <c r="BP275" i="1"/>
  <c r="BP274" i="1"/>
  <c r="BP273" i="1"/>
  <c r="BP272" i="1"/>
  <c r="BP271" i="1"/>
  <c r="BP270" i="1"/>
  <c r="BP269" i="1"/>
  <c r="BP268" i="1"/>
  <c r="BP267" i="1"/>
  <c r="BP266" i="1"/>
  <c r="BP265" i="1"/>
  <c r="BP264" i="1"/>
  <c r="BP263" i="1"/>
  <c r="BP262" i="1"/>
  <c r="BP261" i="1"/>
  <c r="BP260" i="1"/>
  <c r="BP259" i="1"/>
  <c r="BP258" i="1"/>
  <c r="BP257" i="1"/>
  <c r="BP256" i="1"/>
  <c r="BP255" i="1"/>
  <c r="BP254" i="1"/>
  <c r="BP253" i="1"/>
  <c r="BP252" i="1"/>
  <c r="BP251" i="1"/>
  <c r="BP250" i="1"/>
  <c r="BP249" i="1"/>
  <c r="BP248" i="1"/>
  <c r="BP247" i="1"/>
  <c r="BP246" i="1"/>
  <c r="BP245" i="1"/>
  <c r="BP244" i="1"/>
  <c r="BP243" i="1"/>
  <c r="BP242" i="1"/>
  <c r="BP241" i="1"/>
  <c r="BP240" i="1"/>
  <c r="BP239" i="1"/>
  <c r="BP238" i="1"/>
  <c r="BP237" i="1"/>
  <c r="BP236" i="1"/>
  <c r="BP235" i="1"/>
  <c r="BP234" i="1"/>
  <c r="BP233" i="1"/>
  <c r="BP232" i="1"/>
  <c r="BP231" i="1"/>
  <c r="BP230" i="1"/>
  <c r="BP229" i="1"/>
  <c r="BP228" i="1"/>
  <c r="BP227" i="1"/>
  <c r="BP226" i="1"/>
  <c r="BP225" i="1"/>
  <c r="BP224" i="1"/>
  <c r="BP223" i="1"/>
  <c r="BP222" i="1"/>
  <c r="BP221" i="1"/>
  <c r="BP220" i="1"/>
  <c r="BP219" i="1"/>
  <c r="BP218" i="1"/>
  <c r="BP217" i="1"/>
  <c r="BP216" i="1"/>
  <c r="BP215" i="1"/>
  <c r="BP214" i="1"/>
  <c r="BP213" i="1"/>
  <c r="BP212" i="1"/>
  <c r="BP211" i="1"/>
  <c r="BP210" i="1"/>
  <c r="BP209" i="1"/>
  <c r="BP208" i="1"/>
  <c r="BP207" i="1"/>
  <c r="BP206" i="1"/>
  <c r="BP205" i="1"/>
  <c r="BP204" i="1"/>
  <c r="BP203" i="1"/>
  <c r="BP202" i="1"/>
  <c r="BP201" i="1"/>
  <c r="BP200" i="1"/>
  <c r="BP199" i="1"/>
  <c r="BP198" i="1"/>
  <c r="BP197" i="1"/>
  <c r="BP196" i="1"/>
  <c r="BP195" i="1"/>
  <c r="BP194" i="1"/>
  <c r="BP193" i="1"/>
  <c r="BP192" i="1"/>
  <c r="BP191" i="1"/>
  <c r="BP190" i="1"/>
  <c r="BP189" i="1"/>
  <c r="BP188" i="1"/>
  <c r="BP187" i="1"/>
  <c r="BP186" i="1"/>
  <c r="BP185" i="1"/>
  <c r="BP184" i="1"/>
  <c r="BP183" i="1"/>
  <c r="BP182" i="1"/>
  <c r="BP181" i="1"/>
  <c r="BP180" i="1"/>
  <c r="BP179" i="1"/>
  <c r="BP178" i="1"/>
  <c r="BP177" i="1"/>
  <c r="BP176" i="1"/>
  <c r="BP175" i="1"/>
  <c r="BP174" i="1"/>
  <c r="BP173" i="1"/>
  <c r="BP172" i="1"/>
  <c r="BP171" i="1"/>
  <c r="BP170" i="1"/>
  <c r="BP169" i="1"/>
  <c r="BP168" i="1"/>
  <c r="BP167" i="1"/>
  <c r="BP166" i="1"/>
  <c r="BP165" i="1"/>
  <c r="BP164" i="1"/>
  <c r="BP163" i="1"/>
  <c r="BP162" i="1"/>
  <c r="BP161" i="1"/>
  <c r="BP160" i="1"/>
  <c r="BP159" i="1"/>
  <c r="BP158" i="1"/>
  <c r="BP157" i="1"/>
  <c r="BP156" i="1"/>
  <c r="BP155" i="1"/>
  <c r="BP154" i="1"/>
  <c r="BO283" i="1"/>
  <c r="BO282" i="1"/>
  <c r="BO281" i="1"/>
  <c r="BO280" i="1"/>
  <c r="BO279" i="1"/>
  <c r="BO278" i="1"/>
  <c r="BO277" i="1"/>
  <c r="BO276" i="1"/>
  <c r="BO275" i="1"/>
  <c r="BO274" i="1"/>
  <c r="BO273" i="1"/>
  <c r="BO272" i="1"/>
  <c r="BO271" i="1"/>
  <c r="BO270" i="1"/>
  <c r="BO269" i="1"/>
  <c r="BO268" i="1"/>
  <c r="BO267" i="1"/>
  <c r="BO266" i="1"/>
  <c r="BO265" i="1"/>
  <c r="BO264" i="1"/>
  <c r="BO263" i="1"/>
  <c r="BO262" i="1"/>
  <c r="BO261" i="1"/>
  <c r="BO260" i="1"/>
  <c r="BO259" i="1"/>
  <c r="BO258" i="1"/>
  <c r="BO257" i="1"/>
  <c r="BO256" i="1"/>
  <c r="BO255" i="1"/>
  <c r="BO254" i="1"/>
  <c r="BO253" i="1"/>
  <c r="BO252" i="1"/>
  <c r="BO251" i="1"/>
  <c r="BO250" i="1"/>
  <c r="BO249" i="1"/>
  <c r="BO248" i="1"/>
  <c r="BO247" i="1"/>
  <c r="BO246" i="1"/>
  <c r="BO245" i="1"/>
  <c r="BO244" i="1"/>
  <c r="BO243" i="1"/>
  <c r="BO242" i="1"/>
  <c r="BO241" i="1"/>
  <c r="BO240" i="1"/>
  <c r="BO239" i="1"/>
  <c r="BO238" i="1"/>
  <c r="BO237" i="1"/>
  <c r="BO236" i="1"/>
  <c r="BO235" i="1"/>
  <c r="BO234" i="1"/>
  <c r="BO233" i="1"/>
  <c r="BO232" i="1"/>
  <c r="BO231" i="1"/>
  <c r="BO230" i="1"/>
  <c r="BO229" i="1"/>
  <c r="BO228" i="1"/>
  <c r="BO227" i="1"/>
  <c r="BO226" i="1"/>
  <c r="BO225" i="1"/>
  <c r="BO224" i="1"/>
  <c r="BO223" i="1"/>
  <c r="BO222" i="1"/>
  <c r="BO221" i="1"/>
  <c r="BO220" i="1"/>
  <c r="BO219" i="1"/>
  <c r="BO218" i="1"/>
  <c r="BO217" i="1"/>
  <c r="BO216" i="1"/>
  <c r="BO215" i="1"/>
  <c r="BO214" i="1"/>
  <c r="BO213" i="1"/>
  <c r="BO212" i="1"/>
  <c r="BO211" i="1"/>
  <c r="BO210" i="1"/>
  <c r="BO209" i="1"/>
  <c r="BO208" i="1"/>
  <c r="BO207" i="1"/>
  <c r="BO206" i="1"/>
  <c r="BO205" i="1"/>
  <c r="BO204" i="1"/>
  <c r="BO203" i="1"/>
  <c r="BO202" i="1"/>
  <c r="BO201" i="1"/>
  <c r="BO200" i="1"/>
  <c r="BO199" i="1"/>
  <c r="BO198" i="1"/>
  <c r="BO197" i="1"/>
  <c r="BO196" i="1"/>
  <c r="BO195" i="1"/>
  <c r="BO194" i="1"/>
  <c r="BO193" i="1"/>
  <c r="BO192" i="1"/>
  <c r="BO191" i="1"/>
  <c r="BO190" i="1"/>
  <c r="BO189" i="1"/>
  <c r="BO188" i="1"/>
  <c r="BO187" i="1"/>
  <c r="BO186" i="1"/>
  <c r="BO185" i="1"/>
  <c r="BO184" i="1"/>
  <c r="BO183" i="1"/>
  <c r="BO182" i="1"/>
  <c r="BO181" i="1"/>
  <c r="BO180" i="1"/>
  <c r="BO179" i="1"/>
  <c r="BO178" i="1"/>
  <c r="BO177" i="1"/>
  <c r="BO176" i="1"/>
  <c r="BO175" i="1"/>
  <c r="BO174" i="1"/>
  <c r="BO173" i="1"/>
  <c r="BO172" i="1"/>
  <c r="BO171" i="1"/>
  <c r="BO170" i="1"/>
  <c r="BO169" i="1"/>
  <c r="BO168" i="1"/>
  <c r="BO167" i="1"/>
  <c r="BO166" i="1"/>
  <c r="BO165" i="1"/>
  <c r="BO164" i="1"/>
  <c r="BO163" i="1"/>
  <c r="BO162" i="1"/>
  <c r="BO161" i="1"/>
  <c r="BO160" i="1"/>
  <c r="BO159" i="1"/>
  <c r="BO158" i="1"/>
  <c r="BO157" i="1"/>
  <c r="BO156" i="1"/>
  <c r="BO155" i="1"/>
  <c r="BO154" i="1"/>
  <c r="BN283" i="1"/>
  <c r="BN282" i="1"/>
  <c r="BN281" i="1"/>
  <c r="BN280" i="1"/>
  <c r="BN279" i="1"/>
  <c r="BN278" i="1"/>
  <c r="BN277" i="1"/>
  <c r="BN276" i="1"/>
  <c r="BN275" i="1"/>
  <c r="BN274" i="1"/>
  <c r="BN273" i="1"/>
  <c r="BN272" i="1"/>
  <c r="BN271" i="1"/>
  <c r="BN270" i="1"/>
  <c r="BN269" i="1"/>
  <c r="BN268" i="1"/>
  <c r="BN267" i="1"/>
  <c r="BN266" i="1"/>
  <c r="BN265" i="1"/>
  <c r="BN264" i="1"/>
  <c r="BN263" i="1"/>
  <c r="BN262" i="1"/>
  <c r="BN261" i="1"/>
  <c r="BN260" i="1"/>
  <c r="BN259" i="1"/>
  <c r="BN258" i="1"/>
  <c r="BN257" i="1"/>
  <c r="BN256" i="1"/>
  <c r="BN255" i="1"/>
  <c r="BN254" i="1"/>
  <c r="BN253" i="1"/>
  <c r="BN252" i="1"/>
  <c r="BN251" i="1"/>
  <c r="BN250" i="1"/>
  <c r="BN249" i="1"/>
  <c r="BN248" i="1"/>
  <c r="BN247" i="1"/>
  <c r="BN246" i="1"/>
  <c r="BN245" i="1"/>
  <c r="BN244" i="1"/>
  <c r="BN243" i="1"/>
  <c r="BN242" i="1"/>
  <c r="BN241" i="1"/>
  <c r="BN240" i="1"/>
  <c r="BN239" i="1"/>
  <c r="BN238" i="1"/>
  <c r="BN237" i="1"/>
  <c r="BN236" i="1"/>
  <c r="BN235" i="1"/>
  <c r="BN234" i="1"/>
  <c r="BN233" i="1"/>
  <c r="BN232" i="1"/>
  <c r="BN231" i="1"/>
  <c r="BN230" i="1"/>
  <c r="BN229" i="1"/>
  <c r="BN228" i="1"/>
  <c r="BN227" i="1"/>
  <c r="BN226" i="1"/>
  <c r="BN225" i="1"/>
  <c r="BN224" i="1"/>
  <c r="BN223" i="1"/>
  <c r="BN222" i="1"/>
  <c r="BN221" i="1"/>
  <c r="BN220" i="1"/>
  <c r="BN219" i="1"/>
  <c r="BN218" i="1"/>
  <c r="BN217" i="1"/>
  <c r="BN216" i="1"/>
  <c r="BN215" i="1"/>
  <c r="BN214" i="1"/>
  <c r="BN213" i="1"/>
  <c r="BN212" i="1"/>
  <c r="BN211" i="1"/>
  <c r="BN210" i="1"/>
  <c r="BN209" i="1"/>
  <c r="BN208" i="1"/>
  <c r="BN207" i="1"/>
  <c r="BN206" i="1"/>
  <c r="BN205" i="1"/>
  <c r="BN204" i="1"/>
  <c r="BN203" i="1"/>
  <c r="BN202" i="1"/>
  <c r="BN201" i="1"/>
  <c r="BN200" i="1"/>
  <c r="BN199" i="1"/>
  <c r="BN198" i="1"/>
  <c r="BN197" i="1"/>
  <c r="BN196" i="1"/>
  <c r="BN195" i="1"/>
  <c r="BN194" i="1"/>
  <c r="BN193" i="1"/>
  <c r="BN192" i="1"/>
  <c r="BN191" i="1"/>
  <c r="BN190" i="1"/>
  <c r="BN189" i="1"/>
  <c r="BN188" i="1"/>
  <c r="BN187" i="1"/>
  <c r="BN186" i="1"/>
  <c r="BN185" i="1"/>
  <c r="BN184" i="1"/>
  <c r="BN183" i="1"/>
  <c r="BN182" i="1"/>
  <c r="BN181" i="1"/>
  <c r="BN180" i="1"/>
  <c r="BN179" i="1"/>
  <c r="BN178" i="1"/>
  <c r="BN177" i="1"/>
  <c r="BN176" i="1"/>
  <c r="BN175" i="1"/>
  <c r="BN174" i="1"/>
  <c r="BN173" i="1"/>
  <c r="BN172" i="1"/>
  <c r="BN171" i="1"/>
  <c r="BN170" i="1"/>
  <c r="BN169" i="1"/>
  <c r="BN168" i="1"/>
  <c r="BN167" i="1"/>
  <c r="BN166" i="1"/>
  <c r="BN165" i="1"/>
  <c r="BN164" i="1"/>
  <c r="BN163" i="1"/>
  <c r="BN162" i="1"/>
  <c r="BN161" i="1"/>
  <c r="BN160" i="1"/>
  <c r="BN159" i="1"/>
  <c r="BN158" i="1"/>
  <c r="BN157" i="1"/>
  <c r="BN156" i="1"/>
  <c r="BN155" i="1"/>
  <c r="BN154" i="1"/>
  <c r="BM283" i="1"/>
  <c r="BM282" i="1"/>
  <c r="BM281" i="1"/>
  <c r="BM280" i="1"/>
  <c r="BM279" i="1"/>
  <c r="BM278" i="1"/>
  <c r="BM277" i="1"/>
  <c r="BM276" i="1"/>
  <c r="BM275" i="1"/>
  <c r="BM274" i="1"/>
  <c r="BM273" i="1"/>
  <c r="BM272" i="1"/>
  <c r="BM271" i="1"/>
  <c r="BM270" i="1"/>
  <c r="BM269" i="1"/>
  <c r="BM268" i="1"/>
  <c r="BM267" i="1"/>
  <c r="BM266" i="1"/>
  <c r="BM265" i="1"/>
  <c r="BM264" i="1"/>
  <c r="BM263" i="1"/>
  <c r="BM262" i="1"/>
  <c r="BM261" i="1"/>
  <c r="BM260" i="1"/>
  <c r="BM259" i="1"/>
  <c r="BM258" i="1"/>
  <c r="BM257" i="1"/>
  <c r="BM256" i="1"/>
  <c r="BM255" i="1"/>
  <c r="BM254" i="1"/>
  <c r="BM253" i="1"/>
  <c r="BM252" i="1"/>
  <c r="BM251" i="1"/>
  <c r="BM250" i="1"/>
  <c r="BM249" i="1"/>
  <c r="BM248" i="1"/>
  <c r="BM247" i="1"/>
  <c r="BM246" i="1"/>
  <c r="BM245" i="1"/>
  <c r="BM244" i="1"/>
  <c r="BM243" i="1"/>
  <c r="BM242" i="1"/>
  <c r="BM241" i="1"/>
  <c r="BM240" i="1"/>
  <c r="BM239" i="1"/>
  <c r="BM238" i="1"/>
  <c r="BM237" i="1"/>
  <c r="BM236" i="1"/>
  <c r="BM235" i="1"/>
  <c r="BM234" i="1"/>
  <c r="BM233" i="1"/>
  <c r="BM232" i="1"/>
  <c r="BM231" i="1"/>
  <c r="BM230" i="1"/>
  <c r="BM229" i="1"/>
  <c r="BM228" i="1"/>
  <c r="BM227" i="1"/>
  <c r="BM226" i="1"/>
  <c r="BM225" i="1"/>
  <c r="BM224" i="1"/>
  <c r="BM223" i="1"/>
  <c r="BM222" i="1"/>
  <c r="BM221" i="1"/>
  <c r="BM220" i="1"/>
  <c r="BM219" i="1"/>
  <c r="BM218" i="1"/>
  <c r="BM217" i="1"/>
  <c r="BM216" i="1"/>
  <c r="BM215" i="1"/>
  <c r="BM214" i="1"/>
  <c r="BM213" i="1"/>
  <c r="BM212" i="1"/>
  <c r="BM211" i="1"/>
  <c r="BM210" i="1"/>
  <c r="BM209" i="1"/>
  <c r="BM208" i="1"/>
  <c r="BM207" i="1"/>
  <c r="BM206" i="1"/>
  <c r="BM205" i="1"/>
  <c r="BM204" i="1"/>
  <c r="BM203" i="1"/>
  <c r="BM202" i="1"/>
  <c r="BM201" i="1"/>
  <c r="BM200" i="1"/>
  <c r="BM199" i="1"/>
  <c r="BM198" i="1"/>
  <c r="BM197" i="1"/>
  <c r="BM196" i="1"/>
  <c r="BM195" i="1"/>
  <c r="BM194" i="1"/>
  <c r="BM193" i="1"/>
  <c r="BM192" i="1"/>
  <c r="BM191" i="1"/>
  <c r="BM190" i="1"/>
  <c r="BM189" i="1"/>
  <c r="BM188" i="1"/>
  <c r="BM187" i="1"/>
  <c r="BM186" i="1"/>
  <c r="BM185" i="1"/>
  <c r="BM184" i="1"/>
  <c r="BM183" i="1"/>
  <c r="BM182" i="1"/>
  <c r="BM181" i="1"/>
  <c r="BM180" i="1"/>
  <c r="BM179" i="1"/>
  <c r="BM178" i="1"/>
  <c r="BM177" i="1"/>
  <c r="BM176" i="1"/>
  <c r="BM175" i="1"/>
  <c r="BM174" i="1"/>
  <c r="BM173" i="1"/>
  <c r="BM172" i="1"/>
  <c r="BM171" i="1"/>
  <c r="BM170" i="1"/>
  <c r="BM169" i="1"/>
  <c r="BM168" i="1"/>
  <c r="BM167" i="1"/>
  <c r="BM166" i="1"/>
  <c r="BM165" i="1"/>
  <c r="BM164" i="1"/>
  <c r="BM163" i="1"/>
  <c r="BM162" i="1"/>
  <c r="BM161" i="1"/>
  <c r="BM160" i="1"/>
  <c r="BM159" i="1"/>
  <c r="BM158" i="1"/>
  <c r="BM157" i="1"/>
  <c r="BM156" i="1"/>
  <c r="BM155" i="1"/>
  <c r="BM154" i="1"/>
  <c r="BL283" i="1"/>
  <c r="BL282" i="1"/>
  <c r="BL281" i="1"/>
  <c r="BL280" i="1"/>
  <c r="BL279" i="1"/>
  <c r="BL278" i="1"/>
  <c r="BL277" i="1"/>
  <c r="BL276" i="1"/>
  <c r="BL275" i="1"/>
  <c r="BL274" i="1"/>
  <c r="BL273" i="1"/>
  <c r="BL272" i="1"/>
  <c r="BL271" i="1"/>
  <c r="BL270" i="1"/>
  <c r="BL269" i="1"/>
  <c r="BL268" i="1"/>
  <c r="BL267" i="1"/>
  <c r="BL266" i="1"/>
  <c r="BL265" i="1"/>
  <c r="BL264" i="1"/>
  <c r="BL263" i="1"/>
  <c r="BL262" i="1"/>
  <c r="BL261" i="1"/>
  <c r="BL260" i="1"/>
  <c r="BL259" i="1"/>
  <c r="BL258" i="1"/>
  <c r="BL257" i="1"/>
  <c r="BL256" i="1"/>
  <c r="BL255" i="1"/>
  <c r="BL254" i="1"/>
  <c r="BL253" i="1"/>
  <c r="BL252" i="1"/>
  <c r="BL251" i="1"/>
  <c r="BL250" i="1"/>
  <c r="BL249" i="1"/>
  <c r="BL248" i="1"/>
  <c r="BL247" i="1"/>
  <c r="BL246" i="1"/>
  <c r="BL245" i="1"/>
  <c r="BL244" i="1"/>
  <c r="BL243" i="1"/>
  <c r="BL242" i="1"/>
  <c r="BL241" i="1"/>
  <c r="BL240" i="1"/>
  <c r="BL239" i="1"/>
  <c r="BL238" i="1"/>
  <c r="BL237" i="1"/>
  <c r="BL236" i="1"/>
  <c r="BL235" i="1"/>
  <c r="BL234" i="1"/>
  <c r="BL233" i="1"/>
  <c r="BL232" i="1"/>
  <c r="BL231" i="1"/>
  <c r="BL230" i="1"/>
  <c r="BL229" i="1"/>
  <c r="BL228" i="1"/>
  <c r="BL227" i="1"/>
  <c r="BL226" i="1"/>
  <c r="BL225" i="1"/>
  <c r="BL224" i="1"/>
  <c r="BL223" i="1"/>
  <c r="BL222" i="1"/>
  <c r="BL221" i="1"/>
  <c r="BL220" i="1"/>
  <c r="BL219" i="1"/>
  <c r="BL218" i="1"/>
  <c r="BL217" i="1"/>
  <c r="BL216" i="1"/>
  <c r="BL215" i="1"/>
  <c r="BL214" i="1"/>
  <c r="BL213" i="1"/>
  <c r="BL212" i="1"/>
  <c r="BL211" i="1"/>
  <c r="BL210" i="1"/>
  <c r="BL209" i="1"/>
  <c r="BL208" i="1"/>
  <c r="BL207" i="1"/>
  <c r="BL206" i="1"/>
  <c r="BL205" i="1"/>
  <c r="BL204" i="1"/>
  <c r="BL203" i="1"/>
  <c r="BL202" i="1"/>
  <c r="BL201" i="1"/>
  <c r="BL200" i="1"/>
  <c r="BL199" i="1"/>
  <c r="BL198" i="1"/>
  <c r="BL197" i="1"/>
  <c r="BL196" i="1"/>
  <c r="BL195" i="1"/>
  <c r="BL194" i="1"/>
  <c r="BL193" i="1"/>
  <c r="BL192" i="1"/>
  <c r="BL191" i="1"/>
  <c r="BL190" i="1"/>
  <c r="BL189" i="1"/>
  <c r="BL188" i="1"/>
  <c r="BL187" i="1"/>
  <c r="BL186" i="1"/>
  <c r="BL185" i="1"/>
  <c r="BL184" i="1"/>
  <c r="BL183" i="1"/>
  <c r="BL182" i="1"/>
  <c r="BL181" i="1"/>
  <c r="BL180" i="1"/>
  <c r="BL179" i="1"/>
  <c r="BL178" i="1"/>
  <c r="BL177" i="1"/>
  <c r="BL176" i="1"/>
  <c r="BL175" i="1"/>
  <c r="BL174" i="1"/>
  <c r="BL173" i="1"/>
  <c r="BL172" i="1"/>
  <c r="BL171" i="1"/>
  <c r="BL170" i="1"/>
  <c r="BL169" i="1"/>
  <c r="BL168" i="1"/>
  <c r="BL167" i="1"/>
  <c r="BL166" i="1"/>
  <c r="BL165" i="1"/>
  <c r="BL164" i="1"/>
  <c r="BL163" i="1"/>
  <c r="BL162" i="1"/>
  <c r="BL161" i="1"/>
  <c r="BL160" i="1"/>
  <c r="BL159" i="1"/>
  <c r="BL158" i="1"/>
  <c r="BL157" i="1"/>
  <c r="BL156" i="1"/>
  <c r="BL155" i="1"/>
  <c r="BL154" i="1"/>
  <c r="BK283" i="1"/>
  <c r="BK282" i="1"/>
  <c r="BK281" i="1"/>
  <c r="BK280" i="1"/>
  <c r="BK279" i="1"/>
  <c r="BK278" i="1"/>
  <c r="BK277" i="1"/>
  <c r="BK276" i="1"/>
  <c r="BK275" i="1"/>
  <c r="BK274" i="1"/>
  <c r="BK273" i="1"/>
  <c r="BK272" i="1"/>
  <c r="BK271" i="1"/>
  <c r="BK270" i="1"/>
  <c r="BK269" i="1"/>
  <c r="BK268" i="1"/>
  <c r="BK267" i="1"/>
  <c r="BK266" i="1"/>
  <c r="BK265" i="1"/>
  <c r="BK264" i="1"/>
  <c r="BK263" i="1"/>
  <c r="BK262" i="1"/>
  <c r="BK261" i="1"/>
  <c r="BK260" i="1"/>
  <c r="BK259" i="1"/>
  <c r="BK258" i="1"/>
  <c r="BK257" i="1"/>
  <c r="BK256" i="1"/>
  <c r="BK255" i="1"/>
  <c r="BK254" i="1"/>
  <c r="BK253" i="1"/>
  <c r="BK252" i="1"/>
  <c r="BK251" i="1"/>
  <c r="BK250" i="1"/>
  <c r="BK249" i="1"/>
  <c r="BK248" i="1"/>
  <c r="BK247" i="1"/>
  <c r="BK246" i="1"/>
  <c r="BK245" i="1"/>
  <c r="BK244" i="1"/>
  <c r="BK243" i="1"/>
  <c r="BK242" i="1"/>
  <c r="BK241" i="1"/>
  <c r="BK240" i="1"/>
  <c r="BK239" i="1"/>
  <c r="BK238" i="1"/>
  <c r="BK237" i="1"/>
  <c r="BK236" i="1"/>
  <c r="BK235" i="1"/>
  <c r="BK234" i="1"/>
  <c r="BK233" i="1"/>
  <c r="BK232" i="1"/>
  <c r="BK231" i="1"/>
  <c r="BK230" i="1"/>
  <c r="BK229" i="1"/>
  <c r="BK228" i="1"/>
  <c r="BK227" i="1"/>
  <c r="BK226" i="1"/>
  <c r="BK225" i="1"/>
  <c r="BK224" i="1"/>
  <c r="BK223" i="1"/>
  <c r="BK222" i="1"/>
  <c r="BK221" i="1"/>
  <c r="BK220" i="1"/>
  <c r="BK219" i="1"/>
  <c r="BK218" i="1"/>
  <c r="BK217" i="1"/>
  <c r="BK216" i="1"/>
  <c r="BK215" i="1"/>
  <c r="BK214" i="1"/>
  <c r="BK213" i="1"/>
  <c r="BK212" i="1"/>
  <c r="BK211" i="1"/>
  <c r="BK210" i="1"/>
  <c r="BK209" i="1"/>
  <c r="BK208" i="1"/>
  <c r="BK207" i="1"/>
  <c r="BK206" i="1"/>
  <c r="BK205" i="1"/>
  <c r="BK204" i="1"/>
  <c r="BK203" i="1"/>
  <c r="BK202" i="1"/>
  <c r="BK201" i="1"/>
  <c r="BK200" i="1"/>
  <c r="BK199" i="1"/>
  <c r="BK198" i="1"/>
  <c r="BK197" i="1"/>
  <c r="BK196" i="1"/>
  <c r="BK195" i="1"/>
  <c r="BK194" i="1"/>
  <c r="BK193" i="1"/>
  <c r="BK192" i="1"/>
  <c r="BK191" i="1"/>
  <c r="BK190" i="1"/>
  <c r="BK189" i="1"/>
  <c r="BK188" i="1"/>
  <c r="BK187" i="1"/>
  <c r="BK186" i="1"/>
  <c r="BK185" i="1"/>
  <c r="BK184" i="1"/>
  <c r="BK183" i="1"/>
  <c r="BK182" i="1"/>
  <c r="BK181" i="1"/>
  <c r="BK180" i="1"/>
  <c r="BK179" i="1"/>
  <c r="BK178" i="1"/>
  <c r="BK177" i="1"/>
  <c r="BK176" i="1"/>
  <c r="BK175" i="1"/>
  <c r="BK174" i="1"/>
  <c r="BK173" i="1"/>
  <c r="BK172" i="1"/>
  <c r="BK171" i="1"/>
  <c r="BK170" i="1"/>
  <c r="BK169" i="1"/>
  <c r="BK168" i="1"/>
  <c r="BK167" i="1"/>
  <c r="BK166" i="1"/>
  <c r="BK165" i="1"/>
  <c r="BK164" i="1"/>
  <c r="BK163" i="1"/>
  <c r="BK162" i="1"/>
  <c r="BK161" i="1"/>
  <c r="BK160" i="1"/>
  <c r="BK159" i="1"/>
  <c r="BK158" i="1"/>
  <c r="BK157" i="1"/>
  <c r="BK156" i="1"/>
  <c r="BK155" i="1"/>
  <c r="BK154" i="1"/>
  <c r="BJ283" i="1"/>
  <c r="BJ282" i="1"/>
  <c r="BJ281" i="1"/>
  <c r="BJ280" i="1"/>
  <c r="BJ279" i="1"/>
  <c r="BJ278" i="1"/>
  <c r="BJ277" i="1"/>
  <c r="BJ276" i="1"/>
  <c r="BJ275" i="1"/>
  <c r="BJ274" i="1"/>
  <c r="BJ273" i="1"/>
  <c r="BJ272" i="1"/>
  <c r="BJ271" i="1"/>
  <c r="BJ270" i="1"/>
  <c r="BJ269" i="1"/>
  <c r="BJ268" i="1"/>
  <c r="BJ267" i="1"/>
  <c r="BJ266" i="1"/>
  <c r="BJ265" i="1"/>
  <c r="BJ264" i="1"/>
  <c r="BJ263" i="1"/>
  <c r="BJ262" i="1"/>
  <c r="BJ261" i="1"/>
  <c r="BJ260" i="1"/>
  <c r="BJ259" i="1"/>
  <c r="BJ258" i="1"/>
  <c r="BJ257" i="1"/>
  <c r="BJ256" i="1"/>
  <c r="BJ255" i="1"/>
  <c r="BJ254" i="1"/>
  <c r="BJ253" i="1"/>
  <c r="BJ252" i="1"/>
  <c r="BJ251" i="1"/>
  <c r="BJ250" i="1"/>
  <c r="BJ249" i="1"/>
  <c r="BJ248" i="1"/>
  <c r="BJ247" i="1"/>
  <c r="BJ246" i="1"/>
  <c r="BJ245" i="1"/>
  <c r="BJ244" i="1"/>
  <c r="BJ243" i="1"/>
  <c r="BJ242" i="1"/>
  <c r="BJ241" i="1"/>
  <c r="BJ240" i="1"/>
  <c r="BJ239" i="1"/>
  <c r="BJ238" i="1"/>
  <c r="BJ237" i="1"/>
  <c r="BJ236" i="1"/>
  <c r="BJ235" i="1"/>
  <c r="BJ234" i="1"/>
  <c r="BJ233" i="1"/>
  <c r="BJ232" i="1"/>
  <c r="BJ231" i="1"/>
  <c r="BJ230" i="1"/>
  <c r="BJ229" i="1"/>
  <c r="BJ228" i="1"/>
  <c r="BJ227" i="1"/>
  <c r="BJ226" i="1"/>
  <c r="BJ225" i="1"/>
  <c r="BJ224" i="1"/>
  <c r="BJ223" i="1"/>
  <c r="BJ222" i="1"/>
  <c r="BJ221" i="1"/>
  <c r="BJ220" i="1"/>
  <c r="BJ219" i="1"/>
  <c r="BJ218" i="1"/>
  <c r="BJ217" i="1"/>
  <c r="BJ216" i="1"/>
  <c r="BJ215" i="1"/>
  <c r="BJ214" i="1"/>
  <c r="BJ213" i="1"/>
  <c r="BJ212" i="1"/>
  <c r="BJ211" i="1"/>
  <c r="BJ210" i="1"/>
  <c r="BJ209" i="1"/>
  <c r="BJ208" i="1"/>
  <c r="BJ207" i="1"/>
  <c r="BJ206" i="1"/>
  <c r="BJ205" i="1"/>
  <c r="BJ204" i="1"/>
  <c r="BJ203" i="1"/>
  <c r="BJ202" i="1"/>
  <c r="BJ201" i="1"/>
  <c r="BJ200" i="1"/>
  <c r="BJ199" i="1"/>
  <c r="BJ198" i="1"/>
  <c r="BJ197" i="1"/>
  <c r="BJ196" i="1"/>
  <c r="BJ195" i="1"/>
  <c r="BJ194" i="1"/>
  <c r="BJ193" i="1"/>
  <c r="BJ192" i="1"/>
  <c r="BJ191" i="1"/>
  <c r="BJ190" i="1"/>
  <c r="BJ189" i="1"/>
  <c r="BJ188" i="1"/>
  <c r="BJ187" i="1"/>
  <c r="BJ186" i="1"/>
  <c r="BJ185" i="1"/>
  <c r="BJ184" i="1"/>
  <c r="BJ183" i="1"/>
  <c r="BJ182" i="1"/>
  <c r="BJ181" i="1"/>
  <c r="BJ180" i="1"/>
  <c r="BJ179" i="1"/>
  <c r="BJ178" i="1"/>
  <c r="BJ177" i="1"/>
  <c r="BJ176" i="1"/>
  <c r="BJ175" i="1"/>
  <c r="BJ174" i="1"/>
  <c r="BJ173" i="1"/>
  <c r="BJ172" i="1"/>
  <c r="BJ171" i="1"/>
  <c r="BJ170" i="1"/>
  <c r="BJ169" i="1"/>
  <c r="BJ168" i="1"/>
  <c r="BJ167" i="1"/>
  <c r="BJ166" i="1"/>
  <c r="BJ165" i="1"/>
  <c r="BJ164" i="1"/>
  <c r="BJ163" i="1"/>
  <c r="BJ162" i="1"/>
  <c r="BJ161" i="1"/>
  <c r="BJ160" i="1"/>
  <c r="BJ159" i="1"/>
  <c r="BJ158" i="1"/>
  <c r="BJ157" i="1"/>
  <c r="BJ156" i="1"/>
  <c r="BJ155" i="1"/>
  <c r="BJ154" i="1"/>
  <c r="BI283" i="1"/>
  <c r="BI282" i="1"/>
  <c r="BI281" i="1"/>
  <c r="BI280" i="1"/>
  <c r="BI279" i="1"/>
  <c r="BI278" i="1"/>
  <c r="BI277" i="1"/>
  <c r="BI276" i="1"/>
  <c r="BI275" i="1"/>
  <c r="BI274" i="1"/>
  <c r="BI273" i="1"/>
  <c r="BI272" i="1"/>
  <c r="BI271" i="1"/>
  <c r="BI270" i="1"/>
  <c r="BI269" i="1"/>
  <c r="BI268" i="1"/>
  <c r="BI267" i="1"/>
  <c r="BI266" i="1"/>
  <c r="BI265" i="1"/>
  <c r="BI264" i="1"/>
  <c r="BI263" i="1"/>
  <c r="BI262" i="1"/>
  <c r="BI261" i="1"/>
  <c r="BI260" i="1"/>
  <c r="BI259" i="1"/>
  <c r="BI258" i="1"/>
  <c r="BI257" i="1"/>
  <c r="BI256" i="1"/>
  <c r="BI255" i="1"/>
  <c r="BI254" i="1"/>
  <c r="BI253" i="1"/>
  <c r="BI252" i="1"/>
  <c r="BI251" i="1"/>
  <c r="BI250" i="1"/>
  <c r="BI249" i="1"/>
  <c r="BI248" i="1"/>
  <c r="BI247" i="1"/>
  <c r="BI246" i="1"/>
  <c r="BI245" i="1"/>
  <c r="BI244" i="1"/>
  <c r="BI243" i="1"/>
  <c r="BI242" i="1"/>
  <c r="BI241" i="1"/>
  <c r="BI240" i="1"/>
  <c r="BI239" i="1"/>
  <c r="BI238" i="1"/>
  <c r="BI237" i="1"/>
  <c r="BI236" i="1"/>
  <c r="BI235" i="1"/>
  <c r="BI234" i="1"/>
  <c r="BI233" i="1"/>
  <c r="BI232" i="1"/>
  <c r="BI231" i="1"/>
  <c r="BI230" i="1"/>
  <c r="BI229" i="1"/>
  <c r="BI228" i="1"/>
  <c r="BI227" i="1"/>
  <c r="BI226" i="1"/>
  <c r="BI225" i="1"/>
  <c r="BI224" i="1"/>
  <c r="BI223" i="1"/>
  <c r="BI222" i="1"/>
  <c r="BI221" i="1"/>
  <c r="BI220" i="1"/>
  <c r="BI219" i="1"/>
  <c r="BI218" i="1"/>
  <c r="BI217" i="1"/>
  <c r="BI216" i="1"/>
  <c r="BI215" i="1"/>
  <c r="BI214" i="1"/>
  <c r="BI213" i="1"/>
  <c r="BI212" i="1"/>
  <c r="BI211" i="1"/>
  <c r="BI210" i="1"/>
  <c r="BI209" i="1"/>
  <c r="BI208" i="1"/>
  <c r="BI207" i="1"/>
  <c r="BI206" i="1"/>
  <c r="BI205" i="1"/>
  <c r="BI204" i="1"/>
  <c r="BI203" i="1"/>
  <c r="BI202" i="1"/>
  <c r="BI201" i="1"/>
  <c r="BI200" i="1"/>
  <c r="BI199" i="1"/>
  <c r="BI198" i="1"/>
  <c r="BI197" i="1"/>
  <c r="BI196" i="1"/>
  <c r="BI195" i="1"/>
  <c r="BI194" i="1"/>
  <c r="BI193" i="1"/>
  <c r="BI192" i="1"/>
  <c r="BI191" i="1"/>
  <c r="BI190" i="1"/>
  <c r="BI189" i="1"/>
  <c r="BI188" i="1"/>
  <c r="BI187" i="1"/>
  <c r="BI186" i="1"/>
  <c r="BI185" i="1"/>
  <c r="BI184" i="1"/>
  <c r="BI183" i="1"/>
  <c r="BI182" i="1"/>
  <c r="BI181" i="1"/>
  <c r="BI180" i="1"/>
  <c r="BI179" i="1"/>
  <c r="BI178" i="1"/>
  <c r="BI177" i="1"/>
  <c r="BI176" i="1"/>
  <c r="BI175" i="1"/>
  <c r="BI174" i="1"/>
  <c r="BI173" i="1"/>
  <c r="BI172" i="1"/>
  <c r="BI171" i="1"/>
  <c r="BI170" i="1"/>
  <c r="BI169" i="1"/>
  <c r="BI168" i="1"/>
  <c r="BI167" i="1"/>
  <c r="BI166" i="1"/>
  <c r="BI165" i="1"/>
  <c r="BI164" i="1"/>
  <c r="BI163" i="1"/>
  <c r="BI162" i="1"/>
  <c r="BI161" i="1"/>
  <c r="BI160" i="1"/>
  <c r="BI159" i="1"/>
  <c r="BI158" i="1"/>
  <c r="BI157" i="1"/>
  <c r="BI156" i="1"/>
  <c r="BI155" i="1"/>
  <c r="BI154" i="1"/>
  <c r="BH283" i="1"/>
  <c r="BH282" i="1"/>
  <c r="BH281" i="1"/>
  <c r="BH280" i="1"/>
  <c r="BH279" i="1"/>
  <c r="BH278" i="1"/>
  <c r="BH277" i="1"/>
  <c r="BH276" i="1"/>
  <c r="BH275" i="1"/>
  <c r="BH274" i="1"/>
  <c r="BH273" i="1"/>
  <c r="BH272" i="1"/>
  <c r="BH271" i="1"/>
  <c r="BH270" i="1"/>
  <c r="BH269" i="1"/>
  <c r="BH268" i="1"/>
  <c r="BH267" i="1"/>
  <c r="BH266" i="1"/>
  <c r="BH265" i="1"/>
  <c r="BH264" i="1"/>
  <c r="BH263" i="1"/>
  <c r="BH262" i="1"/>
  <c r="BH261" i="1"/>
  <c r="BH260" i="1"/>
  <c r="BH259" i="1"/>
  <c r="BH258" i="1"/>
  <c r="BH257" i="1"/>
  <c r="BH256" i="1"/>
  <c r="BH255" i="1"/>
  <c r="BH254" i="1"/>
  <c r="BH253" i="1"/>
  <c r="BH252" i="1"/>
  <c r="BH251" i="1"/>
  <c r="BH250" i="1"/>
  <c r="BH249" i="1"/>
  <c r="BH248" i="1"/>
  <c r="BH247" i="1"/>
  <c r="BH246" i="1"/>
  <c r="BH245" i="1"/>
  <c r="BH244" i="1"/>
  <c r="BH243" i="1"/>
  <c r="BH242" i="1"/>
  <c r="BH241" i="1"/>
  <c r="BH240" i="1"/>
  <c r="BH239" i="1"/>
  <c r="BH238" i="1"/>
  <c r="BH237" i="1"/>
  <c r="BH236" i="1"/>
  <c r="BH235" i="1"/>
  <c r="BH234" i="1"/>
  <c r="BH233" i="1"/>
  <c r="BH232" i="1"/>
  <c r="BH231" i="1"/>
  <c r="BH230" i="1"/>
  <c r="BH229" i="1"/>
  <c r="BH228" i="1"/>
  <c r="BH227" i="1"/>
  <c r="BH226" i="1"/>
  <c r="BH225" i="1"/>
  <c r="BH224" i="1"/>
  <c r="BH223" i="1"/>
  <c r="BH222" i="1"/>
  <c r="BH221" i="1"/>
  <c r="BH220" i="1"/>
  <c r="BH219" i="1"/>
  <c r="BH218" i="1"/>
  <c r="BH217" i="1"/>
  <c r="BH216" i="1"/>
  <c r="BH215" i="1"/>
  <c r="BH214" i="1"/>
  <c r="BH213" i="1"/>
  <c r="BH212" i="1"/>
  <c r="BH211" i="1"/>
  <c r="BH210" i="1"/>
  <c r="BH209" i="1"/>
  <c r="BH208" i="1"/>
  <c r="BH207" i="1"/>
  <c r="BH206" i="1"/>
  <c r="BH205" i="1"/>
  <c r="BH204" i="1"/>
  <c r="BH203" i="1"/>
  <c r="BH202" i="1"/>
  <c r="BH201" i="1"/>
  <c r="BH200" i="1"/>
  <c r="BH199" i="1"/>
  <c r="BH198" i="1"/>
  <c r="BH197" i="1"/>
  <c r="BH196" i="1"/>
  <c r="BH195" i="1"/>
  <c r="BH194" i="1"/>
  <c r="BH193" i="1"/>
  <c r="BH192" i="1"/>
  <c r="BH191" i="1"/>
  <c r="BH190" i="1"/>
  <c r="BH189" i="1"/>
  <c r="BH188" i="1"/>
  <c r="BH187" i="1"/>
  <c r="BH186" i="1"/>
  <c r="BH185" i="1"/>
  <c r="BH184" i="1"/>
  <c r="BH183" i="1"/>
  <c r="BH182" i="1"/>
  <c r="BH181" i="1"/>
  <c r="BH180" i="1"/>
  <c r="BH179" i="1"/>
  <c r="BH178" i="1"/>
  <c r="BH177" i="1"/>
  <c r="BH176" i="1"/>
  <c r="BH175" i="1"/>
  <c r="BH174" i="1"/>
  <c r="BH173" i="1"/>
  <c r="BH172" i="1"/>
  <c r="BH171" i="1"/>
  <c r="BH170" i="1"/>
  <c r="BH169" i="1"/>
  <c r="BH168" i="1"/>
  <c r="BH167" i="1"/>
  <c r="BH166" i="1"/>
  <c r="BH165" i="1"/>
  <c r="BH164" i="1"/>
  <c r="BH163" i="1"/>
  <c r="BH162" i="1"/>
  <c r="BH161" i="1"/>
  <c r="BH160" i="1"/>
  <c r="BH159" i="1"/>
  <c r="BH158" i="1"/>
  <c r="BH157" i="1"/>
  <c r="BH156" i="1"/>
  <c r="BH155" i="1"/>
  <c r="BH154" i="1"/>
  <c r="BG283" i="1"/>
  <c r="BG282" i="1"/>
  <c r="BG281" i="1"/>
  <c r="BG280" i="1"/>
  <c r="BG279" i="1"/>
  <c r="BG278" i="1"/>
  <c r="BG277" i="1"/>
  <c r="BG276" i="1"/>
  <c r="BG275" i="1"/>
  <c r="BG274" i="1"/>
  <c r="BG273" i="1"/>
  <c r="BG272" i="1"/>
  <c r="BG271" i="1"/>
  <c r="BG270" i="1"/>
  <c r="BG269" i="1"/>
  <c r="BG268" i="1"/>
  <c r="BG267" i="1"/>
  <c r="BG266" i="1"/>
  <c r="BG265" i="1"/>
  <c r="BG264" i="1"/>
  <c r="BG263" i="1"/>
  <c r="BG262" i="1"/>
  <c r="BG261" i="1"/>
  <c r="BG260" i="1"/>
  <c r="BG259" i="1"/>
  <c r="BG258" i="1"/>
  <c r="BG257" i="1"/>
  <c r="BG256" i="1"/>
  <c r="BG255" i="1"/>
  <c r="BG254" i="1"/>
  <c r="BG253" i="1"/>
  <c r="BG252" i="1"/>
  <c r="BG251" i="1"/>
  <c r="BG250" i="1"/>
  <c r="BG249" i="1"/>
  <c r="BG248" i="1"/>
  <c r="BG247" i="1"/>
  <c r="BG246" i="1"/>
  <c r="BG245" i="1"/>
  <c r="BG244" i="1"/>
  <c r="BG243" i="1"/>
  <c r="BG242" i="1"/>
  <c r="BG241" i="1"/>
  <c r="BG240" i="1"/>
  <c r="BG239" i="1"/>
  <c r="BG238" i="1"/>
  <c r="BG237" i="1"/>
  <c r="BG236" i="1"/>
  <c r="BG235" i="1"/>
  <c r="BG234" i="1"/>
  <c r="BG233" i="1"/>
  <c r="BG232" i="1"/>
  <c r="BG231" i="1"/>
  <c r="BG230" i="1"/>
  <c r="BG229" i="1"/>
  <c r="BG228" i="1"/>
  <c r="BG227" i="1"/>
  <c r="BG226" i="1"/>
  <c r="BG225" i="1"/>
  <c r="BG224" i="1"/>
  <c r="BG223" i="1"/>
  <c r="BG222" i="1"/>
  <c r="BG221" i="1"/>
  <c r="BG220" i="1"/>
  <c r="BG219" i="1"/>
  <c r="BG218" i="1"/>
  <c r="BG217" i="1"/>
  <c r="BG216" i="1"/>
  <c r="BG215" i="1"/>
  <c r="BG214" i="1"/>
  <c r="BG213" i="1"/>
  <c r="BG212" i="1"/>
  <c r="BG211" i="1"/>
  <c r="BG210" i="1"/>
  <c r="BG209" i="1"/>
  <c r="BG208" i="1"/>
  <c r="BG207" i="1"/>
  <c r="BG206" i="1"/>
  <c r="BG205" i="1"/>
  <c r="BG204" i="1"/>
  <c r="BG203" i="1"/>
  <c r="BG202" i="1"/>
  <c r="BG201" i="1"/>
  <c r="BG200" i="1"/>
  <c r="BG199" i="1"/>
  <c r="BG198" i="1"/>
  <c r="BG197" i="1"/>
  <c r="BG196" i="1"/>
  <c r="BG195" i="1"/>
  <c r="BG194" i="1"/>
  <c r="BG193" i="1"/>
  <c r="BG192" i="1"/>
  <c r="BG191" i="1"/>
  <c r="BG190" i="1"/>
  <c r="BG189" i="1"/>
  <c r="BG188" i="1"/>
  <c r="BG187" i="1"/>
  <c r="BG186" i="1"/>
  <c r="BG185" i="1"/>
  <c r="BG184" i="1"/>
  <c r="BG183" i="1"/>
  <c r="BG182" i="1"/>
  <c r="BG181" i="1"/>
  <c r="BG180" i="1"/>
  <c r="BG179" i="1"/>
  <c r="BG178" i="1"/>
  <c r="BG177" i="1"/>
  <c r="BG176" i="1"/>
  <c r="BG175" i="1"/>
  <c r="BG174" i="1"/>
  <c r="BG173" i="1"/>
  <c r="BG172" i="1"/>
  <c r="BG171" i="1"/>
  <c r="BG170" i="1"/>
  <c r="BG169" i="1"/>
  <c r="BG168" i="1"/>
  <c r="BG167" i="1"/>
  <c r="BG166" i="1"/>
  <c r="BG165" i="1"/>
  <c r="BG164" i="1"/>
  <c r="BG163" i="1"/>
  <c r="BG162" i="1"/>
  <c r="BG161" i="1"/>
  <c r="BG160" i="1"/>
  <c r="BG159" i="1"/>
  <c r="BG158" i="1"/>
  <c r="BG157" i="1"/>
  <c r="BG156" i="1"/>
  <c r="BG155" i="1"/>
  <c r="BG154" i="1"/>
  <c r="BF283" i="1"/>
  <c r="BF282" i="1"/>
  <c r="BF281" i="1"/>
  <c r="BF280" i="1"/>
  <c r="BF279" i="1"/>
  <c r="BF278" i="1"/>
  <c r="BF277" i="1"/>
  <c r="BF276" i="1"/>
  <c r="BF275" i="1"/>
  <c r="BF274" i="1"/>
  <c r="BF273" i="1"/>
  <c r="BF272" i="1"/>
  <c r="BF271" i="1"/>
  <c r="BF270" i="1"/>
  <c r="BF269" i="1"/>
  <c r="BF268" i="1"/>
  <c r="BF267" i="1"/>
  <c r="BF266" i="1"/>
  <c r="BF265" i="1"/>
  <c r="BF264" i="1"/>
  <c r="BF263" i="1"/>
  <c r="BF262" i="1"/>
  <c r="BF261" i="1"/>
  <c r="BF260" i="1"/>
  <c r="BF259" i="1"/>
  <c r="BF258" i="1"/>
  <c r="BF257" i="1"/>
  <c r="BF256" i="1"/>
  <c r="BF255" i="1"/>
  <c r="BF254" i="1"/>
  <c r="BF253" i="1"/>
  <c r="BF252" i="1"/>
  <c r="BF251" i="1"/>
  <c r="BF250" i="1"/>
  <c r="BF249" i="1"/>
  <c r="BF248" i="1"/>
  <c r="BF247" i="1"/>
  <c r="BF246" i="1"/>
  <c r="BF245" i="1"/>
  <c r="BF244" i="1"/>
  <c r="BF243" i="1"/>
  <c r="BF242" i="1"/>
  <c r="BF241" i="1"/>
  <c r="BF240" i="1"/>
  <c r="BF239" i="1"/>
  <c r="BF238" i="1"/>
  <c r="BF237" i="1"/>
  <c r="BF236" i="1"/>
  <c r="BF235" i="1"/>
  <c r="BF234" i="1"/>
  <c r="BF233" i="1"/>
  <c r="BF232" i="1"/>
  <c r="BF231" i="1"/>
  <c r="BF230" i="1"/>
  <c r="BF229" i="1"/>
  <c r="BF228" i="1"/>
  <c r="BF227" i="1"/>
  <c r="BF226" i="1"/>
  <c r="BF225" i="1"/>
  <c r="BF224" i="1"/>
  <c r="BF223" i="1"/>
  <c r="BF222" i="1"/>
  <c r="BF221" i="1"/>
  <c r="BF220" i="1"/>
  <c r="BF219" i="1"/>
  <c r="BF218" i="1"/>
  <c r="BF217" i="1"/>
  <c r="BF216" i="1"/>
  <c r="BF215" i="1"/>
  <c r="BF214" i="1"/>
  <c r="BF213" i="1"/>
  <c r="BF212" i="1"/>
  <c r="BF211" i="1"/>
  <c r="BF210" i="1"/>
  <c r="BF209" i="1"/>
  <c r="BF208" i="1"/>
  <c r="BF207" i="1"/>
  <c r="BF206" i="1"/>
  <c r="BF205" i="1"/>
  <c r="BF204" i="1"/>
  <c r="BF203" i="1"/>
  <c r="BF202" i="1"/>
  <c r="BF201" i="1"/>
  <c r="BF200" i="1"/>
  <c r="BF199" i="1"/>
  <c r="BF198" i="1"/>
  <c r="BF197" i="1"/>
  <c r="BF196" i="1"/>
  <c r="BF195" i="1"/>
  <c r="BF194" i="1"/>
  <c r="BF193" i="1"/>
  <c r="BF192" i="1"/>
  <c r="BF191" i="1"/>
  <c r="BF190" i="1"/>
  <c r="BF189" i="1"/>
  <c r="BF188" i="1"/>
  <c r="BF187" i="1"/>
  <c r="BF186" i="1"/>
  <c r="BF185" i="1"/>
  <c r="BF184" i="1"/>
  <c r="BF183" i="1"/>
  <c r="BF182" i="1"/>
  <c r="BF181" i="1"/>
  <c r="BF180" i="1"/>
  <c r="BF179" i="1"/>
  <c r="BF178" i="1"/>
  <c r="BF177" i="1"/>
  <c r="BF176" i="1"/>
  <c r="BF175" i="1"/>
  <c r="BF174" i="1"/>
  <c r="BF173" i="1"/>
  <c r="BF172" i="1"/>
  <c r="BF171" i="1"/>
  <c r="BF170" i="1"/>
  <c r="BF169" i="1"/>
  <c r="BF168" i="1"/>
  <c r="BF167" i="1"/>
  <c r="BF166" i="1"/>
  <c r="BF165" i="1"/>
  <c r="BF164" i="1"/>
  <c r="BF163" i="1"/>
  <c r="BF162" i="1"/>
  <c r="BF161" i="1"/>
  <c r="BF160" i="1"/>
  <c r="BF159" i="1"/>
  <c r="BF158" i="1"/>
  <c r="BF157" i="1"/>
  <c r="BF156" i="1"/>
  <c r="BF155" i="1"/>
  <c r="BF154" i="1"/>
  <c r="BE283" i="1"/>
  <c r="BE282" i="1"/>
  <c r="BE281" i="1"/>
  <c r="BE280" i="1"/>
  <c r="BE279" i="1"/>
  <c r="BE278" i="1"/>
  <c r="BE277" i="1"/>
  <c r="BE276" i="1"/>
  <c r="BE275" i="1"/>
  <c r="BE274" i="1"/>
  <c r="BE273" i="1"/>
  <c r="BE272" i="1"/>
  <c r="BE271" i="1"/>
  <c r="BE270" i="1"/>
  <c r="BE269" i="1"/>
  <c r="BE268" i="1"/>
  <c r="BE267" i="1"/>
  <c r="BE266" i="1"/>
  <c r="BE265" i="1"/>
  <c r="BE264" i="1"/>
  <c r="BE263" i="1"/>
  <c r="BE262" i="1"/>
  <c r="BE261" i="1"/>
  <c r="BE260" i="1"/>
  <c r="BE259" i="1"/>
  <c r="BE258" i="1"/>
  <c r="BE257" i="1"/>
  <c r="BE256" i="1"/>
  <c r="BE255" i="1"/>
  <c r="BE254" i="1"/>
  <c r="BE253" i="1"/>
  <c r="BE252" i="1"/>
  <c r="BE251" i="1"/>
  <c r="BE250" i="1"/>
  <c r="BE249" i="1"/>
  <c r="BE248" i="1"/>
  <c r="BE247" i="1"/>
  <c r="BE246" i="1"/>
  <c r="BE245" i="1"/>
  <c r="BE244" i="1"/>
  <c r="BE243" i="1"/>
  <c r="BE242" i="1"/>
  <c r="BE241" i="1"/>
  <c r="BE240" i="1"/>
  <c r="BE239" i="1"/>
  <c r="BE238" i="1"/>
  <c r="BE237" i="1"/>
  <c r="BE236" i="1"/>
  <c r="BE235" i="1"/>
  <c r="BE234" i="1"/>
  <c r="BE233" i="1"/>
  <c r="BE232" i="1"/>
  <c r="BE231" i="1"/>
  <c r="BE230" i="1"/>
  <c r="BE229" i="1"/>
  <c r="BE228" i="1"/>
  <c r="BE227" i="1"/>
  <c r="BE226" i="1"/>
  <c r="BE225" i="1"/>
  <c r="BE224" i="1"/>
  <c r="BE223" i="1"/>
  <c r="BE222" i="1"/>
  <c r="BE221" i="1"/>
  <c r="BE220" i="1"/>
  <c r="BE219" i="1"/>
  <c r="BE218" i="1"/>
  <c r="BE217" i="1"/>
  <c r="BE216" i="1"/>
  <c r="BE215" i="1"/>
  <c r="BE214" i="1"/>
  <c r="BE213" i="1"/>
  <c r="BE212" i="1"/>
  <c r="BE211" i="1"/>
  <c r="BE210" i="1"/>
  <c r="BE209" i="1"/>
  <c r="BE208" i="1"/>
  <c r="BE207" i="1"/>
  <c r="BE206" i="1"/>
  <c r="BE205" i="1"/>
  <c r="BE204" i="1"/>
  <c r="BE203" i="1"/>
  <c r="BE202" i="1"/>
  <c r="BE201" i="1"/>
  <c r="BE200" i="1"/>
  <c r="BE199" i="1"/>
  <c r="BE198" i="1"/>
  <c r="BE197" i="1"/>
  <c r="BE196" i="1"/>
  <c r="BE195" i="1"/>
  <c r="BE194" i="1"/>
  <c r="BE193" i="1"/>
  <c r="BE192" i="1"/>
  <c r="BE191" i="1"/>
  <c r="BE190" i="1"/>
  <c r="BE189" i="1"/>
  <c r="BE188" i="1"/>
  <c r="BE187" i="1"/>
  <c r="BE186" i="1"/>
  <c r="BE185" i="1"/>
  <c r="BE184" i="1"/>
  <c r="BE183" i="1"/>
  <c r="BE182" i="1"/>
  <c r="BE181" i="1"/>
  <c r="BE180" i="1"/>
  <c r="BE179" i="1"/>
  <c r="BE178" i="1"/>
  <c r="BE177" i="1"/>
  <c r="BE176" i="1"/>
  <c r="BE175" i="1"/>
  <c r="BE174" i="1"/>
  <c r="BE173" i="1"/>
  <c r="BE172" i="1"/>
  <c r="BE171" i="1"/>
  <c r="BE170" i="1"/>
  <c r="BE169" i="1"/>
  <c r="BE168" i="1"/>
  <c r="BE167" i="1"/>
  <c r="BE166" i="1"/>
  <c r="BE165" i="1"/>
  <c r="BE164" i="1"/>
  <c r="BE163" i="1"/>
  <c r="BE162" i="1"/>
  <c r="BE161" i="1"/>
  <c r="BE160" i="1"/>
  <c r="BE159" i="1"/>
  <c r="BE158" i="1"/>
  <c r="BE157" i="1"/>
  <c r="BE156" i="1"/>
  <c r="BE155" i="1"/>
  <c r="BE154" i="1"/>
  <c r="BD283" i="1"/>
  <c r="BD282" i="1"/>
  <c r="BD281" i="1"/>
  <c r="BD280" i="1"/>
  <c r="BD279" i="1"/>
  <c r="BD278" i="1"/>
  <c r="BD277" i="1"/>
  <c r="BD276" i="1"/>
  <c r="BD275" i="1"/>
  <c r="BD274" i="1"/>
  <c r="BD273" i="1"/>
  <c r="BD272" i="1"/>
  <c r="BD271" i="1"/>
  <c r="BD270" i="1"/>
  <c r="BD269" i="1"/>
  <c r="BD268" i="1"/>
  <c r="BD267" i="1"/>
  <c r="BD266" i="1"/>
  <c r="BD265" i="1"/>
  <c r="BD264" i="1"/>
  <c r="BD263" i="1"/>
  <c r="BD262" i="1"/>
  <c r="BD261" i="1"/>
  <c r="BD260" i="1"/>
  <c r="BD259" i="1"/>
  <c r="BD258" i="1"/>
  <c r="BD257" i="1"/>
  <c r="BD256" i="1"/>
  <c r="BD255" i="1"/>
  <c r="BD254" i="1"/>
  <c r="BD253" i="1"/>
  <c r="BD252" i="1"/>
  <c r="BD251" i="1"/>
  <c r="BD250" i="1"/>
  <c r="BD249" i="1"/>
  <c r="BD248" i="1"/>
  <c r="BD247" i="1"/>
  <c r="BD246" i="1"/>
  <c r="BD245" i="1"/>
  <c r="BD244" i="1"/>
  <c r="BD243" i="1"/>
  <c r="BD242" i="1"/>
  <c r="BD241" i="1"/>
  <c r="BD240" i="1"/>
  <c r="BD239" i="1"/>
  <c r="BD238" i="1"/>
  <c r="BD237" i="1"/>
  <c r="BD236" i="1"/>
  <c r="BD235" i="1"/>
  <c r="BD234" i="1"/>
  <c r="BD233" i="1"/>
  <c r="BD232" i="1"/>
  <c r="BD231" i="1"/>
  <c r="BD230" i="1"/>
  <c r="BD229" i="1"/>
  <c r="BD228" i="1"/>
  <c r="BD227" i="1"/>
  <c r="BD226" i="1"/>
  <c r="BD225" i="1"/>
  <c r="BD224" i="1"/>
  <c r="BD223" i="1"/>
  <c r="BD222" i="1"/>
  <c r="BD221" i="1"/>
  <c r="BD220" i="1"/>
  <c r="BD219" i="1"/>
  <c r="BD218" i="1"/>
  <c r="BD217" i="1"/>
  <c r="BD216" i="1"/>
  <c r="BD215" i="1"/>
  <c r="BD214" i="1"/>
  <c r="BD213" i="1"/>
  <c r="BD212" i="1"/>
  <c r="BD211" i="1"/>
  <c r="BD210" i="1"/>
  <c r="BD209" i="1"/>
  <c r="BD208" i="1"/>
  <c r="BD207" i="1"/>
  <c r="BD206" i="1"/>
  <c r="BD205" i="1"/>
  <c r="BD204" i="1"/>
  <c r="BD203" i="1"/>
  <c r="BD202" i="1"/>
  <c r="BD201" i="1"/>
  <c r="BD200" i="1"/>
  <c r="BD199" i="1"/>
  <c r="BD198" i="1"/>
  <c r="BD197" i="1"/>
  <c r="BD196" i="1"/>
  <c r="BD195" i="1"/>
  <c r="BD194" i="1"/>
  <c r="BD193" i="1"/>
  <c r="BD192" i="1"/>
  <c r="BD191" i="1"/>
  <c r="BD190" i="1"/>
  <c r="BD189" i="1"/>
  <c r="BD188" i="1"/>
  <c r="BD187" i="1"/>
  <c r="BD186" i="1"/>
  <c r="BD185" i="1"/>
  <c r="BD184" i="1"/>
  <c r="BD183" i="1"/>
  <c r="BD182" i="1"/>
  <c r="BD181" i="1"/>
  <c r="BD180" i="1"/>
  <c r="BD179" i="1"/>
  <c r="BD178" i="1"/>
  <c r="BD177" i="1"/>
  <c r="BD176" i="1"/>
  <c r="BD175" i="1"/>
  <c r="BD174" i="1"/>
  <c r="BD173" i="1"/>
  <c r="BD172" i="1"/>
  <c r="BD171" i="1"/>
  <c r="BD170" i="1"/>
  <c r="BD169" i="1"/>
  <c r="BD168" i="1"/>
  <c r="BD167" i="1"/>
  <c r="BD166" i="1"/>
  <c r="BD165" i="1"/>
  <c r="BD164" i="1"/>
  <c r="BD163" i="1"/>
  <c r="BD162" i="1"/>
  <c r="BD161" i="1"/>
  <c r="BD160" i="1"/>
  <c r="BD159" i="1"/>
  <c r="BD158" i="1"/>
  <c r="BD157" i="1"/>
  <c r="BD156" i="1"/>
  <c r="BD155" i="1"/>
  <c r="BD154" i="1"/>
  <c r="BC283" i="1"/>
  <c r="BC282" i="1"/>
  <c r="BC281" i="1"/>
  <c r="BC280" i="1"/>
  <c r="BC279" i="1"/>
  <c r="BC278" i="1"/>
  <c r="BC277" i="1"/>
  <c r="BC276" i="1"/>
  <c r="BC275" i="1"/>
  <c r="BC274" i="1"/>
  <c r="BC273" i="1"/>
  <c r="BC272" i="1"/>
  <c r="BC271" i="1"/>
  <c r="BC270" i="1"/>
  <c r="BC269" i="1"/>
  <c r="BC268" i="1"/>
  <c r="BC267" i="1"/>
  <c r="BC266" i="1"/>
  <c r="BC265" i="1"/>
  <c r="BC264" i="1"/>
  <c r="BC263" i="1"/>
  <c r="BC262" i="1"/>
  <c r="BC261" i="1"/>
  <c r="BC260" i="1"/>
  <c r="BC259" i="1"/>
  <c r="BC258" i="1"/>
  <c r="BC257" i="1"/>
  <c r="BC256" i="1"/>
  <c r="BC255" i="1"/>
  <c r="BC254" i="1"/>
  <c r="BC253" i="1"/>
  <c r="BC252" i="1"/>
  <c r="BC251" i="1"/>
  <c r="BC250" i="1"/>
  <c r="BC249" i="1"/>
  <c r="BC248" i="1"/>
  <c r="BC247" i="1"/>
  <c r="BC246" i="1"/>
  <c r="BC245" i="1"/>
  <c r="BC244" i="1"/>
  <c r="BC243" i="1"/>
  <c r="BC242" i="1"/>
  <c r="BC241" i="1"/>
  <c r="BC240" i="1"/>
  <c r="BC239" i="1"/>
  <c r="BC238" i="1"/>
  <c r="BC237" i="1"/>
  <c r="BC236" i="1"/>
  <c r="BC235" i="1"/>
  <c r="BC234" i="1"/>
  <c r="BC233" i="1"/>
  <c r="BC232" i="1"/>
  <c r="BC231" i="1"/>
  <c r="BC230" i="1"/>
  <c r="BC229" i="1"/>
  <c r="BC228" i="1"/>
  <c r="BC227" i="1"/>
  <c r="BC226" i="1"/>
  <c r="BC225" i="1"/>
  <c r="BC224" i="1"/>
  <c r="BC223" i="1"/>
  <c r="BC222" i="1"/>
  <c r="BC221" i="1"/>
  <c r="BC220" i="1"/>
  <c r="BC219" i="1"/>
  <c r="BC218" i="1"/>
  <c r="BC217" i="1"/>
  <c r="BC216" i="1"/>
  <c r="BC215" i="1"/>
  <c r="BC214" i="1"/>
  <c r="BC213" i="1"/>
  <c r="BC212" i="1"/>
  <c r="BC211" i="1"/>
  <c r="BC210" i="1"/>
  <c r="BC209" i="1"/>
  <c r="BC208" i="1"/>
  <c r="BC207" i="1"/>
  <c r="BC206" i="1"/>
  <c r="BC205" i="1"/>
  <c r="BC204" i="1"/>
  <c r="BC203" i="1"/>
  <c r="BC202" i="1"/>
  <c r="BC201" i="1"/>
  <c r="BC200" i="1"/>
  <c r="BC199" i="1"/>
  <c r="BC198" i="1"/>
  <c r="BC197" i="1"/>
  <c r="BC196" i="1"/>
  <c r="BC195" i="1"/>
  <c r="BC194" i="1"/>
  <c r="BC193" i="1"/>
  <c r="BC192" i="1"/>
  <c r="BC191" i="1"/>
  <c r="BC190" i="1"/>
  <c r="BC189" i="1"/>
  <c r="BC188" i="1"/>
  <c r="BC187" i="1"/>
  <c r="BC186" i="1"/>
  <c r="BC185" i="1"/>
  <c r="BC184" i="1"/>
  <c r="BC183" i="1"/>
  <c r="BC182" i="1"/>
  <c r="BC181" i="1"/>
  <c r="BC180" i="1"/>
  <c r="BC179" i="1"/>
  <c r="BC178" i="1"/>
  <c r="BC177" i="1"/>
  <c r="BC176" i="1"/>
  <c r="BC175" i="1"/>
  <c r="BC174" i="1"/>
  <c r="BC173" i="1"/>
  <c r="BC172" i="1"/>
  <c r="BC171" i="1"/>
  <c r="BC170" i="1"/>
  <c r="BC169" i="1"/>
  <c r="BC168" i="1"/>
  <c r="BC167" i="1"/>
  <c r="BC166" i="1"/>
  <c r="BC165" i="1"/>
  <c r="BC164" i="1"/>
  <c r="BC163" i="1"/>
  <c r="BC162" i="1"/>
  <c r="BC161" i="1"/>
  <c r="BC160" i="1"/>
  <c r="BC159" i="1"/>
  <c r="BC158" i="1"/>
  <c r="BC157" i="1"/>
  <c r="BC156" i="1"/>
  <c r="BC155" i="1"/>
  <c r="BC154" i="1"/>
  <c r="BB283" i="1"/>
  <c r="BB282" i="1"/>
  <c r="BB281" i="1"/>
  <c r="BB280" i="1"/>
  <c r="BB279" i="1"/>
  <c r="BB278" i="1"/>
  <c r="BB277" i="1"/>
  <c r="BB276" i="1"/>
  <c r="BB275" i="1"/>
  <c r="BB274" i="1"/>
  <c r="BB273" i="1"/>
  <c r="BB272" i="1"/>
  <c r="BB271" i="1"/>
  <c r="BB270" i="1"/>
  <c r="BB269" i="1"/>
  <c r="BB268" i="1"/>
  <c r="BB267" i="1"/>
  <c r="BB266" i="1"/>
  <c r="BB265" i="1"/>
  <c r="BB264" i="1"/>
  <c r="BB263" i="1"/>
  <c r="BB262" i="1"/>
  <c r="BB261" i="1"/>
  <c r="BB260" i="1"/>
  <c r="BB259" i="1"/>
  <c r="BB258" i="1"/>
  <c r="BB257" i="1"/>
  <c r="BB256" i="1"/>
  <c r="BB255" i="1"/>
  <c r="BB254" i="1"/>
  <c r="BB253" i="1"/>
  <c r="BB252" i="1"/>
  <c r="BB251" i="1"/>
  <c r="BB250" i="1"/>
  <c r="BB249" i="1"/>
  <c r="BB248" i="1"/>
  <c r="BB247" i="1"/>
  <c r="BB246" i="1"/>
  <c r="BB245" i="1"/>
  <c r="BB244" i="1"/>
  <c r="BB243" i="1"/>
  <c r="BB242" i="1"/>
  <c r="BB241" i="1"/>
  <c r="BB240" i="1"/>
  <c r="BB239" i="1"/>
  <c r="BB238" i="1"/>
  <c r="BB237" i="1"/>
  <c r="BB236" i="1"/>
  <c r="BB235" i="1"/>
  <c r="BB234" i="1"/>
  <c r="BB233" i="1"/>
  <c r="BB232" i="1"/>
  <c r="BB231" i="1"/>
  <c r="BB230" i="1"/>
  <c r="BB229" i="1"/>
  <c r="BB228" i="1"/>
  <c r="BB227" i="1"/>
  <c r="BB226" i="1"/>
  <c r="BB225" i="1"/>
  <c r="BB224" i="1"/>
  <c r="BB223" i="1"/>
  <c r="BB222" i="1"/>
  <c r="BB221" i="1"/>
  <c r="BB220" i="1"/>
  <c r="BB219" i="1"/>
  <c r="BB218" i="1"/>
  <c r="BB217" i="1"/>
  <c r="BB216" i="1"/>
  <c r="BB215" i="1"/>
  <c r="BB214" i="1"/>
  <c r="BB213" i="1"/>
  <c r="BB212" i="1"/>
  <c r="BB211" i="1"/>
  <c r="BB210" i="1"/>
  <c r="BB209" i="1"/>
  <c r="BB208" i="1"/>
  <c r="BB207" i="1"/>
  <c r="BB206" i="1"/>
  <c r="BB205" i="1"/>
  <c r="BB204" i="1"/>
  <c r="BB203" i="1"/>
  <c r="BB202" i="1"/>
  <c r="BB201" i="1"/>
  <c r="BB200" i="1"/>
  <c r="BB199" i="1"/>
  <c r="BB198" i="1"/>
  <c r="BB197" i="1"/>
  <c r="BB196" i="1"/>
  <c r="BB195" i="1"/>
  <c r="BB194" i="1"/>
  <c r="BB193" i="1"/>
  <c r="BB192" i="1"/>
  <c r="BB191" i="1"/>
  <c r="BB190" i="1"/>
  <c r="BB189" i="1"/>
  <c r="BB188" i="1"/>
  <c r="BB187" i="1"/>
  <c r="BB186" i="1"/>
  <c r="BB185" i="1"/>
  <c r="BB184" i="1"/>
  <c r="BB183" i="1"/>
  <c r="BB182" i="1"/>
  <c r="BB181" i="1"/>
  <c r="BB180" i="1"/>
  <c r="BB179" i="1"/>
  <c r="BB178" i="1"/>
  <c r="BB177" i="1"/>
  <c r="BB176" i="1"/>
  <c r="BB175" i="1"/>
  <c r="BB174" i="1"/>
  <c r="BB173" i="1"/>
  <c r="BB172" i="1"/>
  <c r="BB171" i="1"/>
  <c r="BB170" i="1"/>
  <c r="BB169" i="1"/>
  <c r="BB168" i="1"/>
  <c r="BB167" i="1"/>
  <c r="BB166" i="1"/>
  <c r="BB165" i="1"/>
  <c r="BB164" i="1"/>
  <c r="BB163" i="1"/>
  <c r="BB162" i="1"/>
  <c r="BB161" i="1"/>
  <c r="BB160" i="1"/>
  <c r="BB159" i="1"/>
  <c r="BB158" i="1"/>
  <c r="BB157" i="1"/>
  <c r="BB156" i="1"/>
  <c r="BB155" i="1"/>
  <c r="BB154" i="1"/>
  <c r="BA283" i="1"/>
  <c r="BA282" i="1"/>
  <c r="BA281" i="1"/>
  <c r="BA280" i="1"/>
  <c r="BA279" i="1"/>
  <c r="BA278" i="1"/>
  <c r="BA277" i="1"/>
  <c r="BA276" i="1"/>
  <c r="BA275" i="1"/>
  <c r="BA274" i="1"/>
  <c r="BA273" i="1"/>
  <c r="BA272" i="1"/>
  <c r="BA271" i="1"/>
  <c r="BA270" i="1"/>
  <c r="BA269" i="1"/>
  <c r="BA268" i="1"/>
  <c r="BA267" i="1"/>
  <c r="BA266" i="1"/>
  <c r="BA265" i="1"/>
  <c r="BA264" i="1"/>
  <c r="BA263" i="1"/>
  <c r="BA262" i="1"/>
  <c r="BA261" i="1"/>
  <c r="BA260" i="1"/>
  <c r="BA259" i="1"/>
  <c r="BA258" i="1"/>
  <c r="BA257" i="1"/>
  <c r="BA256" i="1"/>
  <c r="BA255" i="1"/>
  <c r="BA254" i="1"/>
  <c r="BA253" i="1"/>
  <c r="BA252" i="1"/>
  <c r="BA251" i="1"/>
  <c r="BA250" i="1"/>
  <c r="BA249" i="1"/>
  <c r="BA248" i="1"/>
  <c r="BA247" i="1"/>
  <c r="BA246" i="1"/>
  <c r="BA245" i="1"/>
  <c r="BA244" i="1"/>
  <c r="BA243" i="1"/>
  <c r="BA242" i="1"/>
  <c r="BA241" i="1"/>
  <c r="BA240" i="1"/>
  <c r="BA239" i="1"/>
  <c r="BA238" i="1"/>
  <c r="BA237" i="1"/>
  <c r="BA236" i="1"/>
  <c r="BA235" i="1"/>
  <c r="BA234" i="1"/>
  <c r="BA233" i="1"/>
  <c r="BA232" i="1"/>
  <c r="BA231" i="1"/>
  <c r="BA230" i="1"/>
  <c r="BA229" i="1"/>
  <c r="BA228" i="1"/>
  <c r="BA227" i="1"/>
  <c r="BA226" i="1"/>
  <c r="BA225" i="1"/>
  <c r="BA224" i="1"/>
  <c r="BA223" i="1"/>
  <c r="BA222" i="1"/>
  <c r="BA221" i="1"/>
  <c r="BA220" i="1"/>
  <c r="BA219" i="1"/>
  <c r="BA218" i="1"/>
  <c r="BA217" i="1"/>
  <c r="BA216" i="1"/>
  <c r="BA215" i="1"/>
  <c r="BA214" i="1"/>
  <c r="BA213" i="1"/>
  <c r="BA212" i="1"/>
  <c r="BA211" i="1"/>
  <c r="BA210" i="1"/>
  <c r="BA209" i="1"/>
  <c r="BA208" i="1"/>
  <c r="BA207" i="1"/>
  <c r="BA206" i="1"/>
  <c r="BA205" i="1"/>
  <c r="BA204" i="1"/>
  <c r="BA203" i="1"/>
  <c r="BA202" i="1"/>
  <c r="BA201" i="1"/>
  <c r="BA200" i="1"/>
  <c r="BA199" i="1"/>
  <c r="BA198" i="1"/>
  <c r="BA197" i="1"/>
  <c r="BA196" i="1"/>
  <c r="BA195" i="1"/>
  <c r="BA194" i="1"/>
  <c r="BA193" i="1"/>
  <c r="BA192" i="1"/>
  <c r="BA191" i="1"/>
  <c r="BA190" i="1"/>
  <c r="BA189" i="1"/>
  <c r="BA188" i="1"/>
  <c r="BA187" i="1"/>
  <c r="BA186" i="1"/>
  <c r="BA185" i="1"/>
  <c r="BA184" i="1"/>
  <c r="BA183" i="1"/>
  <c r="BA182" i="1"/>
  <c r="BA181" i="1"/>
  <c r="BA180" i="1"/>
  <c r="BA179" i="1"/>
  <c r="BA178" i="1"/>
  <c r="BA177" i="1"/>
  <c r="BA176" i="1"/>
  <c r="BA175" i="1"/>
  <c r="BA174" i="1"/>
  <c r="BA173" i="1"/>
  <c r="BA172" i="1"/>
  <c r="BA171" i="1"/>
  <c r="BA170" i="1"/>
  <c r="BA169" i="1"/>
  <c r="BA168" i="1"/>
  <c r="BA167" i="1"/>
  <c r="BA166" i="1"/>
  <c r="BA165" i="1"/>
  <c r="BA164" i="1"/>
  <c r="BA163" i="1"/>
  <c r="BA162" i="1"/>
  <c r="BA161" i="1"/>
  <c r="BA160" i="1"/>
  <c r="BA159" i="1"/>
  <c r="BA158" i="1"/>
  <c r="BA157" i="1"/>
  <c r="BA156" i="1"/>
  <c r="BA155" i="1"/>
  <c r="BA154" i="1"/>
  <c r="AZ283" i="1"/>
  <c r="AZ282" i="1"/>
  <c r="AZ281" i="1"/>
  <c r="AZ280" i="1"/>
  <c r="AZ279" i="1"/>
  <c r="AZ278" i="1"/>
  <c r="AZ277" i="1"/>
  <c r="AZ276" i="1"/>
  <c r="AZ275" i="1"/>
  <c r="AZ274" i="1"/>
  <c r="AZ273" i="1"/>
  <c r="AZ272" i="1"/>
  <c r="AZ271" i="1"/>
  <c r="AZ270" i="1"/>
  <c r="AZ269" i="1"/>
  <c r="AZ268" i="1"/>
  <c r="AZ267" i="1"/>
  <c r="AZ266" i="1"/>
  <c r="AZ265" i="1"/>
  <c r="AZ264" i="1"/>
  <c r="AZ263" i="1"/>
  <c r="AZ262" i="1"/>
  <c r="AZ261" i="1"/>
  <c r="AZ260" i="1"/>
  <c r="AZ259" i="1"/>
  <c r="AZ258" i="1"/>
  <c r="AZ257" i="1"/>
  <c r="AZ256" i="1"/>
  <c r="AZ255" i="1"/>
  <c r="AZ254" i="1"/>
  <c r="AZ253" i="1"/>
  <c r="AZ252" i="1"/>
  <c r="AZ251" i="1"/>
  <c r="AZ250" i="1"/>
  <c r="AZ249" i="1"/>
  <c r="AZ248" i="1"/>
  <c r="AZ247" i="1"/>
  <c r="AZ246" i="1"/>
  <c r="AZ245" i="1"/>
  <c r="AZ244" i="1"/>
  <c r="AZ243" i="1"/>
  <c r="AZ242" i="1"/>
  <c r="AZ241" i="1"/>
  <c r="AZ240" i="1"/>
  <c r="AZ239" i="1"/>
  <c r="AZ238" i="1"/>
  <c r="AZ237" i="1"/>
  <c r="AZ236" i="1"/>
  <c r="AZ235" i="1"/>
  <c r="AZ234" i="1"/>
  <c r="AZ233" i="1"/>
  <c r="AZ232" i="1"/>
  <c r="AZ231" i="1"/>
  <c r="AZ230" i="1"/>
  <c r="AZ229" i="1"/>
  <c r="AZ228" i="1"/>
  <c r="AZ227" i="1"/>
  <c r="AZ226" i="1"/>
  <c r="AZ225" i="1"/>
  <c r="AZ224" i="1"/>
  <c r="AZ223" i="1"/>
  <c r="AZ222" i="1"/>
  <c r="AZ221" i="1"/>
  <c r="AZ220" i="1"/>
  <c r="AZ219" i="1"/>
  <c r="AZ218" i="1"/>
  <c r="AZ217" i="1"/>
  <c r="AZ216" i="1"/>
  <c r="AZ215" i="1"/>
  <c r="AZ214" i="1"/>
  <c r="AZ213" i="1"/>
  <c r="AZ212" i="1"/>
  <c r="AZ211" i="1"/>
  <c r="AZ210" i="1"/>
  <c r="AZ209" i="1"/>
  <c r="AZ208" i="1"/>
  <c r="AZ207" i="1"/>
  <c r="AZ206" i="1"/>
  <c r="AZ205" i="1"/>
  <c r="AZ204" i="1"/>
  <c r="AZ203" i="1"/>
  <c r="AZ202" i="1"/>
  <c r="AZ201" i="1"/>
  <c r="AZ200" i="1"/>
  <c r="AZ199" i="1"/>
  <c r="AZ198" i="1"/>
  <c r="AZ197" i="1"/>
  <c r="AZ196" i="1"/>
  <c r="AZ195" i="1"/>
  <c r="AZ194" i="1"/>
  <c r="AZ193" i="1"/>
  <c r="AZ192" i="1"/>
  <c r="AZ191" i="1"/>
  <c r="AZ190" i="1"/>
  <c r="AZ189" i="1"/>
  <c r="AZ188" i="1"/>
  <c r="AZ187" i="1"/>
  <c r="AZ186" i="1"/>
  <c r="AZ185" i="1"/>
  <c r="AZ184" i="1"/>
  <c r="AZ183" i="1"/>
  <c r="AZ182" i="1"/>
  <c r="AZ181" i="1"/>
  <c r="AZ180" i="1"/>
  <c r="AZ179" i="1"/>
  <c r="AZ178" i="1"/>
  <c r="AZ177" i="1"/>
  <c r="AZ176" i="1"/>
  <c r="AZ175" i="1"/>
  <c r="AZ174" i="1"/>
  <c r="AZ173" i="1"/>
  <c r="AZ172" i="1"/>
  <c r="AZ171" i="1"/>
  <c r="AZ170" i="1"/>
  <c r="AZ169" i="1"/>
  <c r="AZ168" i="1"/>
  <c r="AZ167" i="1"/>
  <c r="AZ166" i="1"/>
  <c r="AZ165" i="1"/>
  <c r="AZ164" i="1"/>
  <c r="AZ163" i="1"/>
  <c r="AZ162" i="1"/>
  <c r="AZ161" i="1"/>
  <c r="AZ160" i="1"/>
  <c r="AZ159" i="1"/>
  <c r="AZ158" i="1"/>
  <c r="AZ157" i="1"/>
  <c r="AZ156" i="1"/>
  <c r="AZ155" i="1"/>
  <c r="AZ154" i="1"/>
  <c r="AY283" i="1"/>
  <c r="AY282" i="1"/>
  <c r="AY281" i="1"/>
  <c r="AY280" i="1"/>
  <c r="AY279" i="1"/>
  <c r="AY278" i="1"/>
  <c r="AY277" i="1"/>
  <c r="AY276" i="1"/>
  <c r="AY275" i="1"/>
  <c r="AY274" i="1"/>
  <c r="AY273" i="1"/>
  <c r="AY272" i="1"/>
  <c r="AY271" i="1"/>
  <c r="AY270" i="1"/>
  <c r="AY269" i="1"/>
  <c r="AY268" i="1"/>
  <c r="AY267" i="1"/>
  <c r="AY266" i="1"/>
  <c r="AY265" i="1"/>
  <c r="AY264" i="1"/>
  <c r="AY263" i="1"/>
  <c r="AY262" i="1"/>
  <c r="AY261" i="1"/>
  <c r="AY260" i="1"/>
  <c r="AY259" i="1"/>
  <c r="AY258" i="1"/>
  <c r="AY257" i="1"/>
  <c r="AY256" i="1"/>
  <c r="AY255" i="1"/>
  <c r="AY254" i="1"/>
  <c r="AY253" i="1"/>
  <c r="AY252" i="1"/>
  <c r="AY251" i="1"/>
  <c r="AY250" i="1"/>
  <c r="AY249" i="1"/>
  <c r="AY248" i="1"/>
  <c r="AY247" i="1"/>
  <c r="AY246" i="1"/>
  <c r="AY245" i="1"/>
  <c r="AY244" i="1"/>
  <c r="AY243" i="1"/>
  <c r="AY242" i="1"/>
  <c r="AY241" i="1"/>
  <c r="AY240" i="1"/>
  <c r="AY239" i="1"/>
  <c r="AY238" i="1"/>
  <c r="AY237" i="1"/>
  <c r="AY236" i="1"/>
  <c r="AY235" i="1"/>
  <c r="AY234" i="1"/>
  <c r="AY233" i="1"/>
  <c r="AY232" i="1"/>
  <c r="AY231" i="1"/>
  <c r="AY230" i="1"/>
  <c r="AY229" i="1"/>
  <c r="AY228" i="1"/>
  <c r="AY227" i="1"/>
  <c r="AY226" i="1"/>
  <c r="AY225" i="1"/>
  <c r="AY224" i="1"/>
  <c r="AY223" i="1"/>
  <c r="AY222" i="1"/>
  <c r="AY221" i="1"/>
  <c r="AY220" i="1"/>
  <c r="AY219" i="1"/>
  <c r="AY218" i="1"/>
  <c r="AY217" i="1"/>
  <c r="AY216" i="1"/>
  <c r="AY215" i="1"/>
  <c r="AY214" i="1"/>
  <c r="AY213" i="1"/>
  <c r="AY212" i="1"/>
  <c r="AY211" i="1"/>
  <c r="AY210" i="1"/>
  <c r="AY209" i="1"/>
  <c r="AY208" i="1"/>
  <c r="AY207" i="1"/>
  <c r="AY206" i="1"/>
  <c r="AY205" i="1"/>
  <c r="AY204" i="1"/>
  <c r="AY203" i="1"/>
  <c r="AY202" i="1"/>
  <c r="AY201" i="1"/>
  <c r="AY200" i="1"/>
  <c r="AY199" i="1"/>
  <c r="AY198" i="1"/>
  <c r="AY197" i="1"/>
  <c r="AY196" i="1"/>
  <c r="AY195" i="1"/>
  <c r="AY194" i="1"/>
  <c r="AY193" i="1"/>
  <c r="AY192" i="1"/>
  <c r="AY191" i="1"/>
  <c r="AY190" i="1"/>
  <c r="AY189" i="1"/>
  <c r="AY188" i="1"/>
  <c r="AY187" i="1"/>
  <c r="AY186" i="1"/>
  <c r="AY185" i="1"/>
  <c r="AY184" i="1"/>
  <c r="AY183" i="1"/>
  <c r="AY182" i="1"/>
  <c r="AY181" i="1"/>
  <c r="AY180" i="1"/>
  <c r="AY179" i="1"/>
  <c r="AY178" i="1"/>
  <c r="AY177" i="1"/>
  <c r="AY176" i="1"/>
  <c r="AY175" i="1"/>
  <c r="AY174" i="1"/>
  <c r="AY173" i="1"/>
  <c r="AY172" i="1"/>
  <c r="AY171" i="1"/>
  <c r="AY170" i="1"/>
  <c r="AY169" i="1"/>
  <c r="AY168" i="1"/>
  <c r="AY167" i="1"/>
  <c r="AY166" i="1"/>
  <c r="AY165" i="1"/>
  <c r="AY164" i="1"/>
  <c r="AY163" i="1"/>
  <c r="AY162" i="1"/>
  <c r="AY161" i="1"/>
  <c r="AY160" i="1"/>
  <c r="AY159" i="1"/>
  <c r="AY158" i="1"/>
  <c r="AY157" i="1"/>
  <c r="AY156" i="1"/>
  <c r="AY155" i="1"/>
  <c r="AY154" i="1"/>
  <c r="AX283" i="1"/>
  <c r="AX282" i="1"/>
  <c r="AX281" i="1"/>
  <c r="AX280" i="1"/>
  <c r="AX279" i="1"/>
  <c r="AX278" i="1"/>
  <c r="AX277" i="1"/>
  <c r="AX276" i="1"/>
  <c r="AX275" i="1"/>
  <c r="AX274" i="1"/>
  <c r="AX273" i="1"/>
  <c r="AX272" i="1"/>
  <c r="AX271" i="1"/>
  <c r="AX270" i="1"/>
  <c r="AX269" i="1"/>
  <c r="AX268" i="1"/>
  <c r="AX267" i="1"/>
  <c r="AX266" i="1"/>
  <c r="AX265" i="1"/>
  <c r="AX264" i="1"/>
  <c r="AX263" i="1"/>
  <c r="AX262" i="1"/>
  <c r="AX261" i="1"/>
  <c r="AX260" i="1"/>
  <c r="AX259" i="1"/>
  <c r="AX258" i="1"/>
  <c r="AX257" i="1"/>
  <c r="AX256" i="1"/>
  <c r="AX255" i="1"/>
  <c r="AX254" i="1"/>
  <c r="AX253" i="1"/>
  <c r="AX252" i="1"/>
  <c r="AX251" i="1"/>
  <c r="AX250" i="1"/>
  <c r="AX249" i="1"/>
  <c r="AX248" i="1"/>
  <c r="AX247" i="1"/>
  <c r="AX246" i="1"/>
  <c r="AX245" i="1"/>
  <c r="AX244" i="1"/>
  <c r="AX243" i="1"/>
  <c r="AX242" i="1"/>
  <c r="AX241" i="1"/>
  <c r="AX240" i="1"/>
  <c r="AX239" i="1"/>
  <c r="AX238" i="1"/>
  <c r="AX237" i="1"/>
  <c r="AX236" i="1"/>
  <c r="AX235" i="1"/>
  <c r="AX234" i="1"/>
  <c r="AX233" i="1"/>
  <c r="AX232" i="1"/>
  <c r="AX231" i="1"/>
  <c r="AX230" i="1"/>
  <c r="AX229" i="1"/>
  <c r="AX228" i="1"/>
  <c r="AX227" i="1"/>
  <c r="AX226" i="1"/>
  <c r="AX225" i="1"/>
  <c r="AX224" i="1"/>
  <c r="AX223" i="1"/>
  <c r="AX222" i="1"/>
  <c r="AX221" i="1"/>
  <c r="AX220" i="1"/>
  <c r="AX219" i="1"/>
  <c r="AX218" i="1"/>
  <c r="AX217" i="1"/>
  <c r="AX216" i="1"/>
  <c r="AX215" i="1"/>
  <c r="AX214" i="1"/>
  <c r="AX213" i="1"/>
  <c r="AX212" i="1"/>
  <c r="AX211" i="1"/>
  <c r="AX210" i="1"/>
  <c r="AX209" i="1"/>
  <c r="AX208" i="1"/>
  <c r="AX207" i="1"/>
  <c r="AX206" i="1"/>
  <c r="AX205" i="1"/>
  <c r="AX204" i="1"/>
  <c r="AX203" i="1"/>
  <c r="AX202" i="1"/>
  <c r="AX201" i="1"/>
  <c r="AX200" i="1"/>
  <c r="AX199" i="1"/>
  <c r="AX198" i="1"/>
  <c r="AX197" i="1"/>
  <c r="AX196" i="1"/>
  <c r="AX195" i="1"/>
  <c r="AX194" i="1"/>
  <c r="AX193" i="1"/>
  <c r="AX192" i="1"/>
  <c r="AX191" i="1"/>
  <c r="AX190" i="1"/>
  <c r="AX189" i="1"/>
  <c r="AX188" i="1"/>
  <c r="AX187" i="1"/>
  <c r="AX186" i="1"/>
  <c r="AX185" i="1"/>
  <c r="AX184" i="1"/>
  <c r="AX183" i="1"/>
  <c r="AX182" i="1"/>
  <c r="AX181" i="1"/>
  <c r="AX180" i="1"/>
  <c r="AX179" i="1"/>
  <c r="AX178" i="1"/>
  <c r="AX177" i="1"/>
  <c r="AX176" i="1"/>
  <c r="AX175" i="1"/>
  <c r="AX174" i="1"/>
  <c r="AX173" i="1"/>
  <c r="AX172" i="1"/>
  <c r="AX171" i="1"/>
  <c r="AX170" i="1"/>
  <c r="AX169" i="1"/>
  <c r="AX168" i="1"/>
  <c r="AX167" i="1"/>
  <c r="AX166" i="1"/>
  <c r="AX165" i="1"/>
  <c r="AX164" i="1"/>
  <c r="AX163" i="1"/>
  <c r="AX162" i="1"/>
  <c r="AX161" i="1"/>
  <c r="AX160" i="1"/>
  <c r="AX159" i="1"/>
  <c r="AX158" i="1"/>
  <c r="AX157" i="1"/>
  <c r="AX156" i="1"/>
  <c r="AX155" i="1"/>
  <c r="AX154" i="1"/>
  <c r="AW283" i="1"/>
  <c r="AW282" i="1"/>
  <c r="AW281" i="1"/>
  <c r="AW280" i="1"/>
  <c r="AW279" i="1"/>
  <c r="AW278" i="1"/>
  <c r="AW277" i="1"/>
  <c r="AW276" i="1"/>
  <c r="AW275" i="1"/>
  <c r="AW274" i="1"/>
  <c r="AW273" i="1"/>
  <c r="AW272" i="1"/>
  <c r="AW271" i="1"/>
  <c r="AW270" i="1"/>
  <c r="AW269" i="1"/>
  <c r="AW268" i="1"/>
  <c r="AW267" i="1"/>
  <c r="AW266" i="1"/>
  <c r="AW265" i="1"/>
  <c r="AW264" i="1"/>
  <c r="AW263" i="1"/>
  <c r="AW262" i="1"/>
  <c r="AW261" i="1"/>
  <c r="AW260" i="1"/>
  <c r="AW259" i="1"/>
  <c r="AW258" i="1"/>
  <c r="AW257" i="1"/>
  <c r="AW256" i="1"/>
  <c r="AW255" i="1"/>
  <c r="AW254" i="1"/>
  <c r="AW253" i="1"/>
  <c r="AW252" i="1"/>
  <c r="AW251" i="1"/>
  <c r="AW250" i="1"/>
  <c r="AW249" i="1"/>
  <c r="AW248" i="1"/>
  <c r="AW247" i="1"/>
  <c r="AW246" i="1"/>
  <c r="AW245" i="1"/>
  <c r="AW244" i="1"/>
  <c r="AW243" i="1"/>
  <c r="AW242" i="1"/>
  <c r="AW241" i="1"/>
  <c r="AW240" i="1"/>
  <c r="AW239" i="1"/>
  <c r="AW238" i="1"/>
  <c r="AW237" i="1"/>
  <c r="AW236" i="1"/>
  <c r="AW235" i="1"/>
  <c r="AW234" i="1"/>
  <c r="AW233" i="1"/>
  <c r="AW232" i="1"/>
  <c r="AW231" i="1"/>
  <c r="AW230" i="1"/>
  <c r="AW229" i="1"/>
  <c r="AW228" i="1"/>
  <c r="AW227" i="1"/>
  <c r="AW226" i="1"/>
  <c r="AW225" i="1"/>
  <c r="AW224" i="1"/>
  <c r="AW223" i="1"/>
  <c r="AW222" i="1"/>
  <c r="AW221" i="1"/>
  <c r="AW220" i="1"/>
  <c r="AW219" i="1"/>
  <c r="AW218" i="1"/>
  <c r="AW217" i="1"/>
  <c r="AW216" i="1"/>
  <c r="AW215" i="1"/>
  <c r="AW214" i="1"/>
  <c r="AW213" i="1"/>
  <c r="AW212" i="1"/>
  <c r="AW211" i="1"/>
  <c r="AW210" i="1"/>
  <c r="AW209" i="1"/>
  <c r="AW208" i="1"/>
  <c r="AW207" i="1"/>
  <c r="AW206" i="1"/>
  <c r="AW205" i="1"/>
  <c r="AW204" i="1"/>
  <c r="AW203" i="1"/>
  <c r="AW202" i="1"/>
  <c r="AW201" i="1"/>
  <c r="AW200" i="1"/>
  <c r="AW199" i="1"/>
  <c r="AW198" i="1"/>
  <c r="AW197" i="1"/>
  <c r="AW196" i="1"/>
  <c r="AW195" i="1"/>
  <c r="AW194" i="1"/>
  <c r="AW193" i="1"/>
  <c r="AW192" i="1"/>
  <c r="AW191" i="1"/>
  <c r="AW190" i="1"/>
  <c r="AW189" i="1"/>
  <c r="AW188" i="1"/>
  <c r="AW187" i="1"/>
  <c r="AW186" i="1"/>
  <c r="AW185" i="1"/>
  <c r="AW184" i="1"/>
  <c r="AW183" i="1"/>
  <c r="AW182" i="1"/>
  <c r="AW181" i="1"/>
  <c r="AW180" i="1"/>
  <c r="AW179" i="1"/>
  <c r="AW178" i="1"/>
  <c r="AW177" i="1"/>
  <c r="AW176" i="1"/>
  <c r="AW175" i="1"/>
  <c r="AW174" i="1"/>
  <c r="AW173" i="1"/>
  <c r="AW172" i="1"/>
  <c r="AW171" i="1"/>
  <c r="AW170" i="1"/>
  <c r="AW169" i="1"/>
  <c r="AW168" i="1"/>
  <c r="AW167" i="1"/>
  <c r="AW166" i="1"/>
  <c r="AW165" i="1"/>
  <c r="AW164" i="1"/>
  <c r="AW163" i="1"/>
  <c r="AW162" i="1"/>
  <c r="AW161" i="1"/>
  <c r="AW160" i="1"/>
  <c r="AW159" i="1"/>
  <c r="AW158" i="1"/>
  <c r="AW157" i="1"/>
  <c r="AW156" i="1"/>
  <c r="AW155" i="1"/>
  <c r="AW154" i="1"/>
  <c r="AV283" i="1"/>
  <c r="AV282" i="1"/>
  <c r="AV281" i="1"/>
  <c r="AV280" i="1"/>
  <c r="AV279" i="1"/>
  <c r="AV278" i="1"/>
  <c r="AV277" i="1"/>
  <c r="AV276" i="1"/>
  <c r="AV275" i="1"/>
  <c r="AV274" i="1"/>
  <c r="AV273" i="1"/>
  <c r="AV272" i="1"/>
  <c r="AV271" i="1"/>
  <c r="AV270" i="1"/>
  <c r="AV269" i="1"/>
  <c r="AV268" i="1"/>
  <c r="AV267" i="1"/>
  <c r="AV266" i="1"/>
  <c r="AV265" i="1"/>
  <c r="AV264" i="1"/>
  <c r="AV263" i="1"/>
  <c r="AV262" i="1"/>
  <c r="AV261" i="1"/>
  <c r="AV260" i="1"/>
  <c r="AV259" i="1"/>
  <c r="AV258" i="1"/>
  <c r="AV257" i="1"/>
  <c r="AV256" i="1"/>
  <c r="AV255" i="1"/>
  <c r="AV254" i="1"/>
  <c r="AV253" i="1"/>
  <c r="AV252" i="1"/>
  <c r="AV251" i="1"/>
  <c r="AV250" i="1"/>
  <c r="AV249" i="1"/>
  <c r="AV248" i="1"/>
  <c r="AV247" i="1"/>
  <c r="AV246" i="1"/>
  <c r="AV245" i="1"/>
  <c r="AV244" i="1"/>
  <c r="AV243" i="1"/>
  <c r="AV242" i="1"/>
  <c r="AV241" i="1"/>
  <c r="AV240" i="1"/>
  <c r="AV239" i="1"/>
  <c r="AV238" i="1"/>
  <c r="AV237" i="1"/>
  <c r="AV236" i="1"/>
  <c r="AV235" i="1"/>
  <c r="AV234" i="1"/>
  <c r="AV233" i="1"/>
  <c r="AV232" i="1"/>
  <c r="AV231" i="1"/>
  <c r="AV230" i="1"/>
  <c r="AV229" i="1"/>
  <c r="AV228" i="1"/>
  <c r="AV227" i="1"/>
  <c r="AV226" i="1"/>
  <c r="AV225" i="1"/>
  <c r="AV224" i="1"/>
  <c r="AV223" i="1"/>
  <c r="AV222" i="1"/>
  <c r="AV221" i="1"/>
  <c r="AV220" i="1"/>
  <c r="AV219" i="1"/>
  <c r="AV218" i="1"/>
  <c r="AV217" i="1"/>
  <c r="AV216" i="1"/>
  <c r="AV215" i="1"/>
  <c r="AV214" i="1"/>
  <c r="AV213" i="1"/>
  <c r="AV212" i="1"/>
  <c r="AV211" i="1"/>
  <c r="AV210" i="1"/>
  <c r="AV209" i="1"/>
  <c r="AV208" i="1"/>
  <c r="AV207" i="1"/>
  <c r="AV206" i="1"/>
  <c r="AV205" i="1"/>
  <c r="AV204" i="1"/>
  <c r="AV203" i="1"/>
  <c r="AV202" i="1"/>
  <c r="AV201" i="1"/>
  <c r="AV200" i="1"/>
  <c r="AV199" i="1"/>
  <c r="AV198" i="1"/>
  <c r="AV197" i="1"/>
  <c r="AV196" i="1"/>
  <c r="AV195" i="1"/>
  <c r="AV194" i="1"/>
  <c r="AV193" i="1"/>
  <c r="AV192" i="1"/>
  <c r="AV191" i="1"/>
  <c r="AV190" i="1"/>
  <c r="AV189" i="1"/>
  <c r="AV188" i="1"/>
  <c r="AV187" i="1"/>
  <c r="AV186" i="1"/>
  <c r="AV185" i="1"/>
  <c r="AV184" i="1"/>
  <c r="AV183" i="1"/>
  <c r="AV182" i="1"/>
  <c r="AV181" i="1"/>
  <c r="AV180" i="1"/>
  <c r="AV179" i="1"/>
  <c r="AV178" i="1"/>
  <c r="AV177" i="1"/>
  <c r="AV176" i="1"/>
  <c r="AV175" i="1"/>
  <c r="AV174" i="1"/>
  <c r="AV173" i="1"/>
  <c r="AV172" i="1"/>
  <c r="AV171" i="1"/>
  <c r="AV170" i="1"/>
  <c r="AV169" i="1"/>
  <c r="AV168" i="1"/>
  <c r="AV167" i="1"/>
  <c r="AV166" i="1"/>
  <c r="AV165" i="1"/>
  <c r="AV164" i="1"/>
  <c r="AV163" i="1"/>
  <c r="AV162" i="1"/>
  <c r="AV161" i="1"/>
  <c r="AV160" i="1"/>
  <c r="AV159" i="1"/>
  <c r="AV158" i="1"/>
  <c r="AV157" i="1"/>
  <c r="AV156" i="1"/>
  <c r="AV155" i="1"/>
  <c r="AV154" i="1"/>
  <c r="AU283" i="1"/>
  <c r="AU282" i="1"/>
  <c r="AU281" i="1"/>
  <c r="AU280" i="1"/>
  <c r="AU279" i="1"/>
  <c r="AU278" i="1"/>
  <c r="AU277" i="1"/>
  <c r="AU276" i="1"/>
  <c r="AU275" i="1"/>
  <c r="AU274" i="1"/>
  <c r="AU273" i="1"/>
  <c r="AU272" i="1"/>
  <c r="AU271" i="1"/>
  <c r="AU270" i="1"/>
  <c r="AU269" i="1"/>
  <c r="AU268" i="1"/>
  <c r="AU267" i="1"/>
  <c r="AU266" i="1"/>
  <c r="AU265" i="1"/>
  <c r="AU264" i="1"/>
  <c r="AU263" i="1"/>
  <c r="AU262" i="1"/>
  <c r="AU261" i="1"/>
  <c r="AU260" i="1"/>
  <c r="AU259" i="1"/>
  <c r="AU258" i="1"/>
  <c r="AU257" i="1"/>
  <c r="AU256" i="1"/>
  <c r="AU255" i="1"/>
  <c r="AU254" i="1"/>
  <c r="AU253" i="1"/>
  <c r="AU252" i="1"/>
  <c r="AU251" i="1"/>
  <c r="AU250" i="1"/>
  <c r="AU249" i="1"/>
  <c r="AU248" i="1"/>
  <c r="AU247" i="1"/>
  <c r="AU246" i="1"/>
  <c r="AU245" i="1"/>
  <c r="AU244" i="1"/>
  <c r="AU243" i="1"/>
  <c r="AU242" i="1"/>
  <c r="AU241" i="1"/>
  <c r="AU240" i="1"/>
  <c r="AU239" i="1"/>
  <c r="AU238" i="1"/>
  <c r="AU237" i="1"/>
  <c r="AU236" i="1"/>
  <c r="AU235" i="1"/>
  <c r="AU234" i="1"/>
  <c r="AU233" i="1"/>
  <c r="AU232" i="1"/>
  <c r="AU231" i="1"/>
  <c r="AU230" i="1"/>
  <c r="AU229" i="1"/>
  <c r="AU228" i="1"/>
  <c r="AU227" i="1"/>
  <c r="AU226" i="1"/>
  <c r="AU225" i="1"/>
  <c r="AU224" i="1"/>
  <c r="AU223" i="1"/>
  <c r="AU222" i="1"/>
  <c r="AU221" i="1"/>
  <c r="AU220" i="1"/>
  <c r="AU219" i="1"/>
  <c r="AU218" i="1"/>
  <c r="AU217" i="1"/>
  <c r="AU216" i="1"/>
  <c r="AU215" i="1"/>
  <c r="AU214" i="1"/>
  <c r="AU213" i="1"/>
  <c r="AU212" i="1"/>
  <c r="AU211" i="1"/>
  <c r="AU210" i="1"/>
  <c r="AU209" i="1"/>
  <c r="AU208" i="1"/>
  <c r="AU207" i="1"/>
  <c r="AU206" i="1"/>
  <c r="AU205" i="1"/>
  <c r="AU204" i="1"/>
  <c r="AU203" i="1"/>
  <c r="AU202" i="1"/>
  <c r="AU201" i="1"/>
  <c r="AU200" i="1"/>
  <c r="AU199" i="1"/>
  <c r="AU198" i="1"/>
  <c r="AU197" i="1"/>
  <c r="AU196" i="1"/>
  <c r="AU195" i="1"/>
  <c r="AU194" i="1"/>
  <c r="AU193" i="1"/>
  <c r="AU192" i="1"/>
  <c r="AU191" i="1"/>
  <c r="AU190" i="1"/>
  <c r="AU189" i="1"/>
  <c r="AU186" i="1"/>
  <c r="AU185" i="1"/>
  <c r="AU184" i="1"/>
  <c r="AU183" i="1"/>
  <c r="AU179" i="1"/>
  <c r="AU178" i="1"/>
  <c r="AU177" i="1"/>
  <c r="AU176" i="1"/>
  <c r="AU175" i="1"/>
  <c r="AU174" i="1"/>
  <c r="AU173" i="1"/>
  <c r="AU172" i="1"/>
  <c r="AU168" i="1"/>
  <c r="AU167" i="1"/>
  <c r="AU166" i="1"/>
  <c r="AU165" i="1"/>
  <c r="AU164" i="1"/>
  <c r="AU163" i="1"/>
  <c r="AU162" i="1"/>
  <c r="AU161" i="1"/>
  <c r="AU160" i="1"/>
  <c r="AU159" i="1"/>
  <c r="AU158" i="1"/>
  <c r="AU157" i="1"/>
  <c r="AU156" i="1"/>
  <c r="AU155" i="1"/>
  <c r="AU154" i="1"/>
  <c r="AT283" i="1"/>
  <c r="AT282" i="1"/>
  <c r="AT281" i="1"/>
  <c r="AT280" i="1"/>
  <c r="AT279" i="1"/>
  <c r="AT278" i="1"/>
  <c r="AT277" i="1"/>
  <c r="AT276" i="1"/>
  <c r="AT275" i="1"/>
  <c r="AT274" i="1"/>
  <c r="AT273" i="1"/>
  <c r="AT272" i="1"/>
  <c r="AT271" i="1"/>
  <c r="AT270" i="1"/>
  <c r="AT269" i="1"/>
  <c r="AT268" i="1"/>
  <c r="AT267" i="1"/>
  <c r="AT266" i="1"/>
  <c r="AT265" i="1"/>
  <c r="AT264" i="1"/>
  <c r="AT263" i="1"/>
  <c r="AT262" i="1"/>
  <c r="AT261" i="1"/>
  <c r="AT260" i="1"/>
  <c r="AT259" i="1"/>
  <c r="AT258" i="1"/>
  <c r="AT257" i="1"/>
  <c r="AT256" i="1"/>
  <c r="AT255" i="1"/>
  <c r="AT254" i="1"/>
  <c r="AT253" i="1"/>
  <c r="AT252" i="1"/>
  <c r="AT251" i="1"/>
  <c r="AT250" i="1"/>
  <c r="AT249" i="1"/>
  <c r="AT248" i="1"/>
  <c r="AT247" i="1"/>
  <c r="AT246" i="1"/>
  <c r="AT245" i="1"/>
  <c r="AT244" i="1"/>
  <c r="AT243" i="1"/>
  <c r="AT242" i="1"/>
  <c r="AT241" i="1"/>
  <c r="AT240" i="1"/>
  <c r="AT239" i="1"/>
  <c r="AT238" i="1"/>
  <c r="AT237" i="1"/>
  <c r="AT236" i="1"/>
  <c r="AT235" i="1"/>
  <c r="AT234" i="1"/>
  <c r="AT233" i="1"/>
  <c r="AT232" i="1"/>
  <c r="AT231" i="1"/>
  <c r="AT230" i="1"/>
  <c r="AT229" i="1"/>
  <c r="AT228" i="1"/>
  <c r="AT227" i="1"/>
  <c r="AT226" i="1"/>
  <c r="AT225" i="1"/>
  <c r="AT224" i="1"/>
  <c r="AT223" i="1"/>
  <c r="AT222" i="1"/>
  <c r="AT221" i="1"/>
  <c r="AT220" i="1"/>
  <c r="AT219" i="1"/>
  <c r="AT218" i="1"/>
  <c r="AT217" i="1"/>
  <c r="AT216" i="1"/>
  <c r="AT215" i="1"/>
  <c r="AT214" i="1"/>
  <c r="AT213" i="1"/>
  <c r="AT212" i="1"/>
  <c r="AT211" i="1"/>
  <c r="AT210" i="1"/>
  <c r="AT209" i="1"/>
  <c r="AT208" i="1"/>
  <c r="AT207" i="1"/>
  <c r="AT206" i="1"/>
  <c r="AT205" i="1"/>
  <c r="AT204" i="1"/>
  <c r="AT203" i="1"/>
  <c r="AT202" i="1"/>
  <c r="AT201" i="1"/>
  <c r="AT200" i="1"/>
  <c r="AT199" i="1"/>
  <c r="AT198" i="1"/>
  <c r="AT197" i="1"/>
  <c r="AT196" i="1"/>
  <c r="AT195" i="1"/>
  <c r="AT194" i="1"/>
  <c r="AT193" i="1"/>
  <c r="AT192" i="1"/>
  <c r="AT191" i="1"/>
  <c r="AT190" i="1"/>
  <c r="AT189" i="1"/>
  <c r="AT188" i="1"/>
  <c r="AT187" i="1"/>
  <c r="AT186" i="1"/>
  <c r="AT185" i="1"/>
  <c r="AT184" i="1"/>
  <c r="AT183" i="1"/>
  <c r="AT182" i="1"/>
  <c r="AT181" i="1"/>
  <c r="AT180" i="1"/>
  <c r="AT179" i="1"/>
  <c r="AT178" i="1"/>
  <c r="AT177" i="1"/>
  <c r="AT176" i="1"/>
  <c r="AT175" i="1"/>
  <c r="AT174" i="1"/>
  <c r="AT173" i="1"/>
  <c r="AT172" i="1"/>
  <c r="AT171" i="1"/>
  <c r="AT170" i="1"/>
  <c r="AT169" i="1"/>
  <c r="AT168" i="1"/>
  <c r="AT167" i="1"/>
  <c r="AT166" i="1"/>
  <c r="AT165" i="1"/>
  <c r="AT164" i="1"/>
  <c r="AT163" i="1"/>
  <c r="AT162" i="1"/>
  <c r="AT161" i="1"/>
  <c r="AT160" i="1"/>
  <c r="AT159" i="1"/>
  <c r="AT158" i="1"/>
  <c r="AT157" i="1"/>
  <c r="AT156" i="1"/>
  <c r="AT155" i="1"/>
  <c r="AT154" i="1"/>
  <c r="AS283" i="1"/>
  <c r="AS282" i="1"/>
  <c r="AS281" i="1"/>
  <c r="AS280" i="1"/>
  <c r="AS279" i="1"/>
  <c r="AS278" i="1"/>
  <c r="AS277" i="1"/>
  <c r="AS276" i="1"/>
  <c r="AS275" i="1"/>
  <c r="AS274" i="1"/>
  <c r="AS273" i="1"/>
  <c r="AS272" i="1"/>
  <c r="AS271" i="1"/>
  <c r="AS270" i="1"/>
  <c r="AS269" i="1"/>
  <c r="AS268" i="1"/>
  <c r="AS267" i="1"/>
  <c r="AS266" i="1"/>
  <c r="AS265" i="1"/>
  <c r="AS264" i="1"/>
  <c r="AS263" i="1"/>
  <c r="AS262" i="1"/>
  <c r="AS261" i="1"/>
  <c r="AS260" i="1"/>
  <c r="AS259" i="1"/>
  <c r="AS258" i="1"/>
  <c r="AS257" i="1"/>
  <c r="AS256" i="1"/>
  <c r="AS255" i="1"/>
  <c r="AS254" i="1"/>
  <c r="AS253" i="1"/>
  <c r="AS252" i="1"/>
  <c r="AS251" i="1"/>
  <c r="AS250" i="1"/>
  <c r="AS249" i="1"/>
  <c r="AS248" i="1"/>
  <c r="AS247" i="1"/>
  <c r="AS246" i="1"/>
  <c r="AS245" i="1"/>
  <c r="AS244" i="1"/>
  <c r="AS243" i="1"/>
  <c r="AS242" i="1"/>
  <c r="AS241" i="1"/>
  <c r="AS240" i="1"/>
  <c r="AS239" i="1"/>
  <c r="AS238" i="1"/>
  <c r="AS237" i="1"/>
  <c r="AS236" i="1"/>
  <c r="AS235" i="1"/>
  <c r="AS234" i="1"/>
  <c r="AS233" i="1"/>
  <c r="AS232" i="1"/>
  <c r="AS231" i="1"/>
  <c r="AS230" i="1"/>
  <c r="AS229" i="1"/>
  <c r="AS228" i="1"/>
  <c r="AS227" i="1"/>
  <c r="AS226" i="1"/>
  <c r="AS225" i="1"/>
  <c r="AS224" i="1"/>
  <c r="AS223" i="1"/>
  <c r="AS222" i="1"/>
  <c r="AS221" i="1"/>
  <c r="AS220" i="1"/>
  <c r="AS219" i="1"/>
  <c r="AS218" i="1"/>
  <c r="AS217" i="1"/>
  <c r="AS216" i="1"/>
  <c r="AS215" i="1"/>
  <c r="AS214" i="1"/>
  <c r="AS213" i="1"/>
  <c r="AS212" i="1"/>
  <c r="AS211" i="1"/>
  <c r="AS210" i="1"/>
  <c r="AS209" i="1"/>
  <c r="AS208" i="1"/>
  <c r="AS207" i="1"/>
  <c r="AS206" i="1"/>
  <c r="AS205" i="1"/>
  <c r="AS204" i="1"/>
  <c r="AS203" i="1"/>
  <c r="AS202" i="1"/>
  <c r="AS201" i="1"/>
  <c r="AS200" i="1"/>
  <c r="AS199" i="1"/>
  <c r="AS198" i="1"/>
  <c r="AS197" i="1"/>
  <c r="AS196" i="1"/>
  <c r="AS195" i="1"/>
  <c r="AS194" i="1"/>
  <c r="AS193" i="1"/>
  <c r="AS192" i="1"/>
  <c r="AS191" i="1"/>
  <c r="AS190" i="1"/>
  <c r="AS189" i="1"/>
  <c r="AS188" i="1"/>
  <c r="AS187" i="1"/>
  <c r="AS186" i="1"/>
  <c r="AS185" i="1"/>
  <c r="AS184" i="1"/>
  <c r="AS183" i="1"/>
  <c r="AS182" i="1"/>
  <c r="AS181" i="1"/>
  <c r="AS180" i="1"/>
  <c r="AS179" i="1"/>
  <c r="AS178" i="1"/>
  <c r="AS177" i="1"/>
  <c r="AS176" i="1"/>
  <c r="AS175" i="1"/>
  <c r="AS174" i="1"/>
  <c r="AS173" i="1"/>
  <c r="AS172" i="1"/>
  <c r="AS171" i="1"/>
  <c r="AS170" i="1"/>
  <c r="AS169" i="1"/>
  <c r="AS168" i="1"/>
  <c r="AS167" i="1"/>
  <c r="AS166" i="1"/>
  <c r="AS165" i="1"/>
  <c r="AS164" i="1"/>
  <c r="AS163" i="1"/>
  <c r="AS162" i="1"/>
  <c r="AS161" i="1"/>
  <c r="AS160" i="1"/>
  <c r="AS159" i="1"/>
  <c r="AS158" i="1"/>
  <c r="AS157" i="1"/>
  <c r="AS156" i="1"/>
  <c r="AS155" i="1"/>
  <c r="AS154" i="1"/>
  <c r="AR283" i="1"/>
  <c r="AR282" i="1"/>
  <c r="AR281" i="1"/>
  <c r="AR280" i="1"/>
  <c r="AR279" i="1"/>
  <c r="AR278" i="1"/>
  <c r="AR277" i="1"/>
  <c r="AR276" i="1"/>
  <c r="AR275" i="1"/>
  <c r="AR274" i="1"/>
  <c r="AR273" i="1"/>
  <c r="AR272" i="1"/>
  <c r="AR271" i="1"/>
  <c r="AR270" i="1"/>
  <c r="AR269" i="1"/>
  <c r="AR268" i="1"/>
  <c r="AR267" i="1"/>
  <c r="AR266" i="1"/>
  <c r="AR265" i="1"/>
  <c r="AR264" i="1"/>
  <c r="AR263" i="1"/>
  <c r="AR262" i="1"/>
  <c r="AR261" i="1"/>
  <c r="AR260" i="1"/>
  <c r="AR259" i="1"/>
  <c r="AR258" i="1"/>
  <c r="AR257" i="1"/>
  <c r="AR256" i="1"/>
  <c r="AR255" i="1"/>
  <c r="AR254" i="1"/>
  <c r="AR253" i="1"/>
  <c r="AR252" i="1"/>
  <c r="AR251" i="1"/>
  <c r="AR250" i="1"/>
  <c r="AR249" i="1"/>
  <c r="AR248" i="1"/>
  <c r="AR247" i="1"/>
  <c r="AR246" i="1"/>
  <c r="AR245" i="1"/>
  <c r="AR244" i="1"/>
  <c r="AR243" i="1"/>
  <c r="AR242" i="1"/>
  <c r="AR241" i="1"/>
  <c r="AR240" i="1"/>
  <c r="AR239" i="1"/>
  <c r="AR238" i="1"/>
  <c r="AR237" i="1"/>
  <c r="AR236" i="1"/>
  <c r="AR235" i="1"/>
  <c r="AR234" i="1"/>
  <c r="AR233" i="1"/>
  <c r="AR232" i="1"/>
  <c r="AR231" i="1"/>
  <c r="AR230" i="1"/>
  <c r="AR229" i="1"/>
  <c r="AR228" i="1"/>
  <c r="AR227" i="1"/>
  <c r="AR226" i="1"/>
  <c r="AR225" i="1"/>
  <c r="AR224" i="1"/>
  <c r="AR223" i="1"/>
  <c r="AR222" i="1"/>
  <c r="AR221" i="1"/>
  <c r="AR220" i="1"/>
  <c r="AR219" i="1"/>
  <c r="AR218" i="1"/>
  <c r="AR217" i="1"/>
  <c r="AR216" i="1"/>
  <c r="AR215" i="1"/>
  <c r="AR214" i="1"/>
  <c r="AR213" i="1"/>
  <c r="AR212" i="1"/>
  <c r="AR211" i="1"/>
  <c r="AR210" i="1"/>
  <c r="AR209" i="1"/>
  <c r="AR208" i="1"/>
  <c r="AR207" i="1"/>
  <c r="AR206" i="1"/>
  <c r="AR205" i="1"/>
  <c r="AR204" i="1"/>
  <c r="AR203" i="1"/>
  <c r="AR202" i="1"/>
  <c r="AR201" i="1"/>
  <c r="AR200" i="1"/>
  <c r="AR199" i="1"/>
  <c r="AR198" i="1"/>
  <c r="AR197" i="1"/>
  <c r="AR196" i="1"/>
  <c r="AR195" i="1"/>
  <c r="AR194" i="1"/>
  <c r="AR193" i="1"/>
  <c r="AR192" i="1"/>
  <c r="AR191" i="1"/>
  <c r="AR190" i="1"/>
  <c r="AR189" i="1"/>
  <c r="AR188" i="1"/>
  <c r="AR187" i="1"/>
  <c r="AR186" i="1"/>
  <c r="AR185" i="1"/>
  <c r="AR184" i="1"/>
  <c r="AR183" i="1"/>
  <c r="AR182" i="1"/>
  <c r="AR181" i="1"/>
  <c r="AR180" i="1"/>
  <c r="AR179" i="1"/>
  <c r="AR178" i="1"/>
  <c r="AR177" i="1"/>
  <c r="AR176" i="1"/>
  <c r="AR175" i="1"/>
  <c r="AR174" i="1"/>
  <c r="AR173" i="1"/>
  <c r="AR172" i="1"/>
  <c r="AR171" i="1"/>
  <c r="AR170" i="1"/>
  <c r="AR168" i="1"/>
  <c r="AR167" i="1"/>
  <c r="AR166" i="1"/>
  <c r="AR165" i="1"/>
  <c r="AR164" i="1"/>
  <c r="AR163" i="1"/>
  <c r="AR162" i="1"/>
  <c r="AR161" i="1"/>
  <c r="AR160" i="1"/>
  <c r="AR159" i="1"/>
  <c r="AR158" i="1"/>
  <c r="AR157" i="1"/>
  <c r="AR156" i="1"/>
  <c r="AR155" i="1"/>
  <c r="AR154" i="1"/>
  <c r="AQ283" i="1"/>
  <c r="AQ282" i="1"/>
  <c r="AQ281" i="1"/>
  <c r="AQ280" i="1"/>
  <c r="AQ279" i="1"/>
  <c r="AQ278" i="1"/>
  <c r="AQ277" i="1"/>
  <c r="AQ276" i="1"/>
  <c r="AQ275" i="1"/>
  <c r="AQ274" i="1"/>
  <c r="AQ273" i="1"/>
  <c r="AQ272" i="1"/>
  <c r="AQ271" i="1"/>
  <c r="AQ270" i="1"/>
  <c r="AQ269" i="1"/>
  <c r="AQ268" i="1"/>
  <c r="AQ267" i="1"/>
  <c r="AQ266" i="1"/>
  <c r="AQ265" i="1"/>
  <c r="AQ264" i="1"/>
  <c r="AQ263" i="1"/>
  <c r="AQ262" i="1"/>
  <c r="AQ261" i="1"/>
  <c r="AQ260" i="1"/>
  <c r="AQ259" i="1"/>
  <c r="AQ258" i="1"/>
  <c r="AQ257" i="1"/>
  <c r="AQ256" i="1"/>
  <c r="AQ255" i="1"/>
  <c r="AQ254" i="1"/>
  <c r="AQ253" i="1"/>
  <c r="AQ252" i="1"/>
  <c r="AQ251" i="1"/>
  <c r="AQ250" i="1"/>
  <c r="AQ249" i="1"/>
  <c r="AQ248" i="1"/>
  <c r="AQ247" i="1"/>
  <c r="AQ246" i="1"/>
  <c r="AQ245" i="1"/>
  <c r="AQ244" i="1"/>
  <c r="AQ243" i="1"/>
  <c r="AQ242" i="1"/>
  <c r="AQ241" i="1"/>
  <c r="AQ240" i="1"/>
  <c r="AQ239" i="1"/>
  <c r="AQ238" i="1"/>
  <c r="AQ237" i="1"/>
  <c r="AQ236" i="1"/>
  <c r="AQ235" i="1"/>
  <c r="AQ234" i="1"/>
  <c r="AQ233" i="1"/>
  <c r="AQ232" i="1"/>
  <c r="AQ231" i="1"/>
  <c r="AQ230" i="1"/>
  <c r="AQ229" i="1"/>
  <c r="AQ228" i="1"/>
  <c r="AQ227" i="1"/>
  <c r="AQ226" i="1"/>
  <c r="AQ225" i="1"/>
  <c r="AQ224" i="1"/>
  <c r="AQ223" i="1"/>
  <c r="AQ222" i="1"/>
  <c r="AQ221" i="1"/>
  <c r="AQ220" i="1"/>
  <c r="AQ219" i="1"/>
  <c r="AQ218" i="1"/>
  <c r="AQ217" i="1"/>
  <c r="AQ216" i="1"/>
  <c r="AQ215" i="1"/>
  <c r="AQ214" i="1"/>
  <c r="AQ213" i="1"/>
  <c r="AQ212" i="1"/>
  <c r="AQ211" i="1"/>
  <c r="AQ210" i="1"/>
  <c r="AQ209" i="1"/>
  <c r="AQ208" i="1"/>
  <c r="AQ207" i="1"/>
  <c r="AQ206" i="1"/>
  <c r="AQ205" i="1"/>
  <c r="AQ204" i="1"/>
  <c r="AQ203" i="1"/>
  <c r="AQ202" i="1"/>
  <c r="AQ201" i="1"/>
  <c r="AQ200" i="1"/>
  <c r="AQ199" i="1"/>
  <c r="AQ198" i="1"/>
  <c r="AQ197" i="1"/>
  <c r="AQ196" i="1"/>
  <c r="AQ195" i="1"/>
  <c r="AQ194" i="1"/>
  <c r="AQ193" i="1"/>
  <c r="AQ192" i="1"/>
  <c r="AQ191" i="1"/>
  <c r="AQ190" i="1"/>
  <c r="AQ189" i="1"/>
  <c r="AQ188" i="1"/>
  <c r="AQ187" i="1"/>
  <c r="AQ186" i="1"/>
  <c r="AQ185" i="1"/>
  <c r="AQ184" i="1"/>
  <c r="AQ183" i="1"/>
  <c r="AQ182" i="1"/>
  <c r="AQ181" i="1"/>
  <c r="AQ180" i="1"/>
  <c r="AQ179" i="1"/>
  <c r="AQ178" i="1"/>
  <c r="AQ177" i="1"/>
  <c r="AQ176" i="1"/>
  <c r="AQ175" i="1"/>
  <c r="AQ174" i="1"/>
  <c r="AQ173" i="1"/>
  <c r="AQ172" i="1"/>
  <c r="AQ171" i="1"/>
  <c r="AQ170" i="1"/>
  <c r="AQ169" i="1"/>
  <c r="AQ168" i="1"/>
  <c r="AQ167" i="1"/>
  <c r="AQ166" i="1"/>
  <c r="AQ165" i="1"/>
  <c r="AQ164" i="1"/>
  <c r="AQ163" i="1"/>
  <c r="AQ162" i="1"/>
  <c r="AQ161" i="1"/>
  <c r="AQ160" i="1"/>
  <c r="AQ159" i="1"/>
  <c r="AQ158" i="1"/>
  <c r="AQ157" i="1"/>
  <c r="AQ156" i="1"/>
  <c r="AQ155" i="1"/>
  <c r="AQ154" i="1"/>
  <c r="AP283" i="1"/>
  <c r="AP282" i="1"/>
  <c r="AP281" i="1"/>
  <c r="AP280" i="1"/>
  <c r="AP279" i="1"/>
  <c r="AP278" i="1"/>
  <c r="AP277" i="1"/>
  <c r="AP276" i="1"/>
  <c r="AP275" i="1"/>
  <c r="AP274" i="1"/>
  <c r="AP273" i="1"/>
  <c r="AP272" i="1"/>
  <c r="AP271" i="1"/>
  <c r="AP270" i="1"/>
  <c r="AP269" i="1"/>
  <c r="AP268" i="1"/>
  <c r="AP267" i="1"/>
  <c r="AP266" i="1"/>
  <c r="AP265" i="1"/>
  <c r="AP264" i="1"/>
  <c r="AP263" i="1"/>
  <c r="AP262" i="1"/>
  <c r="AP261" i="1"/>
  <c r="AP260" i="1"/>
  <c r="AP259" i="1"/>
  <c r="AP258" i="1"/>
  <c r="AP257" i="1"/>
  <c r="AP256" i="1"/>
  <c r="AP255" i="1"/>
  <c r="AP254" i="1"/>
  <c r="AP253" i="1"/>
  <c r="AP252" i="1"/>
  <c r="AP251" i="1"/>
  <c r="AP250" i="1"/>
  <c r="AP249" i="1"/>
  <c r="AP248" i="1"/>
  <c r="AP247" i="1"/>
  <c r="AP246" i="1"/>
  <c r="AP245" i="1"/>
  <c r="AP244" i="1"/>
  <c r="AP243" i="1"/>
  <c r="AP242" i="1"/>
  <c r="AP241" i="1"/>
  <c r="AP240" i="1"/>
  <c r="AP239" i="1"/>
  <c r="AP238" i="1"/>
  <c r="AP237" i="1"/>
  <c r="AP236" i="1"/>
  <c r="AP235" i="1"/>
  <c r="AP234" i="1"/>
  <c r="AP233" i="1"/>
  <c r="AP232" i="1"/>
  <c r="AP231" i="1"/>
  <c r="AP230" i="1"/>
  <c r="AP229" i="1"/>
  <c r="AP228" i="1"/>
  <c r="AP227" i="1"/>
  <c r="AP226" i="1"/>
  <c r="AP225" i="1"/>
  <c r="AP224" i="1"/>
  <c r="AP223" i="1"/>
  <c r="AP222" i="1"/>
  <c r="AP221" i="1"/>
  <c r="AP220" i="1"/>
  <c r="AP219" i="1"/>
  <c r="AP218" i="1"/>
  <c r="AP217" i="1"/>
  <c r="AP216" i="1"/>
  <c r="AP215" i="1"/>
  <c r="AP214" i="1"/>
  <c r="AP213" i="1"/>
  <c r="AP212" i="1"/>
  <c r="AP211" i="1"/>
  <c r="AP210" i="1"/>
  <c r="AP209" i="1"/>
  <c r="AP208" i="1"/>
  <c r="AP207" i="1"/>
  <c r="AP206" i="1"/>
  <c r="AP205" i="1"/>
  <c r="AP204" i="1"/>
  <c r="AP203" i="1"/>
  <c r="AP202" i="1"/>
  <c r="AP201" i="1"/>
  <c r="AP200" i="1"/>
  <c r="AP199" i="1"/>
  <c r="AP198" i="1"/>
  <c r="AP197" i="1"/>
  <c r="AP196" i="1"/>
  <c r="AP195" i="1"/>
  <c r="AP194" i="1"/>
  <c r="AP193" i="1"/>
  <c r="AP192" i="1"/>
  <c r="AP191" i="1"/>
  <c r="AP190" i="1"/>
  <c r="AP189" i="1"/>
  <c r="AP188" i="1"/>
  <c r="AP187" i="1"/>
  <c r="AP186" i="1"/>
  <c r="AP185" i="1"/>
  <c r="AP184" i="1"/>
  <c r="AP183" i="1"/>
  <c r="AP182" i="1"/>
  <c r="AP181" i="1"/>
  <c r="AP180" i="1"/>
  <c r="AP179" i="1"/>
  <c r="AP178" i="1"/>
  <c r="AP177" i="1"/>
  <c r="AP176" i="1"/>
  <c r="AP175" i="1"/>
  <c r="AP174" i="1"/>
  <c r="AP173" i="1"/>
  <c r="AP172" i="1"/>
  <c r="AP171" i="1"/>
  <c r="AP170" i="1"/>
  <c r="AP169" i="1"/>
  <c r="AP168" i="1"/>
  <c r="AP167" i="1"/>
  <c r="AP166" i="1"/>
  <c r="AP165" i="1"/>
  <c r="AP164" i="1"/>
  <c r="AP163" i="1"/>
  <c r="AP162" i="1"/>
  <c r="AP161" i="1"/>
  <c r="AP160" i="1"/>
  <c r="AP159" i="1"/>
  <c r="AP158" i="1"/>
  <c r="AP157" i="1"/>
  <c r="AP156" i="1"/>
  <c r="AP155" i="1"/>
  <c r="AP154" i="1"/>
  <c r="AO283" i="1"/>
  <c r="AO282" i="1"/>
  <c r="AO281" i="1"/>
  <c r="AO280" i="1"/>
  <c r="AO279" i="1"/>
  <c r="AO278" i="1"/>
  <c r="AO277" i="1"/>
  <c r="AO276" i="1"/>
  <c r="AO275" i="1"/>
  <c r="AO274" i="1"/>
  <c r="AO273" i="1"/>
  <c r="AO272" i="1"/>
  <c r="AO271" i="1"/>
  <c r="AO270" i="1"/>
  <c r="AO269" i="1"/>
  <c r="AO268" i="1"/>
  <c r="AO267" i="1"/>
  <c r="AO266" i="1"/>
  <c r="AO265" i="1"/>
  <c r="AO264" i="1"/>
  <c r="AO263" i="1"/>
  <c r="AO262" i="1"/>
  <c r="AO261" i="1"/>
  <c r="AO260" i="1"/>
  <c r="AO259" i="1"/>
  <c r="AO258" i="1"/>
  <c r="AO257" i="1"/>
  <c r="AO256" i="1"/>
  <c r="AO255" i="1"/>
  <c r="AO254" i="1"/>
  <c r="AO253" i="1"/>
  <c r="AO252" i="1"/>
  <c r="AO251" i="1"/>
  <c r="AO250" i="1"/>
  <c r="AO249" i="1"/>
  <c r="AO248" i="1"/>
  <c r="AO247" i="1"/>
  <c r="AO246" i="1"/>
  <c r="AO245" i="1"/>
  <c r="AO244" i="1"/>
  <c r="AO243" i="1"/>
  <c r="AO242" i="1"/>
  <c r="AO241" i="1"/>
  <c r="AO240" i="1"/>
  <c r="AO239" i="1"/>
  <c r="AO238" i="1"/>
  <c r="AO237" i="1"/>
  <c r="AO236" i="1"/>
  <c r="AO235" i="1"/>
  <c r="AO234" i="1"/>
  <c r="AO233" i="1"/>
  <c r="AO232" i="1"/>
  <c r="AO231" i="1"/>
  <c r="AO230" i="1"/>
  <c r="AO229" i="1"/>
  <c r="AO228" i="1"/>
  <c r="AO227" i="1"/>
  <c r="AO226" i="1"/>
  <c r="AO225" i="1"/>
  <c r="AO224" i="1"/>
  <c r="AO223" i="1"/>
  <c r="AO222" i="1"/>
  <c r="AO221" i="1"/>
  <c r="AO220" i="1"/>
  <c r="AO219" i="1"/>
  <c r="AO218" i="1"/>
  <c r="AO217" i="1"/>
  <c r="AO216" i="1"/>
  <c r="AO215" i="1"/>
  <c r="AO214" i="1"/>
  <c r="AO213" i="1"/>
  <c r="AO212" i="1"/>
  <c r="AO211" i="1"/>
  <c r="AO210" i="1"/>
  <c r="AO209" i="1"/>
  <c r="AO208" i="1"/>
  <c r="AO207" i="1"/>
  <c r="AO206" i="1"/>
  <c r="AO205" i="1"/>
  <c r="AO204" i="1"/>
  <c r="AO203" i="1"/>
  <c r="AO202" i="1"/>
  <c r="AO201" i="1"/>
  <c r="AO200" i="1"/>
  <c r="AO199" i="1"/>
  <c r="AO198" i="1"/>
  <c r="AO197" i="1"/>
  <c r="AO196" i="1"/>
  <c r="AO195" i="1"/>
  <c r="AO194" i="1"/>
  <c r="AO193" i="1"/>
  <c r="AO192" i="1"/>
  <c r="AO191" i="1"/>
  <c r="AO190" i="1"/>
  <c r="AO189" i="1"/>
  <c r="AO188" i="1"/>
  <c r="AO187" i="1"/>
  <c r="AO186" i="1"/>
  <c r="AO185" i="1"/>
  <c r="AO184" i="1"/>
  <c r="AO183" i="1"/>
  <c r="AO182" i="1"/>
  <c r="AO181" i="1"/>
  <c r="AO180" i="1"/>
  <c r="AO179" i="1"/>
  <c r="AO178" i="1"/>
  <c r="AO177" i="1"/>
  <c r="AO176" i="1"/>
  <c r="AO175" i="1"/>
  <c r="AO174" i="1"/>
  <c r="AO173" i="1"/>
  <c r="AO172" i="1"/>
  <c r="AO171" i="1"/>
  <c r="AO170" i="1"/>
  <c r="AO169" i="1"/>
  <c r="AO168" i="1"/>
  <c r="AO167" i="1"/>
  <c r="AO166" i="1"/>
  <c r="AO165" i="1"/>
  <c r="AO164" i="1"/>
  <c r="AO163" i="1"/>
  <c r="AO162" i="1"/>
  <c r="AO161" i="1"/>
  <c r="AO160" i="1"/>
  <c r="AO159" i="1"/>
  <c r="AO158" i="1"/>
  <c r="AO157" i="1"/>
  <c r="AO156" i="1"/>
  <c r="AO155" i="1"/>
  <c r="AO154" i="1"/>
  <c r="AN283" i="1"/>
  <c r="AN282" i="1"/>
  <c r="AN281" i="1"/>
  <c r="AN280" i="1"/>
  <c r="AN279" i="1"/>
  <c r="AN278" i="1"/>
  <c r="AN277" i="1"/>
  <c r="AN276" i="1"/>
  <c r="AN275" i="1"/>
  <c r="AN274" i="1"/>
  <c r="AN273" i="1"/>
  <c r="AN272" i="1"/>
  <c r="AN271" i="1"/>
  <c r="AN270" i="1"/>
  <c r="AN269" i="1"/>
  <c r="AN268" i="1"/>
  <c r="AN267" i="1"/>
  <c r="AN266" i="1"/>
  <c r="AN265" i="1"/>
  <c r="AN264" i="1"/>
  <c r="AN263" i="1"/>
  <c r="AN262" i="1"/>
  <c r="AN261" i="1"/>
  <c r="AN260" i="1"/>
  <c r="AN259" i="1"/>
  <c r="AN258" i="1"/>
  <c r="AN257" i="1"/>
  <c r="AN256" i="1"/>
  <c r="AN255" i="1"/>
  <c r="AN254" i="1"/>
  <c r="AN253" i="1"/>
  <c r="AN252" i="1"/>
  <c r="AN251" i="1"/>
  <c r="AN250" i="1"/>
  <c r="AN249" i="1"/>
  <c r="AN248" i="1"/>
  <c r="AN247" i="1"/>
  <c r="AN246" i="1"/>
  <c r="AN245" i="1"/>
  <c r="AN244" i="1"/>
  <c r="AN243" i="1"/>
  <c r="AN242" i="1"/>
  <c r="AN241" i="1"/>
  <c r="AN240" i="1"/>
  <c r="AN239" i="1"/>
  <c r="AN238" i="1"/>
  <c r="AN237" i="1"/>
  <c r="AN236" i="1"/>
  <c r="AN235" i="1"/>
  <c r="AN234" i="1"/>
  <c r="AN233" i="1"/>
  <c r="AN232" i="1"/>
  <c r="AN231" i="1"/>
  <c r="AN230" i="1"/>
  <c r="AN229" i="1"/>
  <c r="AN228" i="1"/>
  <c r="AN227" i="1"/>
  <c r="AN226" i="1"/>
  <c r="AN225" i="1"/>
  <c r="AN224" i="1"/>
  <c r="AN223" i="1"/>
  <c r="AN222" i="1"/>
  <c r="AN221" i="1"/>
  <c r="AN220" i="1"/>
  <c r="AN219" i="1"/>
  <c r="AN218" i="1"/>
  <c r="AN217" i="1"/>
  <c r="AN216" i="1"/>
  <c r="AN215" i="1"/>
  <c r="AN214" i="1"/>
  <c r="AN213" i="1"/>
  <c r="AN212" i="1"/>
  <c r="AN211" i="1"/>
  <c r="AN210" i="1"/>
  <c r="AN209" i="1"/>
  <c r="AN208" i="1"/>
  <c r="AN207" i="1"/>
  <c r="AN206" i="1"/>
  <c r="AN205" i="1"/>
  <c r="AN204" i="1"/>
  <c r="AN203" i="1"/>
  <c r="AN202" i="1"/>
  <c r="AN201" i="1"/>
  <c r="AN200" i="1"/>
  <c r="AN199" i="1"/>
  <c r="AN198" i="1"/>
  <c r="AN197" i="1"/>
  <c r="AN196" i="1"/>
  <c r="AN195" i="1"/>
  <c r="AN194" i="1"/>
  <c r="AN193" i="1"/>
  <c r="AN192" i="1"/>
  <c r="AN191" i="1"/>
  <c r="AN190" i="1"/>
  <c r="AN189" i="1"/>
  <c r="AN188" i="1"/>
  <c r="AN187" i="1"/>
  <c r="AN186" i="1"/>
  <c r="AN185" i="1"/>
  <c r="AN184" i="1"/>
  <c r="AN183" i="1"/>
  <c r="AN182" i="1"/>
  <c r="AN181" i="1"/>
  <c r="AN180" i="1"/>
  <c r="AN179" i="1"/>
  <c r="AN178" i="1"/>
  <c r="AN177" i="1"/>
  <c r="AN176" i="1"/>
  <c r="AN175" i="1"/>
  <c r="AN174" i="1"/>
  <c r="AN173" i="1"/>
  <c r="AN172" i="1"/>
  <c r="AN171" i="1"/>
  <c r="AN170" i="1"/>
  <c r="AN169" i="1"/>
  <c r="AN168" i="1"/>
  <c r="AN167" i="1"/>
  <c r="AN166" i="1"/>
  <c r="AN165" i="1"/>
  <c r="AN164" i="1"/>
  <c r="AN163" i="1"/>
  <c r="AN162" i="1"/>
  <c r="AN161" i="1"/>
  <c r="AN160" i="1"/>
  <c r="AN159" i="1"/>
  <c r="AN158" i="1"/>
  <c r="AN157" i="1"/>
  <c r="AN156" i="1"/>
  <c r="AN155" i="1"/>
  <c r="AN154" i="1"/>
  <c r="AM283" i="1"/>
  <c r="AM282" i="1"/>
  <c r="AM281" i="1"/>
  <c r="AM280" i="1"/>
  <c r="AM279" i="1"/>
  <c r="AM278" i="1"/>
  <c r="AM277" i="1"/>
  <c r="AM276" i="1"/>
  <c r="AM275" i="1"/>
  <c r="AM274" i="1"/>
  <c r="AM273" i="1"/>
  <c r="AM272" i="1"/>
  <c r="AM271" i="1"/>
  <c r="AM270" i="1"/>
  <c r="AM269" i="1"/>
  <c r="AM268" i="1"/>
  <c r="AM267" i="1"/>
  <c r="AM266" i="1"/>
  <c r="AM265" i="1"/>
  <c r="AM264" i="1"/>
  <c r="AM263" i="1"/>
  <c r="AM262" i="1"/>
  <c r="AM261" i="1"/>
  <c r="AM260" i="1"/>
  <c r="AM259" i="1"/>
  <c r="AM258" i="1"/>
  <c r="AM257" i="1"/>
  <c r="AM256" i="1"/>
  <c r="AM255" i="1"/>
  <c r="AM254" i="1"/>
  <c r="AM253" i="1"/>
  <c r="AM252" i="1"/>
  <c r="AM251" i="1"/>
  <c r="AM250" i="1"/>
  <c r="AM249" i="1"/>
  <c r="AM248" i="1"/>
  <c r="AM247" i="1"/>
  <c r="AM246" i="1"/>
  <c r="AM245" i="1"/>
  <c r="AM244" i="1"/>
  <c r="AM243" i="1"/>
  <c r="AM242" i="1"/>
  <c r="AM241" i="1"/>
  <c r="AM240" i="1"/>
  <c r="AM239" i="1"/>
  <c r="AM238" i="1"/>
  <c r="AM237" i="1"/>
  <c r="AM236" i="1"/>
  <c r="AM235" i="1"/>
  <c r="AM234" i="1"/>
  <c r="AM233" i="1"/>
  <c r="AM232" i="1"/>
  <c r="AM231" i="1"/>
  <c r="AM230" i="1"/>
  <c r="AM229" i="1"/>
  <c r="AM228" i="1"/>
  <c r="AM227" i="1"/>
  <c r="AM226" i="1"/>
  <c r="AM225" i="1"/>
  <c r="AM224" i="1"/>
  <c r="AM223" i="1"/>
  <c r="AM222" i="1"/>
  <c r="AM221" i="1"/>
  <c r="AM220" i="1"/>
  <c r="AM219" i="1"/>
  <c r="AM218" i="1"/>
  <c r="AM217" i="1"/>
  <c r="AM216" i="1"/>
  <c r="AM215" i="1"/>
  <c r="AM214" i="1"/>
  <c r="AM213" i="1"/>
  <c r="AM212" i="1"/>
  <c r="AM211" i="1"/>
  <c r="AM210" i="1"/>
  <c r="AM209" i="1"/>
  <c r="AM208" i="1"/>
  <c r="AM207" i="1"/>
  <c r="AM206" i="1"/>
  <c r="AM205" i="1"/>
  <c r="AM204" i="1"/>
  <c r="AM203" i="1"/>
  <c r="AM202" i="1"/>
  <c r="AM201" i="1"/>
  <c r="AM200" i="1"/>
  <c r="AM199" i="1"/>
  <c r="AM198" i="1"/>
  <c r="AM197" i="1"/>
  <c r="AM196" i="1"/>
  <c r="AM195" i="1"/>
  <c r="AM194" i="1"/>
  <c r="AM193" i="1"/>
  <c r="AM192" i="1"/>
  <c r="AM191" i="1"/>
  <c r="AM190" i="1"/>
  <c r="AM189" i="1"/>
  <c r="AM188" i="1"/>
  <c r="AM187" i="1"/>
  <c r="AM186" i="1"/>
  <c r="AM185" i="1"/>
  <c r="AM184" i="1"/>
  <c r="AM183" i="1"/>
  <c r="AM182" i="1"/>
  <c r="AM181" i="1"/>
  <c r="AM180" i="1"/>
  <c r="AM179" i="1"/>
  <c r="AM178" i="1"/>
  <c r="AM177" i="1"/>
  <c r="AM176" i="1"/>
  <c r="AM175" i="1"/>
  <c r="AM174" i="1"/>
  <c r="AM173" i="1"/>
  <c r="AM172" i="1"/>
  <c r="AM171" i="1"/>
  <c r="AM170" i="1"/>
  <c r="AM169" i="1"/>
  <c r="AM168" i="1"/>
  <c r="AM167" i="1"/>
  <c r="AM166" i="1"/>
  <c r="AM165" i="1"/>
  <c r="AM164" i="1"/>
  <c r="AM163" i="1"/>
  <c r="AM162" i="1"/>
  <c r="AM161" i="1"/>
  <c r="AM160" i="1"/>
  <c r="AM159" i="1"/>
  <c r="AM158" i="1"/>
  <c r="AM157" i="1"/>
  <c r="AM156" i="1"/>
  <c r="AM155" i="1"/>
  <c r="AM154" i="1"/>
  <c r="AL283" i="1"/>
  <c r="AL282" i="1"/>
  <c r="AL281" i="1"/>
  <c r="AL280" i="1"/>
  <c r="AL279" i="1"/>
  <c r="AL278" i="1"/>
  <c r="AL277" i="1"/>
  <c r="AL276" i="1"/>
  <c r="AL275" i="1"/>
  <c r="AL274" i="1"/>
  <c r="AL273" i="1"/>
  <c r="AL272" i="1"/>
  <c r="AL271" i="1"/>
  <c r="AL270" i="1"/>
  <c r="AL269" i="1"/>
  <c r="AL268" i="1"/>
  <c r="AL267" i="1"/>
  <c r="AL266" i="1"/>
  <c r="AL265" i="1"/>
  <c r="AL264" i="1"/>
  <c r="AL263" i="1"/>
  <c r="AL262" i="1"/>
  <c r="AL261" i="1"/>
  <c r="AL260" i="1"/>
  <c r="AL259" i="1"/>
  <c r="AL258" i="1"/>
  <c r="AL257" i="1"/>
  <c r="AL256" i="1"/>
  <c r="AL255" i="1"/>
  <c r="DI255" i="1" s="1"/>
  <c r="AL254" i="1"/>
  <c r="DE254" i="1" s="1"/>
  <c r="AL253" i="1"/>
  <c r="AL252" i="1"/>
  <c r="AL251" i="1"/>
  <c r="AL250" i="1"/>
  <c r="AL249" i="1"/>
  <c r="AL248" i="1"/>
  <c r="AL247" i="1"/>
  <c r="AL246" i="1"/>
  <c r="AL245" i="1"/>
  <c r="AL244" i="1"/>
  <c r="AL243" i="1"/>
  <c r="AL242" i="1"/>
  <c r="AL241" i="1"/>
  <c r="AL240" i="1"/>
  <c r="AL239" i="1"/>
  <c r="AL238" i="1"/>
  <c r="AL237" i="1"/>
  <c r="AL236" i="1"/>
  <c r="AL235" i="1"/>
  <c r="AL234" i="1"/>
  <c r="AL233" i="1"/>
  <c r="AL232" i="1"/>
  <c r="AL231" i="1"/>
  <c r="AL230" i="1"/>
  <c r="AL229" i="1"/>
  <c r="AL228" i="1"/>
  <c r="AL227" i="1"/>
  <c r="AL226" i="1"/>
  <c r="AL225" i="1"/>
  <c r="AL224" i="1"/>
  <c r="AL223" i="1"/>
  <c r="AL222" i="1"/>
  <c r="AL221" i="1"/>
  <c r="AL220" i="1"/>
  <c r="AL219" i="1"/>
  <c r="AL218" i="1"/>
  <c r="AL217" i="1"/>
  <c r="AL216" i="1"/>
  <c r="AL215" i="1"/>
  <c r="AL214" i="1"/>
  <c r="AL213" i="1"/>
  <c r="AL212" i="1"/>
  <c r="AL211" i="1"/>
  <c r="AL210" i="1"/>
  <c r="AL209" i="1"/>
  <c r="AL208" i="1"/>
  <c r="AL207" i="1"/>
  <c r="AL206" i="1"/>
  <c r="AL205" i="1"/>
  <c r="AL204" i="1"/>
  <c r="AL203" i="1"/>
  <c r="AL202" i="1"/>
  <c r="AL201" i="1"/>
  <c r="AL200" i="1"/>
  <c r="AL199" i="1"/>
  <c r="AL198" i="1"/>
  <c r="AL197" i="1"/>
  <c r="AL196" i="1"/>
  <c r="AL195" i="1"/>
  <c r="AL194" i="1"/>
  <c r="AL193" i="1"/>
  <c r="AL192" i="1"/>
  <c r="AL191" i="1"/>
  <c r="AL190" i="1"/>
  <c r="AL189" i="1"/>
  <c r="AL188" i="1"/>
  <c r="AL187" i="1"/>
  <c r="AL186" i="1"/>
  <c r="AL185" i="1"/>
  <c r="AL184" i="1"/>
  <c r="AL183" i="1"/>
  <c r="AL182" i="1"/>
  <c r="AL181" i="1"/>
  <c r="AL180" i="1"/>
  <c r="AL179" i="1"/>
  <c r="AL178" i="1"/>
  <c r="AL177" i="1"/>
  <c r="AL176" i="1"/>
  <c r="AL175" i="1"/>
  <c r="AL174" i="1"/>
  <c r="AL173" i="1"/>
  <c r="AL172" i="1"/>
  <c r="AL171" i="1"/>
  <c r="AL170" i="1"/>
  <c r="AL169" i="1"/>
  <c r="AL168" i="1"/>
  <c r="AL167" i="1"/>
  <c r="AL166" i="1"/>
  <c r="AL165" i="1"/>
  <c r="AL164" i="1"/>
  <c r="AL163" i="1"/>
  <c r="AL162" i="1"/>
  <c r="AL161" i="1"/>
  <c r="AL160" i="1"/>
  <c r="AL159" i="1"/>
  <c r="AL158" i="1"/>
  <c r="AL157" i="1"/>
  <c r="AL156" i="1"/>
  <c r="AL155" i="1"/>
  <c r="AL154" i="1"/>
  <c r="AK283" i="1"/>
  <c r="AK282" i="1"/>
  <c r="AK281" i="1"/>
  <c r="AK280" i="1"/>
  <c r="AK279" i="1"/>
  <c r="AK278" i="1"/>
  <c r="AK277" i="1"/>
  <c r="AK276" i="1"/>
  <c r="AK275" i="1"/>
  <c r="AK274" i="1"/>
  <c r="AK273" i="1"/>
  <c r="AK272" i="1"/>
  <c r="AK271" i="1"/>
  <c r="AK270" i="1"/>
  <c r="AK269" i="1"/>
  <c r="AK268" i="1"/>
  <c r="AK267" i="1"/>
  <c r="AK266" i="1"/>
  <c r="AK265" i="1"/>
  <c r="AK264" i="1"/>
  <c r="AK263" i="1"/>
  <c r="AK262" i="1"/>
  <c r="AK261" i="1"/>
  <c r="AK260" i="1"/>
  <c r="AK259" i="1"/>
  <c r="AK258" i="1"/>
  <c r="AK257" i="1"/>
  <c r="AK256" i="1"/>
  <c r="AK255" i="1"/>
  <c r="AK254" i="1"/>
  <c r="AK253" i="1"/>
  <c r="AK252" i="1"/>
  <c r="AK251" i="1"/>
  <c r="AK250" i="1"/>
  <c r="AK249" i="1"/>
  <c r="AK248" i="1"/>
  <c r="AK247" i="1"/>
  <c r="AK246" i="1"/>
  <c r="AK245" i="1"/>
  <c r="AK244" i="1"/>
  <c r="AK243" i="1"/>
  <c r="AK242" i="1"/>
  <c r="AK241" i="1"/>
  <c r="AK240" i="1"/>
  <c r="AK239" i="1"/>
  <c r="AK238" i="1"/>
  <c r="AK237" i="1"/>
  <c r="AK236" i="1"/>
  <c r="AK235" i="1"/>
  <c r="AK234" i="1"/>
  <c r="AK233" i="1"/>
  <c r="AK232" i="1"/>
  <c r="AK231" i="1"/>
  <c r="AK230" i="1"/>
  <c r="AK229" i="1"/>
  <c r="AK228" i="1"/>
  <c r="AK227" i="1"/>
  <c r="AK226" i="1"/>
  <c r="AK225" i="1"/>
  <c r="AK224" i="1"/>
  <c r="AK223" i="1"/>
  <c r="AK222" i="1"/>
  <c r="AK221" i="1"/>
  <c r="AK220" i="1"/>
  <c r="AK219" i="1"/>
  <c r="AK218" i="1"/>
  <c r="AK217" i="1"/>
  <c r="AK216" i="1"/>
  <c r="AK215" i="1"/>
  <c r="AK214" i="1"/>
  <c r="AK213" i="1"/>
  <c r="AK212" i="1"/>
  <c r="AK211" i="1"/>
  <c r="AK210" i="1"/>
  <c r="AK209" i="1"/>
  <c r="AK208" i="1"/>
  <c r="AK207" i="1"/>
  <c r="AK206" i="1"/>
  <c r="AK205" i="1"/>
  <c r="AK204" i="1"/>
  <c r="AK203" i="1"/>
  <c r="AK202" i="1"/>
  <c r="AK201" i="1"/>
  <c r="AK200" i="1"/>
  <c r="AK199" i="1"/>
  <c r="AK198" i="1"/>
  <c r="AK197" i="1"/>
  <c r="AK196" i="1"/>
  <c r="AK195" i="1"/>
  <c r="AK194" i="1"/>
  <c r="AK193" i="1"/>
  <c r="AK192" i="1"/>
  <c r="AK191" i="1"/>
  <c r="AK190" i="1"/>
  <c r="AK189" i="1"/>
  <c r="AK188" i="1"/>
  <c r="AK187" i="1"/>
  <c r="AK186" i="1"/>
  <c r="AK185" i="1"/>
  <c r="AK184" i="1"/>
  <c r="AK183" i="1"/>
  <c r="AK182" i="1"/>
  <c r="AK181" i="1"/>
  <c r="AK180" i="1"/>
  <c r="AK179" i="1"/>
  <c r="AK178" i="1"/>
  <c r="AK177" i="1"/>
  <c r="AK176" i="1"/>
  <c r="AK175" i="1"/>
  <c r="AK174" i="1"/>
  <c r="AK173" i="1"/>
  <c r="AK172" i="1"/>
  <c r="AK171" i="1"/>
  <c r="AK170" i="1"/>
  <c r="AK169" i="1"/>
  <c r="AK168" i="1"/>
  <c r="AK167" i="1"/>
  <c r="AK166" i="1"/>
  <c r="AK165" i="1"/>
  <c r="AK164" i="1"/>
  <c r="AK163" i="1"/>
  <c r="AK162" i="1"/>
  <c r="AK161" i="1"/>
  <c r="AK160" i="1"/>
  <c r="AK159" i="1"/>
  <c r="AK158" i="1"/>
  <c r="AK157" i="1"/>
  <c r="AK156" i="1"/>
  <c r="AK155" i="1"/>
  <c r="AK154" i="1"/>
  <c r="AJ283" i="1"/>
  <c r="AJ282" i="1"/>
  <c r="AJ281" i="1"/>
  <c r="AJ280" i="1"/>
  <c r="AJ279" i="1"/>
  <c r="AJ278" i="1"/>
  <c r="AJ277" i="1"/>
  <c r="AJ276" i="1"/>
  <c r="AJ275" i="1"/>
  <c r="AJ274" i="1"/>
  <c r="AJ273" i="1"/>
  <c r="AJ272" i="1"/>
  <c r="AJ271" i="1"/>
  <c r="AJ270" i="1"/>
  <c r="AJ269" i="1"/>
  <c r="AJ268" i="1"/>
  <c r="AJ267" i="1"/>
  <c r="AJ266" i="1"/>
  <c r="AJ265" i="1"/>
  <c r="AJ264" i="1"/>
  <c r="AJ263" i="1"/>
  <c r="AJ262" i="1"/>
  <c r="AJ261" i="1"/>
  <c r="AJ260" i="1"/>
  <c r="AJ259" i="1"/>
  <c r="AJ258" i="1"/>
  <c r="AJ257" i="1"/>
  <c r="AJ256" i="1"/>
  <c r="AJ255" i="1"/>
  <c r="AJ254" i="1"/>
  <c r="AJ253" i="1"/>
  <c r="AJ252" i="1"/>
  <c r="AJ251" i="1"/>
  <c r="AJ250" i="1"/>
  <c r="AJ249" i="1"/>
  <c r="AJ248" i="1"/>
  <c r="AJ247" i="1"/>
  <c r="AJ246" i="1"/>
  <c r="AJ245" i="1"/>
  <c r="AJ244" i="1"/>
  <c r="AJ243" i="1"/>
  <c r="AJ242" i="1"/>
  <c r="AJ241" i="1"/>
  <c r="AJ240" i="1"/>
  <c r="AJ239" i="1"/>
  <c r="AJ238" i="1"/>
  <c r="AJ237" i="1"/>
  <c r="AJ236" i="1"/>
  <c r="AJ235" i="1"/>
  <c r="AJ234" i="1"/>
  <c r="AJ233" i="1"/>
  <c r="AJ232" i="1"/>
  <c r="AJ231" i="1"/>
  <c r="AJ230" i="1"/>
  <c r="AJ229" i="1"/>
  <c r="AJ228" i="1"/>
  <c r="AJ227" i="1"/>
  <c r="AJ226" i="1"/>
  <c r="AJ225" i="1"/>
  <c r="AJ224" i="1"/>
  <c r="AJ223" i="1"/>
  <c r="AJ222" i="1"/>
  <c r="AJ221" i="1"/>
  <c r="AJ220" i="1"/>
  <c r="AJ219" i="1"/>
  <c r="AJ218" i="1"/>
  <c r="AJ217" i="1"/>
  <c r="AJ216" i="1"/>
  <c r="AJ215" i="1"/>
  <c r="AJ214" i="1"/>
  <c r="AJ213" i="1"/>
  <c r="AJ212" i="1"/>
  <c r="AJ211" i="1"/>
  <c r="AJ210" i="1"/>
  <c r="AJ209" i="1"/>
  <c r="AJ208" i="1"/>
  <c r="AJ207" i="1"/>
  <c r="AJ206" i="1"/>
  <c r="AJ205" i="1"/>
  <c r="AJ204" i="1"/>
  <c r="AJ203" i="1"/>
  <c r="AJ202" i="1"/>
  <c r="AJ201" i="1"/>
  <c r="AJ200" i="1"/>
  <c r="AJ199" i="1"/>
  <c r="AJ198" i="1"/>
  <c r="AJ197" i="1"/>
  <c r="AJ196" i="1"/>
  <c r="AJ195" i="1"/>
  <c r="AJ194" i="1"/>
  <c r="AJ193" i="1"/>
  <c r="AJ192" i="1"/>
  <c r="AJ191" i="1"/>
  <c r="AJ190" i="1"/>
  <c r="AJ189" i="1"/>
  <c r="AJ188" i="1"/>
  <c r="AJ187" i="1"/>
  <c r="AJ186" i="1"/>
  <c r="AJ185" i="1"/>
  <c r="AJ184" i="1"/>
  <c r="AJ183" i="1"/>
  <c r="AJ182" i="1"/>
  <c r="AJ181" i="1"/>
  <c r="AJ180" i="1"/>
  <c r="AJ179" i="1"/>
  <c r="AJ178" i="1"/>
  <c r="AJ177" i="1"/>
  <c r="AJ176" i="1"/>
  <c r="AJ175" i="1"/>
  <c r="AJ174" i="1"/>
  <c r="AJ173" i="1"/>
  <c r="AJ172" i="1"/>
  <c r="AJ171" i="1"/>
  <c r="AJ170" i="1"/>
  <c r="AJ169" i="1"/>
  <c r="AJ168" i="1"/>
  <c r="AJ167" i="1"/>
  <c r="AJ166" i="1"/>
  <c r="AJ165" i="1"/>
  <c r="AJ164" i="1"/>
  <c r="AJ163" i="1"/>
  <c r="AJ162" i="1"/>
  <c r="AJ161" i="1"/>
  <c r="AJ160" i="1"/>
  <c r="AJ159" i="1"/>
  <c r="AJ158" i="1"/>
  <c r="AJ157" i="1"/>
  <c r="AJ156" i="1"/>
  <c r="AJ155" i="1"/>
  <c r="AJ154" i="1"/>
  <c r="AI283" i="1"/>
  <c r="AI282" i="1"/>
  <c r="AI281" i="1"/>
  <c r="AI280" i="1"/>
  <c r="AI279" i="1"/>
  <c r="AI278" i="1"/>
  <c r="AI277" i="1"/>
  <c r="AI276" i="1"/>
  <c r="AI275" i="1"/>
  <c r="AI274" i="1"/>
  <c r="AI273" i="1"/>
  <c r="AI272" i="1"/>
  <c r="AI271" i="1"/>
  <c r="AI270" i="1"/>
  <c r="AI269" i="1"/>
  <c r="AI268" i="1"/>
  <c r="AI267" i="1"/>
  <c r="AI266" i="1"/>
  <c r="AI265" i="1"/>
  <c r="AI264" i="1"/>
  <c r="AI263" i="1"/>
  <c r="AI262" i="1"/>
  <c r="AI261" i="1"/>
  <c r="AI260" i="1"/>
  <c r="AI259" i="1"/>
  <c r="AI258" i="1"/>
  <c r="AI257" i="1"/>
  <c r="AI256" i="1"/>
  <c r="AI255" i="1"/>
  <c r="AI254" i="1"/>
  <c r="AI253" i="1"/>
  <c r="AI252" i="1"/>
  <c r="AI251" i="1"/>
  <c r="AI250" i="1"/>
  <c r="AI249" i="1"/>
  <c r="AI248" i="1"/>
  <c r="AI247" i="1"/>
  <c r="AI246" i="1"/>
  <c r="AI245" i="1"/>
  <c r="AI244" i="1"/>
  <c r="AI243" i="1"/>
  <c r="AI242" i="1"/>
  <c r="AI241" i="1"/>
  <c r="AI240" i="1"/>
  <c r="AI239" i="1"/>
  <c r="AI238" i="1"/>
  <c r="AI237" i="1"/>
  <c r="AI236" i="1"/>
  <c r="AI235" i="1"/>
  <c r="AI234" i="1"/>
  <c r="AI233" i="1"/>
  <c r="AI232" i="1"/>
  <c r="AI231" i="1"/>
  <c r="AI230" i="1"/>
  <c r="AI229" i="1"/>
  <c r="AI228" i="1"/>
  <c r="AI227" i="1"/>
  <c r="AI226" i="1"/>
  <c r="AI225" i="1"/>
  <c r="AI224" i="1"/>
  <c r="AI223" i="1"/>
  <c r="AI222" i="1"/>
  <c r="AI221" i="1"/>
  <c r="AI220" i="1"/>
  <c r="AI219" i="1"/>
  <c r="AI218" i="1"/>
  <c r="AI217" i="1"/>
  <c r="AI216" i="1"/>
  <c r="AI215" i="1"/>
  <c r="AI214" i="1"/>
  <c r="AI213" i="1"/>
  <c r="AI212" i="1"/>
  <c r="AI211" i="1"/>
  <c r="AI210" i="1"/>
  <c r="AI209" i="1"/>
  <c r="AI208" i="1"/>
  <c r="AI207" i="1"/>
  <c r="AI206" i="1"/>
  <c r="AI205" i="1"/>
  <c r="AI204" i="1"/>
  <c r="AI203" i="1"/>
  <c r="AI202" i="1"/>
  <c r="AI201" i="1"/>
  <c r="AI200" i="1"/>
  <c r="AI199" i="1"/>
  <c r="AI198" i="1"/>
  <c r="AI197" i="1"/>
  <c r="AI196" i="1"/>
  <c r="AI195" i="1"/>
  <c r="AI194" i="1"/>
  <c r="AI193" i="1"/>
  <c r="AI192" i="1"/>
  <c r="AI191" i="1"/>
  <c r="AI190" i="1"/>
  <c r="AI189" i="1"/>
  <c r="AI188" i="1"/>
  <c r="AI187" i="1"/>
  <c r="AI186" i="1"/>
  <c r="AI185" i="1"/>
  <c r="AI184" i="1"/>
  <c r="AI183" i="1"/>
  <c r="AI182" i="1"/>
  <c r="AI181" i="1"/>
  <c r="AI180" i="1"/>
  <c r="AI179" i="1"/>
  <c r="AI178" i="1"/>
  <c r="AI177" i="1"/>
  <c r="AI176" i="1"/>
  <c r="AI175" i="1"/>
  <c r="AI174" i="1"/>
  <c r="AI173" i="1"/>
  <c r="AI172" i="1"/>
  <c r="AI171" i="1"/>
  <c r="AI170" i="1"/>
  <c r="AI169" i="1"/>
  <c r="AI168" i="1"/>
  <c r="AI167" i="1"/>
  <c r="AI166" i="1"/>
  <c r="AI165" i="1"/>
  <c r="AI164" i="1"/>
  <c r="AI163" i="1"/>
  <c r="AI162" i="1"/>
  <c r="AI161" i="1"/>
  <c r="AI160" i="1"/>
  <c r="AI159" i="1"/>
  <c r="AI158" i="1"/>
  <c r="AI157" i="1"/>
  <c r="AI156" i="1"/>
  <c r="AI155" i="1"/>
  <c r="AI15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G283" i="1"/>
  <c r="AG282" i="1"/>
  <c r="AG281" i="1"/>
  <c r="AG280" i="1"/>
  <c r="AG279" i="1"/>
  <c r="AG278" i="1"/>
  <c r="AG277" i="1"/>
  <c r="AG276" i="1"/>
  <c r="AG275" i="1"/>
  <c r="AG274" i="1"/>
  <c r="AG273" i="1"/>
  <c r="AG272" i="1"/>
  <c r="AG271" i="1"/>
  <c r="AG270" i="1"/>
  <c r="AG269" i="1"/>
  <c r="AG268" i="1"/>
  <c r="AG267" i="1"/>
  <c r="AG266" i="1"/>
  <c r="AG265" i="1"/>
  <c r="AG264" i="1"/>
  <c r="AG263" i="1"/>
  <c r="AG262" i="1"/>
  <c r="AG261" i="1"/>
  <c r="AG260" i="1"/>
  <c r="AG259" i="1"/>
  <c r="AG258" i="1"/>
  <c r="AG257" i="1"/>
  <c r="AG256" i="1"/>
  <c r="AG255" i="1"/>
  <c r="AG254" i="1"/>
  <c r="AG253" i="1"/>
  <c r="AG252" i="1"/>
  <c r="AG251" i="1"/>
  <c r="AG250" i="1"/>
  <c r="AG249" i="1"/>
  <c r="AG248" i="1"/>
  <c r="AG247" i="1"/>
  <c r="AG246" i="1"/>
  <c r="AG245" i="1"/>
  <c r="AG244" i="1"/>
  <c r="AG243" i="1"/>
  <c r="AG242" i="1"/>
  <c r="AG241" i="1"/>
  <c r="AG240" i="1"/>
  <c r="AG239" i="1"/>
  <c r="AG238" i="1"/>
  <c r="AG237" i="1"/>
  <c r="AG236" i="1"/>
  <c r="AG235" i="1"/>
  <c r="AG234" i="1"/>
  <c r="AG233" i="1"/>
  <c r="AG232" i="1"/>
  <c r="AG231" i="1"/>
  <c r="AG230" i="1"/>
  <c r="AG229" i="1"/>
  <c r="AG228" i="1"/>
  <c r="AG227" i="1"/>
  <c r="AG226" i="1"/>
  <c r="AG225" i="1"/>
  <c r="AG224" i="1"/>
  <c r="AG223" i="1"/>
  <c r="AG222" i="1"/>
  <c r="AG221" i="1"/>
  <c r="AG220" i="1"/>
  <c r="AG219" i="1"/>
  <c r="AG218" i="1"/>
  <c r="AG217" i="1"/>
  <c r="AG216" i="1"/>
  <c r="AG215" i="1"/>
  <c r="AG214" i="1"/>
  <c r="AG213" i="1"/>
  <c r="AG212" i="1"/>
  <c r="AG211" i="1"/>
  <c r="AG210" i="1"/>
  <c r="AG209" i="1"/>
  <c r="AG208" i="1"/>
  <c r="AG207" i="1"/>
  <c r="AG206" i="1"/>
  <c r="AG205" i="1"/>
  <c r="AG204" i="1"/>
  <c r="AG203" i="1"/>
  <c r="AG202" i="1"/>
  <c r="AG201" i="1"/>
  <c r="AG200" i="1"/>
  <c r="AG199" i="1"/>
  <c r="AG198" i="1"/>
  <c r="AG197" i="1"/>
  <c r="AG196" i="1"/>
  <c r="AG195" i="1"/>
  <c r="AG194" i="1"/>
  <c r="AG193" i="1"/>
  <c r="AG192" i="1"/>
  <c r="AG191" i="1"/>
  <c r="AG190" i="1"/>
  <c r="AG189" i="1"/>
  <c r="AG188" i="1"/>
  <c r="AG187" i="1"/>
  <c r="AG186" i="1"/>
  <c r="AG185" i="1"/>
  <c r="AG184" i="1"/>
  <c r="AG183" i="1"/>
  <c r="AG182" i="1"/>
  <c r="AG181" i="1"/>
  <c r="AG180" i="1"/>
  <c r="AG179" i="1"/>
  <c r="AG178" i="1"/>
  <c r="AG177" i="1"/>
  <c r="AG176" i="1"/>
  <c r="AG175" i="1"/>
  <c r="AG174" i="1"/>
  <c r="AG173" i="1"/>
  <c r="AG172" i="1"/>
  <c r="AG171" i="1"/>
  <c r="AG169" i="1"/>
  <c r="AG168" i="1"/>
  <c r="AG167" i="1"/>
  <c r="AG166" i="1"/>
  <c r="AG165" i="1"/>
  <c r="AG164" i="1"/>
  <c r="AG163" i="1"/>
  <c r="AG162" i="1"/>
  <c r="AG161" i="1"/>
  <c r="AG160" i="1"/>
  <c r="AG159" i="1"/>
  <c r="AG158" i="1"/>
  <c r="AG157" i="1"/>
  <c r="AG156" i="1"/>
  <c r="AG155" i="1"/>
  <c r="AG154" i="1"/>
  <c r="AF283" i="1"/>
  <c r="AF282" i="1"/>
  <c r="AF281" i="1"/>
  <c r="AF280" i="1"/>
  <c r="AF279" i="1"/>
  <c r="AF278" i="1"/>
  <c r="AF277" i="1"/>
  <c r="AF276" i="1"/>
  <c r="AF275" i="1"/>
  <c r="AF274" i="1"/>
  <c r="AF273" i="1"/>
  <c r="AF272" i="1"/>
  <c r="AF271" i="1"/>
  <c r="AF270" i="1"/>
  <c r="AF269" i="1"/>
  <c r="AF268" i="1"/>
  <c r="AF267" i="1"/>
  <c r="AF266" i="1"/>
  <c r="AF265" i="1"/>
  <c r="AF264" i="1"/>
  <c r="AF263" i="1"/>
  <c r="AF262" i="1"/>
  <c r="AF261" i="1"/>
  <c r="AF260" i="1"/>
  <c r="AF259" i="1"/>
  <c r="AF258" i="1"/>
  <c r="AF257" i="1"/>
  <c r="AF256" i="1"/>
  <c r="AF255" i="1"/>
  <c r="AF254" i="1"/>
  <c r="AF253" i="1"/>
  <c r="AF252" i="1"/>
  <c r="AF251" i="1"/>
  <c r="AF250" i="1"/>
  <c r="AF249" i="1"/>
  <c r="AF248" i="1"/>
  <c r="AF247" i="1"/>
  <c r="AF246" i="1"/>
  <c r="AF245" i="1"/>
  <c r="AF244" i="1"/>
  <c r="AF243" i="1"/>
  <c r="AF242" i="1"/>
  <c r="AF241" i="1"/>
  <c r="AF240" i="1"/>
  <c r="AF239" i="1"/>
  <c r="AF238" i="1"/>
  <c r="AF237" i="1"/>
  <c r="AF236" i="1"/>
  <c r="AF235" i="1"/>
  <c r="AF234" i="1"/>
  <c r="AF233" i="1"/>
  <c r="AF232" i="1"/>
  <c r="AF231" i="1"/>
  <c r="AF230" i="1"/>
  <c r="AF229" i="1"/>
  <c r="AF228" i="1"/>
  <c r="AF227" i="1"/>
  <c r="AF226" i="1"/>
  <c r="AF225" i="1"/>
  <c r="AF224" i="1"/>
  <c r="AF223" i="1"/>
  <c r="AF222" i="1"/>
  <c r="AF221" i="1"/>
  <c r="AF220" i="1"/>
  <c r="AF219" i="1"/>
  <c r="AF218" i="1"/>
  <c r="AF217" i="1"/>
  <c r="AF216" i="1"/>
  <c r="AF215" i="1"/>
  <c r="AF214" i="1"/>
  <c r="AF213" i="1"/>
  <c r="AF212" i="1"/>
  <c r="AF211" i="1"/>
  <c r="AF210" i="1"/>
  <c r="AF209" i="1"/>
  <c r="AF208" i="1"/>
  <c r="AF207" i="1"/>
  <c r="AF206" i="1"/>
  <c r="AF205" i="1"/>
  <c r="AF204" i="1"/>
  <c r="AF203" i="1"/>
  <c r="AF202" i="1"/>
  <c r="AF201" i="1"/>
  <c r="AF200" i="1"/>
  <c r="AF199" i="1"/>
  <c r="AF198" i="1"/>
  <c r="AF197" i="1"/>
  <c r="AF196" i="1"/>
  <c r="AF195" i="1"/>
  <c r="AF194" i="1"/>
  <c r="AF193" i="1"/>
  <c r="AF192" i="1"/>
  <c r="AF191" i="1"/>
  <c r="AF190" i="1"/>
  <c r="AF189" i="1"/>
  <c r="AF188" i="1"/>
  <c r="AF187" i="1"/>
  <c r="AF186" i="1"/>
  <c r="AF185" i="1"/>
  <c r="AF184" i="1"/>
  <c r="AF183" i="1"/>
  <c r="AF182" i="1"/>
  <c r="AF181" i="1"/>
  <c r="AF180" i="1"/>
  <c r="AF179" i="1"/>
  <c r="AF178" i="1"/>
  <c r="AF177" i="1"/>
  <c r="AF176" i="1"/>
  <c r="AF175" i="1"/>
  <c r="AF174" i="1"/>
  <c r="AF173" i="1"/>
  <c r="AF172" i="1"/>
  <c r="AF170" i="1"/>
  <c r="AF169" i="1"/>
  <c r="AF168" i="1"/>
  <c r="AF167" i="1"/>
  <c r="AF166" i="1"/>
  <c r="AF165" i="1"/>
  <c r="AF164" i="1"/>
  <c r="AF163" i="1"/>
  <c r="AF162" i="1"/>
  <c r="AF161" i="1"/>
  <c r="AF160" i="1"/>
  <c r="AF159" i="1"/>
  <c r="AF158" i="1"/>
  <c r="AF157" i="1"/>
  <c r="AF156" i="1"/>
  <c r="AF155" i="1"/>
  <c r="AF154" i="1"/>
  <c r="AE283" i="1"/>
  <c r="AE282" i="1"/>
  <c r="AE281" i="1"/>
  <c r="AE280" i="1"/>
  <c r="AE279" i="1"/>
  <c r="AE278" i="1"/>
  <c r="AE277" i="1"/>
  <c r="AE276" i="1"/>
  <c r="AE275" i="1"/>
  <c r="AE274" i="1"/>
  <c r="AE273" i="1"/>
  <c r="AE272" i="1"/>
  <c r="AE271" i="1"/>
  <c r="AE270" i="1"/>
  <c r="AE269" i="1"/>
  <c r="AE268" i="1"/>
  <c r="AE267" i="1"/>
  <c r="AE266" i="1"/>
  <c r="AE265" i="1"/>
  <c r="AE264" i="1"/>
  <c r="AE263" i="1"/>
  <c r="AE262" i="1"/>
  <c r="AE261" i="1"/>
  <c r="AE260" i="1"/>
  <c r="AE259" i="1"/>
  <c r="AE258" i="1"/>
  <c r="AE257" i="1"/>
  <c r="AE256" i="1"/>
  <c r="AE255" i="1"/>
  <c r="AE254" i="1"/>
  <c r="AE253" i="1"/>
  <c r="AE252" i="1"/>
  <c r="AE251" i="1"/>
  <c r="AE250" i="1"/>
  <c r="AE249" i="1"/>
  <c r="AE248" i="1"/>
  <c r="AE247" i="1"/>
  <c r="AE246" i="1"/>
  <c r="AE245" i="1"/>
  <c r="AE244" i="1"/>
  <c r="AE243" i="1"/>
  <c r="AE242" i="1"/>
  <c r="AE241" i="1"/>
  <c r="AE240" i="1"/>
  <c r="AE239" i="1"/>
  <c r="AE238" i="1"/>
  <c r="AE237" i="1"/>
  <c r="AE236" i="1"/>
  <c r="AE235" i="1"/>
  <c r="AE234" i="1"/>
  <c r="AE233" i="1"/>
  <c r="AE232" i="1"/>
  <c r="AE231" i="1"/>
  <c r="AE230" i="1"/>
  <c r="AE229" i="1"/>
  <c r="AE228" i="1"/>
  <c r="AE227" i="1"/>
  <c r="AE226" i="1"/>
  <c r="AE225" i="1"/>
  <c r="AE224" i="1"/>
  <c r="AE223" i="1"/>
  <c r="AE222" i="1"/>
  <c r="AE221" i="1"/>
  <c r="AE220" i="1"/>
  <c r="AE219" i="1"/>
  <c r="DI219" i="1" s="1"/>
  <c r="AE218" i="1"/>
  <c r="AE217" i="1"/>
  <c r="AE216" i="1"/>
  <c r="AE215" i="1"/>
  <c r="AE214" i="1"/>
  <c r="AE213" i="1"/>
  <c r="AE212" i="1"/>
  <c r="AE211" i="1"/>
  <c r="AE210" i="1"/>
  <c r="AE209" i="1"/>
  <c r="AE208" i="1"/>
  <c r="AE207" i="1"/>
  <c r="AE206" i="1"/>
  <c r="AE205" i="1"/>
  <c r="AE204" i="1"/>
  <c r="AE203" i="1"/>
  <c r="AE202" i="1"/>
  <c r="AE201" i="1"/>
  <c r="AE200" i="1"/>
  <c r="AE199" i="1"/>
  <c r="AE198" i="1"/>
  <c r="AE197" i="1"/>
  <c r="AE196" i="1"/>
  <c r="AE195" i="1"/>
  <c r="AE194" i="1"/>
  <c r="AE193" i="1"/>
  <c r="AE192" i="1"/>
  <c r="AE191" i="1"/>
  <c r="AE190" i="1"/>
  <c r="AE189" i="1"/>
  <c r="AE188" i="1"/>
  <c r="AE187" i="1"/>
  <c r="AE186" i="1"/>
  <c r="AE185" i="1"/>
  <c r="AE184" i="1"/>
  <c r="AE183" i="1"/>
  <c r="AE182" i="1"/>
  <c r="AE181" i="1"/>
  <c r="AE180" i="1"/>
  <c r="AE179" i="1"/>
  <c r="AE178" i="1"/>
  <c r="AE177" i="1"/>
  <c r="AE176" i="1"/>
  <c r="AE175" i="1"/>
  <c r="AE174" i="1"/>
  <c r="AE173" i="1"/>
  <c r="AE172" i="1"/>
  <c r="AE169" i="1"/>
  <c r="AE168" i="1"/>
  <c r="AE167" i="1"/>
  <c r="AE166" i="1"/>
  <c r="AE165" i="1"/>
  <c r="AE164" i="1"/>
  <c r="AE163" i="1"/>
  <c r="AE162" i="1"/>
  <c r="AE161" i="1"/>
  <c r="AE160" i="1"/>
  <c r="AE159" i="1"/>
  <c r="AE158" i="1"/>
  <c r="AE157" i="1"/>
  <c r="AE156" i="1"/>
  <c r="AE155" i="1"/>
  <c r="AE154" i="1"/>
  <c r="AD283" i="1"/>
  <c r="AD282" i="1"/>
  <c r="AD281" i="1"/>
  <c r="AD280" i="1"/>
  <c r="AD279" i="1"/>
  <c r="AD278" i="1"/>
  <c r="AD277" i="1"/>
  <c r="AD276" i="1"/>
  <c r="AD275" i="1"/>
  <c r="AD274" i="1"/>
  <c r="AD273" i="1"/>
  <c r="AD272" i="1"/>
  <c r="AD271" i="1"/>
  <c r="AD270" i="1"/>
  <c r="AD269" i="1"/>
  <c r="AD268" i="1"/>
  <c r="AD267" i="1"/>
  <c r="AD266" i="1"/>
  <c r="AD265" i="1"/>
  <c r="AD264" i="1"/>
  <c r="AD263" i="1"/>
  <c r="AD262" i="1"/>
  <c r="AD261" i="1"/>
  <c r="AD260" i="1"/>
  <c r="AD259" i="1"/>
  <c r="AD258" i="1"/>
  <c r="AD257" i="1"/>
  <c r="AD256" i="1"/>
  <c r="AD255" i="1"/>
  <c r="AD254" i="1"/>
  <c r="AD253" i="1"/>
  <c r="AD252" i="1"/>
  <c r="AD251" i="1"/>
  <c r="AD250" i="1"/>
  <c r="AD249" i="1"/>
  <c r="AD248" i="1"/>
  <c r="AD247" i="1"/>
  <c r="AD246" i="1"/>
  <c r="AD245" i="1"/>
  <c r="AD244" i="1"/>
  <c r="AD243" i="1"/>
  <c r="AD242" i="1"/>
  <c r="AD241" i="1"/>
  <c r="AD240" i="1"/>
  <c r="AD239" i="1"/>
  <c r="AD238" i="1"/>
  <c r="AD237" i="1"/>
  <c r="AD236" i="1"/>
  <c r="AD235" i="1"/>
  <c r="AD234" i="1"/>
  <c r="AD233" i="1"/>
  <c r="AD232" i="1"/>
  <c r="AD231" i="1"/>
  <c r="AD230" i="1"/>
  <c r="AD229" i="1"/>
  <c r="AD228" i="1"/>
  <c r="AD227" i="1"/>
  <c r="AD226" i="1"/>
  <c r="AD225" i="1"/>
  <c r="AD224" i="1"/>
  <c r="AD223" i="1"/>
  <c r="AD222" i="1"/>
  <c r="AD221" i="1"/>
  <c r="AD220" i="1"/>
  <c r="AD219" i="1"/>
  <c r="AD218" i="1"/>
  <c r="AD217" i="1"/>
  <c r="AD216" i="1"/>
  <c r="AD215" i="1"/>
  <c r="AD214" i="1"/>
  <c r="AD213" i="1"/>
  <c r="AD212" i="1"/>
  <c r="AD211" i="1"/>
  <c r="AD210" i="1"/>
  <c r="AD209" i="1"/>
  <c r="AD208" i="1"/>
  <c r="AD207" i="1"/>
  <c r="AD206" i="1"/>
  <c r="AD205" i="1"/>
  <c r="AD204" i="1"/>
  <c r="AD203" i="1"/>
  <c r="AD202" i="1"/>
  <c r="AD201" i="1"/>
  <c r="AD200" i="1"/>
  <c r="AD199" i="1"/>
  <c r="AD198" i="1"/>
  <c r="AD197" i="1"/>
  <c r="AD196" i="1"/>
  <c r="AD195" i="1"/>
  <c r="AD194" i="1"/>
  <c r="AD193" i="1"/>
  <c r="AD192" i="1"/>
  <c r="AD191" i="1"/>
  <c r="AD190" i="1"/>
  <c r="AD189" i="1"/>
  <c r="AD188" i="1"/>
  <c r="AD187" i="1"/>
  <c r="AD186" i="1"/>
  <c r="AD185" i="1"/>
  <c r="AD184" i="1"/>
  <c r="AD183" i="1"/>
  <c r="AD182" i="1"/>
  <c r="AD181" i="1"/>
  <c r="AD180" i="1"/>
  <c r="AD179" i="1"/>
  <c r="AD178" i="1"/>
  <c r="AD177" i="1"/>
  <c r="AD176" i="1"/>
  <c r="AD175" i="1"/>
  <c r="AD174" i="1"/>
  <c r="AD173" i="1"/>
  <c r="AD172" i="1"/>
  <c r="AD171" i="1"/>
  <c r="AD170" i="1"/>
  <c r="AD169" i="1"/>
  <c r="AD168" i="1"/>
  <c r="AD167" i="1"/>
  <c r="AD166" i="1"/>
  <c r="AD165" i="1"/>
  <c r="AD164" i="1"/>
  <c r="AD163" i="1"/>
  <c r="AD162" i="1"/>
  <c r="AD161" i="1"/>
  <c r="AD160" i="1"/>
  <c r="AD159" i="1"/>
  <c r="AD158" i="1"/>
  <c r="AD157" i="1"/>
  <c r="AD156" i="1"/>
  <c r="AD155" i="1"/>
  <c r="AD154" i="1"/>
  <c r="AC283" i="1"/>
  <c r="AC282" i="1"/>
  <c r="AC281" i="1"/>
  <c r="AC280" i="1"/>
  <c r="AC279" i="1"/>
  <c r="AC278" i="1"/>
  <c r="AC277" i="1"/>
  <c r="AC276" i="1"/>
  <c r="AC275" i="1"/>
  <c r="AC274" i="1"/>
  <c r="AC273" i="1"/>
  <c r="AC272" i="1"/>
  <c r="AC271" i="1"/>
  <c r="AC270" i="1"/>
  <c r="AC269" i="1"/>
  <c r="AC268" i="1"/>
  <c r="AC267" i="1"/>
  <c r="AC266" i="1"/>
  <c r="AC265" i="1"/>
  <c r="AC264" i="1"/>
  <c r="AC263" i="1"/>
  <c r="AC262" i="1"/>
  <c r="AC261" i="1"/>
  <c r="AC260" i="1"/>
  <c r="AC259" i="1"/>
  <c r="AC258" i="1"/>
  <c r="AC257" i="1"/>
  <c r="AC256" i="1"/>
  <c r="AC255" i="1"/>
  <c r="AC254" i="1"/>
  <c r="AC253" i="1"/>
  <c r="AC252" i="1"/>
  <c r="AC251" i="1"/>
  <c r="AC250" i="1"/>
  <c r="AC249" i="1"/>
  <c r="AC248" i="1"/>
  <c r="AC247" i="1"/>
  <c r="AC246" i="1"/>
  <c r="AC245" i="1"/>
  <c r="AC244" i="1"/>
  <c r="AC243" i="1"/>
  <c r="AC242" i="1"/>
  <c r="AC241" i="1"/>
  <c r="AC240" i="1"/>
  <c r="AC239" i="1"/>
  <c r="AC238" i="1"/>
  <c r="AC237" i="1"/>
  <c r="AC236" i="1"/>
  <c r="AC235" i="1"/>
  <c r="AC234" i="1"/>
  <c r="AC233" i="1"/>
  <c r="AC232" i="1"/>
  <c r="AC231" i="1"/>
  <c r="AC230" i="1"/>
  <c r="AC229" i="1"/>
  <c r="AC228" i="1"/>
  <c r="AC227" i="1"/>
  <c r="AC226" i="1"/>
  <c r="AC225" i="1"/>
  <c r="AC224" i="1"/>
  <c r="AC223" i="1"/>
  <c r="AC222" i="1"/>
  <c r="AC221" i="1"/>
  <c r="AC220" i="1"/>
  <c r="AC219" i="1"/>
  <c r="AC218" i="1"/>
  <c r="AC217" i="1"/>
  <c r="AC216" i="1"/>
  <c r="AC215" i="1"/>
  <c r="AC214" i="1"/>
  <c r="AC213" i="1"/>
  <c r="AC212" i="1"/>
  <c r="AC211" i="1"/>
  <c r="AC210" i="1"/>
  <c r="AC209" i="1"/>
  <c r="AC208" i="1"/>
  <c r="AC207" i="1"/>
  <c r="AC206" i="1"/>
  <c r="AC205" i="1"/>
  <c r="AC204" i="1"/>
  <c r="AC203" i="1"/>
  <c r="AC202" i="1"/>
  <c r="AC201" i="1"/>
  <c r="AC200" i="1"/>
  <c r="AC199" i="1"/>
  <c r="AC198" i="1"/>
  <c r="AC197" i="1"/>
  <c r="AC196" i="1"/>
  <c r="AC195" i="1"/>
  <c r="AC194" i="1"/>
  <c r="AC193" i="1"/>
  <c r="AC192" i="1"/>
  <c r="AC191" i="1"/>
  <c r="AC190" i="1"/>
  <c r="AC189" i="1"/>
  <c r="AC188" i="1"/>
  <c r="AC187" i="1"/>
  <c r="AC186" i="1"/>
  <c r="AC185" i="1"/>
  <c r="AC184" i="1"/>
  <c r="AC183" i="1"/>
  <c r="AC182" i="1"/>
  <c r="AC181" i="1"/>
  <c r="AC180" i="1"/>
  <c r="AC179" i="1"/>
  <c r="AC178" i="1"/>
  <c r="AC177" i="1"/>
  <c r="AC176" i="1"/>
  <c r="AC175" i="1"/>
  <c r="AC174" i="1"/>
  <c r="AC173" i="1"/>
  <c r="AC172" i="1"/>
  <c r="AC171" i="1"/>
  <c r="AC170" i="1"/>
  <c r="AC169" i="1"/>
  <c r="AC168" i="1"/>
  <c r="AC167" i="1"/>
  <c r="AC166" i="1"/>
  <c r="AC165" i="1"/>
  <c r="AC164" i="1"/>
  <c r="AC163" i="1"/>
  <c r="AC162" i="1"/>
  <c r="AC161" i="1"/>
  <c r="AC160" i="1"/>
  <c r="AC159" i="1"/>
  <c r="AC158" i="1"/>
  <c r="AC157" i="1"/>
  <c r="AC156" i="1"/>
  <c r="AC155" i="1"/>
  <c r="AC154" i="1"/>
  <c r="AB283" i="1"/>
  <c r="AB282" i="1"/>
  <c r="AB281" i="1"/>
  <c r="AB280" i="1"/>
  <c r="AB279" i="1"/>
  <c r="AB278" i="1"/>
  <c r="AB277" i="1"/>
  <c r="AB276" i="1"/>
  <c r="AB275" i="1"/>
  <c r="AB274" i="1"/>
  <c r="AB273" i="1"/>
  <c r="AB272" i="1"/>
  <c r="AB271" i="1"/>
  <c r="AB270" i="1"/>
  <c r="AB269" i="1"/>
  <c r="AB268" i="1"/>
  <c r="AB267" i="1"/>
  <c r="AB266" i="1"/>
  <c r="AB265" i="1"/>
  <c r="AB264" i="1"/>
  <c r="AB263" i="1"/>
  <c r="AB262" i="1"/>
  <c r="AB261" i="1"/>
  <c r="AB260" i="1"/>
  <c r="AB259" i="1"/>
  <c r="AB258" i="1"/>
  <c r="AB257" i="1"/>
  <c r="AB256" i="1"/>
  <c r="AB255" i="1"/>
  <c r="AB254" i="1"/>
  <c r="AB253" i="1"/>
  <c r="AB252" i="1"/>
  <c r="AB251" i="1"/>
  <c r="AB250" i="1"/>
  <c r="AB249" i="1"/>
  <c r="AB248" i="1"/>
  <c r="AB247" i="1"/>
  <c r="AB246" i="1"/>
  <c r="AB245" i="1"/>
  <c r="AB244" i="1"/>
  <c r="AB243" i="1"/>
  <c r="AB242" i="1"/>
  <c r="AB241" i="1"/>
  <c r="AB240" i="1"/>
  <c r="AB239" i="1"/>
  <c r="AB238" i="1"/>
  <c r="AB237" i="1"/>
  <c r="AB236" i="1"/>
  <c r="AB235" i="1"/>
  <c r="AB234" i="1"/>
  <c r="AB233" i="1"/>
  <c r="AB232" i="1"/>
  <c r="AB231" i="1"/>
  <c r="AB230" i="1"/>
  <c r="AB229" i="1"/>
  <c r="AB228" i="1"/>
  <c r="AB227" i="1"/>
  <c r="AB226" i="1"/>
  <c r="AB225" i="1"/>
  <c r="AB224" i="1"/>
  <c r="AB223" i="1"/>
  <c r="AB222" i="1"/>
  <c r="AB221" i="1"/>
  <c r="AB220" i="1"/>
  <c r="AB219" i="1"/>
  <c r="AB218" i="1"/>
  <c r="AB217" i="1"/>
  <c r="AB216" i="1"/>
  <c r="AB215" i="1"/>
  <c r="AB214" i="1"/>
  <c r="AB213" i="1"/>
  <c r="AB212" i="1"/>
  <c r="AB211" i="1"/>
  <c r="AB210" i="1"/>
  <c r="AB209" i="1"/>
  <c r="AB208" i="1"/>
  <c r="AB207" i="1"/>
  <c r="AB206" i="1"/>
  <c r="AB205" i="1"/>
  <c r="AB204" i="1"/>
  <c r="AB203" i="1"/>
  <c r="AB202" i="1"/>
  <c r="AB201" i="1"/>
  <c r="AB200" i="1"/>
  <c r="AB199" i="1"/>
  <c r="AB198" i="1"/>
  <c r="AB197" i="1"/>
  <c r="AB196" i="1"/>
  <c r="AB195" i="1"/>
  <c r="AB194" i="1"/>
  <c r="AB193" i="1"/>
  <c r="AB192" i="1"/>
  <c r="AB191" i="1"/>
  <c r="AB190" i="1"/>
  <c r="AB189" i="1"/>
  <c r="AB188" i="1"/>
  <c r="AB187" i="1"/>
  <c r="AB186" i="1"/>
  <c r="AB185" i="1"/>
  <c r="AB184" i="1"/>
  <c r="AB183" i="1"/>
  <c r="AB182" i="1"/>
  <c r="AB181" i="1"/>
  <c r="AB180" i="1"/>
  <c r="AB179" i="1"/>
  <c r="AB178" i="1"/>
  <c r="AB177" i="1"/>
  <c r="AB176" i="1"/>
  <c r="AB175" i="1"/>
  <c r="AB174" i="1"/>
  <c r="AB173" i="1"/>
  <c r="AB172" i="1"/>
  <c r="AB171" i="1"/>
  <c r="AB170" i="1"/>
  <c r="AB169" i="1"/>
  <c r="AB168" i="1"/>
  <c r="AB167" i="1"/>
  <c r="AB166" i="1"/>
  <c r="AB165" i="1"/>
  <c r="AB164" i="1"/>
  <c r="AB163" i="1"/>
  <c r="AB162" i="1"/>
  <c r="AB161" i="1"/>
  <c r="AB160" i="1"/>
  <c r="AB159" i="1"/>
  <c r="AB158" i="1"/>
  <c r="AB157" i="1"/>
  <c r="AB156" i="1"/>
  <c r="AB155" i="1"/>
  <c r="AB154" i="1"/>
  <c r="AA283" i="1"/>
  <c r="AA282" i="1"/>
  <c r="AA281" i="1"/>
  <c r="AA280" i="1"/>
  <c r="AA279" i="1"/>
  <c r="AA278" i="1"/>
  <c r="AA277" i="1"/>
  <c r="AA276" i="1"/>
  <c r="AA275" i="1"/>
  <c r="AA274" i="1"/>
  <c r="AA273" i="1"/>
  <c r="AA272" i="1"/>
  <c r="AA271" i="1"/>
  <c r="AA270" i="1"/>
  <c r="AA269" i="1"/>
  <c r="AA268" i="1"/>
  <c r="AA267" i="1"/>
  <c r="AA266" i="1"/>
  <c r="AA265" i="1"/>
  <c r="AA264" i="1"/>
  <c r="AA263" i="1"/>
  <c r="AA262" i="1"/>
  <c r="AA261" i="1"/>
  <c r="AA260" i="1"/>
  <c r="AA259" i="1"/>
  <c r="AA258" i="1"/>
  <c r="AA257" i="1"/>
  <c r="AA256" i="1"/>
  <c r="AA255" i="1"/>
  <c r="AA254" i="1"/>
  <c r="AA253" i="1"/>
  <c r="AA252" i="1"/>
  <c r="AA251" i="1"/>
  <c r="AA250" i="1"/>
  <c r="AA249" i="1"/>
  <c r="AA248" i="1"/>
  <c r="AA247" i="1"/>
  <c r="AA246" i="1"/>
  <c r="AA245" i="1"/>
  <c r="AA244" i="1"/>
  <c r="AA243" i="1"/>
  <c r="AA242" i="1"/>
  <c r="AA241" i="1"/>
  <c r="AA240" i="1"/>
  <c r="AA239" i="1"/>
  <c r="AA238" i="1"/>
  <c r="AA237" i="1"/>
  <c r="AA236" i="1"/>
  <c r="AA235" i="1"/>
  <c r="AA234" i="1"/>
  <c r="AA233" i="1"/>
  <c r="AA232" i="1"/>
  <c r="AA231" i="1"/>
  <c r="AA230" i="1"/>
  <c r="AA229" i="1"/>
  <c r="AA228" i="1"/>
  <c r="AA227" i="1"/>
  <c r="AA226" i="1"/>
  <c r="AA225" i="1"/>
  <c r="AA224" i="1"/>
  <c r="AA223" i="1"/>
  <c r="AA222" i="1"/>
  <c r="AA221" i="1"/>
  <c r="AA220" i="1"/>
  <c r="AA219" i="1"/>
  <c r="AA218" i="1"/>
  <c r="AA217" i="1"/>
  <c r="AA216" i="1"/>
  <c r="AA215" i="1"/>
  <c r="AA214" i="1"/>
  <c r="AA213" i="1"/>
  <c r="AA212" i="1"/>
  <c r="AA211" i="1"/>
  <c r="AA210" i="1"/>
  <c r="AA209" i="1"/>
  <c r="AA208" i="1"/>
  <c r="AA207" i="1"/>
  <c r="AA206" i="1"/>
  <c r="AA205" i="1"/>
  <c r="AA204" i="1"/>
  <c r="AA203" i="1"/>
  <c r="AA202" i="1"/>
  <c r="AA201" i="1"/>
  <c r="AA200" i="1"/>
  <c r="AA199" i="1"/>
  <c r="AA198" i="1"/>
  <c r="AA197" i="1"/>
  <c r="AA196" i="1"/>
  <c r="AA195" i="1"/>
  <c r="AA194" i="1"/>
  <c r="AA193" i="1"/>
  <c r="AA192" i="1"/>
  <c r="AA191" i="1"/>
  <c r="AA190" i="1"/>
  <c r="AA189" i="1"/>
  <c r="AA188" i="1"/>
  <c r="AA187" i="1"/>
  <c r="AA186" i="1"/>
  <c r="AA185" i="1"/>
  <c r="AA184" i="1"/>
  <c r="AA183" i="1"/>
  <c r="AA182" i="1"/>
  <c r="AA181" i="1"/>
  <c r="AA180" i="1"/>
  <c r="AA179" i="1"/>
  <c r="AA178" i="1"/>
  <c r="AA177" i="1"/>
  <c r="AA176" i="1"/>
  <c r="AA175" i="1"/>
  <c r="AA174" i="1"/>
  <c r="AA173" i="1"/>
  <c r="AA172" i="1"/>
  <c r="AA171" i="1"/>
  <c r="AA170" i="1"/>
  <c r="AA169" i="1"/>
  <c r="AA168" i="1"/>
  <c r="AA167" i="1"/>
  <c r="AA166" i="1"/>
  <c r="AA165" i="1"/>
  <c r="AA164" i="1"/>
  <c r="AA163" i="1"/>
  <c r="AA162" i="1"/>
  <c r="AA161" i="1"/>
  <c r="AA160" i="1"/>
  <c r="AA159" i="1"/>
  <c r="AA158" i="1"/>
  <c r="AA157" i="1"/>
  <c r="AA156" i="1"/>
  <c r="AA155" i="1"/>
  <c r="AA154" i="1"/>
  <c r="Z283" i="1"/>
  <c r="Z282" i="1"/>
  <c r="Z281" i="1"/>
  <c r="Z280" i="1"/>
  <c r="Z279" i="1"/>
  <c r="Z278" i="1"/>
  <c r="Z277" i="1"/>
  <c r="Z276" i="1"/>
  <c r="Z275" i="1"/>
  <c r="Z274" i="1"/>
  <c r="Z273" i="1"/>
  <c r="Z272" i="1"/>
  <c r="Z271" i="1"/>
  <c r="Z270" i="1"/>
  <c r="Z269" i="1"/>
  <c r="Z268" i="1"/>
  <c r="Z267" i="1"/>
  <c r="Z266" i="1"/>
  <c r="Z265" i="1"/>
  <c r="Z264" i="1"/>
  <c r="Z263" i="1"/>
  <c r="Z262" i="1"/>
  <c r="Z261" i="1"/>
  <c r="Z260" i="1"/>
  <c r="Z259" i="1"/>
  <c r="Z258" i="1"/>
  <c r="Z257" i="1"/>
  <c r="Z256" i="1"/>
  <c r="Z255" i="1"/>
  <c r="Z254" i="1"/>
  <c r="Z253" i="1"/>
  <c r="Z252" i="1"/>
  <c r="Z251" i="1"/>
  <c r="Z250" i="1"/>
  <c r="Z249" i="1"/>
  <c r="Z248" i="1"/>
  <c r="Z247" i="1"/>
  <c r="Z246" i="1"/>
  <c r="Z245" i="1"/>
  <c r="Z244" i="1"/>
  <c r="Z243" i="1"/>
  <c r="Z242" i="1"/>
  <c r="Z241" i="1"/>
  <c r="Z240" i="1"/>
  <c r="Z239" i="1"/>
  <c r="Z238" i="1"/>
  <c r="Z237" i="1"/>
  <c r="Z236" i="1"/>
  <c r="Z235" i="1"/>
  <c r="Z234" i="1"/>
  <c r="Z233" i="1"/>
  <c r="Z232" i="1"/>
  <c r="Z231" i="1"/>
  <c r="Z230" i="1"/>
  <c r="Z229" i="1"/>
  <c r="Z228" i="1"/>
  <c r="Z227" i="1"/>
  <c r="Z226" i="1"/>
  <c r="Z225" i="1"/>
  <c r="Z224" i="1"/>
  <c r="Z223" i="1"/>
  <c r="Z222" i="1"/>
  <c r="Z221" i="1"/>
  <c r="Z220" i="1"/>
  <c r="Z219" i="1"/>
  <c r="Z218" i="1"/>
  <c r="Z217" i="1"/>
  <c r="Z216" i="1"/>
  <c r="Z215" i="1"/>
  <c r="Z214" i="1"/>
  <c r="Z213" i="1"/>
  <c r="Z212" i="1"/>
  <c r="Z211" i="1"/>
  <c r="Z210" i="1"/>
  <c r="Z209" i="1"/>
  <c r="Z208" i="1"/>
  <c r="Z207" i="1"/>
  <c r="Z206" i="1"/>
  <c r="Z205" i="1"/>
  <c r="Z204" i="1"/>
  <c r="Z203" i="1"/>
  <c r="Z202" i="1"/>
  <c r="Z201" i="1"/>
  <c r="Z200" i="1"/>
  <c r="Z199" i="1"/>
  <c r="Z198" i="1"/>
  <c r="Z197" i="1"/>
  <c r="Z196" i="1"/>
  <c r="Z195" i="1"/>
  <c r="Z194" i="1"/>
  <c r="Z193" i="1"/>
  <c r="Z192" i="1"/>
  <c r="Z191" i="1"/>
  <c r="Z190" i="1"/>
  <c r="Z189" i="1"/>
  <c r="Z188" i="1"/>
  <c r="Z187" i="1"/>
  <c r="Z186" i="1"/>
  <c r="Z185" i="1"/>
  <c r="Z184" i="1"/>
  <c r="Z183" i="1"/>
  <c r="Z182" i="1"/>
  <c r="Z181" i="1"/>
  <c r="Z180" i="1"/>
  <c r="Z179" i="1"/>
  <c r="Z178" i="1"/>
  <c r="Z177" i="1"/>
  <c r="Z176" i="1"/>
  <c r="Z175" i="1"/>
  <c r="Z174" i="1"/>
  <c r="Z173" i="1"/>
  <c r="Z172" i="1"/>
  <c r="Z171" i="1"/>
  <c r="Z170" i="1"/>
  <c r="Z169" i="1"/>
  <c r="Z168" i="1"/>
  <c r="Z167" i="1"/>
  <c r="Z166" i="1"/>
  <c r="Z165" i="1"/>
  <c r="Z164" i="1"/>
  <c r="Z163" i="1"/>
  <c r="Z162" i="1"/>
  <c r="Z161" i="1"/>
  <c r="Z160" i="1"/>
  <c r="Z159" i="1"/>
  <c r="Z158" i="1"/>
  <c r="Z157" i="1"/>
  <c r="Z156" i="1"/>
  <c r="Z155" i="1"/>
  <c r="Z15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X283" i="1"/>
  <c r="X282" i="1"/>
  <c r="X281" i="1"/>
  <c r="X280" i="1"/>
  <c r="X279" i="1"/>
  <c r="X278" i="1"/>
  <c r="X277" i="1"/>
  <c r="X276" i="1"/>
  <c r="X275" i="1"/>
  <c r="X274" i="1"/>
  <c r="X273" i="1"/>
  <c r="X272" i="1"/>
  <c r="X271" i="1"/>
  <c r="X270" i="1"/>
  <c r="X269" i="1"/>
  <c r="X268" i="1"/>
  <c r="X267" i="1"/>
  <c r="X266" i="1"/>
  <c r="X265" i="1"/>
  <c r="X264" i="1"/>
  <c r="X263" i="1"/>
  <c r="X262" i="1"/>
  <c r="X261" i="1"/>
  <c r="X260" i="1"/>
  <c r="X259" i="1"/>
  <c r="X258" i="1"/>
  <c r="X257" i="1"/>
  <c r="X256" i="1"/>
  <c r="X255" i="1"/>
  <c r="X254" i="1"/>
  <c r="X253" i="1"/>
  <c r="X252" i="1"/>
  <c r="X251" i="1"/>
  <c r="X250" i="1"/>
  <c r="X249" i="1"/>
  <c r="X248" i="1"/>
  <c r="X247" i="1"/>
  <c r="X246" i="1"/>
  <c r="X245" i="1"/>
  <c r="X244" i="1"/>
  <c r="X243" i="1"/>
  <c r="X242" i="1"/>
  <c r="X241" i="1"/>
  <c r="X240" i="1"/>
  <c r="X239" i="1"/>
  <c r="X238" i="1"/>
  <c r="X237" i="1"/>
  <c r="X236" i="1"/>
  <c r="X235" i="1"/>
  <c r="X234" i="1"/>
  <c r="X233" i="1"/>
  <c r="X232" i="1"/>
  <c r="X231" i="1"/>
  <c r="X230" i="1"/>
  <c r="X229" i="1"/>
  <c r="X228" i="1"/>
  <c r="X227" i="1"/>
  <c r="X226" i="1"/>
  <c r="X225" i="1"/>
  <c r="X224" i="1"/>
  <c r="X223" i="1"/>
  <c r="X222" i="1"/>
  <c r="X221" i="1"/>
  <c r="X220" i="1"/>
  <c r="X219" i="1"/>
  <c r="X218" i="1"/>
  <c r="X217" i="1"/>
  <c r="X216" i="1"/>
  <c r="X215" i="1"/>
  <c r="X214" i="1"/>
  <c r="X213" i="1"/>
  <c r="X212" i="1"/>
  <c r="X211" i="1"/>
  <c r="X210" i="1"/>
  <c r="X209" i="1"/>
  <c r="X208" i="1"/>
  <c r="X207" i="1"/>
  <c r="X206" i="1"/>
  <c r="X205" i="1"/>
  <c r="X204" i="1"/>
  <c r="X203" i="1"/>
  <c r="X202" i="1"/>
  <c r="X201" i="1"/>
  <c r="X200" i="1"/>
  <c r="X199" i="1"/>
  <c r="X198" i="1"/>
  <c r="X197" i="1"/>
  <c r="X196" i="1"/>
  <c r="X195" i="1"/>
  <c r="X194" i="1"/>
  <c r="X193" i="1"/>
  <c r="X192" i="1"/>
  <c r="X191" i="1"/>
  <c r="X190" i="1"/>
  <c r="X189" i="1"/>
  <c r="X188" i="1"/>
  <c r="X187" i="1"/>
  <c r="X186" i="1"/>
  <c r="X185" i="1"/>
  <c r="X184" i="1"/>
  <c r="X183" i="1"/>
  <c r="X182" i="1"/>
  <c r="X181" i="1"/>
  <c r="X180" i="1"/>
  <c r="X179" i="1"/>
  <c r="X178" i="1"/>
  <c r="X177" i="1"/>
  <c r="X176" i="1"/>
  <c r="X175" i="1"/>
  <c r="X174" i="1"/>
  <c r="X173" i="1"/>
  <c r="X172" i="1"/>
  <c r="X171" i="1"/>
  <c r="X170" i="1"/>
  <c r="X169" i="1"/>
  <c r="X168" i="1"/>
  <c r="X167" i="1"/>
  <c r="X166" i="1"/>
  <c r="X165" i="1"/>
  <c r="X164" i="1"/>
  <c r="X163" i="1"/>
  <c r="X162" i="1"/>
  <c r="X161" i="1"/>
  <c r="X160" i="1"/>
  <c r="X159" i="1"/>
  <c r="X158" i="1"/>
  <c r="X157" i="1"/>
  <c r="X156" i="1"/>
  <c r="X155" i="1"/>
  <c r="X154" i="1"/>
  <c r="W283" i="1"/>
  <c r="W282" i="1"/>
  <c r="W281" i="1"/>
  <c r="W280" i="1"/>
  <c r="W279" i="1"/>
  <c r="W278" i="1"/>
  <c r="W277" i="1"/>
  <c r="W276" i="1"/>
  <c r="W275" i="1"/>
  <c r="W274" i="1"/>
  <c r="W273" i="1"/>
  <c r="W272" i="1"/>
  <c r="W271" i="1"/>
  <c r="W270" i="1"/>
  <c r="W269" i="1"/>
  <c r="W268" i="1"/>
  <c r="W267" i="1"/>
  <c r="W266" i="1"/>
  <c r="W265" i="1"/>
  <c r="W264" i="1"/>
  <c r="W263" i="1"/>
  <c r="W262" i="1"/>
  <c r="W261" i="1"/>
  <c r="W260" i="1"/>
  <c r="W259" i="1"/>
  <c r="W258" i="1"/>
  <c r="W257" i="1"/>
  <c r="W256" i="1"/>
  <c r="W255" i="1"/>
  <c r="W254" i="1"/>
  <c r="W253" i="1"/>
  <c r="W252" i="1"/>
  <c r="W251" i="1"/>
  <c r="W250" i="1"/>
  <c r="W249" i="1"/>
  <c r="W248" i="1"/>
  <c r="W247" i="1"/>
  <c r="W246" i="1"/>
  <c r="W245" i="1"/>
  <c r="W244" i="1"/>
  <c r="W243" i="1"/>
  <c r="W242" i="1"/>
  <c r="W241" i="1"/>
  <c r="W240" i="1"/>
  <c r="W239" i="1"/>
  <c r="W238" i="1"/>
  <c r="W237" i="1"/>
  <c r="W236" i="1"/>
  <c r="W235" i="1"/>
  <c r="W234" i="1"/>
  <c r="W233" i="1"/>
  <c r="W232" i="1"/>
  <c r="W231" i="1"/>
  <c r="W230" i="1"/>
  <c r="W229" i="1"/>
  <c r="W228" i="1"/>
  <c r="W227" i="1"/>
  <c r="W226" i="1"/>
  <c r="W225" i="1"/>
  <c r="W224" i="1"/>
  <c r="W223" i="1"/>
  <c r="W222" i="1"/>
  <c r="W221" i="1"/>
  <c r="W220" i="1"/>
  <c r="W219" i="1"/>
  <c r="W218" i="1"/>
  <c r="W217" i="1"/>
  <c r="W216" i="1"/>
  <c r="W215" i="1"/>
  <c r="W214" i="1"/>
  <c r="W213" i="1"/>
  <c r="W212" i="1"/>
  <c r="W211" i="1"/>
  <c r="W210" i="1"/>
  <c r="W209" i="1"/>
  <c r="W208" i="1"/>
  <c r="W207" i="1"/>
  <c r="W206" i="1"/>
  <c r="W205" i="1"/>
  <c r="W204" i="1"/>
  <c r="W203" i="1"/>
  <c r="W202" i="1"/>
  <c r="W201" i="1"/>
  <c r="W200" i="1"/>
  <c r="W199" i="1"/>
  <c r="W198" i="1"/>
  <c r="W197" i="1"/>
  <c r="W196" i="1"/>
  <c r="W195" i="1"/>
  <c r="W194" i="1"/>
  <c r="W193" i="1"/>
  <c r="W192" i="1"/>
  <c r="W191" i="1"/>
  <c r="W190" i="1"/>
  <c r="W189" i="1"/>
  <c r="W188" i="1"/>
  <c r="W187" i="1"/>
  <c r="W186" i="1"/>
  <c r="W185" i="1"/>
  <c r="W184" i="1"/>
  <c r="W183" i="1"/>
  <c r="W182" i="1"/>
  <c r="W181" i="1"/>
  <c r="W180" i="1"/>
  <c r="W179" i="1"/>
  <c r="W178" i="1"/>
  <c r="W177" i="1"/>
  <c r="W176" i="1"/>
  <c r="W175" i="1"/>
  <c r="W174" i="1"/>
  <c r="W173" i="1"/>
  <c r="W172" i="1"/>
  <c r="W171" i="1"/>
  <c r="W170" i="1"/>
  <c r="W169" i="1"/>
  <c r="W168" i="1"/>
  <c r="W167" i="1"/>
  <c r="W166" i="1"/>
  <c r="W165" i="1"/>
  <c r="W164" i="1"/>
  <c r="W163" i="1"/>
  <c r="W162" i="1"/>
  <c r="W161" i="1"/>
  <c r="W160" i="1"/>
  <c r="W159" i="1"/>
  <c r="W158" i="1"/>
  <c r="W157" i="1"/>
  <c r="W156" i="1"/>
  <c r="W155" i="1"/>
  <c r="W154" i="1"/>
  <c r="V283" i="1"/>
  <c r="V282" i="1"/>
  <c r="V281" i="1"/>
  <c r="V280" i="1"/>
  <c r="V279" i="1"/>
  <c r="V278" i="1"/>
  <c r="V277" i="1"/>
  <c r="V276" i="1"/>
  <c r="V275" i="1"/>
  <c r="V274" i="1"/>
  <c r="V273" i="1"/>
  <c r="V272" i="1"/>
  <c r="V271" i="1"/>
  <c r="V270" i="1"/>
  <c r="V269" i="1"/>
  <c r="V268" i="1"/>
  <c r="V267" i="1"/>
  <c r="V266" i="1"/>
  <c r="V265" i="1"/>
  <c r="V264" i="1"/>
  <c r="V263" i="1"/>
  <c r="V262" i="1"/>
  <c r="V261" i="1"/>
  <c r="V260" i="1"/>
  <c r="V259" i="1"/>
  <c r="V258" i="1"/>
  <c r="V257" i="1"/>
  <c r="V256" i="1"/>
  <c r="V255" i="1"/>
  <c r="V254" i="1"/>
  <c r="V253" i="1"/>
  <c r="V252" i="1"/>
  <c r="V251" i="1"/>
  <c r="V250" i="1"/>
  <c r="V249" i="1"/>
  <c r="V248" i="1"/>
  <c r="V247" i="1"/>
  <c r="V246" i="1"/>
  <c r="V245" i="1"/>
  <c r="V244" i="1"/>
  <c r="V243" i="1"/>
  <c r="V242" i="1"/>
  <c r="V241" i="1"/>
  <c r="V240" i="1"/>
  <c r="V239" i="1"/>
  <c r="V238" i="1"/>
  <c r="V237" i="1"/>
  <c r="V236" i="1"/>
  <c r="V235" i="1"/>
  <c r="V234" i="1"/>
  <c r="V233" i="1"/>
  <c r="V232" i="1"/>
  <c r="V231" i="1"/>
  <c r="V230" i="1"/>
  <c r="V229" i="1"/>
  <c r="V228" i="1"/>
  <c r="V227" i="1"/>
  <c r="V226" i="1"/>
  <c r="V225" i="1"/>
  <c r="V224" i="1"/>
  <c r="V223" i="1"/>
  <c r="V222" i="1"/>
  <c r="V221" i="1"/>
  <c r="V220" i="1"/>
  <c r="V219" i="1"/>
  <c r="V218" i="1"/>
  <c r="V217" i="1"/>
  <c r="V216" i="1"/>
  <c r="V215" i="1"/>
  <c r="V214" i="1"/>
  <c r="V213" i="1"/>
  <c r="V212" i="1"/>
  <c r="V211" i="1"/>
  <c r="V210" i="1"/>
  <c r="V209" i="1"/>
  <c r="V208" i="1"/>
  <c r="V207" i="1"/>
  <c r="V206" i="1"/>
  <c r="V205" i="1"/>
  <c r="V204" i="1"/>
  <c r="V203" i="1"/>
  <c r="V202" i="1"/>
  <c r="V201" i="1"/>
  <c r="V200" i="1"/>
  <c r="V199" i="1"/>
  <c r="V198" i="1"/>
  <c r="V197" i="1"/>
  <c r="V196" i="1"/>
  <c r="V195" i="1"/>
  <c r="V194" i="1"/>
  <c r="V193" i="1"/>
  <c r="V192" i="1"/>
  <c r="V191" i="1"/>
  <c r="V190" i="1"/>
  <c r="V189" i="1"/>
  <c r="V188" i="1"/>
  <c r="V187" i="1"/>
  <c r="V186" i="1"/>
  <c r="V185" i="1"/>
  <c r="V184" i="1"/>
  <c r="V183" i="1"/>
  <c r="V182" i="1"/>
  <c r="V181" i="1"/>
  <c r="V180" i="1"/>
  <c r="V179" i="1"/>
  <c r="V178" i="1"/>
  <c r="V177" i="1"/>
  <c r="V176" i="1"/>
  <c r="V175" i="1"/>
  <c r="V174" i="1"/>
  <c r="V173" i="1"/>
  <c r="V172" i="1"/>
  <c r="V171" i="1"/>
  <c r="V170" i="1"/>
  <c r="V169" i="1"/>
  <c r="V168" i="1"/>
  <c r="V167" i="1"/>
  <c r="V166" i="1"/>
  <c r="V165" i="1"/>
  <c r="V164" i="1"/>
  <c r="V163" i="1"/>
  <c r="V162" i="1"/>
  <c r="V161" i="1"/>
  <c r="V160" i="1"/>
  <c r="V159" i="1"/>
  <c r="V158" i="1"/>
  <c r="V157" i="1"/>
  <c r="V156" i="1"/>
  <c r="V155" i="1"/>
  <c r="V154" i="1"/>
  <c r="U283" i="1"/>
  <c r="U282" i="1"/>
  <c r="U281" i="1"/>
  <c r="U280" i="1"/>
  <c r="U279" i="1"/>
  <c r="U278" i="1"/>
  <c r="U277" i="1"/>
  <c r="U276" i="1"/>
  <c r="U275" i="1"/>
  <c r="U274" i="1"/>
  <c r="U273" i="1"/>
  <c r="U272" i="1"/>
  <c r="U271" i="1"/>
  <c r="U270" i="1"/>
  <c r="U269" i="1"/>
  <c r="U268" i="1"/>
  <c r="U267" i="1"/>
  <c r="U266" i="1"/>
  <c r="U265" i="1"/>
  <c r="U264" i="1"/>
  <c r="U263" i="1"/>
  <c r="U262" i="1"/>
  <c r="U261" i="1"/>
  <c r="U260" i="1"/>
  <c r="U259" i="1"/>
  <c r="U258" i="1"/>
  <c r="U257" i="1"/>
  <c r="U256" i="1"/>
  <c r="U255" i="1"/>
  <c r="U254" i="1"/>
  <c r="U253" i="1"/>
  <c r="U252" i="1"/>
  <c r="U251" i="1"/>
  <c r="U250" i="1"/>
  <c r="U249" i="1"/>
  <c r="U248" i="1"/>
  <c r="U247" i="1"/>
  <c r="U246" i="1"/>
  <c r="U245" i="1"/>
  <c r="U244" i="1"/>
  <c r="U243" i="1"/>
  <c r="U242" i="1"/>
  <c r="U241" i="1"/>
  <c r="U240" i="1"/>
  <c r="U239" i="1"/>
  <c r="U238" i="1"/>
  <c r="U237" i="1"/>
  <c r="U236" i="1"/>
  <c r="U235" i="1"/>
  <c r="U234" i="1"/>
  <c r="U233" i="1"/>
  <c r="U232" i="1"/>
  <c r="U231" i="1"/>
  <c r="U230" i="1"/>
  <c r="U229" i="1"/>
  <c r="U228" i="1"/>
  <c r="U227" i="1"/>
  <c r="U226" i="1"/>
  <c r="U225" i="1"/>
  <c r="U224" i="1"/>
  <c r="U223" i="1"/>
  <c r="U222" i="1"/>
  <c r="U221" i="1"/>
  <c r="U220" i="1"/>
  <c r="U219" i="1"/>
  <c r="U218" i="1"/>
  <c r="U217" i="1"/>
  <c r="U216" i="1"/>
  <c r="U215" i="1"/>
  <c r="U214" i="1"/>
  <c r="U213" i="1"/>
  <c r="U212" i="1"/>
  <c r="U211" i="1"/>
  <c r="U210" i="1"/>
  <c r="U209" i="1"/>
  <c r="U208" i="1"/>
  <c r="U207" i="1"/>
  <c r="U206" i="1"/>
  <c r="U205" i="1"/>
  <c r="U204" i="1"/>
  <c r="U203" i="1"/>
  <c r="U202" i="1"/>
  <c r="U201" i="1"/>
  <c r="U200" i="1"/>
  <c r="U199" i="1"/>
  <c r="U198" i="1"/>
  <c r="U197" i="1"/>
  <c r="U196" i="1"/>
  <c r="U195" i="1"/>
  <c r="U194" i="1"/>
  <c r="U193" i="1"/>
  <c r="U192" i="1"/>
  <c r="U191" i="1"/>
  <c r="U190" i="1"/>
  <c r="U189" i="1"/>
  <c r="U188" i="1"/>
  <c r="U187" i="1"/>
  <c r="U186" i="1"/>
  <c r="U185" i="1"/>
  <c r="U184" i="1"/>
  <c r="U183" i="1"/>
  <c r="U182" i="1"/>
  <c r="U181" i="1"/>
  <c r="U180" i="1"/>
  <c r="U179" i="1"/>
  <c r="U178" i="1"/>
  <c r="U177" i="1"/>
  <c r="U176" i="1"/>
  <c r="U175" i="1"/>
  <c r="U174" i="1"/>
  <c r="U173" i="1"/>
  <c r="U172" i="1"/>
  <c r="U171" i="1"/>
  <c r="U170" i="1"/>
  <c r="U169" i="1"/>
  <c r="U168" i="1"/>
  <c r="U167" i="1"/>
  <c r="U166" i="1"/>
  <c r="U165" i="1"/>
  <c r="U164" i="1"/>
  <c r="U163" i="1"/>
  <c r="U162" i="1"/>
  <c r="U161" i="1"/>
  <c r="U160" i="1"/>
  <c r="U159" i="1"/>
  <c r="U158" i="1"/>
  <c r="U157" i="1"/>
  <c r="U156" i="1"/>
  <c r="U155" i="1"/>
  <c r="U154" i="1"/>
  <c r="T283" i="1"/>
  <c r="T282" i="1"/>
  <c r="T281" i="1"/>
  <c r="T280" i="1"/>
  <c r="T279" i="1"/>
  <c r="T278" i="1"/>
  <c r="T277" i="1"/>
  <c r="T276" i="1"/>
  <c r="T275" i="1"/>
  <c r="T274" i="1"/>
  <c r="T273" i="1"/>
  <c r="T272" i="1"/>
  <c r="T271" i="1"/>
  <c r="T270" i="1"/>
  <c r="T269" i="1"/>
  <c r="T268" i="1"/>
  <c r="T267" i="1"/>
  <c r="T266" i="1"/>
  <c r="T265" i="1"/>
  <c r="T264" i="1"/>
  <c r="T263" i="1"/>
  <c r="T262" i="1"/>
  <c r="T261" i="1"/>
  <c r="T260" i="1"/>
  <c r="T259" i="1"/>
  <c r="T258" i="1"/>
  <c r="T257" i="1"/>
  <c r="T256" i="1"/>
  <c r="T255" i="1"/>
  <c r="T254" i="1"/>
  <c r="T253" i="1"/>
  <c r="T252" i="1"/>
  <c r="T251" i="1"/>
  <c r="T250" i="1"/>
  <c r="T249" i="1"/>
  <c r="T248" i="1"/>
  <c r="T247" i="1"/>
  <c r="T246" i="1"/>
  <c r="T245" i="1"/>
  <c r="T244" i="1"/>
  <c r="T243" i="1"/>
  <c r="T242" i="1"/>
  <c r="T241" i="1"/>
  <c r="T240" i="1"/>
  <c r="T239" i="1"/>
  <c r="T238" i="1"/>
  <c r="T237" i="1"/>
  <c r="T236" i="1"/>
  <c r="T235" i="1"/>
  <c r="T234" i="1"/>
  <c r="T233" i="1"/>
  <c r="T232" i="1"/>
  <c r="T231" i="1"/>
  <c r="T230" i="1"/>
  <c r="T229" i="1"/>
  <c r="T228" i="1"/>
  <c r="T227" i="1"/>
  <c r="T226" i="1"/>
  <c r="T225" i="1"/>
  <c r="T224" i="1"/>
  <c r="T223" i="1"/>
  <c r="T222" i="1"/>
  <c r="T221" i="1"/>
  <c r="T220" i="1"/>
  <c r="T219" i="1"/>
  <c r="T218" i="1"/>
  <c r="T217" i="1"/>
  <c r="T216" i="1"/>
  <c r="T215" i="1"/>
  <c r="T214" i="1"/>
  <c r="T213" i="1"/>
  <c r="T212" i="1"/>
  <c r="T211" i="1"/>
  <c r="T210" i="1"/>
  <c r="T209" i="1"/>
  <c r="T208" i="1"/>
  <c r="T207" i="1"/>
  <c r="T206" i="1"/>
  <c r="T205" i="1"/>
  <c r="T204" i="1"/>
  <c r="T203" i="1"/>
  <c r="T202" i="1"/>
  <c r="T201" i="1"/>
  <c r="T200" i="1"/>
  <c r="T199" i="1"/>
  <c r="T198" i="1"/>
  <c r="T197" i="1"/>
  <c r="T196" i="1"/>
  <c r="T195" i="1"/>
  <c r="T194" i="1"/>
  <c r="T193" i="1"/>
  <c r="T192" i="1"/>
  <c r="T191" i="1"/>
  <c r="T190" i="1"/>
  <c r="T189" i="1"/>
  <c r="T188" i="1"/>
  <c r="T187" i="1"/>
  <c r="T186" i="1"/>
  <c r="T185" i="1"/>
  <c r="T184" i="1"/>
  <c r="T183" i="1"/>
  <c r="T182" i="1"/>
  <c r="T181" i="1"/>
  <c r="T180" i="1"/>
  <c r="T179" i="1"/>
  <c r="T178" i="1"/>
  <c r="T177" i="1"/>
  <c r="T176" i="1"/>
  <c r="T175" i="1"/>
  <c r="T174" i="1"/>
  <c r="T173" i="1"/>
  <c r="T172" i="1"/>
  <c r="T171" i="1"/>
  <c r="T170" i="1"/>
  <c r="T169" i="1"/>
  <c r="T168" i="1"/>
  <c r="T167" i="1"/>
  <c r="T166" i="1"/>
  <c r="T165" i="1"/>
  <c r="T164" i="1"/>
  <c r="T163" i="1"/>
  <c r="T162" i="1"/>
  <c r="T161" i="1"/>
  <c r="T160" i="1"/>
  <c r="T159" i="1"/>
  <c r="T158" i="1"/>
  <c r="T157" i="1"/>
  <c r="T156" i="1"/>
  <c r="T155" i="1"/>
  <c r="T154" i="1"/>
  <c r="S283" i="1"/>
  <c r="S282" i="1"/>
  <c r="S281" i="1"/>
  <c r="S280" i="1"/>
  <c r="S279" i="1"/>
  <c r="S278" i="1"/>
  <c r="S277" i="1"/>
  <c r="S276" i="1"/>
  <c r="S275" i="1"/>
  <c r="S274" i="1"/>
  <c r="S273" i="1"/>
  <c r="S272" i="1"/>
  <c r="S271" i="1"/>
  <c r="S270" i="1"/>
  <c r="S269" i="1"/>
  <c r="S268" i="1"/>
  <c r="S267" i="1"/>
  <c r="S266" i="1"/>
  <c r="S265" i="1"/>
  <c r="S264" i="1"/>
  <c r="S263" i="1"/>
  <c r="S262" i="1"/>
  <c r="S261" i="1"/>
  <c r="S260" i="1"/>
  <c r="S259" i="1"/>
  <c r="S258" i="1"/>
  <c r="S257" i="1"/>
  <c r="S256" i="1"/>
  <c r="S255" i="1"/>
  <c r="S254" i="1"/>
  <c r="S253" i="1"/>
  <c r="S252" i="1"/>
  <c r="S251" i="1"/>
  <c r="S250" i="1"/>
  <c r="S249" i="1"/>
  <c r="S248" i="1"/>
  <c r="S247" i="1"/>
  <c r="S246" i="1"/>
  <c r="S245" i="1"/>
  <c r="S244" i="1"/>
  <c r="S243" i="1"/>
  <c r="S242" i="1"/>
  <c r="S241" i="1"/>
  <c r="S240" i="1"/>
  <c r="S239" i="1"/>
  <c r="S238" i="1"/>
  <c r="S237" i="1"/>
  <c r="S236" i="1"/>
  <c r="S235" i="1"/>
  <c r="S234" i="1"/>
  <c r="S233" i="1"/>
  <c r="S232" i="1"/>
  <c r="S231" i="1"/>
  <c r="S230" i="1"/>
  <c r="S229" i="1"/>
  <c r="S228" i="1"/>
  <c r="S227" i="1"/>
  <c r="S226" i="1"/>
  <c r="S225" i="1"/>
  <c r="S224" i="1"/>
  <c r="S223" i="1"/>
  <c r="S222" i="1"/>
  <c r="S221" i="1"/>
  <c r="S220" i="1"/>
  <c r="S219" i="1"/>
  <c r="S218" i="1"/>
  <c r="S217" i="1"/>
  <c r="S216" i="1"/>
  <c r="S215" i="1"/>
  <c r="S214" i="1"/>
  <c r="S213" i="1"/>
  <c r="S212" i="1"/>
  <c r="S211" i="1"/>
  <c r="S210" i="1"/>
  <c r="S209" i="1"/>
  <c r="S208" i="1"/>
  <c r="S207" i="1"/>
  <c r="S206" i="1"/>
  <c r="S205" i="1"/>
  <c r="S204" i="1"/>
  <c r="S203" i="1"/>
  <c r="S202" i="1"/>
  <c r="S201" i="1"/>
  <c r="S200" i="1"/>
  <c r="S199" i="1"/>
  <c r="S198" i="1"/>
  <c r="S197" i="1"/>
  <c r="S196" i="1"/>
  <c r="S195" i="1"/>
  <c r="S194" i="1"/>
  <c r="S193" i="1"/>
  <c r="S192" i="1"/>
  <c r="S191" i="1"/>
  <c r="S190" i="1"/>
  <c r="S189" i="1"/>
  <c r="S188" i="1"/>
  <c r="S187" i="1"/>
  <c r="S186" i="1"/>
  <c r="S185" i="1"/>
  <c r="S184" i="1"/>
  <c r="S183" i="1"/>
  <c r="S182" i="1"/>
  <c r="S181" i="1"/>
  <c r="S180" i="1"/>
  <c r="S179" i="1"/>
  <c r="S178" i="1"/>
  <c r="S177" i="1"/>
  <c r="S176" i="1"/>
  <c r="S175" i="1"/>
  <c r="S174" i="1"/>
  <c r="S173" i="1"/>
  <c r="S172" i="1"/>
  <c r="S171" i="1"/>
  <c r="S170" i="1"/>
  <c r="S169" i="1"/>
  <c r="S168" i="1"/>
  <c r="S167" i="1"/>
  <c r="S166" i="1"/>
  <c r="S165" i="1"/>
  <c r="S164" i="1"/>
  <c r="S163" i="1"/>
  <c r="S162" i="1"/>
  <c r="S161" i="1"/>
  <c r="S160" i="1"/>
  <c r="S159" i="1"/>
  <c r="S158" i="1"/>
  <c r="S157" i="1"/>
  <c r="S156" i="1"/>
  <c r="S155" i="1"/>
  <c r="S154" i="1"/>
  <c r="R283" i="1"/>
  <c r="R282" i="1"/>
  <c r="R281" i="1"/>
  <c r="R280" i="1"/>
  <c r="R279" i="1"/>
  <c r="R278" i="1"/>
  <c r="R277" i="1"/>
  <c r="R276" i="1"/>
  <c r="R275" i="1"/>
  <c r="R274" i="1"/>
  <c r="R273" i="1"/>
  <c r="R272" i="1"/>
  <c r="R271" i="1"/>
  <c r="R270" i="1"/>
  <c r="R269" i="1"/>
  <c r="R268" i="1"/>
  <c r="R267" i="1"/>
  <c r="R266" i="1"/>
  <c r="R265" i="1"/>
  <c r="R264" i="1"/>
  <c r="R263" i="1"/>
  <c r="R262" i="1"/>
  <c r="R261" i="1"/>
  <c r="R260" i="1"/>
  <c r="R259" i="1"/>
  <c r="R258" i="1"/>
  <c r="R257" i="1"/>
  <c r="R256" i="1"/>
  <c r="R255" i="1"/>
  <c r="R254" i="1"/>
  <c r="R253" i="1"/>
  <c r="R252" i="1"/>
  <c r="R251" i="1"/>
  <c r="R250" i="1"/>
  <c r="R249" i="1"/>
  <c r="R248" i="1"/>
  <c r="R247" i="1"/>
  <c r="R246" i="1"/>
  <c r="R245" i="1"/>
  <c r="R244" i="1"/>
  <c r="R243" i="1"/>
  <c r="R242" i="1"/>
  <c r="R241" i="1"/>
  <c r="R240" i="1"/>
  <c r="R239" i="1"/>
  <c r="R238" i="1"/>
  <c r="R237" i="1"/>
  <c r="R236" i="1"/>
  <c r="DF236" i="1" s="1"/>
  <c r="R235" i="1"/>
  <c r="DB235" i="1" s="1"/>
  <c r="R234" i="1"/>
  <c r="R233" i="1"/>
  <c r="R232" i="1"/>
  <c r="R231" i="1"/>
  <c r="R230" i="1"/>
  <c r="R229" i="1"/>
  <c r="R228" i="1"/>
  <c r="R227" i="1"/>
  <c r="R226" i="1"/>
  <c r="R225" i="1"/>
  <c r="R224" i="1"/>
  <c r="R223" i="1"/>
  <c r="R222" i="1"/>
  <c r="R221" i="1"/>
  <c r="R220" i="1"/>
  <c r="R219" i="1"/>
  <c r="R218" i="1"/>
  <c r="R217" i="1"/>
  <c r="R216" i="1"/>
  <c r="R215" i="1"/>
  <c r="R214" i="1"/>
  <c r="R213" i="1"/>
  <c r="R212" i="1"/>
  <c r="R211" i="1"/>
  <c r="R210" i="1"/>
  <c r="R209" i="1"/>
  <c r="R208" i="1"/>
  <c r="R207" i="1"/>
  <c r="R206" i="1"/>
  <c r="R205" i="1"/>
  <c r="R204" i="1"/>
  <c r="R203" i="1"/>
  <c r="R202" i="1"/>
  <c r="R201" i="1"/>
  <c r="R200" i="1"/>
  <c r="R199" i="1"/>
  <c r="R198" i="1"/>
  <c r="R197" i="1"/>
  <c r="R196" i="1"/>
  <c r="R195" i="1"/>
  <c r="R194" i="1"/>
  <c r="R193" i="1"/>
  <c r="R192" i="1"/>
  <c r="R191" i="1"/>
  <c r="R190" i="1"/>
  <c r="R189" i="1"/>
  <c r="R188" i="1"/>
  <c r="R187" i="1"/>
  <c r="R186" i="1"/>
  <c r="R185" i="1"/>
  <c r="R184" i="1"/>
  <c r="R183" i="1"/>
  <c r="R182" i="1"/>
  <c r="R181" i="1"/>
  <c r="R180" i="1"/>
  <c r="R179" i="1"/>
  <c r="R178" i="1"/>
  <c r="R177" i="1"/>
  <c r="R176" i="1"/>
  <c r="R175" i="1"/>
  <c r="R174" i="1"/>
  <c r="R173" i="1"/>
  <c r="R172" i="1"/>
  <c r="R171" i="1"/>
  <c r="R170" i="1"/>
  <c r="R169" i="1"/>
  <c r="R168" i="1"/>
  <c r="R167" i="1"/>
  <c r="R166" i="1"/>
  <c r="R165" i="1"/>
  <c r="R164" i="1"/>
  <c r="R163" i="1"/>
  <c r="R162" i="1"/>
  <c r="R161" i="1"/>
  <c r="R160" i="1"/>
  <c r="R159" i="1"/>
  <c r="R158" i="1"/>
  <c r="R157" i="1"/>
  <c r="R156" i="1"/>
  <c r="R155" i="1"/>
  <c r="R154" i="1"/>
  <c r="Q283" i="1"/>
  <c r="Q282" i="1"/>
  <c r="Q281" i="1"/>
  <c r="Q280" i="1"/>
  <c r="Q279" i="1"/>
  <c r="Q278" i="1"/>
  <c r="Q277" i="1"/>
  <c r="Q276" i="1"/>
  <c r="Q275" i="1"/>
  <c r="Q274" i="1"/>
  <c r="Q273" i="1"/>
  <c r="Q272" i="1"/>
  <c r="Q271" i="1"/>
  <c r="Q270" i="1"/>
  <c r="Q269" i="1"/>
  <c r="Q268" i="1"/>
  <c r="Q267" i="1"/>
  <c r="Q266" i="1"/>
  <c r="Q265" i="1"/>
  <c r="Q264" i="1"/>
  <c r="Q263" i="1"/>
  <c r="Q262" i="1"/>
  <c r="Q261" i="1"/>
  <c r="Q260" i="1"/>
  <c r="Q259" i="1"/>
  <c r="Q258" i="1"/>
  <c r="Q257" i="1"/>
  <c r="Q256" i="1"/>
  <c r="Q255" i="1"/>
  <c r="Q254" i="1"/>
  <c r="Q253" i="1"/>
  <c r="Q252" i="1"/>
  <c r="Q251" i="1"/>
  <c r="Q250" i="1"/>
  <c r="Q249" i="1"/>
  <c r="Q248" i="1"/>
  <c r="Q247" i="1"/>
  <c r="Q246" i="1"/>
  <c r="Q245" i="1"/>
  <c r="Q244" i="1"/>
  <c r="Q243" i="1"/>
  <c r="Q242" i="1"/>
  <c r="Q241" i="1"/>
  <c r="Q240" i="1"/>
  <c r="Q239" i="1"/>
  <c r="Q238" i="1"/>
  <c r="Q237" i="1"/>
  <c r="Q236" i="1"/>
  <c r="Q235" i="1"/>
  <c r="Q234" i="1"/>
  <c r="Q233" i="1"/>
  <c r="Q232" i="1"/>
  <c r="Q231" i="1"/>
  <c r="Q230" i="1"/>
  <c r="Q229" i="1"/>
  <c r="Q228" i="1"/>
  <c r="Q227" i="1"/>
  <c r="Q226" i="1"/>
  <c r="Q225" i="1"/>
  <c r="Q224" i="1"/>
  <c r="Q223" i="1"/>
  <c r="Q222" i="1"/>
  <c r="Q221" i="1"/>
  <c r="Q220" i="1"/>
  <c r="Q219" i="1"/>
  <c r="Q218" i="1"/>
  <c r="Q217" i="1"/>
  <c r="Q216" i="1"/>
  <c r="Q215" i="1"/>
  <c r="Q214" i="1"/>
  <c r="Q213" i="1"/>
  <c r="Q212" i="1"/>
  <c r="Q211" i="1"/>
  <c r="Q210" i="1"/>
  <c r="Q209" i="1"/>
  <c r="Q208" i="1"/>
  <c r="Q207" i="1"/>
  <c r="Q206" i="1"/>
  <c r="Q205" i="1"/>
  <c r="Q204" i="1"/>
  <c r="Q203" i="1"/>
  <c r="Q202" i="1"/>
  <c r="Q201" i="1"/>
  <c r="Q200" i="1"/>
  <c r="Q199" i="1"/>
  <c r="Q198" i="1"/>
  <c r="Q197" i="1"/>
  <c r="Q196" i="1"/>
  <c r="Q195" i="1"/>
  <c r="Q194" i="1"/>
  <c r="Q193" i="1"/>
  <c r="Q192" i="1"/>
  <c r="Q191" i="1"/>
  <c r="Q190" i="1"/>
  <c r="Q189" i="1"/>
  <c r="Q188" i="1"/>
  <c r="Q187" i="1"/>
  <c r="Q186" i="1"/>
  <c r="Q185" i="1"/>
  <c r="Q184" i="1"/>
  <c r="Q183" i="1"/>
  <c r="Q182" i="1"/>
  <c r="Q181" i="1"/>
  <c r="Q180" i="1"/>
  <c r="Q179" i="1"/>
  <c r="Q178" i="1"/>
  <c r="Q177" i="1"/>
  <c r="Q176" i="1"/>
  <c r="Q175" i="1"/>
  <c r="Q174" i="1"/>
  <c r="Q173" i="1"/>
  <c r="Q172" i="1"/>
  <c r="Q171" i="1"/>
  <c r="Q170" i="1"/>
  <c r="Q169" i="1"/>
  <c r="Q168" i="1"/>
  <c r="Q167" i="1"/>
  <c r="Q166" i="1"/>
  <c r="Q165" i="1"/>
  <c r="Q164" i="1"/>
  <c r="Q163" i="1"/>
  <c r="Q162" i="1"/>
  <c r="Q161" i="1"/>
  <c r="Q160" i="1"/>
  <c r="Q159" i="1"/>
  <c r="Q158" i="1"/>
  <c r="Q157" i="1"/>
  <c r="Q156" i="1"/>
  <c r="Q155" i="1"/>
  <c r="Q15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O283" i="1"/>
  <c r="O282" i="1"/>
  <c r="O281" i="1"/>
  <c r="O280" i="1"/>
  <c r="O279" i="1"/>
  <c r="O278" i="1"/>
  <c r="O277" i="1"/>
  <c r="O276" i="1"/>
  <c r="O275" i="1"/>
  <c r="O274" i="1"/>
  <c r="O273" i="1"/>
  <c r="O272" i="1"/>
  <c r="O271" i="1"/>
  <c r="O270" i="1"/>
  <c r="O269" i="1"/>
  <c r="O268" i="1"/>
  <c r="O267" i="1"/>
  <c r="O266" i="1"/>
  <c r="O265" i="1"/>
  <c r="O264" i="1"/>
  <c r="O263" i="1"/>
  <c r="O262" i="1"/>
  <c r="O261" i="1"/>
  <c r="O260" i="1"/>
  <c r="O259" i="1"/>
  <c r="O258" i="1"/>
  <c r="O257" i="1"/>
  <c r="O256" i="1"/>
  <c r="O255" i="1"/>
  <c r="O254" i="1"/>
  <c r="O253" i="1"/>
  <c r="O252" i="1"/>
  <c r="O251" i="1"/>
  <c r="O250" i="1"/>
  <c r="O249" i="1"/>
  <c r="O248" i="1"/>
  <c r="O247" i="1"/>
  <c r="O246" i="1"/>
  <c r="O245" i="1"/>
  <c r="O244" i="1"/>
  <c r="O243" i="1"/>
  <c r="O242" i="1"/>
  <c r="O241" i="1"/>
  <c r="O240" i="1"/>
  <c r="O239" i="1"/>
  <c r="O238" i="1"/>
  <c r="O237" i="1"/>
  <c r="O236" i="1"/>
  <c r="O235" i="1"/>
  <c r="O234" i="1"/>
  <c r="O233" i="1"/>
  <c r="O232" i="1"/>
  <c r="O231" i="1"/>
  <c r="O230" i="1"/>
  <c r="O229" i="1"/>
  <c r="O228" i="1"/>
  <c r="O227" i="1"/>
  <c r="O226" i="1"/>
  <c r="O225" i="1"/>
  <c r="O224" i="1"/>
  <c r="O223" i="1"/>
  <c r="O222" i="1"/>
  <c r="O221" i="1"/>
  <c r="O220" i="1"/>
  <c r="O219" i="1"/>
  <c r="O218" i="1"/>
  <c r="O217" i="1"/>
  <c r="O216" i="1"/>
  <c r="O215" i="1"/>
  <c r="O214" i="1"/>
  <c r="O213" i="1"/>
  <c r="O212" i="1"/>
  <c r="O211" i="1"/>
  <c r="O210" i="1"/>
  <c r="O209" i="1"/>
  <c r="O208" i="1"/>
  <c r="O207" i="1"/>
  <c r="O206" i="1"/>
  <c r="O205" i="1"/>
  <c r="O204" i="1"/>
  <c r="O203" i="1"/>
  <c r="O202" i="1"/>
  <c r="O201" i="1"/>
  <c r="O200" i="1"/>
  <c r="O199" i="1"/>
  <c r="O198" i="1"/>
  <c r="O197" i="1"/>
  <c r="O196" i="1"/>
  <c r="O195" i="1"/>
  <c r="O194" i="1"/>
  <c r="O193" i="1"/>
  <c r="O192" i="1"/>
  <c r="O191" i="1"/>
  <c r="O190" i="1"/>
  <c r="O189" i="1"/>
  <c r="O188" i="1"/>
  <c r="O187" i="1"/>
  <c r="O186" i="1"/>
  <c r="O185" i="1"/>
  <c r="O184" i="1"/>
  <c r="O183" i="1"/>
  <c r="O179" i="1"/>
  <c r="O178" i="1"/>
  <c r="O177" i="1"/>
  <c r="O176" i="1"/>
  <c r="O175" i="1"/>
  <c r="O174" i="1"/>
  <c r="O173" i="1"/>
  <c r="O172" i="1"/>
  <c r="O168" i="1"/>
  <c r="O167" i="1"/>
  <c r="O166" i="1"/>
  <c r="O165" i="1"/>
  <c r="O164" i="1"/>
  <c r="O163" i="1"/>
  <c r="O162" i="1"/>
  <c r="O161" i="1"/>
  <c r="O160" i="1"/>
  <c r="O159" i="1"/>
  <c r="O158" i="1"/>
  <c r="O157" i="1"/>
  <c r="O156" i="1"/>
  <c r="O155" i="1"/>
  <c r="O154" i="1"/>
  <c r="N283" i="1"/>
  <c r="N282" i="1"/>
  <c r="N281" i="1"/>
  <c r="N280" i="1"/>
  <c r="N279" i="1"/>
  <c r="N278" i="1"/>
  <c r="N277" i="1"/>
  <c r="N276" i="1"/>
  <c r="N275" i="1"/>
  <c r="N274" i="1"/>
  <c r="N273" i="1"/>
  <c r="N272" i="1"/>
  <c r="N271" i="1"/>
  <c r="N270" i="1"/>
  <c r="N269" i="1"/>
  <c r="N268" i="1"/>
  <c r="N267" i="1"/>
  <c r="N266" i="1"/>
  <c r="N265" i="1"/>
  <c r="N264" i="1"/>
  <c r="N263" i="1"/>
  <c r="N262" i="1"/>
  <c r="N261" i="1"/>
  <c r="N260" i="1"/>
  <c r="N259" i="1"/>
  <c r="N258" i="1"/>
  <c r="N257" i="1"/>
  <c r="N256" i="1"/>
  <c r="N255" i="1"/>
  <c r="N254" i="1"/>
  <c r="N253" i="1"/>
  <c r="N252" i="1"/>
  <c r="N251" i="1"/>
  <c r="N250" i="1"/>
  <c r="N249" i="1"/>
  <c r="N248" i="1"/>
  <c r="N247" i="1"/>
  <c r="N246" i="1"/>
  <c r="N245" i="1"/>
  <c r="N244" i="1"/>
  <c r="N243" i="1"/>
  <c r="N242" i="1"/>
  <c r="N241" i="1"/>
  <c r="N240" i="1"/>
  <c r="N239" i="1"/>
  <c r="N238" i="1"/>
  <c r="N237" i="1"/>
  <c r="N236" i="1"/>
  <c r="N235" i="1"/>
  <c r="N234" i="1"/>
  <c r="N233" i="1"/>
  <c r="N232" i="1"/>
  <c r="N231" i="1"/>
  <c r="N230" i="1"/>
  <c r="N229" i="1"/>
  <c r="N228" i="1"/>
  <c r="N227" i="1"/>
  <c r="N226" i="1"/>
  <c r="N225" i="1"/>
  <c r="N224" i="1"/>
  <c r="N223" i="1"/>
  <c r="N222" i="1"/>
  <c r="N221" i="1"/>
  <c r="N220" i="1"/>
  <c r="N219" i="1"/>
  <c r="N218" i="1"/>
  <c r="N217" i="1"/>
  <c r="N216" i="1"/>
  <c r="N215" i="1"/>
  <c r="N214" i="1"/>
  <c r="N213" i="1"/>
  <c r="N212" i="1"/>
  <c r="N211" i="1"/>
  <c r="N210" i="1"/>
  <c r="N209" i="1"/>
  <c r="N208" i="1"/>
  <c r="N207" i="1"/>
  <c r="N206" i="1"/>
  <c r="N205" i="1"/>
  <c r="N204" i="1"/>
  <c r="N203" i="1"/>
  <c r="N202" i="1"/>
  <c r="N201" i="1"/>
  <c r="N200" i="1"/>
  <c r="N199" i="1"/>
  <c r="N198" i="1"/>
  <c r="N197" i="1"/>
  <c r="N196" i="1"/>
  <c r="N195" i="1"/>
  <c r="N194" i="1"/>
  <c r="N193" i="1"/>
  <c r="N192" i="1"/>
  <c r="N191" i="1"/>
  <c r="N190" i="1"/>
  <c r="N189" i="1"/>
  <c r="N188" i="1"/>
  <c r="N187" i="1"/>
  <c r="N186" i="1"/>
  <c r="N185" i="1"/>
  <c r="N184" i="1"/>
  <c r="N183" i="1"/>
  <c r="N179" i="1"/>
  <c r="N178" i="1"/>
  <c r="N177" i="1"/>
  <c r="N176" i="1"/>
  <c r="N175" i="1"/>
  <c r="N174" i="1"/>
  <c r="N173" i="1"/>
  <c r="N172" i="1"/>
  <c r="N168" i="1"/>
  <c r="N167" i="1"/>
  <c r="N166" i="1"/>
  <c r="N165" i="1"/>
  <c r="N164" i="1"/>
  <c r="N163" i="1"/>
  <c r="N162" i="1"/>
  <c r="N161" i="1"/>
  <c r="N160" i="1"/>
  <c r="N159" i="1"/>
  <c r="N158" i="1"/>
  <c r="N157" i="1"/>
  <c r="N156" i="1"/>
  <c r="N155" i="1"/>
  <c r="N154" i="1"/>
  <c r="M283" i="1"/>
  <c r="M282" i="1"/>
  <c r="M281" i="1"/>
  <c r="M280" i="1"/>
  <c r="M279" i="1"/>
  <c r="M278" i="1"/>
  <c r="M277" i="1"/>
  <c r="M276" i="1"/>
  <c r="M275" i="1"/>
  <c r="M274" i="1"/>
  <c r="M273" i="1"/>
  <c r="M272" i="1"/>
  <c r="M271" i="1"/>
  <c r="M270" i="1"/>
  <c r="M269" i="1"/>
  <c r="M268" i="1"/>
  <c r="M267" i="1"/>
  <c r="M266" i="1"/>
  <c r="M265" i="1"/>
  <c r="M264" i="1"/>
  <c r="M263" i="1"/>
  <c r="M262" i="1"/>
  <c r="M261" i="1"/>
  <c r="M260" i="1"/>
  <c r="M259" i="1"/>
  <c r="M258" i="1"/>
  <c r="M257" i="1"/>
  <c r="M256" i="1"/>
  <c r="M255" i="1"/>
  <c r="M254" i="1"/>
  <c r="M253" i="1"/>
  <c r="M252" i="1"/>
  <c r="M251" i="1"/>
  <c r="M250" i="1"/>
  <c r="M249" i="1"/>
  <c r="M248" i="1"/>
  <c r="M247" i="1"/>
  <c r="M246" i="1"/>
  <c r="M245" i="1"/>
  <c r="M244" i="1"/>
  <c r="M243" i="1"/>
  <c r="M242" i="1"/>
  <c r="M241" i="1"/>
  <c r="M240" i="1"/>
  <c r="M239" i="1"/>
  <c r="M238" i="1"/>
  <c r="M237" i="1"/>
  <c r="M236" i="1"/>
  <c r="M235" i="1"/>
  <c r="M234" i="1"/>
  <c r="M233" i="1"/>
  <c r="M232" i="1"/>
  <c r="M231" i="1"/>
  <c r="M230" i="1"/>
  <c r="M229" i="1"/>
  <c r="M228" i="1"/>
  <c r="M227" i="1"/>
  <c r="M226" i="1"/>
  <c r="M225" i="1"/>
  <c r="M224" i="1"/>
  <c r="M223" i="1"/>
  <c r="M222" i="1"/>
  <c r="M221" i="1"/>
  <c r="M220" i="1"/>
  <c r="M219" i="1"/>
  <c r="M218" i="1"/>
  <c r="M217" i="1"/>
  <c r="M216" i="1"/>
  <c r="M215" i="1"/>
  <c r="M214" i="1"/>
  <c r="M213" i="1"/>
  <c r="M212" i="1"/>
  <c r="M211" i="1"/>
  <c r="M210" i="1"/>
  <c r="M209" i="1"/>
  <c r="M208" i="1"/>
  <c r="M207" i="1"/>
  <c r="M206" i="1"/>
  <c r="M205" i="1"/>
  <c r="M204" i="1"/>
  <c r="M203" i="1"/>
  <c r="M202" i="1"/>
  <c r="M201" i="1"/>
  <c r="M200" i="1"/>
  <c r="M199" i="1"/>
  <c r="M198" i="1"/>
  <c r="M197" i="1"/>
  <c r="M196" i="1"/>
  <c r="M195" i="1"/>
  <c r="M194" i="1"/>
  <c r="M193" i="1"/>
  <c r="M192" i="1"/>
  <c r="M191" i="1"/>
  <c r="M190" i="1"/>
  <c r="M189" i="1"/>
  <c r="M188" i="1"/>
  <c r="M187" i="1"/>
  <c r="M186" i="1"/>
  <c r="M185" i="1"/>
  <c r="M184" i="1"/>
  <c r="M183" i="1"/>
  <c r="M182" i="1"/>
  <c r="M181" i="1"/>
  <c r="M180" i="1"/>
  <c r="M179" i="1"/>
  <c r="M178" i="1"/>
  <c r="M177" i="1"/>
  <c r="M176" i="1"/>
  <c r="M175" i="1"/>
  <c r="M174" i="1"/>
  <c r="M173" i="1"/>
  <c r="M172" i="1"/>
  <c r="M171" i="1"/>
  <c r="M170" i="1"/>
  <c r="M169" i="1"/>
  <c r="M168" i="1"/>
  <c r="M167" i="1"/>
  <c r="M166" i="1"/>
  <c r="M165" i="1"/>
  <c r="M164" i="1"/>
  <c r="M163" i="1"/>
  <c r="M162" i="1"/>
  <c r="M161" i="1"/>
  <c r="M160" i="1"/>
  <c r="M159" i="1"/>
  <c r="M158" i="1"/>
  <c r="M157" i="1"/>
  <c r="M156" i="1"/>
  <c r="M155" i="1"/>
  <c r="M154" i="1"/>
  <c r="L283" i="1"/>
  <c r="L282" i="1"/>
  <c r="L281" i="1"/>
  <c r="L280" i="1"/>
  <c r="L279" i="1"/>
  <c r="L278" i="1"/>
  <c r="L277" i="1"/>
  <c r="L276" i="1"/>
  <c r="L275" i="1"/>
  <c r="L274" i="1"/>
  <c r="L273" i="1"/>
  <c r="L272" i="1"/>
  <c r="L271" i="1"/>
  <c r="L270" i="1"/>
  <c r="L269" i="1"/>
  <c r="L268" i="1"/>
  <c r="L267" i="1"/>
  <c r="L266" i="1"/>
  <c r="L265" i="1"/>
  <c r="L264" i="1"/>
  <c r="L263" i="1"/>
  <c r="L262" i="1"/>
  <c r="L261" i="1"/>
  <c r="L260" i="1"/>
  <c r="L259" i="1"/>
  <c r="L258" i="1"/>
  <c r="L257" i="1"/>
  <c r="L256" i="1"/>
  <c r="L255" i="1"/>
  <c r="L254" i="1"/>
  <c r="L253" i="1"/>
  <c r="L252" i="1"/>
  <c r="L251" i="1"/>
  <c r="L250" i="1"/>
  <c r="L249" i="1"/>
  <c r="L248" i="1"/>
  <c r="L247" i="1"/>
  <c r="L246" i="1"/>
  <c r="L245" i="1"/>
  <c r="L244" i="1"/>
  <c r="L243" i="1"/>
  <c r="L242" i="1"/>
  <c r="L241" i="1"/>
  <c r="L240" i="1"/>
  <c r="L239" i="1"/>
  <c r="L238" i="1"/>
  <c r="L237" i="1"/>
  <c r="L236" i="1"/>
  <c r="L235" i="1"/>
  <c r="L234" i="1"/>
  <c r="L233" i="1"/>
  <c r="L232" i="1"/>
  <c r="L231" i="1"/>
  <c r="L230" i="1"/>
  <c r="L229" i="1"/>
  <c r="L228" i="1"/>
  <c r="L227" i="1"/>
  <c r="L226" i="1"/>
  <c r="L225" i="1"/>
  <c r="L224" i="1"/>
  <c r="L223" i="1"/>
  <c r="L222" i="1"/>
  <c r="L221" i="1"/>
  <c r="L220" i="1"/>
  <c r="L219" i="1"/>
  <c r="L218" i="1"/>
  <c r="L217" i="1"/>
  <c r="L216" i="1"/>
  <c r="L215" i="1"/>
  <c r="L214" i="1"/>
  <c r="L213" i="1"/>
  <c r="L212" i="1"/>
  <c r="L211" i="1"/>
  <c r="L210" i="1"/>
  <c r="L209" i="1"/>
  <c r="L208" i="1"/>
  <c r="L207" i="1"/>
  <c r="L206" i="1"/>
  <c r="L205" i="1"/>
  <c r="L204" i="1"/>
  <c r="L203" i="1"/>
  <c r="L202" i="1"/>
  <c r="L201" i="1"/>
  <c r="L200" i="1"/>
  <c r="L199" i="1"/>
  <c r="L198" i="1"/>
  <c r="L197" i="1"/>
  <c r="L196" i="1"/>
  <c r="L195" i="1"/>
  <c r="L194" i="1"/>
  <c r="L193" i="1"/>
  <c r="L192" i="1"/>
  <c r="L191" i="1"/>
  <c r="L190" i="1"/>
  <c r="L189" i="1"/>
  <c r="L188" i="1"/>
  <c r="L187" i="1"/>
  <c r="L186" i="1"/>
  <c r="L185" i="1"/>
  <c r="L184" i="1"/>
  <c r="L183" i="1"/>
  <c r="L182" i="1"/>
  <c r="L181" i="1"/>
  <c r="L180" i="1"/>
  <c r="L179" i="1"/>
  <c r="L178" i="1"/>
  <c r="L177" i="1"/>
  <c r="L176" i="1"/>
  <c r="L175" i="1"/>
  <c r="L174" i="1"/>
  <c r="L173" i="1"/>
  <c r="L172" i="1"/>
  <c r="L171" i="1"/>
  <c r="L170" i="1"/>
  <c r="L169" i="1"/>
  <c r="L168" i="1"/>
  <c r="L167" i="1"/>
  <c r="L166" i="1"/>
  <c r="L165" i="1"/>
  <c r="L164" i="1"/>
  <c r="L163" i="1"/>
  <c r="L162" i="1"/>
  <c r="L161" i="1"/>
  <c r="L160" i="1"/>
  <c r="L159" i="1"/>
  <c r="L158" i="1"/>
  <c r="L157" i="1"/>
  <c r="L156" i="1"/>
  <c r="L155" i="1"/>
  <c r="L154" i="1"/>
  <c r="K283" i="1"/>
  <c r="K282" i="1"/>
  <c r="K281" i="1"/>
  <c r="K280" i="1"/>
  <c r="K279" i="1"/>
  <c r="K278" i="1"/>
  <c r="K277" i="1"/>
  <c r="K276" i="1"/>
  <c r="K275" i="1"/>
  <c r="K274" i="1"/>
  <c r="K273" i="1"/>
  <c r="K272" i="1"/>
  <c r="K271" i="1"/>
  <c r="K270" i="1"/>
  <c r="K269" i="1"/>
  <c r="K268" i="1"/>
  <c r="K267" i="1"/>
  <c r="K266" i="1"/>
  <c r="K265" i="1"/>
  <c r="K264" i="1"/>
  <c r="K263" i="1"/>
  <c r="K262" i="1"/>
  <c r="K261" i="1"/>
  <c r="K260" i="1"/>
  <c r="K259" i="1"/>
  <c r="K258" i="1"/>
  <c r="K257" i="1"/>
  <c r="K256" i="1"/>
  <c r="K255" i="1"/>
  <c r="K254" i="1"/>
  <c r="K253" i="1"/>
  <c r="K252" i="1"/>
  <c r="K251" i="1"/>
  <c r="K250" i="1"/>
  <c r="K249" i="1"/>
  <c r="K248" i="1"/>
  <c r="K247" i="1"/>
  <c r="K246" i="1"/>
  <c r="K245" i="1"/>
  <c r="K244" i="1"/>
  <c r="K243" i="1"/>
  <c r="K242" i="1"/>
  <c r="K241" i="1"/>
  <c r="K240" i="1"/>
  <c r="K239" i="1"/>
  <c r="K238" i="1"/>
  <c r="K237" i="1"/>
  <c r="K236" i="1"/>
  <c r="K235" i="1"/>
  <c r="K234" i="1"/>
  <c r="K233" i="1"/>
  <c r="K232" i="1"/>
  <c r="K231" i="1"/>
  <c r="K230" i="1"/>
  <c r="K229" i="1"/>
  <c r="K228" i="1"/>
  <c r="K227" i="1"/>
  <c r="K226" i="1"/>
  <c r="K225" i="1"/>
  <c r="K224" i="1"/>
  <c r="K223" i="1"/>
  <c r="K222" i="1"/>
  <c r="K221" i="1"/>
  <c r="K220" i="1"/>
  <c r="K219" i="1"/>
  <c r="K218" i="1"/>
  <c r="K217" i="1"/>
  <c r="K216" i="1"/>
  <c r="K215" i="1"/>
  <c r="K214" i="1"/>
  <c r="K213" i="1"/>
  <c r="K212" i="1"/>
  <c r="K211" i="1"/>
  <c r="K210" i="1"/>
  <c r="K209" i="1"/>
  <c r="K208" i="1"/>
  <c r="K207" i="1"/>
  <c r="K206" i="1"/>
  <c r="K205" i="1"/>
  <c r="K204" i="1"/>
  <c r="K203" i="1"/>
  <c r="K202" i="1"/>
  <c r="K201" i="1"/>
  <c r="K200" i="1"/>
  <c r="K199" i="1"/>
  <c r="K198" i="1"/>
  <c r="K197" i="1"/>
  <c r="K196" i="1"/>
  <c r="K195" i="1"/>
  <c r="K194" i="1"/>
  <c r="K193" i="1"/>
  <c r="K192" i="1"/>
  <c r="K191" i="1"/>
  <c r="K190" i="1"/>
  <c r="K189" i="1"/>
  <c r="K188" i="1"/>
  <c r="K187" i="1"/>
  <c r="K186" i="1"/>
  <c r="K185" i="1"/>
  <c r="K184" i="1"/>
  <c r="K183" i="1"/>
  <c r="K182" i="1"/>
  <c r="K181" i="1"/>
  <c r="K180" i="1"/>
  <c r="K179" i="1"/>
  <c r="K178" i="1"/>
  <c r="K177" i="1"/>
  <c r="K176" i="1"/>
  <c r="K175" i="1"/>
  <c r="K174" i="1"/>
  <c r="K173" i="1"/>
  <c r="K172" i="1"/>
  <c r="K171" i="1"/>
  <c r="K170" i="1"/>
  <c r="K169" i="1"/>
  <c r="K168" i="1"/>
  <c r="K167" i="1"/>
  <c r="K166" i="1"/>
  <c r="K165" i="1"/>
  <c r="K164" i="1"/>
  <c r="K163" i="1"/>
  <c r="K162" i="1"/>
  <c r="K161" i="1"/>
  <c r="K160" i="1"/>
  <c r="K159" i="1"/>
  <c r="K158" i="1"/>
  <c r="K157" i="1"/>
  <c r="K156" i="1"/>
  <c r="K155" i="1"/>
  <c r="K154" i="1"/>
  <c r="J283" i="1"/>
  <c r="J282" i="1"/>
  <c r="J281" i="1"/>
  <c r="J280" i="1"/>
  <c r="J279" i="1"/>
  <c r="J278" i="1"/>
  <c r="J277" i="1"/>
  <c r="J276" i="1"/>
  <c r="J275" i="1"/>
  <c r="J274" i="1"/>
  <c r="J273" i="1"/>
  <c r="J272" i="1"/>
  <c r="J271" i="1"/>
  <c r="J270" i="1"/>
  <c r="J269" i="1"/>
  <c r="J268" i="1"/>
  <c r="J267" i="1"/>
  <c r="J266" i="1"/>
  <c r="J265" i="1"/>
  <c r="J264" i="1"/>
  <c r="J263" i="1"/>
  <c r="J262" i="1"/>
  <c r="J261" i="1"/>
  <c r="J260" i="1"/>
  <c r="J259" i="1"/>
  <c r="J258" i="1"/>
  <c r="J257" i="1"/>
  <c r="J256" i="1"/>
  <c r="J255" i="1"/>
  <c r="J254" i="1"/>
  <c r="J253" i="1"/>
  <c r="J252" i="1"/>
  <c r="J251" i="1"/>
  <c r="J250" i="1"/>
  <c r="J249" i="1"/>
  <c r="J248" i="1"/>
  <c r="J247" i="1"/>
  <c r="J246" i="1"/>
  <c r="J245" i="1"/>
  <c r="J244" i="1"/>
  <c r="J243" i="1"/>
  <c r="J242" i="1"/>
  <c r="J241" i="1"/>
  <c r="J240" i="1"/>
  <c r="J239" i="1"/>
  <c r="J238" i="1"/>
  <c r="J237" i="1"/>
  <c r="J236" i="1"/>
  <c r="J235" i="1"/>
  <c r="J234" i="1"/>
  <c r="J233" i="1"/>
  <c r="J232" i="1"/>
  <c r="J231" i="1"/>
  <c r="J230" i="1"/>
  <c r="J229" i="1"/>
  <c r="J228" i="1"/>
  <c r="J227" i="1"/>
  <c r="J226" i="1"/>
  <c r="J225" i="1"/>
  <c r="J224" i="1"/>
  <c r="J223" i="1"/>
  <c r="J222" i="1"/>
  <c r="J221" i="1"/>
  <c r="J220" i="1"/>
  <c r="J219" i="1"/>
  <c r="J218" i="1"/>
  <c r="J217" i="1"/>
  <c r="J216" i="1"/>
  <c r="J215" i="1"/>
  <c r="J214" i="1"/>
  <c r="J213" i="1"/>
  <c r="J212" i="1"/>
  <c r="J211" i="1"/>
  <c r="J210" i="1"/>
  <c r="J209" i="1"/>
  <c r="J208" i="1"/>
  <c r="J207" i="1"/>
  <c r="J206" i="1"/>
  <c r="J205" i="1"/>
  <c r="J204" i="1"/>
  <c r="J203" i="1"/>
  <c r="J202" i="1"/>
  <c r="J201" i="1"/>
  <c r="J200" i="1"/>
  <c r="J199" i="1"/>
  <c r="J198" i="1"/>
  <c r="J197" i="1"/>
  <c r="J196" i="1"/>
  <c r="J195" i="1"/>
  <c r="J194" i="1"/>
  <c r="J193" i="1"/>
  <c r="J192" i="1"/>
  <c r="J191" i="1"/>
  <c r="J190" i="1"/>
  <c r="J189" i="1"/>
  <c r="J188" i="1"/>
  <c r="J187" i="1"/>
  <c r="J186" i="1"/>
  <c r="J185" i="1"/>
  <c r="J184" i="1"/>
  <c r="J183" i="1"/>
  <c r="J182" i="1"/>
  <c r="J181" i="1"/>
  <c r="J180" i="1"/>
  <c r="J179" i="1"/>
  <c r="J178" i="1"/>
  <c r="J177" i="1"/>
  <c r="J176" i="1"/>
  <c r="J175" i="1"/>
  <c r="J174" i="1"/>
  <c r="J173" i="1"/>
  <c r="J172" i="1"/>
  <c r="J171" i="1"/>
  <c r="J170" i="1"/>
  <c r="J169" i="1"/>
  <c r="J168" i="1"/>
  <c r="J167" i="1"/>
  <c r="J166" i="1"/>
  <c r="J165" i="1"/>
  <c r="J164" i="1"/>
  <c r="J163" i="1"/>
  <c r="J162" i="1"/>
  <c r="J161" i="1"/>
  <c r="J160" i="1"/>
  <c r="J159" i="1"/>
  <c r="J158" i="1"/>
  <c r="J157" i="1"/>
  <c r="J156" i="1"/>
  <c r="J155" i="1"/>
  <c r="J154" i="1"/>
  <c r="I283" i="1"/>
  <c r="I282" i="1"/>
  <c r="I281" i="1"/>
  <c r="I280" i="1"/>
  <c r="I279" i="1"/>
  <c r="I278" i="1"/>
  <c r="I277" i="1"/>
  <c r="I276" i="1"/>
  <c r="I275" i="1"/>
  <c r="I274" i="1"/>
  <c r="I273" i="1"/>
  <c r="I272" i="1"/>
  <c r="I271" i="1"/>
  <c r="I270" i="1"/>
  <c r="I269" i="1"/>
  <c r="I268" i="1"/>
  <c r="I267" i="1"/>
  <c r="I266" i="1"/>
  <c r="I265" i="1"/>
  <c r="I264" i="1"/>
  <c r="I263" i="1"/>
  <c r="I262" i="1"/>
  <c r="I261" i="1"/>
  <c r="I260" i="1"/>
  <c r="I259" i="1"/>
  <c r="I258" i="1"/>
  <c r="I257" i="1"/>
  <c r="I256" i="1"/>
  <c r="I255" i="1"/>
  <c r="I254" i="1"/>
  <c r="I253" i="1"/>
  <c r="I252" i="1"/>
  <c r="I251" i="1"/>
  <c r="I250" i="1"/>
  <c r="I249" i="1"/>
  <c r="I248" i="1"/>
  <c r="I247" i="1"/>
  <c r="I246" i="1"/>
  <c r="I245" i="1"/>
  <c r="I244" i="1"/>
  <c r="I243" i="1"/>
  <c r="I242" i="1"/>
  <c r="I241" i="1"/>
  <c r="I240" i="1"/>
  <c r="I239" i="1"/>
  <c r="I238" i="1"/>
  <c r="I237" i="1"/>
  <c r="I236" i="1"/>
  <c r="I235" i="1"/>
  <c r="I234" i="1"/>
  <c r="I233" i="1"/>
  <c r="I232" i="1"/>
  <c r="I231" i="1"/>
  <c r="I230" i="1"/>
  <c r="I229" i="1"/>
  <c r="I228" i="1"/>
  <c r="I227" i="1"/>
  <c r="I226" i="1"/>
  <c r="I225" i="1"/>
  <c r="I224" i="1"/>
  <c r="I223" i="1"/>
  <c r="I222" i="1"/>
  <c r="I221" i="1"/>
  <c r="I220" i="1"/>
  <c r="I219" i="1"/>
  <c r="I218" i="1"/>
  <c r="I217" i="1"/>
  <c r="I216" i="1"/>
  <c r="I215" i="1"/>
  <c r="I214" i="1"/>
  <c r="I213" i="1"/>
  <c r="I212" i="1"/>
  <c r="I211" i="1"/>
  <c r="I210" i="1"/>
  <c r="I209" i="1"/>
  <c r="I208" i="1"/>
  <c r="I207" i="1"/>
  <c r="I206" i="1"/>
  <c r="I205" i="1"/>
  <c r="I204" i="1"/>
  <c r="I203" i="1"/>
  <c r="I202" i="1"/>
  <c r="I201" i="1"/>
  <c r="I200" i="1"/>
  <c r="I199" i="1"/>
  <c r="I198" i="1"/>
  <c r="I197" i="1"/>
  <c r="I196" i="1"/>
  <c r="I195" i="1"/>
  <c r="I194" i="1"/>
  <c r="I193" i="1"/>
  <c r="I192" i="1"/>
  <c r="I191" i="1"/>
  <c r="I190" i="1"/>
  <c r="I189" i="1"/>
  <c r="I188" i="1"/>
  <c r="I187" i="1"/>
  <c r="I186" i="1"/>
  <c r="I185" i="1"/>
  <c r="I184" i="1"/>
  <c r="I183" i="1"/>
  <c r="I182" i="1"/>
  <c r="I181" i="1"/>
  <c r="I180" i="1"/>
  <c r="I179" i="1"/>
  <c r="I178" i="1"/>
  <c r="I177" i="1"/>
  <c r="I176" i="1"/>
  <c r="I175" i="1"/>
  <c r="I174" i="1"/>
  <c r="I173" i="1"/>
  <c r="I172" i="1"/>
  <c r="I171" i="1"/>
  <c r="I170" i="1"/>
  <c r="I169" i="1"/>
  <c r="I168" i="1"/>
  <c r="I167" i="1"/>
  <c r="I166" i="1"/>
  <c r="I165" i="1"/>
  <c r="I164" i="1"/>
  <c r="I163" i="1"/>
  <c r="I162" i="1"/>
  <c r="I161" i="1"/>
  <c r="I160" i="1"/>
  <c r="I159" i="1"/>
  <c r="I158" i="1"/>
  <c r="I157" i="1"/>
  <c r="I156" i="1"/>
  <c r="I155" i="1"/>
  <c r="I154" i="1"/>
  <c r="H283" i="1"/>
  <c r="H282" i="1"/>
  <c r="H281" i="1"/>
  <c r="H280" i="1"/>
  <c r="H279" i="1"/>
  <c r="H278" i="1"/>
  <c r="H277" i="1"/>
  <c r="H276" i="1"/>
  <c r="H275" i="1"/>
  <c r="H274" i="1"/>
  <c r="H273" i="1"/>
  <c r="H272" i="1"/>
  <c r="H271" i="1"/>
  <c r="H270" i="1"/>
  <c r="H269" i="1"/>
  <c r="H268" i="1"/>
  <c r="H267" i="1"/>
  <c r="H266" i="1"/>
  <c r="H265" i="1"/>
  <c r="H264" i="1"/>
  <c r="H263" i="1"/>
  <c r="H262" i="1"/>
  <c r="H261" i="1"/>
  <c r="H260" i="1"/>
  <c r="H259" i="1"/>
  <c r="H258" i="1"/>
  <c r="H257" i="1"/>
  <c r="H256" i="1"/>
  <c r="H255" i="1"/>
  <c r="H254" i="1"/>
  <c r="H253" i="1"/>
  <c r="H252" i="1"/>
  <c r="H251" i="1"/>
  <c r="H250" i="1"/>
  <c r="H249" i="1"/>
  <c r="H248" i="1"/>
  <c r="H247" i="1"/>
  <c r="H246" i="1"/>
  <c r="H245" i="1"/>
  <c r="H244" i="1"/>
  <c r="H243" i="1"/>
  <c r="H242" i="1"/>
  <c r="H241" i="1"/>
  <c r="H240" i="1"/>
  <c r="H239" i="1"/>
  <c r="H238" i="1"/>
  <c r="H237" i="1"/>
  <c r="H236" i="1"/>
  <c r="H235" i="1"/>
  <c r="H234" i="1"/>
  <c r="H233" i="1"/>
  <c r="H232" i="1"/>
  <c r="H231" i="1"/>
  <c r="H230" i="1"/>
  <c r="H229" i="1"/>
  <c r="H228" i="1"/>
  <c r="H227" i="1"/>
  <c r="H226" i="1"/>
  <c r="H225" i="1"/>
  <c r="H224" i="1"/>
  <c r="H223" i="1"/>
  <c r="H222" i="1"/>
  <c r="H221" i="1"/>
  <c r="H220" i="1"/>
  <c r="H219" i="1"/>
  <c r="H218" i="1"/>
  <c r="H217" i="1"/>
  <c r="H216" i="1"/>
  <c r="H215" i="1"/>
  <c r="H214" i="1"/>
  <c r="H213" i="1"/>
  <c r="H212" i="1"/>
  <c r="H211" i="1"/>
  <c r="H210" i="1"/>
  <c r="H209" i="1"/>
  <c r="H208" i="1"/>
  <c r="H207" i="1"/>
  <c r="H206" i="1"/>
  <c r="H205" i="1"/>
  <c r="H204" i="1"/>
  <c r="H203" i="1"/>
  <c r="H202" i="1"/>
  <c r="H201" i="1"/>
  <c r="H200" i="1"/>
  <c r="H199" i="1"/>
  <c r="H198" i="1"/>
  <c r="H197" i="1"/>
  <c r="H196" i="1"/>
  <c r="H195" i="1"/>
  <c r="H194" i="1"/>
  <c r="H193" i="1"/>
  <c r="H192" i="1"/>
  <c r="H191" i="1"/>
  <c r="H190" i="1"/>
  <c r="H189" i="1"/>
  <c r="H188" i="1"/>
  <c r="H187" i="1"/>
  <c r="H186" i="1"/>
  <c r="H185" i="1"/>
  <c r="H184" i="1"/>
  <c r="H183" i="1"/>
  <c r="H182" i="1"/>
  <c r="H181" i="1"/>
  <c r="H180" i="1"/>
  <c r="H179" i="1"/>
  <c r="H178" i="1"/>
  <c r="H177" i="1"/>
  <c r="H176" i="1"/>
  <c r="H175" i="1"/>
  <c r="H174" i="1"/>
  <c r="H173" i="1"/>
  <c r="H172" i="1"/>
  <c r="H171" i="1"/>
  <c r="H170" i="1"/>
  <c r="H169" i="1"/>
  <c r="H168" i="1"/>
  <c r="H167" i="1"/>
  <c r="H166" i="1"/>
  <c r="H165" i="1"/>
  <c r="H164" i="1"/>
  <c r="H163" i="1"/>
  <c r="H162" i="1"/>
  <c r="H161" i="1"/>
  <c r="H160" i="1"/>
  <c r="H159" i="1"/>
  <c r="H158" i="1"/>
  <c r="H157" i="1"/>
  <c r="H156" i="1"/>
  <c r="H155" i="1"/>
  <c r="H154" i="1"/>
  <c r="G283" i="1"/>
  <c r="G282" i="1"/>
  <c r="G281" i="1"/>
  <c r="G280" i="1"/>
  <c r="G279" i="1"/>
  <c r="G278" i="1"/>
  <c r="G277" i="1"/>
  <c r="G276" i="1"/>
  <c r="G275" i="1"/>
  <c r="G274" i="1"/>
  <c r="G273" i="1"/>
  <c r="G272" i="1"/>
  <c r="G271" i="1"/>
  <c r="G270" i="1"/>
  <c r="G269" i="1"/>
  <c r="G268" i="1"/>
  <c r="G267" i="1"/>
  <c r="G266" i="1"/>
  <c r="G265" i="1"/>
  <c r="G264" i="1"/>
  <c r="G263" i="1"/>
  <c r="G262" i="1"/>
  <c r="G261" i="1"/>
  <c r="G260" i="1"/>
  <c r="G259" i="1"/>
  <c r="G258" i="1"/>
  <c r="G257" i="1"/>
  <c r="G256" i="1"/>
  <c r="G255" i="1"/>
  <c r="G254" i="1"/>
  <c r="G253" i="1"/>
  <c r="G252" i="1"/>
  <c r="G251" i="1"/>
  <c r="G250" i="1"/>
  <c r="G249" i="1"/>
  <c r="G248" i="1"/>
  <c r="G247" i="1"/>
  <c r="G246" i="1"/>
  <c r="G245" i="1"/>
  <c r="G244" i="1"/>
  <c r="G243" i="1"/>
  <c r="G242" i="1"/>
  <c r="G241" i="1"/>
  <c r="G240" i="1"/>
  <c r="G239" i="1"/>
  <c r="G238" i="1"/>
  <c r="G237" i="1"/>
  <c r="G236" i="1"/>
  <c r="G235" i="1"/>
  <c r="G234" i="1"/>
  <c r="G233" i="1"/>
  <c r="G232" i="1"/>
  <c r="G231" i="1"/>
  <c r="G230" i="1"/>
  <c r="G229" i="1"/>
  <c r="G228" i="1"/>
  <c r="G227" i="1"/>
  <c r="G226" i="1"/>
  <c r="G225" i="1"/>
  <c r="G224" i="1"/>
  <c r="G223" i="1"/>
  <c r="G222" i="1"/>
  <c r="G221" i="1"/>
  <c r="G220" i="1"/>
  <c r="G219" i="1"/>
  <c r="G218" i="1"/>
  <c r="G217" i="1"/>
  <c r="G216" i="1"/>
  <c r="G215" i="1"/>
  <c r="G214" i="1"/>
  <c r="G213" i="1"/>
  <c r="G212" i="1"/>
  <c r="G211" i="1"/>
  <c r="G210" i="1"/>
  <c r="G209" i="1"/>
  <c r="G208" i="1"/>
  <c r="G207" i="1"/>
  <c r="G206" i="1"/>
  <c r="G205" i="1"/>
  <c r="G204" i="1"/>
  <c r="G203" i="1"/>
  <c r="G202" i="1"/>
  <c r="G201" i="1"/>
  <c r="G200" i="1"/>
  <c r="G199" i="1"/>
  <c r="G198" i="1"/>
  <c r="G197" i="1"/>
  <c r="G196" i="1"/>
  <c r="G195" i="1"/>
  <c r="G194" i="1"/>
  <c r="G193" i="1"/>
  <c r="G192" i="1"/>
  <c r="G191" i="1"/>
  <c r="G190" i="1"/>
  <c r="G189" i="1"/>
  <c r="G188" i="1"/>
  <c r="G187" i="1"/>
  <c r="G186" i="1"/>
  <c r="G185" i="1"/>
  <c r="G184" i="1"/>
  <c r="G183" i="1"/>
  <c r="G182" i="1"/>
  <c r="G181" i="1"/>
  <c r="G180" i="1"/>
  <c r="G179" i="1"/>
  <c r="G178" i="1"/>
  <c r="G177" i="1"/>
  <c r="G176" i="1"/>
  <c r="G175" i="1"/>
  <c r="G174" i="1"/>
  <c r="G173" i="1"/>
  <c r="G172" i="1"/>
  <c r="G171" i="1"/>
  <c r="G170" i="1"/>
  <c r="G169" i="1"/>
  <c r="G168" i="1"/>
  <c r="G167" i="1"/>
  <c r="G166" i="1"/>
  <c r="G165" i="1"/>
  <c r="G164" i="1"/>
  <c r="G163" i="1"/>
  <c r="G162" i="1"/>
  <c r="G161" i="1"/>
  <c r="G160" i="1"/>
  <c r="G159" i="1"/>
  <c r="G158" i="1"/>
  <c r="G157" i="1"/>
  <c r="G156" i="1"/>
  <c r="G155" i="1"/>
  <c r="G154" i="1"/>
  <c r="F283" i="1"/>
  <c r="F282" i="1"/>
  <c r="F281" i="1"/>
  <c r="F280" i="1"/>
  <c r="F279" i="1"/>
  <c r="F278" i="1"/>
  <c r="F277" i="1"/>
  <c r="F276" i="1"/>
  <c r="F275" i="1"/>
  <c r="F274" i="1"/>
  <c r="F273" i="1"/>
  <c r="F272" i="1"/>
  <c r="F271" i="1"/>
  <c r="F270" i="1"/>
  <c r="F269" i="1"/>
  <c r="F268" i="1"/>
  <c r="F267" i="1"/>
  <c r="F266" i="1"/>
  <c r="F265" i="1"/>
  <c r="F264" i="1"/>
  <c r="F263" i="1"/>
  <c r="F262" i="1"/>
  <c r="F261" i="1"/>
  <c r="F260" i="1"/>
  <c r="F259" i="1"/>
  <c r="F258" i="1"/>
  <c r="F257" i="1"/>
  <c r="F256" i="1"/>
  <c r="F255" i="1"/>
  <c r="F254" i="1"/>
  <c r="F253" i="1"/>
  <c r="F252" i="1"/>
  <c r="F251" i="1"/>
  <c r="F250" i="1"/>
  <c r="F249" i="1"/>
  <c r="F248" i="1"/>
  <c r="F247" i="1"/>
  <c r="F246" i="1"/>
  <c r="F245" i="1"/>
  <c r="F244" i="1"/>
  <c r="F243" i="1"/>
  <c r="F242" i="1"/>
  <c r="F241" i="1"/>
  <c r="F240" i="1"/>
  <c r="F239" i="1"/>
  <c r="F238" i="1"/>
  <c r="F237" i="1"/>
  <c r="F236" i="1"/>
  <c r="F235" i="1"/>
  <c r="F234" i="1"/>
  <c r="F233" i="1"/>
  <c r="F232" i="1"/>
  <c r="F231" i="1"/>
  <c r="F230" i="1"/>
  <c r="F229" i="1"/>
  <c r="F228" i="1"/>
  <c r="F227" i="1"/>
  <c r="F226" i="1"/>
  <c r="F225" i="1"/>
  <c r="F224" i="1"/>
  <c r="F223" i="1"/>
  <c r="F222" i="1"/>
  <c r="F221" i="1"/>
  <c r="F220" i="1"/>
  <c r="F219" i="1"/>
  <c r="F218" i="1"/>
  <c r="F217" i="1"/>
  <c r="F216" i="1"/>
  <c r="F215" i="1"/>
  <c r="F214" i="1"/>
  <c r="F213" i="1"/>
  <c r="F212" i="1"/>
  <c r="F211" i="1"/>
  <c r="F210" i="1"/>
  <c r="F209" i="1"/>
  <c r="F208" i="1"/>
  <c r="F207" i="1"/>
  <c r="F206" i="1"/>
  <c r="F205" i="1"/>
  <c r="F204" i="1"/>
  <c r="F203" i="1"/>
  <c r="F202" i="1"/>
  <c r="F201" i="1"/>
  <c r="F200" i="1"/>
  <c r="F199" i="1"/>
  <c r="F198" i="1"/>
  <c r="F197" i="1"/>
  <c r="F196" i="1"/>
  <c r="F195" i="1"/>
  <c r="F194" i="1"/>
  <c r="F193" i="1"/>
  <c r="F192" i="1"/>
  <c r="F191" i="1"/>
  <c r="F190" i="1"/>
  <c r="F189" i="1"/>
  <c r="F188" i="1"/>
  <c r="F187" i="1"/>
  <c r="F186" i="1"/>
  <c r="F185" i="1"/>
  <c r="F184" i="1"/>
  <c r="F183" i="1"/>
  <c r="F182" i="1"/>
  <c r="F181" i="1"/>
  <c r="F180" i="1"/>
  <c r="F179" i="1"/>
  <c r="F178" i="1"/>
  <c r="F177" i="1"/>
  <c r="F176" i="1"/>
  <c r="F175" i="1"/>
  <c r="F174" i="1"/>
  <c r="F173" i="1"/>
  <c r="F172" i="1"/>
  <c r="F171" i="1"/>
  <c r="F170" i="1"/>
  <c r="F169" i="1"/>
  <c r="F168" i="1"/>
  <c r="F167" i="1"/>
  <c r="F166" i="1"/>
  <c r="F165" i="1"/>
  <c r="F164" i="1"/>
  <c r="F163" i="1"/>
  <c r="F162" i="1"/>
  <c r="F161" i="1"/>
  <c r="F160" i="1"/>
  <c r="F159" i="1"/>
  <c r="F158" i="1"/>
  <c r="F157" i="1"/>
  <c r="F156" i="1"/>
  <c r="F155" i="1"/>
  <c r="F154" i="1"/>
  <c r="E283" i="1"/>
  <c r="E282" i="1"/>
  <c r="E281" i="1"/>
  <c r="E280" i="1"/>
  <c r="E279" i="1"/>
  <c r="E278" i="1"/>
  <c r="E277" i="1"/>
  <c r="E276" i="1"/>
  <c r="E275" i="1"/>
  <c r="E274" i="1"/>
  <c r="E273" i="1"/>
  <c r="E272" i="1"/>
  <c r="E271" i="1"/>
  <c r="E270" i="1"/>
  <c r="E269" i="1"/>
  <c r="E268" i="1"/>
  <c r="E267" i="1"/>
  <c r="E266" i="1"/>
  <c r="E265" i="1"/>
  <c r="E264" i="1"/>
  <c r="E263" i="1"/>
  <c r="E262" i="1"/>
  <c r="E261" i="1"/>
  <c r="E260" i="1"/>
  <c r="E259" i="1"/>
  <c r="E258" i="1"/>
  <c r="E257" i="1"/>
  <c r="E256" i="1"/>
  <c r="E255" i="1"/>
  <c r="E254" i="1"/>
  <c r="E253" i="1"/>
  <c r="E252" i="1"/>
  <c r="E251" i="1"/>
  <c r="E250" i="1"/>
  <c r="E249" i="1"/>
  <c r="E248" i="1"/>
  <c r="E247" i="1"/>
  <c r="E246" i="1"/>
  <c r="E245" i="1"/>
  <c r="E244" i="1"/>
  <c r="E243" i="1"/>
  <c r="E242" i="1"/>
  <c r="E241" i="1"/>
  <c r="E240" i="1"/>
  <c r="E239" i="1"/>
  <c r="E238" i="1"/>
  <c r="E237" i="1"/>
  <c r="E236" i="1"/>
  <c r="E235" i="1"/>
  <c r="E234" i="1"/>
  <c r="E233" i="1"/>
  <c r="E232" i="1"/>
  <c r="E231" i="1"/>
  <c r="E230" i="1"/>
  <c r="E229" i="1"/>
  <c r="E228" i="1"/>
  <c r="E227" i="1"/>
  <c r="E226" i="1"/>
  <c r="E225" i="1"/>
  <c r="E224" i="1"/>
  <c r="E223" i="1"/>
  <c r="E222" i="1"/>
  <c r="E221" i="1"/>
  <c r="E220" i="1"/>
  <c r="E219" i="1"/>
  <c r="E218" i="1"/>
  <c r="E217" i="1"/>
  <c r="E216" i="1"/>
  <c r="E215" i="1"/>
  <c r="E214" i="1"/>
  <c r="E213" i="1"/>
  <c r="E212" i="1"/>
  <c r="E211" i="1"/>
  <c r="E210" i="1"/>
  <c r="E209" i="1"/>
  <c r="E208" i="1"/>
  <c r="E207" i="1"/>
  <c r="E206" i="1"/>
  <c r="E205" i="1"/>
  <c r="E204" i="1"/>
  <c r="E203" i="1"/>
  <c r="E202" i="1"/>
  <c r="E201" i="1"/>
  <c r="E200" i="1"/>
  <c r="E199" i="1"/>
  <c r="E198" i="1"/>
  <c r="E197" i="1"/>
  <c r="E196" i="1"/>
  <c r="E195" i="1"/>
  <c r="E194" i="1"/>
  <c r="E193" i="1"/>
  <c r="E192" i="1"/>
  <c r="E191" i="1"/>
  <c r="E190" i="1"/>
  <c r="E189" i="1"/>
  <c r="E187" i="1"/>
  <c r="E186" i="1"/>
  <c r="E185" i="1"/>
  <c r="E184" i="1"/>
  <c r="E183" i="1"/>
  <c r="E182" i="1"/>
  <c r="E181" i="1"/>
  <c r="E180" i="1"/>
  <c r="E179" i="1"/>
  <c r="E178" i="1"/>
  <c r="E177" i="1"/>
  <c r="E176" i="1"/>
  <c r="E175" i="1"/>
  <c r="E174" i="1"/>
  <c r="E173" i="1"/>
  <c r="E172" i="1"/>
  <c r="E171" i="1"/>
  <c r="E170" i="1"/>
  <c r="E169" i="1"/>
  <c r="E168" i="1"/>
  <c r="E167" i="1"/>
  <c r="E166" i="1"/>
  <c r="E165" i="1"/>
  <c r="E164" i="1"/>
  <c r="E163" i="1"/>
  <c r="E162" i="1"/>
  <c r="E161" i="1"/>
  <c r="E160" i="1"/>
  <c r="E159" i="1"/>
  <c r="E158" i="1"/>
  <c r="E157" i="1"/>
  <c r="E156" i="1"/>
  <c r="E155" i="1"/>
  <c r="E154" i="1"/>
  <c r="AE50" i="4"/>
  <c r="AE49" i="4"/>
  <c r="D31" i="20"/>
  <c r="AE44" i="4"/>
  <c r="AE43" i="4"/>
  <c r="AE42" i="4"/>
  <c r="AE41" i="4"/>
  <c r="AE40" i="4"/>
  <c r="AE39" i="4"/>
  <c r="AE38" i="4"/>
  <c r="AE37" i="4"/>
  <c r="AE36" i="4"/>
  <c r="AE35" i="4"/>
  <c r="AE34" i="4"/>
  <c r="AE33" i="4"/>
  <c r="AE32" i="4"/>
  <c r="AE31" i="4"/>
  <c r="AE30" i="4"/>
  <c r="AD44" i="4"/>
  <c r="AD42" i="4"/>
  <c r="AD41" i="4"/>
  <c r="AD40" i="4"/>
  <c r="AD39" i="4"/>
  <c r="AD38" i="4"/>
  <c r="AD37" i="4"/>
  <c r="AD36" i="4"/>
  <c r="AD35" i="4"/>
  <c r="AD34" i="4"/>
  <c r="AD33" i="4"/>
  <c r="AD32" i="4"/>
  <c r="AD31" i="4"/>
  <c r="AD30" i="4"/>
  <c r="AC44" i="4"/>
  <c r="AC42" i="4"/>
  <c r="AC41" i="4"/>
  <c r="AC40" i="4"/>
  <c r="AC39" i="4"/>
  <c r="AC38" i="4"/>
  <c r="AC37" i="4"/>
  <c r="AC36" i="4"/>
  <c r="AC35" i="4"/>
  <c r="AC34" i="4"/>
  <c r="AC33" i="4"/>
  <c r="AC32" i="4"/>
  <c r="AC31" i="4"/>
  <c r="AC30" i="4"/>
  <c r="AB44" i="4"/>
  <c r="AB42" i="4"/>
  <c r="AB41" i="4"/>
  <c r="AB40" i="4"/>
  <c r="AB39" i="4"/>
  <c r="AB38" i="4"/>
  <c r="AB37" i="4"/>
  <c r="AB36" i="4"/>
  <c r="AB35" i="4"/>
  <c r="AB34" i="4"/>
  <c r="AB33" i="4"/>
  <c r="AB32" i="4"/>
  <c r="AB31" i="4"/>
  <c r="AB30" i="4"/>
  <c r="AA44" i="4"/>
  <c r="AA43" i="4"/>
  <c r="AA41" i="4"/>
  <c r="AA40" i="4"/>
  <c r="AA39" i="4"/>
  <c r="AA38" i="4"/>
  <c r="AA37" i="4"/>
  <c r="AA36" i="4"/>
  <c r="AA35" i="4"/>
  <c r="AA34" i="4"/>
  <c r="AA33" i="4"/>
  <c r="AA32" i="4"/>
  <c r="AA31" i="4"/>
  <c r="AA30" i="4"/>
  <c r="Z44" i="4"/>
  <c r="Z43" i="4"/>
  <c r="Z41" i="4"/>
  <c r="Z40" i="4"/>
  <c r="Z39" i="4"/>
  <c r="Z38" i="4"/>
  <c r="Z37" i="4"/>
  <c r="Z36" i="4"/>
  <c r="Z35" i="4"/>
  <c r="Z34" i="4"/>
  <c r="Z33" i="4"/>
  <c r="Z32" i="4"/>
  <c r="Z31" i="4"/>
  <c r="Z30" i="4"/>
  <c r="Y44" i="4"/>
  <c r="Y43" i="4"/>
  <c r="Y41" i="4"/>
  <c r="Y40" i="4"/>
  <c r="Y39" i="4"/>
  <c r="Y38" i="4"/>
  <c r="Y37" i="4"/>
  <c r="Y36" i="4"/>
  <c r="Y35" i="4"/>
  <c r="Y34" i="4"/>
  <c r="Y33" i="4"/>
  <c r="Y32" i="4"/>
  <c r="Y31" i="4"/>
  <c r="Y30" i="4"/>
  <c r="X50" i="4"/>
  <c r="X49" i="4"/>
  <c r="D24" i="20"/>
  <c r="X44" i="4"/>
  <c r="X43" i="4"/>
  <c r="X42" i="4"/>
  <c r="X41" i="4"/>
  <c r="X40" i="4"/>
  <c r="X39" i="4"/>
  <c r="X38" i="4"/>
  <c r="X37" i="4"/>
  <c r="X36" i="4"/>
  <c r="X35" i="4"/>
  <c r="X34" i="4"/>
  <c r="X33" i="4"/>
  <c r="X32" i="4"/>
  <c r="X31" i="4"/>
  <c r="X30" i="4"/>
  <c r="W50" i="4"/>
  <c r="W49" i="4"/>
  <c r="D23" i="20"/>
  <c r="W44" i="4"/>
  <c r="W43" i="4"/>
  <c r="W42" i="4"/>
  <c r="W41" i="4"/>
  <c r="W40" i="4"/>
  <c r="W39" i="4"/>
  <c r="W38" i="4"/>
  <c r="W37" i="4"/>
  <c r="W36" i="4"/>
  <c r="W35" i="4"/>
  <c r="W34" i="4"/>
  <c r="W33" i="4"/>
  <c r="W32" i="4"/>
  <c r="W31" i="4"/>
  <c r="W30" i="4"/>
  <c r="V50" i="4"/>
  <c r="V49" i="4"/>
  <c r="D22" i="20"/>
  <c r="V44" i="4"/>
  <c r="V43" i="4"/>
  <c r="V42" i="4"/>
  <c r="V41" i="4"/>
  <c r="V40" i="4"/>
  <c r="V39" i="4"/>
  <c r="V38" i="4"/>
  <c r="V37" i="4"/>
  <c r="V36" i="4"/>
  <c r="V35" i="4"/>
  <c r="V34" i="4"/>
  <c r="V33" i="4"/>
  <c r="V32" i="4"/>
  <c r="V31" i="4"/>
  <c r="V30" i="4"/>
  <c r="U50" i="4"/>
  <c r="U49" i="4"/>
  <c r="D21" i="20"/>
  <c r="U44" i="4"/>
  <c r="U43" i="4"/>
  <c r="U42" i="4"/>
  <c r="U41" i="4"/>
  <c r="U40" i="4"/>
  <c r="U39" i="4"/>
  <c r="U38" i="4"/>
  <c r="U37" i="4"/>
  <c r="U36" i="4"/>
  <c r="U35" i="4"/>
  <c r="U34" i="4"/>
  <c r="U33" i="4"/>
  <c r="U32" i="4"/>
  <c r="U31" i="4"/>
  <c r="U30" i="4"/>
  <c r="T50" i="4"/>
  <c r="T49" i="4"/>
  <c r="D20" i="20"/>
  <c r="T44" i="4"/>
  <c r="T43" i="4"/>
  <c r="T42" i="4"/>
  <c r="T41" i="4"/>
  <c r="T40" i="4"/>
  <c r="T39" i="4"/>
  <c r="T38" i="4"/>
  <c r="T37" i="4"/>
  <c r="T36" i="4"/>
  <c r="T35" i="4"/>
  <c r="T34" i="4"/>
  <c r="T33" i="4"/>
  <c r="T32" i="4"/>
  <c r="T31" i="4"/>
  <c r="T30" i="4"/>
  <c r="S44" i="4"/>
  <c r="S43" i="4"/>
  <c r="S42" i="4"/>
  <c r="S41" i="4"/>
  <c r="S40" i="4"/>
  <c r="S39" i="4"/>
  <c r="S38" i="4"/>
  <c r="S37" i="4"/>
  <c r="S35" i="4"/>
  <c r="S34" i="4"/>
  <c r="S33" i="4"/>
  <c r="S32" i="4"/>
  <c r="S31" i="4"/>
  <c r="S30" i="4"/>
  <c r="R44" i="4"/>
  <c r="R43" i="4"/>
  <c r="R42" i="4"/>
  <c r="R41" i="4"/>
  <c r="R40" i="4"/>
  <c r="R39" i="4"/>
  <c r="R38" i="4"/>
  <c r="R37" i="4"/>
  <c r="R35" i="4"/>
  <c r="R34" i="4"/>
  <c r="R33" i="4"/>
  <c r="R32" i="4"/>
  <c r="R31" i="4"/>
  <c r="R30" i="4"/>
  <c r="Q44" i="4"/>
  <c r="Q43" i="4"/>
  <c r="Q42" i="4"/>
  <c r="Q41" i="4"/>
  <c r="Q40" i="4"/>
  <c r="Q39" i="4"/>
  <c r="Q38" i="4"/>
  <c r="Q37" i="4"/>
  <c r="Q36" i="4"/>
  <c r="Q34" i="4"/>
  <c r="Q33" i="4"/>
  <c r="Q32" i="4"/>
  <c r="Q31" i="4"/>
  <c r="Q30" i="4"/>
  <c r="P44" i="4"/>
  <c r="P43" i="4"/>
  <c r="P42" i="4"/>
  <c r="P41" i="4"/>
  <c r="P40" i="4"/>
  <c r="P39" i="4"/>
  <c r="P38" i="4"/>
  <c r="P37" i="4"/>
  <c r="P36" i="4"/>
  <c r="P34" i="4"/>
  <c r="P33" i="4"/>
  <c r="P32" i="4"/>
  <c r="P31" i="4"/>
  <c r="P30" i="4"/>
  <c r="O44" i="4"/>
  <c r="O43" i="4"/>
  <c r="O42" i="4"/>
  <c r="O41" i="4"/>
  <c r="O40" i="4"/>
  <c r="O39" i="4"/>
  <c r="O38" i="4"/>
  <c r="O37" i="4"/>
  <c r="O36" i="4"/>
  <c r="O34" i="4"/>
  <c r="O33" i="4"/>
  <c r="O32" i="4"/>
  <c r="O31" i="4"/>
  <c r="O30" i="4"/>
  <c r="N44" i="4"/>
  <c r="N43" i="4"/>
  <c r="N42" i="4"/>
  <c r="N41" i="4"/>
  <c r="N40" i="4"/>
  <c r="N39" i="4"/>
  <c r="N38" i="4"/>
  <c r="N37" i="4"/>
  <c r="N36" i="4"/>
  <c r="N34" i="4"/>
  <c r="N33" i="4"/>
  <c r="N32" i="4"/>
  <c r="N31" i="4"/>
  <c r="N30" i="4"/>
  <c r="M44" i="4"/>
  <c r="M43" i="4"/>
  <c r="M42" i="4"/>
  <c r="M41" i="4"/>
  <c r="M40" i="4"/>
  <c r="M39" i="4"/>
  <c r="M38" i="4"/>
  <c r="M37" i="4"/>
  <c r="M36" i="4"/>
  <c r="M35" i="4"/>
  <c r="M33" i="4"/>
  <c r="M32" i="4"/>
  <c r="M31" i="4"/>
  <c r="M30" i="4"/>
  <c r="L44" i="4"/>
  <c r="L43" i="4"/>
  <c r="L42" i="4"/>
  <c r="L41" i="4"/>
  <c r="L40" i="4"/>
  <c r="L39" i="4"/>
  <c r="L38" i="4"/>
  <c r="L37" i="4"/>
  <c r="L36" i="4"/>
  <c r="L35" i="4"/>
  <c r="L33" i="4"/>
  <c r="L32" i="4"/>
  <c r="L31" i="4"/>
  <c r="L30" i="4"/>
  <c r="K44" i="4"/>
  <c r="K43" i="4"/>
  <c r="K42" i="4"/>
  <c r="K41" i="4"/>
  <c r="K40" i="4"/>
  <c r="K39" i="4"/>
  <c r="K38" i="4"/>
  <c r="K37" i="4"/>
  <c r="K36" i="4"/>
  <c r="K35" i="4"/>
  <c r="K33" i="4"/>
  <c r="K32" i="4"/>
  <c r="K31" i="4"/>
  <c r="K30" i="4"/>
  <c r="J50" i="4"/>
  <c r="J49" i="4"/>
  <c r="D10" i="20"/>
  <c r="J44" i="4"/>
  <c r="J43" i="4"/>
  <c r="J42" i="4"/>
  <c r="J41" i="4"/>
  <c r="J40" i="4"/>
  <c r="J39" i="4"/>
  <c r="J38" i="4"/>
  <c r="J37" i="4"/>
  <c r="J36" i="4"/>
  <c r="J35" i="4"/>
  <c r="J34" i="4"/>
  <c r="J33" i="4"/>
  <c r="J32" i="4"/>
  <c r="J31" i="4"/>
  <c r="J30" i="4"/>
  <c r="I44" i="4"/>
  <c r="I43" i="4"/>
  <c r="I42" i="4"/>
  <c r="I41" i="4"/>
  <c r="I40" i="4"/>
  <c r="I39" i="4"/>
  <c r="I38" i="4"/>
  <c r="I37" i="4"/>
  <c r="I36" i="4"/>
  <c r="I35" i="4"/>
  <c r="I34" i="4"/>
  <c r="I33" i="4"/>
  <c r="I31" i="4"/>
  <c r="I30" i="4"/>
  <c r="H44" i="4"/>
  <c r="H43" i="4"/>
  <c r="H42" i="4"/>
  <c r="H41" i="4"/>
  <c r="H40" i="4"/>
  <c r="H39" i="4"/>
  <c r="H38" i="4"/>
  <c r="H37" i="4"/>
  <c r="H36" i="4"/>
  <c r="H35" i="4"/>
  <c r="H34" i="4"/>
  <c r="H33" i="4"/>
  <c r="H31" i="4"/>
  <c r="H30" i="4"/>
  <c r="G44" i="4"/>
  <c r="G43" i="4"/>
  <c r="G42" i="4"/>
  <c r="G41" i="4"/>
  <c r="G40" i="4"/>
  <c r="G39" i="4"/>
  <c r="G38" i="4"/>
  <c r="G37" i="4"/>
  <c r="G36" i="4"/>
  <c r="G35" i="4"/>
  <c r="G34" i="4"/>
  <c r="G33" i="4"/>
  <c r="G32" i="4"/>
  <c r="G30" i="4"/>
  <c r="F44" i="4"/>
  <c r="F43" i="4"/>
  <c r="F42" i="4"/>
  <c r="F41" i="4"/>
  <c r="F40" i="4"/>
  <c r="F39" i="4"/>
  <c r="F38" i="4"/>
  <c r="F37" i="4"/>
  <c r="F36" i="4"/>
  <c r="F35" i="4"/>
  <c r="F34" i="4"/>
  <c r="F33" i="4"/>
  <c r="F32" i="4"/>
  <c r="F30" i="4"/>
  <c r="E44" i="4"/>
  <c r="E43" i="4"/>
  <c r="E42" i="4"/>
  <c r="E41" i="4"/>
  <c r="E40" i="4"/>
  <c r="E39" i="4"/>
  <c r="E38" i="4"/>
  <c r="E37" i="4"/>
  <c r="E36" i="4"/>
  <c r="E35" i="4"/>
  <c r="E34" i="4"/>
  <c r="E33" i="4"/>
  <c r="E32" i="4"/>
  <c r="E31" i="4"/>
  <c r="D50" i="4"/>
  <c r="D49" i="4"/>
  <c r="D4" i="20"/>
  <c r="D44" i="4"/>
  <c r="D43" i="4"/>
  <c r="D42" i="4"/>
  <c r="D41" i="4"/>
  <c r="D40" i="4"/>
  <c r="D39" i="4"/>
  <c r="D38" i="4"/>
  <c r="D37" i="4"/>
  <c r="D36" i="4"/>
  <c r="D35" i="4"/>
  <c r="D34" i="4"/>
  <c r="D33" i="4"/>
  <c r="D32" i="4"/>
  <c r="D31" i="4"/>
  <c r="D30" i="4"/>
  <c r="AF50" i="4"/>
  <c r="AF49" i="4"/>
  <c r="CV246" i="1"/>
  <c r="CV209" i="1"/>
  <c r="CV207" i="1"/>
  <c r="CV203" i="1"/>
  <c r="CV204" i="1"/>
  <c r="CV200" i="1"/>
  <c r="CV195" i="1"/>
  <c r="CV168" i="1"/>
  <c r="CV237" i="1"/>
  <c r="AU182" i="1"/>
  <c r="AG170" i="1"/>
  <c r="O182" i="1"/>
  <c r="E635" i="5" l="1"/>
  <c r="E643" i="5"/>
  <c r="E636" i="5"/>
  <c r="E644" i="5"/>
  <c r="E660" i="5" s="1"/>
  <c r="CV236" i="1"/>
  <c r="E632" i="5"/>
  <c r="E624" i="5"/>
  <c r="E621" i="5" s="1"/>
  <c r="E626" i="5"/>
  <c r="E649" i="5" s="1"/>
  <c r="E623" i="5"/>
  <c r="E620" i="5" s="1"/>
  <c r="E625" i="5"/>
  <c r="E622" i="5" s="1"/>
  <c r="E628" i="5"/>
  <c r="E627" i="5"/>
  <c r="E666" i="5"/>
  <c r="CV224" i="1"/>
  <c r="CV235" i="1"/>
  <c r="CV154" i="1"/>
  <c r="CV214" i="1"/>
  <c r="CV255" i="1"/>
  <c r="CV216" i="1"/>
  <c r="CV215" i="1"/>
  <c r="CV213" i="1"/>
  <c r="CV217" i="1"/>
  <c r="CV211" i="1"/>
  <c r="CV218" i="1"/>
  <c r="CV212" i="1"/>
  <c r="CV205" i="1"/>
  <c r="CV201" i="1"/>
  <c r="CV166" i="1"/>
  <c r="CV167" i="1"/>
  <c r="CV155" i="1"/>
  <c r="CV156" i="1"/>
  <c r="CV160" i="1"/>
  <c r="CV256" i="1"/>
  <c r="CV161" i="1"/>
  <c r="CV257" i="1"/>
  <c r="CV162" i="1"/>
  <c r="CV163" i="1"/>
  <c r="CV234" i="1"/>
  <c r="CV164" i="1"/>
  <c r="CV228" i="1"/>
  <c r="CV281" i="1"/>
  <c r="CV159" i="1"/>
  <c r="CV157" i="1"/>
  <c r="CV158" i="1"/>
  <c r="CV197" i="1"/>
  <c r="CV194" i="1"/>
  <c r="CV191" i="1"/>
  <c r="CV192" i="1"/>
  <c r="E72" i="5"/>
  <c r="CV179" i="1" s="1"/>
  <c r="E73" i="5"/>
  <c r="E74" i="5"/>
  <c r="CV186" i="1" s="1"/>
  <c r="CV184" i="1"/>
  <c r="CV172" i="1"/>
  <c r="CV175" i="1"/>
  <c r="CV176" i="1"/>
  <c r="CV188" i="1"/>
  <c r="CV183" i="1"/>
  <c r="E188" i="1"/>
  <c r="N170" i="1"/>
  <c r="N180" i="1"/>
  <c r="O170" i="1"/>
  <c r="AE170" i="1"/>
  <c r="AU170" i="1"/>
  <c r="DI187" i="1"/>
  <c r="DH187" i="1"/>
  <c r="N181" i="1"/>
  <c r="O171" i="1"/>
  <c r="AE171" i="1"/>
  <c r="AU171" i="1"/>
  <c r="AU187" i="1"/>
  <c r="DF187" i="1" s="1"/>
  <c r="DB187" i="1"/>
  <c r="N182" i="1"/>
  <c r="O180" i="1"/>
  <c r="AU180" i="1"/>
  <c r="AU188" i="1"/>
  <c r="O181" i="1"/>
  <c r="AF171" i="1"/>
  <c r="AU181" i="1"/>
  <c r="DD187" i="1"/>
  <c r="N171" i="1"/>
  <c r="E59" i="5"/>
  <c r="E44" i="5"/>
  <c r="CV223" i="1"/>
  <c r="E21" i="5"/>
  <c r="E16" i="5"/>
  <c r="E22" i="5" s="1"/>
  <c r="CX254" i="1"/>
  <c r="DF254" i="1"/>
  <c r="DB255" i="1"/>
  <c r="E20" i="5"/>
  <c r="E23" i="5" s="1"/>
  <c r="E24" i="5" s="1"/>
  <c r="CY254" i="1"/>
  <c r="DG254" i="1"/>
  <c r="DC255" i="1"/>
  <c r="CZ254" i="1"/>
  <c r="DH254" i="1"/>
  <c r="DD255" i="1"/>
  <c r="DA254" i="1"/>
  <c r="DI254" i="1"/>
  <c r="DE255" i="1"/>
  <c r="DB254" i="1"/>
  <c r="CX255" i="1"/>
  <c r="DF255" i="1"/>
  <c r="DC254" i="1"/>
  <c r="CY255" i="1"/>
  <c r="DG255" i="1"/>
  <c r="DD254" i="1"/>
  <c r="CZ255" i="1"/>
  <c r="DH255" i="1"/>
  <c r="DA255" i="1"/>
  <c r="DC219" i="1"/>
  <c r="DD219" i="1"/>
  <c r="CV208" i="1"/>
  <c r="DE219" i="1"/>
  <c r="E37" i="5"/>
  <c r="CX219" i="1"/>
  <c r="DF219" i="1"/>
  <c r="CV202" i="1"/>
  <c r="CY219" i="1"/>
  <c r="DG219" i="1"/>
  <c r="CZ219" i="1"/>
  <c r="DH219" i="1"/>
  <c r="DA219" i="1"/>
  <c r="CV232" i="1"/>
  <c r="CV227" i="1"/>
  <c r="CY236" i="1"/>
  <c r="DG236" i="1"/>
  <c r="CV264" i="1"/>
  <c r="DD235" i="1"/>
  <c r="CZ236" i="1"/>
  <c r="DH236" i="1"/>
  <c r="CV265" i="1"/>
  <c r="DA236" i="1"/>
  <c r="DI236" i="1"/>
  <c r="CV266" i="1"/>
  <c r="CX235" i="1"/>
  <c r="DF235" i="1"/>
  <c r="DB236" i="1"/>
  <c r="CY235" i="1"/>
  <c r="DG235" i="1"/>
  <c r="DC236" i="1"/>
  <c r="CZ235" i="1"/>
  <c r="DH235" i="1"/>
  <c r="DD236" i="1"/>
  <c r="DA235" i="1"/>
  <c r="DI235" i="1"/>
  <c r="DE236" i="1"/>
  <c r="CX236" i="1"/>
  <c r="E651" i="5" l="1"/>
  <c r="E668" i="5"/>
  <c r="E669" i="5"/>
  <c r="E650" i="5"/>
  <c r="E665" i="5"/>
  <c r="E654" i="5"/>
  <c r="E657" i="5"/>
  <c r="E664" i="5"/>
  <c r="E667" i="5"/>
  <c r="E656" i="5"/>
  <c r="E652" i="5"/>
  <c r="E655" i="5"/>
  <c r="E653" i="5"/>
  <c r="E674" i="5" s="1"/>
  <c r="E648" i="5"/>
  <c r="E659" i="5"/>
  <c r="E676" i="5" s="1"/>
  <c r="E658" i="5"/>
  <c r="E675" i="5" s="1"/>
  <c r="G31" i="4"/>
  <c r="D7" i="20" s="1"/>
  <c r="F31" i="4"/>
  <c r="D6" i="20" s="1"/>
  <c r="E149" i="5"/>
  <c r="CV165" i="1"/>
  <c r="CV185" i="1"/>
  <c r="CV178" i="1"/>
  <c r="CV177" i="1"/>
  <c r="CV174" i="1"/>
  <c r="DC187" i="1"/>
  <c r="CX187" i="1"/>
  <c r="DE187" i="1"/>
  <c r="CV187" i="1"/>
  <c r="DG187" i="1"/>
  <c r="DA187" i="1"/>
  <c r="CY187" i="1"/>
  <c r="CV173" i="1"/>
  <c r="DI170" i="1"/>
  <c r="DA170" i="1"/>
  <c r="DH170" i="1"/>
  <c r="CZ170" i="1"/>
  <c r="DG170" i="1"/>
  <c r="CY170" i="1"/>
  <c r="DF170" i="1"/>
  <c r="CX170" i="1"/>
  <c r="DD170" i="1"/>
  <c r="DE170" i="1"/>
  <c r="DC170" i="1"/>
  <c r="DB170" i="1"/>
  <c r="DI188" i="1"/>
  <c r="DA188" i="1"/>
  <c r="DH188" i="1"/>
  <c r="CZ188" i="1"/>
  <c r="DG188" i="1"/>
  <c r="CY188" i="1"/>
  <c r="DF188" i="1"/>
  <c r="CX188" i="1"/>
  <c r="DE188" i="1"/>
  <c r="DD188" i="1"/>
  <c r="DC188" i="1"/>
  <c r="DB188" i="1"/>
  <c r="AU169" i="1"/>
  <c r="O169" i="1"/>
  <c r="AR169" i="1"/>
  <c r="N169" i="1"/>
  <c r="DI182" i="1"/>
  <c r="DA182" i="1"/>
  <c r="DH182" i="1"/>
  <c r="CZ182" i="1"/>
  <c r="DG182" i="1"/>
  <c r="CY182" i="1"/>
  <c r="DF182" i="1"/>
  <c r="CX182" i="1"/>
  <c r="DD182" i="1"/>
  <c r="DE182" i="1"/>
  <c r="DC182" i="1"/>
  <c r="DB182" i="1"/>
  <c r="DE171" i="1"/>
  <c r="DD171" i="1"/>
  <c r="DC171" i="1"/>
  <c r="DB171" i="1"/>
  <c r="CZ171" i="1"/>
  <c r="DI171" i="1"/>
  <c r="DA171" i="1"/>
  <c r="DH171" i="1"/>
  <c r="DG171" i="1"/>
  <c r="CY171" i="1"/>
  <c r="DF171" i="1"/>
  <c r="CX171" i="1"/>
  <c r="DE181" i="1"/>
  <c r="DD181" i="1"/>
  <c r="DC181" i="1"/>
  <c r="DB181" i="1"/>
  <c r="CZ181" i="1"/>
  <c r="DI181" i="1"/>
  <c r="DA181" i="1"/>
  <c r="DH181" i="1"/>
  <c r="DG181" i="1"/>
  <c r="CY181" i="1"/>
  <c r="DF181" i="1"/>
  <c r="CX181" i="1"/>
  <c r="DI180" i="1"/>
  <c r="DA180" i="1"/>
  <c r="DH180" i="1"/>
  <c r="CZ180" i="1"/>
  <c r="DG180" i="1"/>
  <c r="CY180" i="1"/>
  <c r="DF180" i="1"/>
  <c r="CX180" i="1"/>
  <c r="DE180" i="1"/>
  <c r="DD180" i="1"/>
  <c r="DC180" i="1"/>
  <c r="DB180" i="1"/>
  <c r="CV180" i="1"/>
  <c r="CV171" i="1"/>
  <c r="CV170" i="1"/>
  <c r="CV169" i="1"/>
  <c r="CV182" i="1"/>
  <c r="CV181" i="1"/>
  <c r="CZ187" i="1"/>
  <c r="E56" i="5"/>
  <c r="E677" i="5" l="1"/>
  <c r="E827" i="5"/>
  <c r="E830" i="5"/>
  <c r="CV278" i="1" s="1"/>
  <c r="E673" i="5"/>
  <c r="E402" i="5"/>
  <c r="F49" i="4"/>
  <c r="E398" i="5"/>
  <c r="F50" i="4"/>
  <c r="G50" i="4"/>
  <c r="G49" i="4"/>
  <c r="E138" i="5"/>
  <c r="E146" i="5"/>
  <c r="E140" i="5"/>
  <c r="DE169" i="1"/>
  <c r="DD169" i="1"/>
  <c r="DC169" i="1"/>
  <c r="DB169" i="1"/>
  <c r="CZ169" i="1"/>
  <c r="DI169" i="1"/>
  <c r="DA169" i="1"/>
  <c r="DH169" i="1"/>
  <c r="DG169" i="1"/>
  <c r="CY169" i="1"/>
  <c r="DF169" i="1"/>
  <c r="CX169" i="1"/>
  <c r="CV220" i="1"/>
  <c r="CV219" i="1"/>
  <c r="CV271" i="1"/>
  <c r="E30" i="4"/>
  <c r="D5" i="20" s="1"/>
  <c r="Q35" i="4"/>
  <c r="D17" i="20" s="1"/>
  <c r="CV199" i="1"/>
  <c r="E49" i="4" l="1"/>
  <c r="E50" i="4"/>
  <c r="Q49" i="4"/>
  <c r="E110" i="5"/>
  <c r="E113" i="5" s="1"/>
  <c r="E130" i="5"/>
  <c r="E133" i="5" s="1"/>
  <c r="E114" i="5"/>
  <c r="E117" i="5" s="1"/>
  <c r="Q50" i="4"/>
  <c r="AD43" i="4"/>
  <c r="D30" i="20" s="1"/>
  <c r="AC43" i="4"/>
  <c r="D29" i="20" s="1"/>
  <c r="AB43" i="4"/>
  <c r="D28" i="20" s="1"/>
  <c r="R36" i="4"/>
  <c r="D18" i="20" s="1"/>
  <c r="S36" i="4"/>
  <c r="D19" i="20" s="1"/>
  <c r="M34" i="4"/>
  <c r="D13" i="20" s="1"/>
  <c r="K34" i="4"/>
  <c r="D11" i="20" s="1"/>
  <c r="L34" i="4"/>
  <c r="D12" i="20" s="1"/>
  <c r="H32" i="4"/>
  <c r="D8" i="20" s="1"/>
  <c r="I32" i="4"/>
  <c r="D9" i="20" s="1"/>
  <c r="P35" i="4"/>
  <c r="D16" i="20" s="1"/>
  <c r="N35" i="4"/>
  <c r="D14" i="20" s="1"/>
  <c r="O35" i="4"/>
  <c r="D15" i="20" s="1"/>
  <c r="AA42" i="4"/>
  <c r="D27" i="20" s="1"/>
  <c r="Z42" i="4"/>
  <c r="D26" i="20" s="1"/>
  <c r="Y42" i="4"/>
  <c r="D25" i="20" s="1"/>
  <c r="E151" i="5"/>
  <c r="E152" i="5"/>
  <c r="E231" i="5"/>
  <c r="E213" i="5"/>
  <c r="E395" i="5"/>
  <c r="E393" i="5"/>
  <c r="E678" i="5" l="1"/>
  <c r="E831" i="5"/>
  <c r="E828" i="5"/>
  <c r="E826" i="5"/>
  <c r="E829" i="5"/>
  <c r="CV274" i="1" s="1"/>
  <c r="N50" i="4"/>
  <c r="N49" i="4"/>
  <c r="M49" i="4"/>
  <c r="E122" i="5"/>
  <c r="E125" i="5" s="1"/>
  <c r="CV258" i="1" s="1"/>
  <c r="M50" i="4"/>
  <c r="S50" i="4"/>
  <c r="S49" i="4"/>
  <c r="Y49" i="4"/>
  <c r="Y50" i="4"/>
  <c r="I49" i="4"/>
  <c r="I50" i="4"/>
  <c r="R50" i="4"/>
  <c r="R49" i="4"/>
  <c r="Z50" i="4"/>
  <c r="Z49" i="4"/>
  <c r="H50" i="4"/>
  <c r="H49" i="4"/>
  <c r="E396" i="5"/>
  <c r="E401" i="5"/>
  <c r="AD50" i="4"/>
  <c r="AD49" i="4"/>
  <c r="AA50" i="4"/>
  <c r="AA49" i="4"/>
  <c r="AB50" i="4"/>
  <c r="AB49" i="4"/>
  <c r="K50" i="4"/>
  <c r="K49" i="4"/>
  <c r="P50" i="4"/>
  <c r="P49" i="4"/>
  <c r="E118" i="5"/>
  <c r="E121" i="5" s="1"/>
  <c r="CV260" i="1" s="1"/>
  <c r="O50" i="4"/>
  <c r="O49" i="4"/>
  <c r="E400" i="5"/>
  <c r="E399" i="5"/>
  <c r="L50" i="4"/>
  <c r="L49" i="4"/>
  <c r="E397" i="5"/>
  <c r="AC49" i="4"/>
  <c r="E126" i="5"/>
  <c r="E129" i="5" s="1"/>
  <c r="CV263" i="1" s="1"/>
  <c r="AC50" i="4"/>
  <c r="E83" i="5"/>
  <c r="E84" i="5" s="1"/>
  <c r="E85" i="5" s="1"/>
  <c r="E57" i="5"/>
  <c r="CV280" i="1"/>
  <c r="CV273" i="1"/>
  <c r="CV267" i="1"/>
  <c r="CV259" i="1"/>
  <c r="CV262" i="1"/>
  <c r="CV261" i="1"/>
  <c r="CV193" i="1"/>
  <c r="E102" i="5" l="1"/>
  <c r="CV283" i="1" s="1"/>
  <c r="AF23" i="4"/>
  <c r="E725" i="5" s="1"/>
  <c r="AF22" i="4"/>
  <c r="E724" i="5" s="1"/>
  <c r="E147" i="5"/>
  <c r="CV196" i="1"/>
  <c r="E143" i="5" s="1"/>
  <c r="E100" i="5"/>
  <c r="E101" i="5" s="1"/>
  <c r="E95" i="5"/>
  <c r="CV282" i="1" s="1"/>
  <c r="E94" i="5"/>
  <c r="CV254" i="1" s="1"/>
  <c r="CV189" i="1"/>
  <c r="CV190" i="1"/>
  <c r="E735" i="5"/>
  <c r="E733" i="5"/>
  <c r="E141" i="5" l="1"/>
  <c r="E148" i="5"/>
  <c r="E139" i="5"/>
  <c r="E137" i="5" s="1"/>
  <c r="E150" i="5"/>
  <c r="E142" i="5"/>
  <c r="E145" i="5"/>
  <c r="E144" i="5" s="1"/>
  <c r="E387" i="5"/>
  <c r="E385" i="5"/>
  <c r="D501" i="9" l="1"/>
  <c r="E362" i="5" l="1"/>
  <c r="N489" i="9"/>
  <c r="N488" i="9"/>
  <c r="M488" i="9"/>
  <c r="M490" i="9" s="1"/>
  <c r="N487" i="9"/>
  <c r="M487" i="9"/>
  <c r="N486" i="9"/>
  <c r="M486" i="9"/>
  <c r="N485" i="9"/>
  <c r="M485" i="9"/>
  <c r="E263" i="5"/>
  <c r="L449" i="35"/>
  <c r="L448" i="35"/>
  <c r="L447" i="35"/>
  <c r="L446" i="35"/>
  <c r="L442" i="35"/>
  <c r="L441" i="35"/>
  <c r="L440" i="35"/>
  <c r="L439" i="35"/>
  <c r="L438" i="35"/>
  <c r="L437" i="35"/>
  <c r="L436" i="35"/>
  <c r="L435" i="35"/>
  <c r="L434" i="35"/>
  <c r="D396" i="35"/>
  <c r="D395" i="35" s="1"/>
  <c r="D393" i="35"/>
  <c r="D392" i="35"/>
  <c r="D339" i="35"/>
  <c r="D338" i="35"/>
  <c r="D337" i="35"/>
  <c r="D336" i="35"/>
  <c r="D335" i="35"/>
  <c r="D334" i="35"/>
  <c r="D333" i="35"/>
  <c r="D332" i="35"/>
  <c r="D331" i="35"/>
  <c r="D330" i="35"/>
  <c r="D329" i="35"/>
  <c r="D328" i="35"/>
  <c r="D327" i="35"/>
  <c r="D326" i="35"/>
  <c r="D325" i="35"/>
  <c r="D324" i="35"/>
  <c r="D320" i="35"/>
  <c r="D318" i="35"/>
  <c r="D316" i="35"/>
  <c r="D315" i="35"/>
  <c r="D313" i="35"/>
  <c r="D309" i="35"/>
  <c r="D308" i="35"/>
  <c r="D307" i="35"/>
  <c r="D306" i="35"/>
  <c r="D305" i="35"/>
  <c r="D301" i="35"/>
  <c r="D300" i="35"/>
  <c r="D299" i="35"/>
  <c r="D298" i="35"/>
  <c r="D297" i="35"/>
  <c r="D296" i="35"/>
  <c r="D295" i="35"/>
  <c r="D294" i="35"/>
  <c r="D293" i="35"/>
  <c r="D289" i="35"/>
  <c r="D288" i="35"/>
  <c r="D286" i="35"/>
  <c r="D284" i="35"/>
  <c r="D283" i="35"/>
  <c r="D282" i="35"/>
  <c r="D281" i="35"/>
  <c r="D275" i="35"/>
  <c r="D236" i="35" s="1"/>
  <c r="D274" i="35"/>
  <c r="D273" i="35"/>
  <c r="D272" i="35"/>
  <c r="D271" i="35"/>
  <c r="D270" i="35"/>
  <c r="D269" i="35"/>
  <c r="D267" i="35"/>
  <c r="D268" i="35" s="1"/>
  <c r="D266" i="35"/>
  <c r="D265" i="35"/>
  <c r="D264" i="35"/>
  <c r="D263" i="35"/>
  <c r="D262" i="35"/>
  <c r="D261" i="35"/>
  <c r="D260" i="35"/>
  <c r="D259" i="35"/>
  <c r="D258" i="35"/>
  <c r="D257" i="35"/>
  <c r="D256" i="35"/>
  <c r="D255" i="35"/>
  <c r="D254" i="35"/>
  <c r="D253" i="35"/>
  <c r="D252" i="35"/>
  <c r="D251" i="35"/>
  <c r="D250" i="35"/>
  <c r="D249" i="35"/>
  <c r="D248" i="35"/>
  <c r="D247" i="35"/>
  <c r="D246" i="35"/>
  <c r="D245" i="35"/>
  <c r="D244" i="35"/>
  <c r="D243" i="35"/>
  <c r="D242" i="35"/>
  <c r="D241" i="35"/>
  <c r="D240" i="35"/>
  <c r="D208" i="35" s="1"/>
  <c r="D239" i="35"/>
  <c r="D238" i="35"/>
  <c r="D237" i="35"/>
  <c r="D235" i="35"/>
  <c r="D234" i="35"/>
  <c r="D233" i="35"/>
  <c r="D232" i="35"/>
  <c r="D231" i="35"/>
  <c r="D230" i="35"/>
  <c r="D229" i="35"/>
  <c r="D228" i="35"/>
  <c r="D227" i="35"/>
  <c r="D226" i="35"/>
  <c r="D225" i="35"/>
  <c r="D224" i="35"/>
  <c r="D223" i="35"/>
  <c r="D222" i="35"/>
  <c r="D221" i="35"/>
  <c r="D220" i="35"/>
  <c r="D219" i="35"/>
  <c r="D218" i="35"/>
  <c r="D216" i="35"/>
  <c r="D215" i="35"/>
  <c r="D214" i="35"/>
  <c r="D213" i="35"/>
  <c r="D207" i="35"/>
  <c r="D206" i="35"/>
  <c r="D205" i="35"/>
  <c r="D204" i="35"/>
  <c r="D203" i="35"/>
  <c r="D202" i="35"/>
  <c r="D201" i="35"/>
  <c r="D200" i="35"/>
  <c r="D62" i="35"/>
  <c r="D42" i="35"/>
  <c r="K32" i="35"/>
  <c r="D32" i="35"/>
  <c r="K31" i="35"/>
  <c r="D31" i="35"/>
  <c r="D27" i="35"/>
  <c r="E688" i="5"/>
  <c r="E366" i="5"/>
  <c r="E372" i="5"/>
  <c r="E370" i="5"/>
  <c r="E690" i="5"/>
  <c r="E684" i="5"/>
  <c r="E689" i="5"/>
  <c r="E683" i="5"/>
  <c r="E220" i="5"/>
  <c r="E300" i="5"/>
  <c r="E287" i="5"/>
  <c r="E274" i="5"/>
  <c r="E265" i="5"/>
  <c r="E227" i="5"/>
  <c r="E194" i="5"/>
  <c r="D405" i="9"/>
  <c r="D471" i="9"/>
  <c r="E219" i="5"/>
  <c r="E120" i="5"/>
  <c r="E711" i="5"/>
  <c r="E710" i="5"/>
  <c r="E713" i="5" s="1"/>
  <c r="E718" i="5"/>
  <c r="E717" i="5"/>
  <c r="E244" i="5"/>
  <c r="E132" i="5"/>
  <c r="K56" i="2"/>
  <c r="E354" i="5"/>
  <c r="E352" i="5"/>
  <c r="E332" i="5"/>
  <c r="E323" i="5"/>
  <c r="E321" i="5"/>
  <c r="E319" i="5"/>
  <c r="E317" i="5"/>
  <c r="E315" i="5"/>
  <c r="E313" i="5"/>
  <c r="E311" i="5"/>
  <c r="E309" i="5"/>
  <c r="E307" i="5"/>
  <c r="E302" i="5"/>
  <c r="E298" i="5"/>
  <c r="E296" i="5"/>
  <c r="E294" i="5"/>
  <c r="E289" i="5"/>
  <c r="E285" i="5"/>
  <c r="E283" i="5"/>
  <c r="E281" i="5"/>
  <c r="E128" i="5"/>
  <c r="E391" i="5"/>
  <c r="E389" i="5"/>
  <c r="E383" i="5"/>
  <c r="E350" i="5"/>
  <c r="E348" i="5"/>
  <c r="E346" i="5"/>
  <c r="E344" i="5"/>
  <c r="E338" i="5"/>
  <c r="E336" i="5"/>
  <c r="E334" i="5"/>
  <c r="E330" i="5"/>
  <c r="E328" i="5"/>
  <c r="E276" i="5"/>
  <c r="E272" i="5"/>
  <c r="E267" i="5"/>
  <c r="E261" i="5"/>
  <c r="E259" i="5"/>
  <c r="E254" i="5"/>
  <c r="E252" i="5"/>
  <c r="E250" i="5"/>
  <c r="E248" i="5"/>
  <c r="E246" i="5"/>
  <c r="E242" i="5"/>
  <c r="E240" i="5"/>
  <c r="E238" i="5"/>
  <c r="E233" i="5"/>
  <c r="E229" i="5"/>
  <c r="E225" i="5"/>
  <c r="E217" i="5"/>
  <c r="E215" i="5"/>
  <c r="E211" i="5"/>
  <c r="E209" i="5"/>
  <c r="E207" i="5"/>
  <c r="E205" i="5"/>
  <c r="E203" i="5"/>
  <c r="E198" i="5"/>
  <c r="E196" i="5"/>
  <c r="E191" i="5"/>
  <c r="E189" i="5"/>
  <c r="E184" i="5"/>
  <c r="E182" i="5"/>
  <c r="E180" i="5"/>
  <c r="E179" i="5"/>
  <c r="E176" i="5"/>
  <c r="E171" i="5"/>
  <c r="E169" i="5"/>
  <c r="E167" i="5"/>
  <c r="E166" i="5"/>
  <c r="E164" i="5"/>
  <c r="E162" i="5"/>
  <c r="E156" i="5"/>
  <c r="E124" i="5"/>
  <c r="E116" i="5"/>
  <c r="E112" i="5"/>
  <c r="E754" i="5" l="1"/>
  <c r="E123" i="5"/>
  <c r="E751" i="5"/>
  <c r="E752" i="5"/>
  <c r="E753" i="5"/>
  <c r="D217" i="35"/>
  <c r="D277" i="35"/>
  <c r="D448" i="9"/>
  <c r="E712" i="5"/>
  <c r="E720" i="5"/>
  <c r="E719" i="5"/>
  <c r="N490" i="9"/>
  <c r="D276" i="35"/>
  <c r="D212" i="35"/>
  <c r="E131" i="5" l="1"/>
  <c r="E111" i="5"/>
  <c r="E115" i="5"/>
  <c r="E119" i="5"/>
  <c r="E856" i="5" l="1"/>
  <c r="E854" i="5"/>
  <c r="E127" i="5"/>
  <c r="E855" i="5"/>
  <c r="E737" i="5"/>
  <c r="E755" i="5"/>
  <c r="E750" i="5"/>
  <c r="E745" i="5"/>
  <c r="E757" i="5"/>
  <c r="E746" i="5"/>
  <c r="E747" i="5"/>
  <c r="E748" i="5"/>
  <c r="E756" i="5"/>
  <c r="E749" i="5"/>
  <c r="E858" i="5" l="1"/>
  <c r="E773" i="5"/>
  <c r="E738" i="5" l="1"/>
  <c r="E736" i="5"/>
  <c r="E779" i="5" l="1"/>
  <c r="E770" i="5" l="1"/>
  <c r="E768" i="5"/>
  <c r="E765" i="5"/>
  <c r="E782" i="5"/>
  <c r="E780" i="5"/>
  <c r="E763" i="5"/>
  <c r="E777" i="5"/>
  <c r="E781" i="5" l="1"/>
  <c r="E778" i="5"/>
  <c r="E767" i="5"/>
  <c r="E769" i="5"/>
  <c r="E766" i="5"/>
  <c r="E761" i="5"/>
  <c r="E764" i="5"/>
  <c r="E771" i="5"/>
  <c r="E772" i="5"/>
  <c r="E762" i="5"/>
  <c r="E821" i="5"/>
  <c r="E822" i="5" l="1"/>
  <c r="E726" i="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tc={15AB1D51-122D-45CC-ABEE-DA1C8B5E2E7D}</author>
  </authors>
  <commentList>
    <comment ref="D59" authorId="0" shapeId="0" xr:uid="{00000000-0006-0000-0B00-00000100000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 iw,EPS + iwh,EPS to XVSS,BIO and XE: the MEPS calculation is an indicator only, not properly integrated EPS variable. Makes it hard to implement in the calculation of bound water while the provided information wouldn't be not valid. This is simpler estimation for EPS correction of the specific plant, so a correction parameter should be calibrated for the bound water calculation during the calibration.</t>
      </text>
    </comment>
  </commentList>
</comments>
</file>

<file path=xl/sharedStrings.xml><?xml version="1.0" encoding="utf-8"?>
<sst xmlns="http://schemas.openxmlformats.org/spreadsheetml/2006/main" count="12974" uniqueCount="6038">
  <si>
    <t>Symbol</t>
  </si>
  <si>
    <t>Name</t>
  </si>
  <si>
    <t>Unit</t>
  </si>
  <si>
    <t>Handling</t>
  </si>
  <si>
    <t xml:space="preserve">Equilibrium matrix </t>
  </si>
  <si>
    <t>Expression</t>
  </si>
  <si>
    <t>Elemental composition</t>
  </si>
  <si>
    <t>Chemical formula</t>
  </si>
  <si>
    <t>Charge</t>
  </si>
  <si>
    <t>Reaction</t>
  </si>
  <si>
    <t>The elemental composition matrix should have as many columns as the kinetic matrix (minus Rate and Reaction)</t>
  </si>
  <si>
    <t>pH</t>
  </si>
  <si>
    <t>Influent</t>
  </si>
  <si>
    <t>Initial concentration</t>
  </si>
  <si>
    <t>Phase</t>
  </si>
  <si>
    <t>IS</t>
  </si>
  <si>
    <t>(order is relevant)</t>
  </si>
  <si>
    <t>This button checks if the column names of the equilibrium matrix are the same as the names of the equilibrium species</t>
  </si>
  <si>
    <t>The macro expects the elemental composition matrix to be under the kinetic matrix somewhere started in column D</t>
  </si>
  <si>
    <t>The elemental composition matrix starts with the string 'Elemental composition' (not case-sensitive) in column D</t>
  </si>
  <si>
    <t>If every value is under the absolute limit (by default 1E-15) the matrix passed the check</t>
  </si>
  <si>
    <t>The equilibrium species should start in cell E3 and end in the first column that has an empty cell in the 3rd row</t>
  </si>
  <si>
    <t>The first row of the equilibrium matrix should be the 4th and the last should be the one before the first empty cell in column C after the 4th row</t>
  </si>
  <si>
    <r>
      <t>Cell names such as H3 are not allowed in the equilibrium matrix but parameters like NH</t>
    </r>
    <r>
      <rPr>
        <vertAlign val="subscript"/>
        <sz val="11"/>
        <color indexed="8"/>
        <rFont val="Calibri"/>
        <family val="2"/>
        <charset val="238"/>
      </rPr>
      <t>3</t>
    </r>
    <r>
      <rPr>
        <sz val="11"/>
        <color indexed="8"/>
        <rFont val="Calibri"/>
        <family val="2"/>
        <charset val="238"/>
      </rPr>
      <t xml:space="preserve"> can be used.</t>
    </r>
  </si>
  <si>
    <t>The macro creates a numerical copy of the equilibrium matrix and calculates ionic strength and charge balance.</t>
  </si>
  <si>
    <t>Everything under the datatable declared as free area and will be deleted</t>
  </si>
  <si>
    <t>a</t>
  </si>
  <si>
    <t>HOW TO USE MODEL SHEETS</t>
  </si>
  <si>
    <t>A</t>
  </si>
  <si>
    <t>Starting a new model: Kinetic setup</t>
  </si>
  <si>
    <t>Under State variables form heading</t>
  </si>
  <si>
    <t>Insert new rows for new State variables</t>
  </si>
  <si>
    <t>Name "Initial concentration" cells from symbols (use CTRL-M [Mark Name] shortcut)</t>
  </si>
  <si>
    <t>Press "Create Kinetic matrix"</t>
  </si>
  <si>
    <t>Insert new rows under state variable names for new rate expressions</t>
  </si>
  <si>
    <t>(3)</t>
  </si>
  <si>
    <t>Optional: Fill in reactions if model is fully elementally balanced</t>
  </si>
  <si>
    <t>Insert new rows under elemental composition for the balancing features desired (C, N, P,charge, etc)</t>
  </si>
  <si>
    <t>On the Parameters Tab</t>
  </si>
  <si>
    <t>Insert new rows for Kinetic and Stoichiometric parameters</t>
  </si>
  <si>
    <t>Fill in names, other information (values required)</t>
  </si>
  <si>
    <t>Name "Default" cells from symbols (use CTRL-M [Mark Name] shortcut)</t>
  </si>
  <si>
    <t>Fill in Elemental Composition matrix (preferentially using stoichiometric parameter names fom Parameter tab - alternatively values can be used)</t>
  </si>
  <si>
    <t>Check cells marked red for balancing errors if necessary</t>
  </si>
  <si>
    <t>Under Equilibrium species form heading</t>
  </si>
  <si>
    <t>Insert new rows for new Equlibrium species</t>
  </si>
  <si>
    <t>Fill in symbols (subscript, etc. formatting OK)</t>
  </si>
  <si>
    <t>Press "Prepare pH check"</t>
  </si>
  <si>
    <t>B</t>
  </si>
  <si>
    <t>Modifying an existing model: Kinetic setup</t>
  </si>
  <si>
    <t>Insert or delete rows for State variables as required</t>
  </si>
  <si>
    <t>Option 1:</t>
  </si>
  <si>
    <t>Press "Create Kinetic matrix". This will delete the existing kinetic matrix and prepare a new list of matrix headings</t>
  </si>
  <si>
    <t xml:space="preserve">Option 2: </t>
  </si>
  <si>
    <t>Press "Check States" Any discrepancy between the two lists will be reported</t>
  </si>
  <si>
    <t>Insert or delete rows under state variable names for rate expressions for the modifications</t>
  </si>
  <si>
    <t>Insert or delete rows under elemental composition for the balancing features desired (C, N, P,charge, etc)</t>
  </si>
  <si>
    <t>Insert or delete rows for Kinetic and Stoichiometric parameters</t>
  </si>
  <si>
    <t>Modifying an existing model: Equilibrium setup (skip with models without pH modelling)</t>
  </si>
  <si>
    <t>Insert or delete rows for Equlibrium species as required</t>
  </si>
  <si>
    <t>Press "Create Equilibrium matrix". This will delete the existing Equilibrium matrix and prepare a new list of matrix headings</t>
  </si>
  <si>
    <t>In the Equilibrium Matrix tab, insert or delete columns in the existing model matrix so that matrix columns match with Equilibrium species list in States Tab</t>
  </si>
  <si>
    <t>Press "Check Species" Any discrepancy between the two lists will be reported</t>
  </si>
  <si>
    <t>Insert or delete rows under equilibrium species names for dissociation/precipitation expressions as required</t>
  </si>
  <si>
    <t>BUILT IN MACRO FUNCTIONALITY</t>
  </si>
  <si>
    <t>CTRL-M</t>
  </si>
  <si>
    <t>Mark Name:</t>
  </si>
  <si>
    <t>In a selection box, assigns names to the rightmost column of cells from leftmost column of cell contents</t>
  </si>
  <si>
    <t>b</t>
  </si>
  <si>
    <t>c</t>
  </si>
  <si>
    <t>d</t>
  </si>
  <si>
    <t>Create Kinetic Matrix</t>
  </si>
  <si>
    <t>After a warning message, the existing kinetic matrix's columns will be deleted and new ones will be created from the state variables. Rate expressions and reactions are not affected</t>
  </si>
  <si>
    <t>The table headings cannot be changed</t>
  </si>
  <si>
    <t>The columns will be coloured - Integrated variables are blue, others are orange</t>
  </si>
  <si>
    <t>Check Kinetic Matrix</t>
  </si>
  <si>
    <t>This button checks if the names of the state variables are the same as the column names of the kinetic matrix</t>
  </si>
  <si>
    <t>Create Equilibrium Matrix</t>
  </si>
  <si>
    <t>After a warning message, the existing equilibrium matrix's columns will be deleted and new ones will be created from the equilibrium variables</t>
  </si>
  <si>
    <t>Check Equilibrium Matrix</t>
  </si>
  <si>
    <t>When the button is pressed, the macro counts the rows and columns of the kinetic matrix</t>
  </si>
  <si>
    <t>In the Kinetic matrix the states variables start in cell E3 and ends in the first column in the 3rd row that's first 4 character are 'Rate' or 'Reac'</t>
  </si>
  <si>
    <t>The first row of the kinetic matrix should be the 4th row and the last is the first empty cell in column C</t>
  </si>
  <si>
    <t>The elemental composition's last row is defined by the first empty cell in column C after the string 'Elemental Composition'</t>
  </si>
  <si>
    <t>Everything under the elemental composition matrix  will be deleted</t>
  </si>
  <si>
    <t>Prepare pH check</t>
  </si>
  <si>
    <t>This macro will prepare the necessary setup for the solver to determine the current pH and ionic strength</t>
  </si>
  <si>
    <t>When the button is pressed, the macro counts the rows and columns of the equilibrium matrix</t>
  </si>
  <si>
    <t>The macro expects the datatable under the matrix including pH, IS and CH as well as all the names used in the equilibrium matrix</t>
  </si>
  <si>
    <r>
      <t>This is to determine if e.g. NH3 is a cell or a parameter that is called NH3_ (Excel name of NH</t>
    </r>
    <r>
      <rPr>
        <vertAlign val="subscript"/>
        <sz val="11"/>
        <color indexed="8"/>
        <rFont val="Calibri"/>
        <family val="2"/>
        <charset val="238"/>
      </rPr>
      <t>3</t>
    </r>
    <r>
      <rPr>
        <sz val="11"/>
        <color indexed="8"/>
        <rFont val="Calibri"/>
        <family val="2"/>
      </rPr>
      <t>)</t>
    </r>
  </si>
  <si>
    <t>The totals are linked back to the datatable so you can use the solver extension to calculate current pH and IS</t>
  </si>
  <si>
    <t>activity coefficients</t>
  </si>
  <si>
    <t>ionic strength (IS)</t>
  </si>
  <si>
    <t>j</t>
  </si>
  <si>
    <t>Known problems and solutions</t>
  </si>
  <si>
    <t>Go to View -&gt; Macros -&gt; Show macros</t>
  </si>
  <si>
    <t>Click on MarkNames macro then on the button labeled 'Others'</t>
  </si>
  <si>
    <t>Here you can set the shortcut key</t>
  </si>
  <si>
    <r>
      <t xml:space="preserve">Ctrl-M doesn't work </t>
    </r>
    <r>
      <rPr>
        <sz val="11"/>
        <color indexed="8"/>
        <rFont val="Calibri"/>
        <family val="2"/>
        <charset val="238"/>
      </rPr>
      <t>(this usually happens when you open two documents and Excel rebinds Ctrl-M to something else)</t>
    </r>
  </si>
  <si>
    <t>Press "Check Continuity and Rates"</t>
  </si>
  <si>
    <t>The macro creates a numerical copy of the kinetic matrix under the compositon matrix, then it creates the balancing matrix to the right of the numerical copy</t>
  </si>
  <si>
    <t>Fill in symbols (subscripts, and other formatting can be used), and other fields, "Handling" and "Initial concentration" are required fields</t>
  </si>
  <si>
    <t>Fill in symbols for new States (subscripts, and other formatting can be used), and other fields, "Handling" and "Initial concentration" are required fields</t>
  </si>
  <si>
    <t>The columns will be recoloured (red means failed)</t>
  </si>
  <si>
    <t>Check Continuity and Rates</t>
  </si>
  <si>
    <t>This macro will prepare a continuity check on the kinetic matrix and will calculate numerical values for the rate expressions based on initial conditions</t>
  </si>
  <si>
    <t>The macro checks and calculates rate expressions too.</t>
  </si>
  <si>
    <t>EQSRBGJPMU</t>
  </si>
  <si>
    <t>EFVSNZETB</t>
  </si>
  <si>
    <t>Macros must be enabled to view and operate this Model Tool. See Security Warning Options... above.
If you just disabled macros, you need to close and reload this document.
Once you have enabled macros, select Continue.</t>
  </si>
  <si>
    <t>IEAZTPZI</t>
  </si>
  <si>
    <t>Symbols should look like this:</t>
  </si>
  <si>
    <t>If a type (and ':') is ommitted, the default type is double</t>
  </si>
  <si>
    <t>FJYCEHEZW</t>
  </si>
  <si>
    <t>functionname(arg1:type1; arg2:type2; …):type</t>
  </si>
  <si>
    <t>Code section</t>
  </si>
  <si>
    <t>Rule</t>
  </si>
  <si>
    <t>Principle/comment</t>
  </si>
  <si>
    <t>Codelocation(Algebraic blocksection #1)</t>
  </si>
  <si>
    <t>Press "Create Equilibrium matrix"</t>
  </si>
  <si>
    <t>UYCEVBLMNN</t>
  </si>
  <si>
    <t>On the Algebraic Model Tab</t>
  </si>
  <si>
    <t>Check Expressions</t>
  </si>
  <si>
    <t>This macro will calculate the value of algebraic expressions if it can.</t>
  </si>
  <si>
    <t>The macro warns if there are some typos in the expression</t>
  </si>
  <si>
    <t>Please note that names with spaces and names ending with zeros are not recommended.</t>
  </si>
  <si>
    <t>UMVMLPHFQV</t>
  </si>
  <si>
    <t>IZLBOCQYUXB</t>
  </si>
  <si>
    <t>Gujer kinetic matrix</t>
  </si>
  <si>
    <t>BKJAALFJYDEB</t>
  </si>
  <si>
    <t>Helene Haduc</t>
  </si>
  <si>
    <t>GQSJAHVFDFP</t>
  </si>
  <si>
    <t>Imre Takacs</t>
  </si>
  <si>
    <t>Local functions</t>
  </si>
  <si>
    <t>Tableau</t>
  </si>
  <si>
    <t>H</t>
  </si>
  <si>
    <t>NH3</t>
  </si>
  <si>
    <t>Cl-</t>
  </si>
  <si>
    <t>NO3-</t>
  </si>
  <si>
    <t>Cat</t>
  </si>
  <si>
    <t>An</t>
  </si>
  <si>
    <t>logK</t>
  </si>
  <si>
    <t>Cl</t>
  </si>
  <si>
    <t>NO3</t>
  </si>
  <si>
    <t>OH</t>
  </si>
  <si>
    <t>NH4</t>
  </si>
  <si>
    <t>Total Concentrations</t>
  </si>
  <si>
    <t>Initial Guesses</t>
  </si>
  <si>
    <t>COD</t>
  </si>
  <si>
    <t>Temperature sensitivity</t>
  </si>
  <si>
    <t>theta^(temp-tbase)</t>
  </si>
  <si>
    <t>Arrh(theta;temp;tbase)</t>
  </si>
  <si>
    <t>Value</t>
  </si>
  <si>
    <t>REFERENCE</t>
  </si>
  <si>
    <t>Name "Initial concentration" cells from symbols (use CTRL-M [Mark Name] shortcut, see below)</t>
  </si>
  <si>
    <t xml:space="preserve">Fill in matrix stoichiometry and kinetic rates (library or new defined functions and kinetic calculated variables can be used) </t>
  </si>
  <si>
    <t>If you used functions, check them using the button</t>
  </si>
  <si>
    <t>Fill in column B (under symbol j) with unique values (like 1, 2, 3, etc)</t>
  </si>
  <si>
    <t>In column C, place rate names (cannot start with numbers, i.e. r1 OK, 1 is not OK)</t>
  </si>
  <si>
    <t>(5)</t>
  </si>
  <si>
    <t>On the Calculated variables Tab</t>
  </si>
  <si>
    <t>If you defined calculated variables to be used in the matrix (e.g. KSmonod = S/K+S), check them using the checking button</t>
  </si>
  <si>
    <t>Insert new rows under equilibrium species names for new dissociation expressions</t>
  </si>
  <si>
    <t>Fill in matrix with algebraic expressions to calculate each species from pH and IS  (1 equation in each column)</t>
  </si>
  <si>
    <t>Use solver to calculate pH and IS (ionic strength) for current solution (from initial concentrations in States Tab)</t>
  </si>
  <si>
    <t>Msat(var; k)</t>
  </si>
  <si>
    <t>Monod saturation</t>
  </si>
  <si>
    <t>var / (k + var)</t>
  </si>
  <si>
    <t>Minh(var; k)</t>
  </si>
  <si>
    <t>Monod inhibition</t>
  </si>
  <si>
    <t>k / (k + var)</t>
  </si>
  <si>
    <t>Bellinh(var; Klo; Khi)</t>
  </si>
  <si>
    <t>Bell-shaped inhibition</t>
  </si>
  <si>
    <t>(1 + 2 * 10^(0.5 * (Klo - Khi))) / (1 + 10^(var - Khi) + 10^(Klo - var))</t>
  </si>
  <si>
    <t>Logsat(var; slope; halfval)</t>
  </si>
  <si>
    <t>Logistic saturation</t>
  </si>
  <si>
    <t>1 / (1 + exp((halfval - var) / slope))</t>
  </si>
  <si>
    <t>Loginh(var; slope; halfval)</t>
  </si>
  <si>
    <t>Logistic inhibition</t>
  </si>
  <si>
    <t>1 / (1 + exp((var - halfval) / slope))</t>
  </si>
  <si>
    <t>Lin(var;m;b)</t>
  </si>
  <si>
    <t>Straight line</t>
  </si>
  <si>
    <t>m*var+b</t>
  </si>
  <si>
    <t>Hardbound(var;lolim;hilim)</t>
  </si>
  <si>
    <t>Hard bounding</t>
  </si>
  <si>
    <t>max(lolim;min(hilim;var))</t>
  </si>
  <si>
    <t>MinuslogVar(x)</t>
  </si>
  <si>
    <t>Equilibrium constants</t>
  </si>
  <si>
    <t>10^(-x)</t>
  </si>
  <si>
    <t>These functions are automatically mapped to C++ syntax and can be used as well:</t>
  </si>
  <si>
    <t>Max(a;b)</t>
  </si>
  <si>
    <t>maximum</t>
  </si>
  <si>
    <t>max(a,b)</t>
  </si>
  <si>
    <t>Pow(a;b)</t>
  </si>
  <si>
    <t>power</t>
  </si>
  <si>
    <t>pow(a,b)</t>
  </si>
  <si>
    <t>Abs(x)</t>
  </si>
  <si>
    <t>abs</t>
  </si>
  <si>
    <t>abs(x)</t>
  </si>
  <si>
    <t>Exp(x)</t>
  </si>
  <si>
    <t>natural base exponent</t>
  </si>
  <si>
    <t>exp(x)</t>
  </si>
  <si>
    <t>Mod(x;y)</t>
  </si>
  <si>
    <t>Modulo operator</t>
  </si>
  <si>
    <t>fmod(x,y)</t>
  </si>
  <si>
    <t>Log10(x)</t>
  </si>
  <si>
    <t>10 based logarithm</t>
  </si>
  <si>
    <t>log10(x)</t>
  </si>
  <si>
    <t>There are other C++ functions predefined in the library - however if those are used, Excel will be unable to check the validity of the matrix</t>
  </si>
  <si>
    <t>Any changes to this sheet will turn Create Functions button gray which means you can't use the custom functions in kinetic matrix unless you press it and it turns green</t>
  </si>
  <si>
    <t>Calculate</t>
  </si>
  <si>
    <t>This macro will calculate the value of algebraic expressions and place it in the Value column if it can. It will also name Calculated variable cells so they can be used in other tabs</t>
  </si>
  <si>
    <t xml:space="preserve">QUICK REMINDER </t>
  </si>
  <si>
    <t>Clear existing names if any (Formulas - Name Manager - Select All - Delete)</t>
  </si>
  <si>
    <t>Colloidal biodegradable substrate</t>
  </si>
  <si>
    <t>Slowly biodegradable substrate</t>
  </si>
  <si>
    <t>Soluble unbiodegradable organics</t>
  </si>
  <si>
    <t>Colloidal unbiodegradable organics</t>
  </si>
  <si>
    <t>Particulate unbiodegradable organics</t>
  </si>
  <si>
    <t>Endogenous decay products</t>
  </si>
  <si>
    <t>Hydrolysis</t>
  </si>
  <si>
    <t>Fermentation</t>
  </si>
  <si>
    <t>Anoxic methylotrophs</t>
  </si>
  <si>
    <t>r1</t>
  </si>
  <si>
    <t>r2</t>
  </si>
  <si>
    <t>r3</t>
  </si>
  <si>
    <t>r4</t>
  </si>
  <si>
    <t>r5</t>
  </si>
  <si>
    <t>r6</t>
  </si>
  <si>
    <t>r7</t>
  </si>
  <si>
    <t>r8</t>
  </si>
  <si>
    <t>r9</t>
  </si>
  <si>
    <t>r10</t>
  </si>
  <si>
    <t>r11</t>
  </si>
  <si>
    <t>r12</t>
  </si>
  <si>
    <t>r13</t>
  </si>
  <si>
    <t>r14</t>
  </si>
  <si>
    <t>r15</t>
  </si>
  <si>
    <t>r16</t>
  </si>
  <si>
    <t>r17</t>
  </si>
  <si>
    <t>r18</t>
  </si>
  <si>
    <t>r19</t>
  </si>
  <si>
    <t>r20</t>
  </si>
  <si>
    <t>r21</t>
  </si>
  <si>
    <t>r22</t>
  </si>
  <si>
    <t>r23</t>
  </si>
  <si>
    <t>r24</t>
  </si>
  <si>
    <t>r25</t>
  </si>
  <si>
    <t>r26</t>
  </si>
  <si>
    <t>r27</t>
  </si>
  <si>
    <t>r28</t>
  </si>
  <si>
    <t>r29</t>
  </si>
  <si>
    <t>r32</t>
  </si>
  <si>
    <t>r33</t>
  </si>
  <si>
    <t>N</t>
  </si>
  <si>
    <t>P</t>
  </si>
  <si>
    <t>L</t>
  </si>
  <si>
    <t>S</t>
  </si>
  <si>
    <t>C</t>
  </si>
  <si>
    <t>X</t>
  </si>
  <si>
    <t>Integrated</t>
  </si>
  <si>
    <t>Atomic mass of oxygen</t>
  </si>
  <si>
    <t>Atomic mass of nitrogen</t>
  </si>
  <si>
    <t>base is ammonia</t>
  </si>
  <si>
    <t>Atomic mass of iron</t>
  </si>
  <si>
    <t>Atomic mass of aluminium</t>
  </si>
  <si>
    <t>Atomic mass of phosphorus</t>
  </si>
  <si>
    <t>MRsat(s;x;k)</t>
  </si>
  <si>
    <t>Monod ratio saturation</t>
  </si>
  <si>
    <t>MRinh(s;x;k)</t>
  </si>
  <si>
    <t>Monod ratio inhibition</t>
  </si>
  <si>
    <t>Atomic mass of hydrogen</t>
  </si>
  <si>
    <t>TSS content of PP</t>
  </si>
  <si>
    <t>Particulate unbiodegradable organic N</t>
  </si>
  <si>
    <t>Maximum specific growth rate of OHOs</t>
  </si>
  <si>
    <t>Temperature dependency</t>
  </si>
  <si>
    <t>N content of biomasses</t>
  </si>
  <si>
    <t>P content of biomasses</t>
  </si>
  <si>
    <t>Atomic mass of carbon</t>
  </si>
  <si>
    <t>Temperature calculations</t>
  </si>
  <si>
    <t>Arrhenius base temperature</t>
  </si>
  <si>
    <t>COD of all biomasses</t>
  </si>
  <si>
    <t>-</t>
  </si>
  <si>
    <t>Temperature sensitvity</t>
  </si>
  <si>
    <t>T</t>
  </si>
  <si>
    <t>Chemical P removal (based on SCM approach)</t>
  </si>
  <si>
    <t>Anaerobic digestion</t>
  </si>
  <si>
    <t>Struvite precipitation</t>
  </si>
  <si>
    <t>OHO decay</t>
  </si>
  <si>
    <t>MEOLO decay</t>
  </si>
  <si>
    <t>Readily biodegradable substrate (non-VFA)</t>
  </si>
  <si>
    <t>Atomic mass of sodium</t>
  </si>
  <si>
    <t>Anaerobic methanol conversion</t>
  </si>
  <si>
    <t>HMETO decay</t>
  </si>
  <si>
    <t>AMETO decay</t>
  </si>
  <si>
    <t>2CH3OH -&gt; CH3COOH + 2H2</t>
  </si>
  <si>
    <t>r37</t>
  </si>
  <si>
    <r>
      <t>Total inorganic carbon (CO</t>
    </r>
    <r>
      <rPr>
        <vertAlign val="subscript"/>
        <sz val="11"/>
        <color rgb="FF000000"/>
        <rFont val="Calibri"/>
        <family val="2"/>
        <scheme val="minor"/>
      </rPr>
      <t>2</t>
    </r>
    <r>
      <rPr>
        <sz val="11"/>
        <color rgb="FF000000"/>
        <rFont val="Calibri"/>
        <family val="2"/>
        <charset val="238"/>
        <scheme val="minor"/>
      </rPr>
      <t>)</t>
    </r>
  </si>
  <si>
    <t>Decimals</t>
  </si>
  <si>
    <t>Type(Kinetic)</t>
  </si>
  <si>
    <t>Conversion kinetics</t>
  </si>
  <si>
    <t>Common switches</t>
  </si>
  <si>
    <t>AMETO growth</t>
  </si>
  <si>
    <t>HMETO growth</t>
  </si>
  <si>
    <t>Maximum specific growth rate of AMETO</t>
  </si>
  <si>
    <t>CO2+4H2 -&gt; CH4+2H2O</t>
  </si>
  <si>
    <t>Dissociation of water</t>
  </si>
  <si>
    <t>10^(-pH)</t>
  </si>
  <si>
    <t>Ionization of ammonia</t>
  </si>
  <si>
    <t>Nitrate fully dissociated</t>
  </si>
  <si>
    <t>Sodium fully dissociated</t>
  </si>
  <si>
    <t>Chloride fully dissociated</t>
  </si>
  <si>
    <t>Carbonate dissociation</t>
  </si>
  <si>
    <t>Phosphate dissociation</t>
  </si>
  <si>
    <t>VFA (HAc) dissociation</t>
  </si>
  <si>
    <t>Type(Stoichiometric)</t>
  </si>
  <si>
    <t>Charge balance</t>
  </si>
  <si>
    <t>Type(Equilibrium)</t>
  </si>
  <si>
    <t>Calculated variables</t>
  </si>
  <si>
    <r>
      <t>g COD.m</t>
    </r>
    <r>
      <rPr>
        <vertAlign val="superscript"/>
        <sz val="11"/>
        <rFont val="Calibri"/>
        <family val="2"/>
      </rPr>
      <t>-3</t>
    </r>
  </si>
  <si>
    <t>Particulate ultimate biochemical oxygen demand</t>
  </si>
  <si>
    <t>Total ultimate biochemical oxygen demand</t>
  </si>
  <si>
    <r>
      <t>S</t>
    </r>
    <r>
      <rPr>
        <vertAlign val="subscript"/>
        <sz val="11"/>
        <rFont val="Calibri"/>
        <family val="2"/>
        <scheme val="minor"/>
      </rPr>
      <t>BOD,5</t>
    </r>
  </si>
  <si>
    <r>
      <t>X</t>
    </r>
    <r>
      <rPr>
        <vertAlign val="subscript"/>
        <sz val="11"/>
        <rFont val="Calibri"/>
        <family val="2"/>
        <scheme val="minor"/>
      </rPr>
      <t>BOD,5</t>
    </r>
  </si>
  <si>
    <r>
      <t>T</t>
    </r>
    <r>
      <rPr>
        <vertAlign val="subscript"/>
        <sz val="11"/>
        <rFont val="Calibri"/>
        <family val="2"/>
        <scheme val="minor"/>
      </rPr>
      <t>BOD,5</t>
    </r>
  </si>
  <si>
    <r>
      <t>S</t>
    </r>
    <r>
      <rPr>
        <vertAlign val="subscript"/>
        <sz val="11"/>
        <rFont val="Calibri"/>
        <family val="2"/>
        <scheme val="minor"/>
      </rPr>
      <t>COD</t>
    </r>
  </si>
  <si>
    <t>Total chemical oxygen demand</t>
  </si>
  <si>
    <t>Uptake rates</t>
  </si>
  <si>
    <t>OUR</t>
  </si>
  <si>
    <t>Reactive</t>
  </si>
  <si>
    <t>Nitrate uptake rate (N3UR)</t>
  </si>
  <si>
    <t>AUR</t>
  </si>
  <si>
    <t>Ammonia uptake rate (AUR)</t>
  </si>
  <si>
    <t>Total Kjeldahl nitrogen (TKN)</t>
  </si>
  <si>
    <r>
      <t>g N.m</t>
    </r>
    <r>
      <rPr>
        <vertAlign val="superscript"/>
        <sz val="11"/>
        <rFont val="Calibri"/>
        <family val="2"/>
      </rPr>
      <t>-3</t>
    </r>
  </si>
  <si>
    <t>Total nitrogen</t>
  </si>
  <si>
    <t>Activity coefficients</t>
  </si>
  <si>
    <r>
      <t>f</t>
    </r>
    <r>
      <rPr>
        <vertAlign val="subscript"/>
        <sz val="11"/>
        <rFont val="Calibri"/>
        <family val="2"/>
        <scheme val="minor"/>
      </rPr>
      <t>mono</t>
    </r>
  </si>
  <si>
    <t>Monovalent activity coefficient</t>
  </si>
  <si>
    <r>
      <t>f</t>
    </r>
    <r>
      <rPr>
        <vertAlign val="subscript"/>
        <sz val="11"/>
        <rFont val="Calibri"/>
        <family val="2"/>
        <scheme val="minor"/>
      </rPr>
      <t>di</t>
    </r>
  </si>
  <si>
    <t>Divalent activity coefficient</t>
  </si>
  <si>
    <r>
      <t>f</t>
    </r>
    <r>
      <rPr>
        <vertAlign val="subscript"/>
        <sz val="11"/>
        <rFont val="Calibri"/>
        <family val="2"/>
        <scheme val="minor"/>
      </rPr>
      <t>tri</t>
    </r>
  </si>
  <si>
    <t>Trivalent activity coefficient</t>
  </si>
  <si>
    <r>
      <t>K</t>
    </r>
    <r>
      <rPr>
        <vertAlign val="subscript"/>
        <sz val="11"/>
        <rFont val="Calibri"/>
        <family val="2"/>
        <scheme val="minor"/>
      </rPr>
      <t>W</t>
    </r>
  </si>
  <si>
    <r>
      <t>K</t>
    </r>
    <r>
      <rPr>
        <vertAlign val="subscript"/>
        <sz val="11"/>
        <rFont val="Calibri"/>
        <family val="2"/>
        <scheme val="minor"/>
      </rPr>
      <t>C1</t>
    </r>
  </si>
  <si>
    <r>
      <t>K</t>
    </r>
    <r>
      <rPr>
        <vertAlign val="subscript"/>
        <sz val="11"/>
        <rFont val="Calibri"/>
        <family val="2"/>
        <scheme val="minor"/>
      </rPr>
      <t>C2</t>
    </r>
  </si>
  <si>
    <t>Yield on ultimate BOD</t>
  </si>
  <si>
    <t>Particulate biochemical oxygen demand (5 days)</t>
  </si>
  <si>
    <t>Total biochemical oxygen demand (5 days)</t>
  </si>
  <si>
    <r>
      <t>SC</t>
    </r>
    <r>
      <rPr>
        <vertAlign val="subscript"/>
        <sz val="11"/>
        <rFont val="Calibri"/>
        <family val="2"/>
        <scheme val="minor"/>
      </rPr>
      <t>COD</t>
    </r>
  </si>
  <si>
    <t>Filtered flocculated chemical oxygen demand</t>
  </si>
  <si>
    <r>
      <t>g O2.m</t>
    </r>
    <r>
      <rPr>
        <vertAlign val="superscript"/>
        <sz val="11"/>
        <rFont val="Calibri"/>
        <family val="2"/>
        <scheme val="minor"/>
      </rPr>
      <t>-3</t>
    </r>
    <r>
      <rPr>
        <sz val="11"/>
        <rFont val="Calibri"/>
        <family val="2"/>
        <scheme val="minor"/>
      </rPr>
      <t>.d</t>
    </r>
    <r>
      <rPr>
        <vertAlign val="superscript"/>
        <sz val="11"/>
        <rFont val="Calibri"/>
        <family val="2"/>
        <scheme val="minor"/>
      </rPr>
      <t>-1</t>
    </r>
  </si>
  <si>
    <t>r41</t>
  </si>
  <si>
    <t>Magnesium</t>
  </si>
  <si>
    <r>
      <t>X</t>
    </r>
    <r>
      <rPr>
        <b/>
        <vertAlign val="subscript"/>
        <sz val="12"/>
        <rFont val="Calibri"/>
        <family val="2"/>
        <scheme val="minor"/>
      </rPr>
      <t>STR</t>
    </r>
  </si>
  <si>
    <r>
      <t>K</t>
    </r>
    <r>
      <rPr>
        <vertAlign val="subscript"/>
        <sz val="11"/>
        <rFont val="Calibri"/>
        <family val="2"/>
        <scheme val="minor"/>
      </rPr>
      <t>P1</t>
    </r>
  </si>
  <si>
    <r>
      <t>K</t>
    </r>
    <r>
      <rPr>
        <vertAlign val="subscript"/>
        <sz val="11"/>
        <rFont val="Calibri"/>
        <family val="2"/>
        <scheme val="minor"/>
      </rPr>
      <t>P2</t>
    </r>
  </si>
  <si>
    <r>
      <t>K</t>
    </r>
    <r>
      <rPr>
        <vertAlign val="subscript"/>
        <sz val="11"/>
        <rFont val="Calibri"/>
        <family val="2"/>
        <scheme val="minor"/>
      </rPr>
      <t>P3</t>
    </r>
  </si>
  <si>
    <r>
      <t>g TSS.m</t>
    </r>
    <r>
      <rPr>
        <vertAlign val="superscript"/>
        <sz val="11"/>
        <rFont val="Calibri"/>
        <family val="2"/>
      </rPr>
      <t>-3</t>
    </r>
  </si>
  <si>
    <r>
      <t>AM</t>
    </r>
    <r>
      <rPr>
        <vertAlign val="subscript"/>
        <sz val="11"/>
        <rFont val="Calibri"/>
        <family val="2"/>
        <scheme val="minor"/>
      </rPr>
      <t>C</t>
    </r>
  </si>
  <si>
    <r>
      <t>g.mol</t>
    </r>
    <r>
      <rPr>
        <vertAlign val="superscript"/>
        <sz val="11"/>
        <rFont val="Calibri"/>
        <family val="2"/>
        <scheme val="minor"/>
      </rPr>
      <t>-1</t>
    </r>
  </si>
  <si>
    <r>
      <t>AM</t>
    </r>
    <r>
      <rPr>
        <vertAlign val="subscript"/>
        <sz val="11"/>
        <rFont val="Calibri"/>
        <family val="2"/>
        <scheme val="minor"/>
      </rPr>
      <t>P</t>
    </r>
  </si>
  <si>
    <r>
      <t>AM</t>
    </r>
    <r>
      <rPr>
        <vertAlign val="subscript"/>
        <sz val="11"/>
        <rFont val="Calibri"/>
        <family val="2"/>
        <scheme val="minor"/>
      </rPr>
      <t>N</t>
    </r>
  </si>
  <si>
    <r>
      <t>AM</t>
    </r>
    <r>
      <rPr>
        <vertAlign val="subscript"/>
        <sz val="11"/>
        <rFont val="Calibri"/>
        <family val="2"/>
        <scheme val="minor"/>
      </rPr>
      <t>O</t>
    </r>
  </si>
  <si>
    <r>
      <t>AM</t>
    </r>
    <r>
      <rPr>
        <vertAlign val="subscript"/>
        <sz val="11"/>
        <rFont val="Calibri"/>
        <family val="2"/>
        <scheme val="minor"/>
      </rPr>
      <t>Ca</t>
    </r>
  </si>
  <si>
    <t>Atomic mass of calcium</t>
  </si>
  <si>
    <r>
      <rPr>
        <sz val="11"/>
        <rFont val="Calibri"/>
        <family val="2"/>
        <scheme val="minor"/>
      </rPr>
      <t>AM</t>
    </r>
    <r>
      <rPr>
        <vertAlign val="subscript"/>
        <sz val="11"/>
        <rFont val="Calibri"/>
        <family val="2"/>
        <scheme val="minor"/>
      </rPr>
      <t>Fe</t>
    </r>
  </si>
  <si>
    <r>
      <t>AM</t>
    </r>
    <r>
      <rPr>
        <vertAlign val="subscript"/>
        <sz val="11"/>
        <rFont val="Calibri"/>
        <family val="2"/>
        <scheme val="minor"/>
      </rPr>
      <t>Al</t>
    </r>
  </si>
  <si>
    <r>
      <t>AM</t>
    </r>
    <r>
      <rPr>
        <vertAlign val="subscript"/>
        <sz val="11"/>
        <rFont val="Calibri"/>
        <family val="2"/>
        <scheme val="minor"/>
      </rPr>
      <t>H</t>
    </r>
  </si>
  <si>
    <r>
      <t>AM</t>
    </r>
    <r>
      <rPr>
        <vertAlign val="subscript"/>
        <sz val="11"/>
        <rFont val="Calibri"/>
        <family val="2"/>
        <scheme val="minor"/>
      </rPr>
      <t>Na</t>
    </r>
  </si>
  <si>
    <r>
      <t>AM</t>
    </r>
    <r>
      <rPr>
        <vertAlign val="subscript"/>
        <sz val="11"/>
        <rFont val="Calibri"/>
        <family val="2"/>
        <scheme val="minor"/>
      </rPr>
      <t>Cl</t>
    </r>
  </si>
  <si>
    <t>Atomic mass of chlorine</t>
  </si>
  <si>
    <t>Newton-Raphson</t>
  </si>
  <si>
    <t>Target</t>
  </si>
  <si>
    <t>Minimum</t>
  </si>
  <si>
    <t>Maximum</t>
  </si>
  <si>
    <t>chargebalanceerror</t>
  </si>
  <si>
    <t>pHunit</t>
  </si>
  <si>
    <t>Ionic strength (IS)</t>
  </si>
  <si>
    <t>ISerror</t>
  </si>
  <si>
    <t>ISunit</t>
  </si>
  <si>
    <t>Key cation component</t>
  </si>
  <si>
    <t>0</t>
  </si>
  <si>
    <r>
      <t>mol.L</t>
    </r>
    <r>
      <rPr>
        <vertAlign val="superscript"/>
        <sz val="11"/>
        <rFont val="Calibri"/>
        <family val="2"/>
        <scheme val="minor"/>
      </rPr>
      <t>-1</t>
    </r>
  </si>
  <si>
    <t>Fit ionic strength</t>
  </si>
  <si>
    <r>
      <t>S</t>
    </r>
    <r>
      <rPr>
        <vertAlign val="subscript"/>
        <sz val="11"/>
        <rFont val="Calibri"/>
        <family val="2"/>
        <scheme val="minor"/>
      </rPr>
      <t>CO2</t>
    </r>
  </si>
  <si>
    <t>Main buffer system component</t>
  </si>
  <si>
    <t>SCO2error</t>
  </si>
  <si>
    <t>chargebalance</t>
  </si>
  <si>
    <t>Ionic strength error</t>
  </si>
  <si>
    <t>Alkalinity error for CO2 calculation</t>
  </si>
  <si>
    <r>
      <t>S</t>
    </r>
    <r>
      <rPr>
        <vertAlign val="subscript"/>
        <sz val="11"/>
        <rFont val="Calibri"/>
        <family val="2"/>
        <scheme val="minor"/>
      </rPr>
      <t>ALK</t>
    </r>
    <r>
      <rPr>
        <sz val="11"/>
        <rFont val="Calibri"/>
        <family val="2"/>
        <scheme val="minor"/>
      </rPr>
      <t>-S</t>
    </r>
    <r>
      <rPr>
        <vertAlign val="subscript"/>
        <sz val="11"/>
        <rFont val="Calibri"/>
        <family val="2"/>
        <scheme val="minor"/>
      </rPr>
      <t>ALK,input</t>
    </r>
  </si>
  <si>
    <t>Charge balance and ionic strength</t>
  </si>
  <si>
    <t>Alkalinity (ALK)</t>
  </si>
  <si>
    <t>Equilibrium species</t>
  </si>
  <si>
    <r>
      <t>[H</t>
    </r>
    <r>
      <rPr>
        <b/>
        <vertAlign val="superscript"/>
        <sz val="11"/>
        <rFont val="Calibri"/>
        <family val="2"/>
      </rPr>
      <t>+</t>
    </r>
    <r>
      <rPr>
        <b/>
        <sz val="11"/>
        <rFont val="Calibri"/>
        <family val="2"/>
      </rPr>
      <t>]</t>
    </r>
  </si>
  <si>
    <t>Proton</t>
  </si>
  <si>
    <r>
      <t>[OH</t>
    </r>
    <r>
      <rPr>
        <b/>
        <vertAlign val="superscript"/>
        <sz val="11"/>
        <rFont val="Calibri"/>
        <family val="2"/>
      </rPr>
      <t>-</t>
    </r>
    <r>
      <rPr>
        <b/>
        <sz val="11"/>
        <rFont val="Calibri"/>
        <family val="2"/>
      </rPr>
      <t>]</t>
    </r>
  </si>
  <si>
    <t>Hydroxide ion</t>
  </si>
  <si>
    <r>
      <t>[NH</t>
    </r>
    <r>
      <rPr>
        <b/>
        <vertAlign val="subscript"/>
        <sz val="11"/>
        <rFont val="Calibri"/>
        <family val="2"/>
      </rPr>
      <t>3</t>
    </r>
    <r>
      <rPr>
        <b/>
        <sz val="11"/>
        <rFont val="Calibri"/>
        <family val="2"/>
      </rPr>
      <t>]</t>
    </r>
  </si>
  <si>
    <t>Free ammonia</t>
  </si>
  <si>
    <r>
      <t>[NH</t>
    </r>
    <r>
      <rPr>
        <b/>
        <vertAlign val="subscript"/>
        <sz val="11"/>
        <rFont val="Calibri"/>
        <family val="2"/>
      </rPr>
      <t>4</t>
    </r>
    <r>
      <rPr>
        <b/>
        <vertAlign val="superscript"/>
        <sz val="11"/>
        <rFont val="Calibri"/>
        <family val="2"/>
      </rPr>
      <t>+</t>
    </r>
    <r>
      <rPr>
        <b/>
        <sz val="11"/>
        <rFont val="Calibri"/>
        <family val="2"/>
      </rPr>
      <t>]</t>
    </r>
  </si>
  <si>
    <t>Ammonium</t>
  </si>
  <si>
    <r>
      <t>[H</t>
    </r>
    <r>
      <rPr>
        <b/>
        <vertAlign val="subscript"/>
        <sz val="11"/>
        <rFont val="Calibri"/>
        <family val="2"/>
      </rPr>
      <t>2</t>
    </r>
    <r>
      <rPr>
        <b/>
        <sz val="11"/>
        <rFont val="Calibri"/>
        <family val="2"/>
      </rPr>
      <t>CO</t>
    </r>
    <r>
      <rPr>
        <b/>
        <vertAlign val="subscript"/>
        <sz val="11"/>
        <rFont val="Calibri"/>
        <family val="2"/>
      </rPr>
      <t>3</t>
    </r>
    <r>
      <rPr>
        <b/>
        <sz val="11"/>
        <rFont val="Calibri"/>
        <family val="2"/>
      </rPr>
      <t>]</t>
    </r>
  </si>
  <si>
    <t>Carbonic acid</t>
  </si>
  <si>
    <r>
      <t>[HCO</t>
    </r>
    <r>
      <rPr>
        <b/>
        <vertAlign val="subscript"/>
        <sz val="11"/>
        <rFont val="Calibri"/>
        <family val="2"/>
      </rPr>
      <t>3</t>
    </r>
    <r>
      <rPr>
        <b/>
        <vertAlign val="superscript"/>
        <sz val="11"/>
        <rFont val="Calibri"/>
        <family val="2"/>
      </rPr>
      <t>-</t>
    </r>
    <r>
      <rPr>
        <b/>
        <sz val="11"/>
        <rFont val="Calibri"/>
        <family val="2"/>
      </rPr>
      <t>]</t>
    </r>
  </si>
  <si>
    <t>Bicarbonate ion</t>
  </si>
  <si>
    <r>
      <t>[CO</t>
    </r>
    <r>
      <rPr>
        <b/>
        <vertAlign val="subscript"/>
        <sz val="11"/>
        <rFont val="Calibri"/>
        <family val="2"/>
      </rPr>
      <t>3</t>
    </r>
    <r>
      <rPr>
        <b/>
        <vertAlign val="superscript"/>
        <sz val="11"/>
        <rFont val="Calibri"/>
        <family val="2"/>
      </rPr>
      <t>2-</t>
    </r>
    <r>
      <rPr>
        <b/>
        <sz val="11"/>
        <rFont val="Calibri"/>
        <family val="2"/>
      </rPr>
      <t>]</t>
    </r>
  </si>
  <si>
    <t>Carbonate ion</t>
  </si>
  <si>
    <r>
      <t>[H</t>
    </r>
    <r>
      <rPr>
        <b/>
        <vertAlign val="subscript"/>
        <sz val="11"/>
        <rFont val="Calibri"/>
        <family val="2"/>
      </rPr>
      <t>3</t>
    </r>
    <r>
      <rPr>
        <b/>
        <sz val="11"/>
        <rFont val="Calibri"/>
        <family val="2"/>
      </rPr>
      <t>PO</t>
    </r>
    <r>
      <rPr>
        <b/>
        <vertAlign val="subscript"/>
        <sz val="11"/>
        <rFont val="Calibri"/>
        <family val="2"/>
      </rPr>
      <t>4</t>
    </r>
    <r>
      <rPr>
        <b/>
        <sz val="11"/>
        <rFont val="Calibri"/>
        <family val="2"/>
      </rPr>
      <t>]</t>
    </r>
  </si>
  <si>
    <t>Phosphoric acid</t>
  </si>
  <si>
    <r>
      <t>[H</t>
    </r>
    <r>
      <rPr>
        <b/>
        <vertAlign val="subscript"/>
        <sz val="11"/>
        <rFont val="Calibri"/>
        <family val="2"/>
      </rPr>
      <t>2</t>
    </r>
    <r>
      <rPr>
        <b/>
        <sz val="11"/>
        <rFont val="Calibri"/>
        <family val="2"/>
      </rPr>
      <t>PO</t>
    </r>
    <r>
      <rPr>
        <b/>
        <vertAlign val="subscript"/>
        <sz val="11"/>
        <rFont val="Calibri"/>
        <family val="2"/>
      </rPr>
      <t>4</t>
    </r>
    <r>
      <rPr>
        <b/>
        <vertAlign val="superscript"/>
        <sz val="11"/>
        <rFont val="Calibri"/>
        <family val="2"/>
      </rPr>
      <t>-</t>
    </r>
    <r>
      <rPr>
        <b/>
        <sz val="11"/>
        <rFont val="Calibri"/>
        <family val="2"/>
      </rPr>
      <t>]</t>
    </r>
  </si>
  <si>
    <t>Dihydrogen phosphate ion</t>
  </si>
  <si>
    <r>
      <t>[HPO</t>
    </r>
    <r>
      <rPr>
        <b/>
        <vertAlign val="subscript"/>
        <sz val="11"/>
        <rFont val="Calibri"/>
        <family val="2"/>
      </rPr>
      <t>4</t>
    </r>
    <r>
      <rPr>
        <b/>
        <vertAlign val="superscript"/>
        <sz val="11"/>
        <rFont val="Calibri"/>
        <family val="2"/>
      </rPr>
      <t>2-</t>
    </r>
    <r>
      <rPr>
        <b/>
        <sz val="11"/>
        <rFont val="Calibri"/>
        <family val="2"/>
      </rPr>
      <t>]</t>
    </r>
  </si>
  <si>
    <t>Hydrogen phosphate ion</t>
  </si>
  <si>
    <r>
      <t>[PO</t>
    </r>
    <r>
      <rPr>
        <b/>
        <vertAlign val="subscript"/>
        <sz val="11"/>
        <rFont val="Calibri"/>
        <family val="2"/>
      </rPr>
      <t>4</t>
    </r>
    <r>
      <rPr>
        <b/>
        <vertAlign val="superscript"/>
        <sz val="11"/>
        <rFont val="Calibri"/>
        <family val="2"/>
      </rPr>
      <t>3-</t>
    </r>
    <r>
      <rPr>
        <b/>
        <sz val="11"/>
        <rFont val="Calibri"/>
        <family val="2"/>
      </rPr>
      <t>]</t>
    </r>
  </si>
  <si>
    <t>Phosphate ion</t>
  </si>
  <si>
    <t>[HAc]</t>
  </si>
  <si>
    <t>Acetic acid</t>
  </si>
  <si>
    <r>
      <t>[Ac</t>
    </r>
    <r>
      <rPr>
        <b/>
        <vertAlign val="superscript"/>
        <sz val="11"/>
        <rFont val="Calibri"/>
        <family val="2"/>
      </rPr>
      <t>-</t>
    </r>
    <r>
      <rPr>
        <b/>
        <sz val="11"/>
        <rFont val="Calibri"/>
        <family val="2"/>
      </rPr>
      <t>]</t>
    </r>
  </si>
  <si>
    <t>Acetate ion</t>
  </si>
  <si>
    <t>Nitrate ion</t>
  </si>
  <si>
    <r>
      <t>[NO</t>
    </r>
    <r>
      <rPr>
        <b/>
        <vertAlign val="subscript"/>
        <sz val="11"/>
        <rFont val="Calibri"/>
        <family val="2"/>
      </rPr>
      <t>3</t>
    </r>
    <r>
      <rPr>
        <b/>
        <vertAlign val="superscript"/>
        <sz val="11"/>
        <rFont val="Calibri"/>
        <family val="2"/>
      </rPr>
      <t>-</t>
    </r>
    <r>
      <rPr>
        <b/>
        <sz val="11"/>
        <rFont val="Calibri"/>
        <family val="2"/>
      </rPr>
      <t>]</t>
    </r>
  </si>
  <si>
    <r>
      <t>diss</t>
    </r>
    <r>
      <rPr>
        <vertAlign val="subscript"/>
        <sz val="11"/>
        <rFont val="Calibri"/>
        <family val="2"/>
      </rPr>
      <t>H2O</t>
    </r>
  </si>
  <si>
    <r>
      <t>K</t>
    </r>
    <r>
      <rPr>
        <vertAlign val="subscript"/>
        <sz val="11"/>
        <rFont val="Calibri"/>
        <family val="2"/>
      </rPr>
      <t>W</t>
    </r>
    <r>
      <rPr>
        <sz val="11"/>
        <rFont val="Calibri"/>
        <family val="2"/>
      </rPr>
      <t>/[H</t>
    </r>
    <r>
      <rPr>
        <vertAlign val="superscript"/>
        <sz val="11"/>
        <rFont val="Calibri"/>
        <family val="2"/>
      </rPr>
      <t>+</t>
    </r>
    <r>
      <rPr>
        <sz val="11"/>
        <rFont val="Calibri"/>
        <family val="2"/>
      </rPr>
      <t>]</t>
    </r>
  </si>
  <si>
    <r>
      <t>diss</t>
    </r>
    <r>
      <rPr>
        <vertAlign val="subscript"/>
        <sz val="11"/>
        <rFont val="Calibri"/>
        <family val="2"/>
      </rPr>
      <t>CO2</t>
    </r>
  </si>
  <si>
    <r>
      <t>diss</t>
    </r>
    <r>
      <rPr>
        <vertAlign val="subscript"/>
        <sz val="11"/>
        <rFont val="Calibri"/>
        <family val="2"/>
      </rPr>
      <t>PO4</t>
    </r>
  </si>
  <si>
    <r>
      <t>S</t>
    </r>
    <r>
      <rPr>
        <vertAlign val="subscript"/>
        <sz val="11"/>
        <rFont val="Calibri"/>
        <family val="2"/>
      </rPr>
      <t>PO4</t>
    </r>
    <r>
      <rPr>
        <sz val="11"/>
        <rFont val="Calibri"/>
        <family val="2"/>
      </rPr>
      <t>/(AM</t>
    </r>
    <r>
      <rPr>
        <vertAlign val="subscript"/>
        <sz val="11"/>
        <rFont val="Calibri"/>
        <family val="2"/>
      </rPr>
      <t>P</t>
    </r>
    <r>
      <rPr>
        <sz val="11"/>
        <rFont val="Calibri"/>
        <family val="2"/>
      </rPr>
      <t>*1000)*[H</t>
    </r>
    <r>
      <rPr>
        <vertAlign val="superscript"/>
        <sz val="11"/>
        <rFont val="Calibri"/>
        <family val="2"/>
      </rPr>
      <t>+</t>
    </r>
    <r>
      <rPr>
        <sz val="11"/>
        <rFont val="Calibri"/>
        <family val="2"/>
      </rPr>
      <t>]^3/([H</t>
    </r>
    <r>
      <rPr>
        <vertAlign val="superscript"/>
        <sz val="11"/>
        <rFont val="Calibri"/>
        <family val="2"/>
      </rPr>
      <t>+</t>
    </r>
    <r>
      <rPr>
        <sz val="11"/>
        <rFont val="Calibri"/>
        <family val="2"/>
      </rPr>
      <t>]^3+[H</t>
    </r>
    <r>
      <rPr>
        <vertAlign val="superscript"/>
        <sz val="11"/>
        <rFont val="Calibri"/>
        <family val="2"/>
      </rPr>
      <t>+</t>
    </r>
    <r>
      <rPr>
        <sz val="11"/>
        <rFont val="Calibri"/>
        <family val="2"/>
      </rPr>
      <t>]^2*K</t>
    </r>
    <r>
      <rPr>
        <vertAlign val="subscript"/>
        <sz val="11"/>
        <rFont val="Calibri"/>
        <family val="2"/>
      </rPr>
      <t>P1</t>
    </r>
    <r>
      <rPr>
        <sz val="11"/>
        <rFont val="Calibri"/>
        <family val="2"/>
      </rPr>
      <t>+K</t>
    </r>
    <r>
      <rPr>
        <vertAlign val="subscript"/>
        <sz val="11"/>
        <rFont val="Calibri"/>
        <family val="2"/>
      </rPr>
      <t>P2</t>
    </r>
    <r>
      <rPr>
        <sz val="11"/>
        <rFont val="Calibri"/>
        <family val="2"/>
      </rPr>
      <t>*[H</t>
    </r>
    <r>
      <rPr>
        <vertAlign val="superscript"/>
        <sz val="11"/>
        <rFont val="Calibri"/>
        <family val="2"/>
      </rPr>
      <t>+</t>
    </r>
    <r>
      <rPr>
        <sz val="11"/>
        <rFont val="Calibri"/>
        <family val="2"/>
      </rPr>
      <t>]*K</t>
    </r>
    <r>
      <rPr>
        <vertAlign val="subscript"/>
        <sz val="11"/>
        <rFont val="Calibri"/>
        <family val="2"/>
      </rPr>
      <t>P1</t>
    </r>
    <r>
      <rPr>
        <sz val="11"/>
        <rFont val="Calibri"/>
        <family val="2"/>
      </rPr>
      <t>+K</t>
    </r>
    <r>
      <rPr>
        <vertAlign val="subscript"/>
        <sz val="11"/>
        <rFont val="Calibri"/>
        <family val="2"/>
      </rPr>
      <t>P2</t>
    </r>
    <r>
      <rPr>
        <sz val="11"/>
        <rFont val="Calibri"/>
        <family val="2"/>
      </rPr>
      <t>*K</t>
    </r>
    <r>
      <rPr>
        <vertAlign val="subscript"/>
        <sz val="11"/>
        <rFont val="Calibri"/>
        <family val="2"/>
      </rPr>
      <t>P1</t>
    </r>
    <r>
      <rPr>
        <sz val="11"/>
        <rFont val="Calibri"/>
        <family val="2"/>
      </rPr>
      <t>*K</t>
    </r>
    <r>
      <rPr>
        <vertAlign val="subscript"/>
        <sz val="11"/>
        <rFont val="Calibri"/>
        <family val="2"/>
      </rPr>
      <t>P3</t>
    </r>
    <r>
      <rPr>
        <sz val="11"/>
        <rFont val="Calibri"/>
        <family val="2"/>
      </rPr>
      <t>)</t>
    </r>
  </si>
  <si>
    <r>
      <t>[H</t>
    </r>
    <r>
      <rPr>
        <vertAlign val="superscript"/>
        <sz val="11"/>
        <rFont val="Calibri"/>
        <family val="2"/>
      </rPr>
      <t>+</t>
    </r>
    <r>
      <rPr>
        <sz val="11"/>
        <rFont val="Calibri"/>
        <family val="2"/>
      </rPr>
      <t>]^2*K</t>
    </r>
    <r>
      <rPr>
        <vertAlign val="subscript"/>
        <sz val="11"/>
        <rFont val="Calibri"/>
        <family val="2"/>
      </rPr>
      <t>P1</t>
    </r>
    <r>
      <rPr>
        <sz val="11"/>
        <rFont val="Calibri"/>
        <family val="2"/>
      </rPr>
      <t>*S</t>
    </r>
    <r>
      <rPr>
        <vertAlign val="subscript"/>
        <sz val="11"/>
        <rFont val="Calibri"/>
        <family val="2"/>
      </rPr>
      <t>PO4</t>
    </r>
    <r>
      <rPr>
        <sz val="11"/>
        <rFont val="Calibri"/>
        <family val="2"/>
      </rPr>
      <t>/(AM</t>
    </r>
    <r>
      <rPr>
        <vertAlign val="subscript"/>
        <sz val="11"/>
        <rFont val="Calibri"/>
        <family val="2"/>
      </rPr>
      <t>P</t>
    </r>
    <r>
      <rPr>
        <sz val="11"/>
        <rFont val="Calibri"/>
        <family val="2"/>
      </rPr>
      <t>*1000)/([H</t>
    </r>
    <r>
      <rPr>
        <vertAlign val="superscript"/>
        <sz val="11"/>
        <rFont val="Calibri"/>
        <family val="2"/>
      </rPr>
      <t>+</t>
    </r>
    <r>
      <rPr>
        <sz val="11"/>
        <rFont val="Calibri"/>
        <family val="2"/>
      </rPr>
      <t>]^3+[H</t>
    </r>
    <r>
      <rPr>
        <vertAlign val="superscript"/>
        <sz val="11"/>
        <rFont val="Calibri"/>
        <family val="2"/>
      </rPr>
      <t>+</t>
    </r>
    <r>
      <rPr>
        <sz val="11"/>
        <rFont val="Calibri"/>
        <family val="2"/>
      </rPr>
      <t>]^2*K</t>
    </r>
    <r>
      <rPr>
        <vertAlign val="subscript"/>
        <sz val="11"/>
        <rFont val="Calibri"/>
        <family val="2"/>
      </rPr>
      <t>P1</t>
    </r>
    <r>
      <rPr>
        <sz val="11"/>
        <rFont val="Calibri"/>
        <family val="2"/>
      </rPr>
      <t>+K</t>
    </r>
    <r>
      <rPr>
        <vertAlign val="subscript"/>
        <sz val="11"/>
        <rFont val="Calibri"/>
        <family val="2"/>
      </rPr>
      <t>P2</t>
    </r>
    <r>
      <rPr>
        <sz val="11"/>
        <rFont val="Calibri"/>
        <family val="2"/>
      </rPr>
      <t>*[H</t>
    </r>
    <r>
      <rPr>
        <vertAlign val="superscript"/>
        <sz val="11"/>
        <rFont val="Calibri"/>
        <family val="2"/>
      </rPr>
      <t>+</t>
    </r>
    <r>
      <rPr>
        <sz val="11"/>
        <rFont val="Calibri"/>
        <family val="2"/>
      </rPr>
      <t>]*K</t>
    </r>
    <r>
      <rPr>
        <vertAlign val="subscript"/>
        <sz val="11"/>
        <rFont val="Calibri"/>
        <family val="2"/>
      </rPr>
      <t>P1</t>
    </r>
    <r>
      <rPr>
        <sz val="11"/>
        <rFont val="Calibri"/>
        <family val="2"/>
      </rPr>
      <t>+K</t>
    </r>
    <r>
      <rPr>
        <vertAlign val="subscript"/>
        <sz val="11"/>
        <rFont val="Calibri"/>
        <family val="2"/>
      </rPr>
      <t>P2</t>
    </r>
    <r>
      <rPr>
        <sz val="11"/>
        <rFont val="Calibri"/>
        <family val="2"/>
      </rPr>
      <t>*K</t>
    </r>
    <r>
      <rPr>
        <vertAlign val="subscript"/>
        <sz val="11"/>
        <rFont val="Calibri"/>
        <family val="2"/>
      </rPr>
      <t>P1</t>
    </r>
    <r>
      <rPr>
        <sz val="11"/>
        <rFont val="Calibri"/>
        <family val="2"/>
      </rPr>
      <t>*K</t>
    </r>
    <r>
      <rPr>
        <vertAlign val="subscript"/>
        <sz val="11"/>
        <rFont val="Calibri"/>
        <family val="2"/>
      </rPr>
      <t>P3</t>
    </r>
    <r>
      <rPr>
        <sz val="11"/>
        <rFont val="Calibri"/>
        <family val="2"/>
      </rPr>
      <t>)</t>
    </r>
  </si>
  <si>
    <r>
      <t>[H</t>
    </r>
    <r>
      <rPr>
        <vertAlign val="superscript"/>
        <sz val="11"/>
        <rFont val="Calibri"/>
        <family val="2"/>
      </rPr>
      <t>+</t>
    </r>
    <r>
      <rPr>
        <sz val="11"/>
        <rFont val="Calibri"/>
        <family val="2"/>
      </rPr>
      <t>]*K</t>
    </r>
    <r>
      <rPr>
        <vertAlign val="subscript"/>
        <sz val="11"/>
        <rFont val="Calibri"/>
        <family val="2"/>
      </rPr>
      <t>P2</t>
    </r>
    <r>
      <rPr>
        <sz val="11"/>
        <rFont val="Calibri"/>
        <family val="2"/>
      </rPr>
      <t>/([H</t>
    </r>
    <r>
      <rPr>
        <vertAlign val="superscript"/>
        <sz val="11"/>
        <rFont val="Calibri"/>
        <family val="2"/>
      </rPr>
      <t>+</t>
    </r>
    <r>
      <rPr>
        <sz val="11"/>
        <rFont val="Calibri"/>
        <family val="2"/>
      </rPr>
      <t>]^3+[H</t>
    </r>
    <r>
      <rPr>
        <vertAlign val="superscript"/>
        <sz val="11"/>
        <rFont val="Calibri"/>
        <family val="2"/>
      </rPr>
      <t>+</t>
    </r>
    <r>
      <rPr>
        <sz val="11"/>
        <rFont val="Calibri"/>
        <family val="2"/>
      </rPr>
      <t>]^2*K</t>
    </r>
    <r>
      <rPr>
        <vertAlign val="subscript"/>
        <sz val="11"/>
        <rFont val="Calibri"/>
        <family val="2"/>
      </rPr>
      <t>P1</t>
    </r>
    <r>
      <rPr>
        <sz val="11"/>
        <rFont val="Calibri"/>
        <family val="2"/>
      </rPr>
      <t>+K</t>
    </r>
    <r>
      <rPr>
        <vertAlign val="subscript"/>
        <sz val="11"/>
        <rFont val="Calibri"/>
        <family val="2"/>
      </rPr>
      <t>P2</t>
    </r>
    <r>
      <rPr>
        <sz val="11"/>
        <rFont val="Calibri"/>
        <family val="2"/>
      </rPr>
      <t>*[H</t>
    </r>
    <r>
      <rPr>
        <vertAlign val="superscript"/>
        <sz val="11"/>
        <rFont val="Calibri"/>
        <family val="2"/>
      </rPr>
      <t>+</t>
    </r>
    <r>
      <rPr>
        <sz val="11"/>
        <rFont val="Calibri"/>
        <family val="2"/>
      </rPr>
      <t>]*K</t>
    </r>
    <r>
      <rPr>
        <vertAlign val="subscript"/>
        <sz val="11"/>
        <rFont val="Calibri"/>
        <family val="2"/>
      </rPr>
      <t>P1</t>
    </r>
    <r>
      <rPr>
        <sz val="11"/>
        <rFont val="Calibri"/>
        <family val="2"/>
      </rPr>
      <t>+K</t>
    </r>
    <r>
      <rPr>
        <vertAlign val="subscript"/>
        <sz val="11"/>
        <rFont val="Calibri"/>
        <family val="2"/>
      </rPr>
      <t>P2</t>
    </r>
    <r>
      <rPr>
        <sz val="11"/>
        <rFont val="Calibri"/>
        <family val="2"/>
      </rPr>
      <t>*K</t>
    </r>
    <r>
      <rPr>
        <vertAlign val="subscript"/>
        <sz val="11"/>
        <rFont val="Calibri"/>
        <family val="2"/>
      </rPr>
      <t>P1</t>
    </r>
    <r>
      <rPr>
        <sz val="11"/>
        <rFont val="Calibri"/>
        <family val="2"/>
      </rPr>
      <t>*K</t>
    </r>
    <r>
      <rPr>
        <vertAlign val="subscript"/>
        <sz val="11"/>
        <rFont val="Calibri"/>
        <family val="2"/>
      </rPr>
      <t>P3</t>
    </r>
    <r>
      <rPr>
        <sz val="11"/>
        <rFont val="Calibri"/>
        <family val="2"/>
      </rPr>
      <t>)*K</t>
    </r>
    <r>
      <rPr>
        <vertAlign val="subscript"/>
        <sz val="11"/>
        <rFont val="Calibri"/>
        <family val="2"/>
      </rPr>
      <t>P1</t>
    </r>
    <r>
      <rPr>
        <sz val="11"/>
        <rFont val="Calibri"/>
        <family val="2"/>
      </rPr>
      <t>*S</t>
    </r>
    <r>
      <rPr>
        <vertAlign val="subscript"/>
        <sz val="11"/>
        <rFont val="Calibri"/>
        <family val="2"/>
      </rPr>
      <t>PO4</t>
    </r>
    <r>
      <rPr>
        <sz val="11"/>
        <rFont val="Calibri"/>
        <family val="2"/>
      </rPr>
      <t>/(AM</t>
    </r>
    <r>
      <rPr>
        <vertAlign val="subscript"/>
        <sz val="11"/>
        <rFont val="Calibri"/>
        <family val="2"/>
      </rPr>
      <t>P</t>
    </r>
    <r>
      <rPr>
        <sz val="11"/>
        <rFont val="Calibri"/>
        <family val="2"/>
      </rPr>
      <t>*1000)</t>
    </r>
  </si>
  <si>
    <r>
      <t>K</t>
    </r>
    <r>
      <rPr>
        <vertAlign val="subscript"/>
        <sz val="11"/>
        <rFont val="Calibri"/>
        <family val="2"/>
      </rPr>
      <t>P3</t>
    </r>
    <r>
      <rPr>
        <sz val="11"/>
        <rFont val="Calibri"/>
        <family val="2"/>
      </rPr>
      <t>*K</t>
    </r>
    <r>
      <rPr>
        <vertAlign val="subscript"/>
        <sz val="11"/>
        <rFont val="Calibri"/>
        <family val="2"/>
      </rPr>
      <t>P2</t>
    </r>
    <r>
      <rPr>
        <sz val="11"/>
        <rFont val="Calibri"/>
        <family val="2"/>
      </rPr>
      <t>/([H</t>
    </r>
    <r>
      <rPr>
        <vertAlign val="superscript"/>
        <sz val="11"/>
        <rFont val="Calibri"/>
        <family val="2"/>
      </rPr>
      <t>+</t>
    </r>
    <r>
      <rPr>
        <sz val="11"/>
        <rFont val="Calibri"/>
        <family val="2"/>
      </rPr>
      <t>]^3+[H</t>
    </r>
    <r>
      <rPr>
        <vertAlign val="superscript"/>
        <sz val="11"/>
        <rFont val="Calibri"/>
        <family val="2"/>
      </rPr>
      <t>+</t>
    </r>
    <r>
      <rPr>
        <sz val="11"/>
        <rFont val="Calibri"/>
        <family val="2"/>
      </rPr>
      <t>]^2*K</t>
    </r>
    <r>
      <rPr>
        <vertAlign val="subscript"/>
        <sz val="11"/>
        <rFont val="Calibri"/>
        <family val="2"/>
      </rPr>
      <t>P1</t>
    </r>
    <r>
      <rPr>
        <sz val="11"/>
        <rFont val="Calibri"/>
        <family val="2"/>
      </rPr>
      <t>+K</t>
    </r>
    <r>
      <rPr>
        <vertAlign val="subscript"/>
        <sz val="11"/>
        <rFont val="Calibri"/>
        <family val="2"/>
      </rPr>
      <t>P2</t>
    </r>
    <r>
      <rPr>
        <sz val="11"/>
        <rFont val="Calibri"/>
        <family val="2"/>
      </rPr>
      <t>*[H</t>
    </r>
    <r>
      <rPr>
        <vertAlign val="superscript"/>
        <sz val="11"/>
        <rFont val="Calibri"/>
        <family val="2"/>
      </rPr>
      <t>+</t>
    </r>
    <r>
      <rPr>
        <sz val="11"/>
        <rFont val="Calibri"/>
        <family val="2"/>
      </rPr>
      <t>]*K</t>
    </r>
    <r>
      <rPr>
        <vertAlign val="subscript"/>
        <sz val="11"/>
        <rFont val="Calibri"/>
        <family val="2"/>
      </rPr>
      <t>P1</t>
    </r>
    <r>
      <rPr>
        <sz val="11"/>
        <rFont val="Calibri"/>
        <family val="2"/>
      </rPr>
      <t>+K</t>
    </r>
    <r>
      <rPr>
        <vertAlign val="subscript"/>
        <sz val="11"/>
        <rFont val="Calibri"/>
        <family val="2"/>
      </rPr>
      <t>P2</t>
    </r>
    <r>
      <rPr>
        <sz val="11"/>
        <rFont val="Calibri"/>
        <family val="2"/>
      </rPr>
      <t>*K</t>
    </r>
    <r>
      <rPr>
        <vertAlign val="subscript"/>
        <sz val="11"/>
        <rFont val="Calibri"/>
        <family val="2"/>
      </rPr>
      <t>P1</t>
    </r>
    <r>
      <rPr>
        <sz val="11"/>
        <rFont val="Calibri"/>
        <family val="2"/>
      </rPr>
      <t>*K</t>
    </r>
    <r>
      <rPr>
        <vertAlign val="subscript"/>
        <sz val="11"/>
        <rFont val="Calibri"/>
        <family val="2"/>
      </rPr>
      <t>P3</t>
    </r>
    <r>
      <rPr>
        <sz val="11"/>
        <rFont val="Calibri"/>
        <family val="2"/>
      </rPr>
      <t>)*K</t>
    </r>
    <r>
      <rPr>
        <vertAlign val="subscript"/>
        <sz val="11"/>
        <rFont val="Calibri"/>
        <family val="2"/>
      </rPr>
      <t>P1</t>
    </r>
    <r>
      <rPr>
        <sz val="11"/>
        <rFont val="Calibri"/>
        <family val="2"/>
      </rPr>
      <t>*S</t>
    </r>
    <r>
      <rPr>
        <vertAlign val="subscript"/>
        <sz val="11"/>
        <rFont val="Calibri"/>
        <family val="2"/>
      </rPr>
      <t>PO4</t>
    </r>
    <r>
      <rPr>
        <sz val="11"/>
        <rFont val="Calibri"/>
        <family val="2"/>
      </rPr>
      <t>/(AM</t>
    </r>
    <r>
      <rPr>
        <vertAlign val="subscript"/>
        <sz val="11"/>
        <rFont val="Calibri"/>
        <family val="2"/>
      </rPr>
      <t>P</t>
    </r>
    <r>
      <rPr>
        <sz val="11"/>
        <rFont val="Calibri"/>
        <family val="2"/>
      </rPr>
      <t>*1000)</t>
    </r>
  </si>
  <si>
    <r>
      <t>diss</t>
    </r>
    <r>
      <rPr>
        <vertAlign val="subscript"/>
        <sz val="11"/>
        <rFont val="Calibri"/>
        <family val="2"/>
      </rPr>
      <t>VFA</t>
    </r>
  </si>
  <si>
    <r>
      <t>map</t>
    </r>
    <r>
      <rPr>
        <vertAlign val="subscript"/>
        <sz val="11"/>
        <rFont val="Calibri"/>
        <family val="2"/>
      </rPr>
      <t>Na</t>
    </r>
  </si>
  <si>
    <r>
      <t>map</t>
    </r>
    <r>
      <rPr>
        <vertAlign val="subscript"/>
        <sz val="11"/>
        <rFont val="Calibri"/>
        <family val="2"/>
      </rPr>
      <t>Cl</t>
    </r>
  </si>
  <si>
    <r>
      <t>G</t>
    </r>
    <r>
      <rPr>
        <b/>
        <vertAlign val="subscript"/>
        <sz val="11"/>
        <rFont val="Calibri"/>
        <family val="2"/>
        <charset val="238"/>
      </rPr>
      <t>CO2</t>
    </r>
  </si>
  <si>
    <t>G</t>
  </si>
  <si>
    <r>
      <t>G</t>
    </r>
    <r>
      <rPr>
        <b/>
        <vertAlign val="subscript"/>
        <sz val="11"/>
        <rFont val="Calibri"/>
        <family val="2"/>
        <charset val="238"/>
      </rPr>
      <t>CH4</t>
    </r>
  </si>
  <si>
    <r>
      <t>G</t>
    </r>
    <r>
      <rPr>
        <b/>
        <vertAlign val="subscript"/>
        <sz val="11"/>
        <rFont val="Calibri"/>
        <family val="2"/>
        <charset val="238"/>
      </rPr>
      <t>H2</t>
    </r>
  </si>
  <si>
    <r>
      <t>G</t>
    </r>
    <r>
      <rPr>
        <b/>
        <vertAlign val="subscript"/>
        <sz val="11"/>
        <rFont val="Calibri"/>
        <family val="2"/>
        <charset val="238"/>
      </rPr>
      <t>O2</t>
    </r>
  </si>
  <si>
    <r>
      <t>G</t>
    </r>
    <r>
      <rPr>
        <b/>
        <vertAlign val="subscript"/>
        <sz val="11"/>
        <rFont val="Calibri"/>
        <family val="2"/>
        <charset val="238"/>
      </rPr>
      <t>N2</t>
    </r>
  </si>
  <si>
    <t>r45</t>
  </si>
  <si>
    <t>r46</t>
  </si>
  <si>
    <t>Calculated gas transfer coefficients</t>
  </si>
  <si>
    <r>
      <t>d</t>
    </r>
    <r>
      <rPr>
        <vertAlign val="superscript"/>
        <sz val="11"/>
        <rFont val="Calibri"/>
        <family val="2"/>
        <scheme val="minor"/>
      </rPr>
      <t>-1</t>
    </r>
  </si>
  <si>
    <r>
      <t>mol.L</t>
    </r>
    <r>
      <rPr>
        <vertAlign val="superscript"/>
        <sz val="11"/>
        <rFont val="Calibri"/>
        <family val="2"/>
        <scheme val="minor"/>
      </rPr>
      <t>-1</t>
    </r>
    <r>
      <rPr>
        <sz val="11"/>
        <rFont val="Calibri"/>
        <family val="2"/>
        <scheme val="minor"/>
      </rPr>
      <t>.bar</t>
    </r>
    <r>
      <rPr>
        <vertAlign val="superscript"/>
        <sz val="11"/>
        <rFont val="Calibri"/>
        <family val="2"/>
        <scheme val="minor"/>
      </rPr>
      <t>-1</t>
    </r>
  </si>
  <si>
    <r>
      <t>Henry coefficient for CH</t>
    </r>
    <r>
      <rPr>
        <vertAlign val="subscript"/>
        <sz val="11"/>
        <rFont val="Calibri"/>
        <family val="2"/>
        <scheme val="minor"/>
      </rPr>
      <t xml:space="preserve">4 </t>
    </r>
    <r>
      <rPr>
        <sz val="11"/>
        <rFont val="Calibri"/>
        <family val="2"/>
        <scheme val="minor"/>
      </rPr>
      <t>@25°C</t>
    </r>
  </si>
  <si>
    <r>
      <t>MM</t>
    </r>
    <r>
      <rPr>
        <vertAlign val="subscript"/>
        <sz val="11"/>
        <rFont val="Calibri"/>
        <family val="2"/>
        <scheme val="minor"/>
      </rPr>
      <t>GO2</t>
    </r>
  </si>
  <si>
    <t>Molecular mass of oxygen</t>
  </si>
  <si>
    <r>
      <t>MM</t>
    </r>
    <r>
      <rPr>
        <vertAlign val="subscript"/>
        <sz val="11"/>
        <rFont val="Calibri"/>
        <family val="2"/>
        <scheme val="minor"/>
      </rPr>
      <t>O2</t>
    </r>
  </si>
  <si>
    <r>
      <t>MM</t>
    </r>
    <r>
      <rPr>
        <vertAlign val="subscript"/>
        <sz val="11"/>
        <rFont val="Calibri"/>
        <family val="2"/>
        <scheme val="minor"/>
      </rPr>
      <t>N2</t>
    </r>
  </si>
  <si>
    <t>Molecular mass of nitrogen</t>
  </si>
  <si>
    <r>
      <t>MM</t>
    </r>
    <r>
      <rPr>
        <vertAlign val="subscript"/>
        <sz val="11"/>
        <rFont val="Calibri"/>
        <family val="2"/>
        <scheme val="minor"/>
      </rPr>
      <t>GN2</t>
    </r>
  </si>
  <si>
    <t>Molecular mass of hydrogen</t>
  </si>
  <si>
    <t>Molecular mass of methane</t>
  </si>
  <si>
    <t>Diffusion coefficient of oxygen in water</t>
  </si>
  <si>
    <t>Diffusion coefficient of nitrogen in water</t>
  </si>
  <si>
    <t>Diffusion coefficient of carbon dioxide in water</t>
  </si>
  <si>
    <t>Diffusion coefficient of hydrogen in water @ 25°C</t>
  </si>
  <si>
    <t>Diffusion coefficient of methane in water @ 25°C</t>
  </si>
  <si>
    <r>
      <t>MM</t>
    </r>
    <r>
      <rPr>
        <vertAlign val="subscript"/>
        <sz val="11"/>
        <rFont val="Calibri"/>
        <family val="2"/>
        <scheme val="minor"/>
      </rPr>
      <t>GH2</t>
    </r>
  </si>
  <si>
    <r>
      <t>MM</t>
    </r>
    <r>
      <rPr>
        <vertAlign val="subscript"/>
        <sz val="11"/>
        <rFont val="Calibri"/>
        <family val="2"/>
        <scheme val="minor"/>
      </rPr>
      <t>GCH4</t>
    </r>
  </si>
  <si>
    <r>
      <t>X</t>
    </r>
    <r>
      <rPr>
        <b/>
        <vertAlign val="subscript"/>
        <sz val="11"/>
        <rFont val="Calibri"/>
        <family val="2"/>
        <charset val="238"/>
        <scheme val="minor"/>
      </rPr>
      <t>HFO,L,P</t>
    </r>
  </si>
  <si>
    <r>
      <t>X</t>
    </r>
    <r>
      <rPr>
        <b/>
        <vertAlign val="subscript"/>
        <sz val="11"/>
        <rFont val="Calibri"/>
        <family val="2"/>
        <charset val="238"/>
        <scheme val="minor"/>
      </rPr>
      <t>HFO,H,P</t>
    </r>
  </si>
  <si>
    <r>
      <t>X</t>
    </r>
    <r>
      <rPr>
        <b/>
        <vertAlign val="subscript"/>
        <sz val="11"/>
        <rFont val="Calibri"/>
        <family val="2"/>
        <charset val="238"/>
        <scheme val="minor"/>
      </rPr>
      <t>HFO,old</t>
    </r>
  </si>
  <si>
    <t>r47</t>
  </si>
  <si>
    <t>r48</t>
  </si>
  <si>
    <t>r49</t>
  </si>
  <si>
    <t>Total HFOs</t>
  </si>
  <si>
    <r>
      <t>g Fe.m</t>
    </r>
    <r>
      <rPr>
        <vertAlign val="superscript"/>
        <sz val="8"/>
        <rFont val="Arial"/>
        <family val="2"/>
      </rPr>
      <t>-3</t>
    </r>
  </si>
  <si>
    <t>Henry coefficients</t>
  </si>
  <si>
    <t>Low limit</t>
  </si>
  <si>
    <t>High limit</t>
  </si>
  <si>
    <r>
      <t>Henry coefficient for O</t>
    </r>
    <r>
      <rPr>
        <vertAlign val="subscript"/>
        <sz val="11"/>
        <rFont val="Calibri"/>
        <family val="2"/>
        <scheme val="minor"/>
      </rPr>
      <t xml:space="preserve">2 </t>
    </r>
    <r>
      <rPr>
        <sz val="11"/>
        <rFont val="Calibri"/>
        <family val="2"/>
        <scheme val="minor"/>
      </rPr>
      <t>@25°C</t>
    </r>
  </si>
  <si>
    <r>
      <t>Temperature dependency factor for O</t>
    </r>
    <r>
      <rPr>
        <vertAlign val="subscript"/>
        <sz val="11"/>
        <rFont val="Calibri"/>
        <family val="2"/>
        <scheme val="minor"/>
      </rPr>
      <t>2</t>
    </r>
    <r>
      <rPr>
        <sz val="11"/>
        <rFont val="Calibri"/>
        <family val="2"/>
        <scheme val="minor"/>
      </rPr>
      <t xml:space="preserve"> Henry coefficient</t>
    </r>
  </si>
  <si>
    <t>K</t>
  </si>
  <si>
    <r>
      <t>Henry coefficient for CO</t>
    </r>
    <r>
      <rPr>
        <vertAlign val="subscript"/>
        <sz val="11"/>
        <rFont val="Calibri"/>
        <family val="2"/>
        <scheme val="minor"/>
      </rPr>
      <t xml:space="preserve">2 </t>
    </r>
    <r>
      <rPr>
        <sz val="11"/>
        <rFont val="Calibri"/>
        <family val="2"/>
        <scheme val="minor"/>
      </rPr>
      <t>@25°C</t>
    </r>
  </si>
  <si>
    <r>
      <t>Temperature dependency factor for N</t>
    </r>
    <r>
      <rPr>
        <vertAlign val="subscript"/>
        <sz val="11"/>
        <rFont val="Calibri"/>
        <family val="2"/>
        <scheme val="minor"/>
      </rPr>
      <t>2</t>
    </r>
    <r>
      <rPr>
        <sz val="11"/>
        <rFont val="Calibri"/>
        <family val="2"/>
        <scheme val="minor"/>
      </rPr>
      <t>O Henry coefficient</t>
    </r>
  </si>
  <si>
    <t>Henry coefficient for NO @25°C</t>
  </si>
  <si>
    <t>Temperature dependency factor for NO Henry coefficient</t>
  </si>
  <si>
    <r>
      <t>Henry coefficient for N</t>
    </r>
    <r>
      <rPr>
        <vertAlign val="subscript"/>
        <sz val="11"/>
        <rFont val="Calibri"/>
        <family val="2"/>
        <scheme val="minor"/>
      </rPr>
      <t>2</t>
    </r>
    <r>
      <rPr>
        <sz val="11"/>
        <rFont val="Calibri"/>
        <family val="2"/>
        <scheme val="minor"/>
      </rPr>
      <t>O @25°C</t>
    </r>
  </si>
  <si>
    <r>
      <t>Henry coefficient for N</t>
    </r>
    <r>
      <rPr>
        <vertAlign val="subscript"/>
        <sz val="11"/>
        <rFont val="Calibri"/>
        <family val="2"/>
        <scheme val="minor"/>
      </rPr>
      <t xml:space="preserve">2 </t>
    </r>
    <r>
      <rPr>
        <sz val="11"/>
        <rFont val="Calibri"/>
        <family val="2"/>
        <scheme val="minor"/>
      </rPr>
      <t>@25°C</t>
    </r>
  </si>
  <si>
    <r>
      <t>Temperature dependency factor for N</t>
    </r>
    <r>
      <rPr>
        <vertAlign val="subscript"/>
        <sz val="11"/>
        <rFont val="Calibri"/>
        <family val="2"/>
        <scheme val="minor"/>
      </rPr>
      <t>2</t>
    </r>
    <r>
      <rPr>
        <sz val="11"/>
        <rFont val="Calibri"/>
        <family val="2"/>
        <scheme val="minor"/>
      </rPr>
      <t xml:space="preserve"> Henry coefficient</t>
    </r>
  </si>
  <si>
    <r>
      <t>Henry coefficient for H</t>
    </r>
    <r>
      <rPr>
        <vertAlign val="subscript"/>
        <sz val="11"/>
        <rFont val="Calibri"/>
        <family val="2"/>
        <scheme val="minor"/>
      </rPr>
      <t xml:space="preserve">2 </t>
    </r>
    <r>
      <rPr>
        <sz val="11"/>
        <rFont val="Calibri"/>
        <family val="2"/>
        <scheme val="minor"/>
      </rPr>
      <t>@25°C</t>
    </r>
  </si>
  <si>
    <r>
      <t>Temperature dependency factor for H</t>
    </r>
    <r>
      <rPr>
        <vertAlign val="subscript"/>
        <sz val="11"/>
        <rFont val="Calibri"/>
        <family val="2"/>
        <scheme val="minor"/>
      </rPr>
      <t>2</t>
    </r>
    <r>
      <rPr>
        <sz val="11"/>
        <rFont val="Calibri"/>
        <family val="2"/>
        <scheme val="minor"/>
      </rPr>
      <t xml:space="preserve"> Henry coefficient</t>
    </r>
  </si>
  <si>
    <r>
      <t>Temperature dependency factor for CH</t>
    </r>
    <r>
      <rPr>
        <vertAlign val="subscript"/>
        <sz val="11"/>
        <rFont val="Calibri"/>
        <family val="2"/>
        <scheme val="minor"/>
      </rPr>
      <t>4</t>
    </r>
    <r>
      <rPr>
        <sz val="11"/>
        <rFont val="Calibri"/>
        <family val="2"/>
        <scheme val="minor"/>
      </rPr>
      <t xml:space="preserve"> Henry coefficient</t>
    </r>
  </si>
  <si>
    <r>
      <t>m</t>
    </r>
    <r>
      <rPr>
        <vertAlign val="superscript"/>
        <sz val="11"/>
        <rFont val="Calibri"/>
        <family val="2"/>
        <scheme val="minor"/>
      </rPr>
      <t>2</t>
    </r>
    <r>
      <rPr>
        <sz val="11"/>
        <rFont val="Calibri"/>
        <family val="2"/>
        <scheme val="minor"/>
      </rPr>
      <t>.d</t>
    </r>
    <r>
      <rPr>
        <vertAlign val="superscript"/>
        <sz val="11"/>
        <rFont val="Calibri"/>
        <family val="2"/>
        <scheme val="minor"/>
      </rPr>
      <t>-1</t>
    </r>
  </si>
  <si>
    <r>
      <t>m</t>
    </r>
    <r>
      <rPr>
        <vertAlign val="superscript"/>
        <sz val="11"/>
        <rFont val="Calibri"/>
        <family val="2"/>
      </rPr>
      <t>2</t>
    </r>
    <r>
      <rPr>
        <sz val="11"/>
        <rFont val="Calibri"/>
        <family val="2"/>
      </rPr>
      <t>.d</t>
    </r>
    <r>
      <rPr>
        <vertAlign val="superscript"/>
        <sz val="11"/>
        <rFont val="Calibri"/>
        <family val="2"/>
      </rPr>
      <t>-1</t>
    </r>
  </si>
  <si>
    <t>Physical constants - water</t>
  </si>
  <si>
    <r>
      <t>A</t>
    </r>
    <r>
      <rPr>
        <vertAlign val="subscript"/>
        <sz val="11"/>
        <rFont val="Calibri"/>
        <family val="2"/>
        <scheme val="minor"/>
      </rPr>
      <t>H2O</t>
    </r>
  </si>
  <si>
    <t>Antoine constant 'A'</t>
  </si>
  <si>
    <r>
      <t>B</t>
    </r>
    <r>
      <rPr>
        <vertAlign val="subscript"/>
        <sz val="11"/>
        <rFont val="Calibri"/>
        <family val="2"/>
        <scheme val="minor"/>
      </rPr>
      <t>H2O</t>
    </r>
  </si>
  <si>
    <t>Antoine constant 'B'</t>
  </si>
  <si>
    <r>
      <t>C</t>
    </r>
    <r>
      <rPr>
        <vertAlign val="subscript"/>
        <sz val="11"/>
        <rFont val="Calibri"/>
        <family val="2"/>
        <scheme val="minor"/>
      </rPr>
      <t>H2O</t>
    </r>
  </si>
  <si>
    <t>Antoine constant 'C'</t>
  </si>
  <si>
    <r>
      <rPr>
        <sz val="11"/>
        <rFont val="Calibri"/>
        <family val="2"/>
      </rPr>
      <t>ρ</t>
    </r>
    <r>
      <rPr>
        <vertAlign val="subscript"/>
        <sz val="11"/>
        <rFont val="Calibri"/>
        <family val="2"/>
        <scheme val="minor"/>
      </rPr>
      <t>H2O</t>
    </r>
  </si>
  <si>
    <t>Physical constants - air</t>
  </si>
  <si>
    <r>
      <t>f</t>
    </r>
    <r>
      <rPr>
        <vertAlign val="subscript"/>
        <sz val="11"/>
        <rFont val="Calibri"/>
        <family val="2"/>
      </rPr>
      <t>O2,air</t>
    </r>
  </si>
  <si>
    <t>Oxygen content of air</t>
  </si>
  <si>
    <r>
      <t>m</t>
    </r>
    <r>
      <rPr>
        <vertAlign val="superscript"/>
        <sz val="11"/>
        <rFont val="Calibri"/>
        <family val="2"/>
      </rPr>
      <t>3</t>
    </r>
    <r>
      <rPr>
        <sz val="11"/>
        <rFont val="Calibri"/>
        <family val="2"/>
      </rPr>
      <t>.m</t>
    </r>
    <r>
      <rPr>
        <vertAlign val="superscript"/>
        <sz val="11"/>
        <rFont val="Calibri"/>
        <family val="2"/>
      </rPr>
      <t>-3</t>
    </r>
  </si>
  <si>
    <r>
      <t>f</t>
    </r>
    <r>
      <rPr>
        <vertAlign val="subscript"/>
        <sz val="11"/>
        <rFont val="Calibri"/>
        <family val="2"/>
      </rPr>
      <t>N2,air</t>
    </r>
  </si>
  <si>
    <t>Nitrogen content of air</t>
  </si>
  <si>
    <r>
      <t>f</t>
    </r>
    <r>
      <rPr>
        <vertAlign val="subscript"/>
        <sz val="11"/>
        <rFont val="Calibri"/>
        <family val="2"/>
      </rPr>
      <t>Ar,air</t>
    </r>
  </si>
  <si>
    <t>Argon content of air</t>
  </si>
  <si>
    <r>
      <t>f</t>
    </r>
    <r>
      <rPr>
        <vertAlign val="subscript"/>
        <sz val="11"/>
        <rFont val="Calibri"/>
        <family val="2"/>
      </rPr>
      <t>CO2,air</t>
    </r>
  </si>
  <si>
    <t>Carbon dioxide content of air</t>
  </si>
  <si>
    <t>Physical constants</t>
  </si>
  <si>
    <t>R</t>
  </si>
  <si>
    <t>Ideal gas constant</t>
  </si>
  <si>
    <r>
      <t>J.mol</t>
    </r>
    <r>
      <rPr>
        <vertAlign val="superscript"/>
        <sz val="11"/>
        <rFont val="Calibri"/>
        <family val="2"/>
        <scheme val="minor"/>
      </rPr>
      <t>-1</t>
    </r>
    <r>
      <rPr>
        <sz val="11"/>
        <rFont val="Calibri"/>
        <family val="2"/>
        <scheme val="minor"/>
      </rPr>
      <t>.K</t>
    </r>
    <r>
      <rPr>
        <vertAlign val="superscript"/>
        <sz val="11"/>
        <rFont val="Calibri"/>
        <family val="2"/>
        <scheme val="minor"/>
      </rPr>
      <t>-1</t>
    </r>
  </si>
  <si>
    <t>F</t>
  </si>
  <si>
    <t>Faraday constant</t>
  </si>
  <si>
    <r>
      <t>C.mol</t>
    </r>
    <r>
      <rPr>
        <vertAlign val="superscript"/>
        <sz val="11"/>
        <rFont val="Calibri"/>
        <family val="2"/>
        <scheme val="minor"/>
      </rPr>
      <t>-1</t>
    </r>
  </si>
  <si>
    <r>
      <t>g</t>
    </r>
    <r>
      <rPr>
        <vertAlign val="subscript"/>
        <sz val="11"/>
        <rFont val="Calibri"/>
        <family val="2"/>
        <scheme val="minor"/>
      </rPr>
      <t>grav</t>
    </r>
  </si>
  <si>
    <t>Gravity acceleration constant</t>
  </si>
  <si>
    <r>
      <t>m.s</t>
    </r>
    <r>
      <rPr>
        <vertAlign val="superscript"/>
        <sz val="11"/>
        <rFont val="Calibri"/>
        <family val="2"/>
        <scheme val="minor"/>
      </rPr>
      <t>-2</t>
    </r>
  </si>
  <si>
    <t>Mathematical constants</t>
  </si>
  <si>
    <t>pi</t>
  </si>
  <si>
    <t>Pi number</t>
  </si>
  <si>
    <t>Atomic masses</t>
  </si>
  <si>
    <r>
      <t>AM</t>
    </r>
    <r>
      <rPr>
        <vertAlign val="subscript"/>
        <sz val="11"/>
        <rFont val="Calibri"/>
        <family val="2"/>
        <scheme val="minor"/>
      </rPr>
      <t>He</t>
    </r>
  </si>
  <si>
    <t>Atomic mass of helium</t>
  </si>
  <si>
    <r>
      <t>AM</t>
    </r>
    <r>
      <rPr>
        <vertAlign val="subscript"/>
        <sz val="11"/>
        <rFont val="Calibri"/>
        <family val="2"/>
        <scheme val="minor"/>
      </rPr>
      <t>Li</t>
    </r>
  </si>
  <si>
    <t>Atomic mass of lithium</t>
  </si>
  <si>
    <r>
      <t>AM</t>
    </r>
    <r>
      <rPr>
        <vertAlign val="subscript"/>
        <sz val="11"/>
        <rFont val="Calibri"/>
        <family val="2"/>
        <scheme val="minor"/>
      </rPr>
      <t>Be</t>
    </r>
  </si>
  <si>
    <t>Atomic mass of beryllium</t>
  </si>
  <si>
    <r>
      <t>AM</t>
    </r>
    <r>
      <rPr>
        <vertAlign val="subscript"/>
        <sz val="11"/>
        <rFont val="Calibri"/>
        <family val="2"/>
        <scheme val="minor"/>
      </rPr>
      <t>B</t>
    </r>
  </si>
  <si>
    <t>Atomic mass of boron</t>
  </si>
  <si>
    <r>
      <t>AM</t>
    </r>
    <r>
      <rPr>
        <vertAlign val="subscript"/>
        <sz val="11"/>
        <rFont val="Calibri"/>
        <family val="2"/>
        <scheme val="minor"/>
      </rPr>
      <t>F</t>
    </r>
  </si>
  <si>
    <t>Atomic mass of fluorine</t>
  </si>
  <si>
    <r>
      <t>AM</t>
    </r>
    <r>
      <rPr>
        <vertAlign val="subscript"/>
        <sz val="11"/>
        <rFont val="Calibri"/>
        <family val="2"/>
        <scheme val="minor"/>
      </rPr>
      <t>Ne</t>
    </r>
  </si>
  <si>
    <t>Atomic mass of neon</t>
  </si>
  <si>
    <r>
      <t>AM</t>
    </r>
    <r>
      <rPr>
        <vertAlign val="subscript"/>
        <sz val="11"/>
        <rFont val="Calibri"/>
        <family val="2"/>
        <scheme val="minor"/>
      </rPr>
      <t>Mg</t>
    </r>
  </si>
  <si>
    <t>Atomic mass of magnesium</t>
  </si>
  <si>
    <r>
      <t>AM</t>
    </r>
    <r>
      <rPr>
        <vertAlign val="subscript"/>
        <sz val="11"/>
        <rFont val="Calibri"/>
        <family val="2"/>
        <scheme val="minor"/>
      </rPr>
      <t>Si</t>
    </r>
  </si>
  <si>
    <t>Atomic mass of silicon</t>
  </si>
  <si>
    <r>
      <t>AM</t>
    </r>
    <r>
      <rPr>
        <vertAlign val="subscript"/>
        <sz val="11"/>
        <rFont val="Calibri"/>
        <family val="2"/>
        <scheme val="minor"/>
      </rPr>
      <t>S</t>
    </r>
  </si>
  <si>
    <t>Atomic mass of sulphur</t>
  </si>
  <si>
    <r>
      <t>AM</t>
    </r>
    <r>
      <rPr>
        <vertAlign val="subscript"/>
        <sz val="11"/>
        <rFont val="Calibri"/>
        <family val="2"/>
        <scheme val="minor"/>
      </rPr>
      <t>Ar</t>
    </r>
  </si>
  <si>
    <t>Atomic mass of argon</t>
  </si>
  <si>
    <r>
      <t>AM</t>
    </r>
    <r>
      <rPr>
        <vertAlign val="subscript"/>
        <sz val="11"/>
        <rFont val="Calibri"/>
        <family val="2"/>
        <scheme val="minor"/>
      </rPr>
      <t>K</t>
    </r>
  </si>
  <si>
    <t>Atomic mass of potassium</t>
  </si>
  <si>
    <r>
      <t>AM</t>
    </r>
    <r>
      <rPr>
        <vertAlign val="subscript"/>
        <sz val="11"/>
        <rFont val="Calibri"/>
        <family val="2"/>
        <scheme val="minor"/>
      </rPr>
      <t>Sc</t>
    </r>
  </si>
  <si>
    <t>Atomic mass of scandium</t>
  </si>
  <si>
    <r>
      <t>AM</t>
    </r>
    <r>
      <rPr>
        <vertAlign val="subscript"/>
        <sz val="11"/>
        <rFont val="Calibri"/>
        <family val="2"/>
        <scheme val="minor"/>
      </rPr>
      <t>Ti</t>
    </r>
  </si>
  <si>
    <t>Atomic mass of titanium</t>
  </si>
  <si>
    <r>
      <t>AM</t>
    </r>
    <r>
      <rPr>
        <vertAlign val="subscript"/>
        <sz val="11"/>
        <rFont val="Calibri"/>
        <family val="2"/>
        <scheme val="minor"/>
      </rPr>
      <t>V</t>
    </r>
  </si>
  <si>
    <t>Atomic mass of vanadium</t>
  </si>
  <si>
    <r>
      <t>AM</t>
    </r>
    <r>
      <rPr>
        <vertAlign val="subscript"/>
        <sz val="11"/>
        <rFont val="Calibri"/>
        <family val="2"/>
        <scheme val="minor"/>
      </rPr>
      <t>Cr</t>
    </r>
  </si>
  <si>
    <t>Atomic mass of chromium</t>
  </si>
  <si>
    <r>
      <t>AM</t>
    </r>
    <r>
      <rPr>
        <vertAlign val="subscript"/>
        <sz val="11"/>
        <rFont val="Calibri"/>
        <family val="2"/>
        <scheme val="minor"/>
      </rPr>
      <t>Mn</t>
    </r>
  </si>
  <si>
    <t>Atomic mass of manganese</t>
  </si>
  <si>
    <r>
      <t>AM</t>
    </r>
    <r>
      <rPr>
        <vertAlign val="subscript"/>
        <sz val="11"/>
        <rFont val="Calibri"/>
        <family val="2"/>
        <scheme val="minor"/>
      </rPr>
      <t>Co</t>
    </r>
  </si>
  <si>
    <t>Atomic mass of cobalt</t>
  </si>
  <si>
    <r>
      <t>AM</t>
    </r>
    <r>
      <rPr>
        <vertAlign val="subscript"/>
        <sz val="11"/>
        <rFont val="Calibri"/>
        <family val="2"/>
        <scheme val="minor"/>
      </rPr>
      <t>Ni</t>
    </r>
  </si>
  <si>
    <t>Atomic mass of nickel</t>
  </si>
  <si>
    <r>
      <t>AM</t>
    </r>
    <r>
      <rPr>
        <vertAlign val="subscript"/>
        <sz val="11"/>
        <rFont val="Calibri"/>
        <family val="2"/>
        <scheme val="minor"/>
      </rPr>
      <t>Cu</t>
    </r>
  </si>
  <si>
    <t>Atomic mass of copper</t>
  </si>
  <si>
    <r>
      <t>AM</t>
    </r>
    <r>
      <rPr>
        <vertAlign val="subscript"/>
        <sz val="11"/>
        <rFont val="Calibri"/>
        <family val="2"/>
        <scheme val="minor"/>
      </rPr>
      <t>Zn</t>
    </r>
  </si>
  <si>
    <t>Atomic mass of zinc</t>
  </si>
  <si>
    <r>
      <t>AM</t>
    </r>
    <r>
      <rPr>
        <vertAlign val="subscript"/>
        <sz val="11"/>
        <rFont val="Calibri"/>
        <family val="2"/>
        <scheme val="minor"/>
      </rPr>
      <t>Ga</t>
    </r>
  </si>
  <si>
    <t>Atomic mass of gallium</t>
  </si>
  <si>
    <r>
      <t>AM</t>
    </r>
    <r>
      <rPr>
        <vertAlign val="subscript"/>
        <sz val="11"/>
        <rFont val="Calibri"/>
        <family val="2"/>
        <scheme val="minor"/>
      </rPr>
      <t>Ge</t>
    </r>
  </si>
  <si>
    <t>Atomic mass of germanium</t>
  </si>
  <si>
    <r>
      <t>AM</t>
    </r>
    <r>
      <rPr>
        <vertAlign val="subscript"/>
        <sz val="11"/>
        <rFont val="Calibri"/>
        <family val="2"/>
        <scheme val="minor"/>
      </rPr>
      <t>As</t>
    </r>
  </si>
  <si>
    <t>Atomic mass of arsenic</t>
  </si>
  <si>
    <r>
      <t>AM</t>
    </r>
    <r>
      <rPr>
        <vertAlign val="subscript"/>
        <sz val="11"/>
        <rFont val="Calibri"/>
        <family val="2"/>
        <scheme val="minor"/>
      </rPr>
      <t>Se</t>
    </r>
  </si>
  <si>
    <t>Atomic mass of selenium</t>
  </si>
  <si>
    <r>
      <t>AM</t>
    </r>
    <r>
      <rPr>
        <vertAlign val="subscript"/>
        <sz val="11"/>
        <rFont val="Calibri"/>
        <family val="2"/>
        <scheme val="minor"/>
      </rPr>
      <t>Br</t>
    </r>
  </si>
  <si>
    <t>Atomic mass of bromine</t>
  </si>
  <si>
    <r>
      <t>AM</t>
    </r>
    <r>
      <rPr>
        <vertAlign val="subscript"/>
        <sz val="11"/>
        <rFont val="Calibri"/>
        <family val="2"/>
        <scheme val="minor"/>
      </rPr>
      <t>Kr</t>
    </r>
  </si>
  <si>
    <t>Atomic mass of krypton</t>
  </si>
  <si>
    <r>
      <t>AM</t>
    </r>
    <r>
      <rPr>
        <vertAlign val="subscript"/>
        <sz val="11"/>
        <rFont val="Calibri"/>
        <family val="2"/>
        <scheme val="minor"/>
      </rPr>
      <t>Rb</t>
    </r>
  </si>
  <si>
    <t>Atomic mass of rubidium</t>
  </si>
  <si>
    <r>
      <t>AM</t>
    </r>
    <r>
      <rPr>
        <vertAlign val="subscript"/>
        <sz val="11"/>
        <rFont val="Calibri"/>
        <family val="2"/>
        <scheme val="minor"/>
      </rPr>
      <t>Sr</t>
    </r>
  </si>
  <si>
    <t>Atomic mass of strontium</t>
  </si>
  <si>
    <r>
      <t>AM</t>
    </r>
    <r>
      <rPr>
        <vertAlign val="subscript"/>
        <sz val="11"/>
        <rFont val="Calibri"/>
        <family val="2"/>
        <scheme val="minor"/>
      </rPr>
      <t>Y</t>
    </r>
  </si>
  <si>
    <t>Atomic mass of yttrium</t>
  </si>
  <si>
    <r>
      <t>AM</t>
    </r>
    <r>
      <rPr>
        <vertAlign val="subscript"/>
        <sz val="11"/>
        <rFont val="Calibri"/>
        <family val="2"/>
        <scheme val="minor"/>
      </rPr>
      <t>Zr</t>
    </r>
  </si>
  <si>
    <t>Atomic mass of zirconium</t>
  </si>
  <si>
    <r>
      <t>AM</t>
    </r>
    <r>
      <rPr>
        <vertAlign val="subscript"/>
        <sz val="11"/>
        <rFont val="Calibri"/>
        <family val="2"/>
        <scheme val="minor"/>
      </rPr>
      <t>Nb</t>
    </r>
  </si>
  <si>
    <t>Atomic mass of niobium</t>
  </si>
  <si>
    <r>
      <t>AM</t>
    </r>
    <r>
      <rPr>
        <vertAlign val="subscript"/>
        <sz val="11"/>
        <rFont val="Calibri"/>
        <family val="2"/>
        <scheme val="minor"/>
      </rPr>
      <t>Mo</t>
    </r>
  </si>
  <si>
    <t>Atomic mass of molybdenum</t>
  </si>
  <si>
    <r>
      <t>AM</t>
    </r>
    <r>
      <rPr>
        <vertAlign val="subscript"/>
        <sz val="11"/>
        <rFont val="Calibri"/>
        <family val="2"/>
        <scheme val="minor"/>
      </rPr>
      <t>Tc</t>
    </r>
  </si>
  <si>
    <t>Atomic mass of technetium</t>
  </si>
  <si>
    <r>
      <t>AM</t>
    </r>
    <r>
      <rPr>
        <vertAlign val="subscript"/>
        <sz val="11"/>
        <rFont val="Calibri"/>
        <family val="2"/>
        <scheme val="minor"/>
      </rPr>
      <t>Ru</t>
    </r>
  </si>
  <si>
    <t>Atomic mass of ruthenium</t>
  </si>
  <si>
    <r>
      <t>AM</t>
    </r>
    <r>
      <rPr>
        <vertAlign val="subscript"/>
        <sz val="11"/>
        <rFont val="Calibri"/>
        <family val="2"/>
        <scheme val="minor"/>
      </rPr>
      <t>Rh</t>
    </r>
  </si>
  <si>
    <t>Atomic mass of rhodium</t>
  </si>
  <si>
    <r>
      <t>AM</t>
    </r>
    <r>
      <rPr>
        <vertAlign val="subscript"/>
        <sz val="11"/>
        <rFont val="Calibri"/>
        <family val="2"/>
        <scheme val="minor"/>
      </rPr>
      <t>Pd</t>
    </r>
  </si>
  <si>
    <t>Atomic mass of palladium</t>
  </si>
  <si>
    <r>
      <t>AM</t>
    </r>
    <r>
      <rPr>
        <vertAlign val="subscript"/>
        <sz val="11"/>
        <rFont val="Calibri"/>
        <family val="2"/>
        <scheme val="minor"/>
      </rPr>
      <t>Ag</t>
    </r>
  </si>
  <si>
    <t>Atomic mass of silver</t>
  </si>
  <si>
    <r>
      <t>AM</t>
    </r>
    <r>
      <rPr>
        <vertAlign val="subscript"/>
        <sz val="11"/>
        <rFont val="Calibri"/>
        <family val="2"/>
        <scheme val="minor"/>
      </rPr>
      <t>Cd</t>
    </r>
  </si>
  <si>
    <t>Atomic mass of cadmium</t>
  </si>
  <si>
    <r>
      <t>AM</t>
    </r>
    <r>
      <rPr>
        <vertAlign val="subscript"/>
        <sz val="11"/>
        <rFont val="Calibri"/>
        <family val="2"/>
        <scheme val="minor"/>
      </rPr>
      <t>In</t>
    </r>
  </si>
  <si>
    <t>Atomic mass of indium</t>
  </si>
  <si>
    <r>
      <t>AM</t>
    </r>
    <r>
      <rPr>
        <vertAlign val="subscript"/>
        <sz val="11"/>
        <rFont val="Calibri"/>
        <family val="2"/>
        <scheme val="minor"/>
      </rPr>
      <t>Sn</t>
    </r>
  </si>
  <si>
    <t>Atomic mass of tin</t>
  </si>
  <si>
    <r>
      <t>AM</t>
    </r>
    <r>
      <rPr>
        <vertAlign val="subscript"/>
        <sz val="11"/>
        <rFont val="Calibri"/>
        <family val="2"/>
        <scheme val="minor"/>
      </rPr>
      <t>Sb</t>
    </r>
  </si>
  <si>
    <t>Atomic mass of antimony</t>
  </si>
  <si>
    <r>
      <t>AM</t>
    </r>
    <r>
      <rPr>
        <vertAlign val="subscript"/>
        <sz val="11"/>
        <rFont val="Calibri"/>
        <family val="2"/>
        <scheme val="minor"/>
      </rPr>
      <t>Te</t>
    </r>
  </si>
  <si>
    <t>Atomic mass of tellurium</t>
  </si>
  <si>
    <r>
      <t>AM</t>
    </r>
    <r>
      <rPr>
        <vertAlign val="subscript"/>
        <sz val="11"/>
        <rFont val="Calibri"/>
        <family val="2"/>
        <scheme val="minor"/>
      </rPr>
      <t>I</t>
    </r>
  </si>
  <si>
    <t>Atomic mass of iodine</t>
  </si>
  <si>
    <r>
      <t>AM</t>
    </r>
    <r>
      <rPr>
        <vertAlign val="subscript"/>
        <sz val="11"/>
        <rFont val="Calibri"/>
        <family val="2"/>
        <scheme val="minor"/>
      </rPr>
      <t>Xe</t>
    </r>
  </si>
  <si>
    <t>Atomic mass of xenon</t>
  </si>
  <si>
    <r>
      <t>AM</t>
    </r>
    <r>
      <rPr>
        <vertAlign val="subscript"/>
        <sz val="11"/>
        <rFont val="Calibri"/>
        <family val="2"/>
        <scheme val="minor"/>
      </rPr>
      <t>Cs</t>
    </r>
  </si>
  <si>
    <t>Atomic mass of cesium</t>
  </si>
  <si>
    <r>
      <t>AM</t>
    </r>
    <r>
      <rPr>
        <vertAlign val="subscript"/>
        <sz val="11"/>
        <rFont val="Calibri"/>
        <family val="2"/>
        <scheme val="minor"/>
      </rPr>
      <t>Ba</t>
    </r>
  </si>
  <si>
    <t>Atomic mass of barium</t>
  </si>
  <si>
    <r>
      <t>AM</t>
    </r>
    <r>
      <rPr>
        <vertAlign val="subscript"/>
        <sz val="11"/>
        <rFont val="Calibri"/>
        <family val="2"/>
        <scheme val="minor"/>
      </rPr>
      <t>La</t>
    </r>
  </si>
  <si>
    <t>Atomic mass of lanthanum</t>
  </si>
  <si>
    <r>
      <t>AM</t>
    </r>
    <r>
      <rPr>
        <vertAlign val="subscript"/>
        <sz val="11"/>
        <rFont val="Calibri"/>
        <family val="2"/>
        <scheme val="minor"/>
      </rPr>
      <t>Ce</t>
    </r>
  </si>
  <si>
    <t>Atomic mass of cerium</t>
  </si>
  <si>
    <r>
      <t>AM</t>
    </r>
    <r>
      <rPr>
        <vertAlign val="subscript"/>
        <sz val="11"/>
        <rFont val="Calibri"/>
        <family val="2"/>
        <scheme val="minor"/>
      </rPr>
      <t>Pr</t>
    </r>
  </si>
  <si>
    <t>Atomic mass of praseodymium</t>
  </si>
  <si>
    <r>
      <t>AM</t>
    </r>
    <r>
      <rPr>
        <vertAlign val="subscript"/>
        <sz val="11"/>
        <rFont val="Calibri"/>
        <family val="2"/>
        <scheme val="minor"/>
      </rPr>
      <t>Nd</t>
    </r>
  </si>
  <si>
    <t>Atomic mass of neodymium</t>
  </si>
  <si>
    <r>
      <t>AM</t>
    </r>
    <r>
      <rPr>
        <vertAlign val="subscript"/>
        <sz val="11"/>
        <rFont val="Calibri"/>
        <family val="2"/>
        <scheme val="minor"/>
      </rPr>
      <t>Pm</t>
    </r>
  </si>
  <si>
    <t>Atomic mass of promethium</t>
  </si>
  <si>
    <r>
      <t>AM</t>
    </r>
    <r>
      <rPr>
        <vertAlign val="subscript"/>
        <sz val="11"/>
        <rFont val="Calibri"/>
        <family val="2"/>
        <scheme val="minor"/>
      </rPr>
      <t>Sm</t>
    </r>
  </si>
  <si>
    <t>Atomic mass of samarium</t>
  </si>
  <si>
    <r>
      <t>AM</t>
    </r>
    <r>
      <rPr>
        <vertAlign val="subscript"/>
        <sz val="11"/>
        <rFont val="Calibri"/>
        <family val="2"/>
        <scheme val="minor"/>
      </rPr>
      <t>Eu</t>
    </r>
  </si>
  <si>
    <t>Atomic mass of europium</t>
  </si>
  <si>
    <r>
      <t>AM</t>
    </r>
    <r>
      <rPr>
        <vertAlign val="subscript"/>
        <sz val="11"/>
        <rFont val="Calibri"/>
        <family val="2"/>
        <scheme val="minor"/>
      </rPr>
      <t>Gd</t>
    </r>
  </si>
  <si>
    <t>Atomic mass of gadolinium</t>
  </si>
  <si>
    <r>
      <t>AM</t>
    </r>
    <r>
      <rPr>
        <vertAlign val="subscript"/>
        <sz val="11"/>
        <rFont val="Calibri"/>
        <family val="2"/>
        <scheme val="minor"/>
      </rPr>
      <t>Tb</t>
    </r>
  </si>
  <si>
    <t>Atomic mass of terbium</t>
  </si>
  <si>
    <r>
      <t>AM</t>
    </r>
    <r>
      <rPr>
        <vertAlign val="subscript"/>
        <sz val="11"/>
        <rFont val="Calibri"/>
        <family val="2"/>
        <scheme val="minor"/>
      </rPr>
      <t>Dy</t>
    </r>
  </si>
  <si>
    <t>Atomic mass of dysprosium</t>
  </si>
  <si>
    <r>
      <t>AM</t>
    </r>
    <r>
      <rPr>
        <vertAlign val="subscript"/>
        <sz val="11"/>
        <rFont val="Calibri"/>
        <family val="2"/>
        <scheme val="minor"/>
      </rPr>
      <t>Ho</t>
    </r>
  </si>
  <si>
    <t>Atomic mass of holmium</t>
  </si>
  <si>
    <r>
      <t>AM</t>
    </r>
    <r>
      <rPr>
        <vertAlign val="subscript"/>
        <sz val="11"/>
        <rFont val="Calibri"/>
        <family val="2"/>
        <scheme val="minor"/>
      </rPr>
      <t>Er</t>
    </r>
  </si>
  <si>
    <t>Atomic mass of erbium</t>
  </si>
  <si>
    <r>
      <t>AM</t>
    </r>
    <r>
      <rPr>
        <vertAlign val="subscript"/>
        <sz val="11"/>
        <rFont val="Calibri"/>
        <family val="2"/>
        <scheme val="minor"/>
      </rPr>
      <t>Tm</t>
    </r>
  </si>
  <si>
    <t>Atomic mass of thulium</t>
  </si>
  <si>
    <r>
      <t>AM</t>
    </r>
    <r>
      <rPr>
        <vertAlign val="subscript"/>
        <sz val="11"/>
        <rFont val="Calibri"/>
        <family val="2"/>
        <scheme val="minor"/>
      </rPr>
      <t>Yb</t>
    </r>
  </si>
  <si>
    <t>Atomic mass of ytterbium</t>
  </si>
  <si>
    <r>
      <t>AM</t>
    </r>
    <r>
      <rPr>
        <vertAlign val="subscript"/>
        <sz val="11"/>
        <rFont val="Calibri"/>
        <family val="2"/>
        <scheme val="minor"/>
      </rPr>
      <t>Lu</t>
    </r>
  </si>
  <si>
    <t>Atomic mass of lutetium</t>
  </si>
  <si>
    <r>
      <t>AM</t>
    </r>
    <r>
      <rPr>
        <vertAlign val="subscript"/>
        <sz val="11"/>
        <rFont val="Calibri"/>
        <family val="2"/>
        <scheme val="minor"/>
      </rPr>
      <t>Hf</t>
    </r>
  </si>
  <si>
    <t>Atomic mass of hafnium</t>
  </si>
  <si>
    <r>
      <t>AM</t>
    </r>
    <r>
      <rPr>
        <vertAlign val="subscript"/>
        <sz val="11"/>
        <rFont val="Calibri"/>
        <family val="2"/>
        <scheme val="minor"/>
      </rPr>
      <t>Ta</t>
    </r>
  </si>
  <si>
    <t xml:space="preserve">Atomic mass of tantalum </t>
  </si>
  <si>
    <r>
      <t>AM</t>
    </r>
    <r>
      <rPr>
        <vertAlign val="subscript"/>
        <sz val="11"/>
        <rFont val="Calibri"/>
        <family val="2"/>
        <scheme val="minor"/>
      </rPr>
      <t>W</t>
    </r>
  </si>
  <si>
    <t>Atomic mass of tungsten</t>
  </si>
  <si>
    <r>
      <t>AM</t>
    </r>
    <r>
      <rPr>
        <vertAlign val="subscript"/>
        <sz val="11"/>
        <rFont val="Calibri"/>
        <family val="2"/>
        <scheme val="minor"/>
      </rPr>
      <t>Re</t>
    </r>
  </si>
  <si>
    <t>Atomic mass of rhenium</t>
  </si>
  <si>
    <r>
      <t>AM</t>
    </r>
    <r>
      <rPr>
        <vertAlign val="subscript"/>
        <sz val="11"/>
        <rFont val="Calibri"/>
        <family val="2"/>
        <scheme val="minor"/>
      </rPr>
      <t>Os</t>
    </r>
  </si>
  <si>
    <t>Atomic mass of osmium</t>
  </si>
  <si>
    <r>
      <t>AM</t>
    </r>
    <r>
      <rPr>
        <vertAlign val="subscript"/>
        <sz val="11"/>
        <rFont val="Calibri"/>
        <family val="2"/>
        <scheme val="minor"/>
      </rPr>
      <t>Ir</t>
    </r>
  </si>
  <si>
    <t>Atomic mass of iridium</t>
  </si>
  <si>
    <r>
      <t>AM</t>
    </r>
    <r>
      <rPr>
        <vertAlign val="subscript"/>
        <sz val="11"/>
        <rFont val="Calibri"/>
        <family val="2"/>
        <scheme val="minor"/>
      </rPr>
      <t>Pt</t>
    </r>
  </si>
  <si>
    <t>Atomic mass of platinum</t>
  </si>
  <si>
    <r>
      <t>AM</t>
    </r>
    <r>
      <rPr>
        <vertAlign val="subscript"/>
        <sz val="11"/>
        <rFont val="Calibri"/>
        <family val="2"/>
        <scheme val="minor"/>
      </rPr>
      <t>Au</t>
    </r>
  </si>
  <si>
    <t>Atomic mass of gold</t>
  </si>
  <si>
    <r>
      <t>AM</t>
    </r>
    <r>
      <rPr>
        <vertAlign val="subscript"/>
        <sz val="11"/>
        <rFont val="Calibri"/>
        <family val="2"/>
        <scheme val="minor"/>
      </rPr>
      <t>Hg</t>
    </r>
  </si>
  <si>
    <t>Atomic mass of mercury</t>
  </si>
  <si>
    <r>
      <t>AM</t>
    </r>
    <r>
      <rPr>
        <vertAlign val="subscript"/>
        <sz val="11"/>
        <rFont val="Calibri"/>
        <family val="2"/>
        <scheme val="minor"/>
      </rPr>
      <t>Tl</t>
    </r>
  </si>
  <si>
    <t>Atomic mass of thallium</t>
  </si>
  <si>
    <r>
      <t>AM</t>
    </r>
    <r>
      <rPr>
        <vertAlign val="subscript"/>
        <sz val="11"/>
        <rFont val="Calibri"/>
        <family val="2"/>
        <scheme val="minor"/>
      </rPr>
      <t>Pb</t>
    </r>
  </si>
  <si>
    <t>Atomic mass of lead</t>
  </si>
  <si>
    <r>
      <t>AM</t>
    </r>
    <r>
      <rPr>
        <vertAlign val="subscript"/>
        <sz val="11"/>
        <rFont val="Calibri"/>
        <family val="2"/>
        <scheme val="minor"/>
      </rPr>
      <t>Bi</t>
    </r>
  </si>
  <si>
    <t>Atomic mass of bismuth</t>
  </si>
  <si>
    <r>
      <t>AM</t>
    </r>
    <r>
      <rPr>
        <vertAlign val="subscript"/>
        <sz val="11"/>
        <rFont val="Calibri"/>
        <family val="2"/>
        <scheme val="minor"/>
      </rPr>
      <t>Po</t>
    </r>
  </si>
  <si>
    <t>Atomic mass of polonium</t>
  </si>
  <si>
    <r>
      <t>AM</t>
    </r>
    <r>
      <rPr>
        <vertAlign val="subscript"/>
        <sz val="11"/>
        <rFont val="Calibri"/>
        <family val="2"/>
        <scheme val="minor"/>
      </rPr>
      <t>At</t>
    </r>
  </si>
  <si>
    <t>Atomic mass of astatine</t>
  </si>
  <si>
    <r>
      <t>AM</t>
    </r>
    <r>
      <rPr>
        <vertAlign val="subscript"/>
        <sz val="11"/>
        <rFont val="Calibri"/>
        <family val="2"/>
        <scheme val="minor"/>
      </rPr>
      <t>Rn</t>
    </r>
  </si>
  <si>
    <t>Atomic mass of radon</t>
  </si>
  <si>
    <r>
      <t>AM</t>
    </r>
    <r>
      <rPr>
        <vertAlign val="subscript"/>
        <sz val="11"/>
        <rFont val="Calibri"/>
        <family val="2"/>
        <scheme val="minor"/>
      </rPr>
      <t>Fr</t>
    </r>
  </si>
  <si>
    <t>Atomic mass of francium</t>
  </si>
  <si>
    <r>
      <t>AM</t>
    </r>
    <r>
      <rPr>
        <vertAlign val="subscript"/>
        <sz val="11"/>
        <rFont val="Calibri"/>
        <family val="2"/>
        <scheme val="minor"/>
      </rPr>
      <t>Ra</t>
    </r>
  </si>
  <si>
    <t>Atomic mass of radium</t>
  </si>
  <si>
    <r>
      <t>AM</t>
    </r>
    <r>
      <rPr>
        <vertAlign val="subscript"/>
        <sz val="11"/>
        <rFont val="Calibri"/>
        <family val="2"/>
        <scheme val="minor"/>
      </rPr>
      <t>Ac</t>
    </r>
  </si>
  <si>
    <t>Atomic mass of actinium</t>
  </si>
  <si>
    <r>
      <t>AM</t>
    </r>
    <r>
      <rPr>
        <vertAlign val="subscript"/>
        <sz val="11"/>
        <rFont val="Calibri"/>
        <family val="2"/>
        <scheme val="minor"/>
      </rPr>
      <t>Th</t>
    </r>
  </si>
  <si>
    <t>Atomic mass of thorium</t>
  </si>
  <si>
    <r>
      <t>AM</t>
    </r>
    <r>
      <rPr>
        <vertAlign val="subscript"/>
        <sz val="11"/>
        <rFont val="Calibri"/>
        <family val="2"/>
        <scheme val="minor"/>
      </rPr>
      <t>Pa</t>
    </r>
  </si>
  <si>
    <t>Atomic mass of protactinium</t>
  </si>
  <si>
    <r>
      <t>AM</t>
    </r>
    <r>
      <rPr>
        <vertAlign val="subscript"/>
        <sz val="11"/>
        <rFont val="Calibri"/>
        <family val="2"/>
        <scheme val="minor"/>
      </rPr>
      <t>U</t>
    </r>
  </si>
  <si>
    <t>Atomic mass of uranium</t>
  </si>
  <si>
    <r>
      <t>AM</t>
    </r>
    <r>
      <rPr>
        <vertAlign val="subscript"/>
        <sz val="11"/>
        <rFont val="Calibri"/>
        <family val="2"/>
        <scheme val="minor"/>
      </rPr>
      <t>Np</t>
    </r>
  </si>
  <si>
    <t>Atomic mass of neptunium</t>
  </si>
  <si>
    <r>
      <t>AM</t>
    </r>
    <r>
      <rPr>
        <vertAlign val="subscript"/>
        <sz val="11"/>
        <rFont val="Calibri"/>
        <family val="2"/>
        <scheme val="minor"/>
      </rPr>
      <t>Pu</t>
    </r>
  </si>
  <si>
    <t>Atomic mass of plutonium</t>
  </si>
  <si>
    <r>
      <t>AM</t>
    </r>
    <r>
      <rPr>
        <vertAlign val="subscript"/>
        <sz val="11"/>
        <rFont val="Calibri"/>
        <family val="2"/>
        <scheme val="minor"/>
      </rPr>
      <t>Am</t>
    </r>
  </si>
  <si>
    <t>Atomic mass of americium</t>
  </si>
  <si>
    <r>
      <t>AM</t>
    </r>
    <r>
      <rPr>
        <vertAlign val="subscript"/>
        <sz val="11"/>
        <rFont val="Calibri"/>
        <family val="2"/>
        <scheme val="minor"/>
      </rPr>
      <t>Cm</t>
    </r>
  </si>
  <si>
    <t>Atomic mass of curium</t>
  </si>
  <si>
    <r>
      <t>AM</t>
    </r>
    <r>
      <rPr>
        <vertAlign val="subscript"/>
        <sz val="11"/>
        <rFont val="Calibri"/>
        <family val="2"/>
        <scheme val="minor"/>
      </rPr>
      <t>Bk</t>
    </r>
  </si>
  <si>
    <t>Atomic mass of berkelium</t>
  </si>
  <si>
    <r>
      <t>AM</t>
    </r>
    <r>
      <rPr>
        <vertAlign val="subscript"/>
        <sz val="11"/>
        <rFont val="Calibri"/>
        <family val="2"/>
        <scheme val="minor"/>
      </rPr>
      <t>Cf</t>
    </r>
  </si>
  <si>
    <t>Atomic mass of californium</t>
  </si>
  <si>
    <r>
      <t>AM</t>
    </r>
    <r>
      <rPr>
        <vertAlign val="subscript"/>
        <sz val="11"/>
        <rFont val="Calibri"/>
        <family val="2"/>
        <scheme val="minor"/>
      </rPr>
      <t>Es</t>
    </r>
  </si>
  <si>
    <t>Atomic mass of einsteinium</t>
  </si>
  <si>
    <r>
      <t>AM</t>
    </r>
    <r>
      <rPr>
        <vertAlign val="subscript"/>
        <sz val="11"/>
        <rFont val="Calibri"/>
        <family val="2"/>
        <scheme val="minor"/>
      </rPr>
      <t>Fm</t>
    </r>
  </si>
  <si>
    <t>Atomic mass of fermium</t>
  </si>
  <si>
    <r>
      <t>AM</t>
    </r>
    <r>
      <rPr>
        <vertAlign val="subscript"/>
        <sz val="11"/>
        <rFont val="Calibri"/>
        <family val="2"/>
        <scheme val="minor"/>
      </rPr>
      <t>Md</t>
    </r>
  </si>
  <si>
    <t>Atomic mass of mendelevium</t>
  </si>
  <si>
    <r>
      <t>AM</t>
    </r>
    <r>
      <rPr>
        <vertAlign val="subscript"/>
        <sz val="11"/>
        <rFont val="Calibri"/>
        <family val="2"/>
        <scheme val="minor"/>
      </rPr>
      <t>No</t>
    </r>
  </si>
  <si>
    <t>Atomic mass of nobelium</t>
  </si>
  <si>
    <r>
      <t>AM</t>
    </r>
    <r>
      <rPr>
        <vertAlign val="subscript"/>
        <sz val="11"/>
        <rFont val="Calibri"/>
        <family val="2"/>
        <scheme val="minor"/>
      </rPr>
      <t>Lr</t>
    </r>
  </si>
  <si>
    <t>Atomic mass of lawrencium</t>
  </si>
  <si>
    <r>
      <t>AM</t>
    </r>
    <r>
      <rPr>
        <vertAlign val="subscript"/>
        <sz val="11"/>
        <rFont val="Calibri"/>
        <family val="2"/>
        <scheme val="minor"/>
      </rPr>
      <t>Rf</t>
    </r>
  </si>
  <si>
    <t>Atomic mass of rutherfordium</t>
  </si>
  <si>
    <r>
      <t>AM</t>
    </r>
    <r>
      <rPr>
        <vertAlign val="subscript"/>
        <sz val="11"/>
        <rFont val="Calibri"/>
        <family val="2"/>
        <scheme val="minor"/>
      </rPr>
      <t>Db</t>
    </r>
  </si>
  <si>
    <t>Atomic mass of dubnium</t>
  </si>
  <si>
    <r>
      <t>AM</t>
    </r>
    <r>
      <rPr>
        <vertAlign val="subscript"/>
        <sz val="11"/>
        <rFont val="Calibri"/>
        <family val="2"/>
        <scheme val="minor"/>
      </rPr>
      <t>Sg</t>
    </r>
  </si>
  <si>
    <t>Atomic mass of seaborgium</t>
  </si>
  <si>
    <r>
      <t>AM</t>
    </r>
    <r>
      <rPr>
        <vertAlign val="subscript"/>
        <sz val="11"/>
        <rFont val="Calibri"/>
        <family val="2"/>
        <scheme val="minor"/>
      </rPr>
      <t>Bh</t>
    </r>
  </si>
  <si>
    <t>Atomic mass of bohrium</t>
  </si>
  <si>
    <r>
      <t>AM</t>
    </r>
    <r>
      <rPr>
        <vertAlign val="subscript"/>
        <sz val="11"/>
        <rFont val="Calibri"/>
        <family val="2"/>
        <scheme val="minor"/>
      </rPr>
      <t>Hs</t>
    </r>
  </si>
  <si>
    <t>Atomic mass of hassium</t>
  </si>
  <si>
    <r>
      <t>AM</t>
    </r>
    <r>
      <rPr>
        <vertAlign val="subscript"/>
        <sz val="11"/>
        <rFont val="Calibri"/>
        <family val="2"/>
        <scheme val="minor"/>
      </rPr>
      <t>Mt</t>
    </r>
  </si>
  <si>
    <t>Atomic mass of meitnerium</t>
  </si>
  <si>
    <r>
      <t>AM</t>
    </r>
    <r>
      <rPr>
        <vertAlign val="subscript"/>
        <sz val="11"/>
        <rFont val="Calibri"/>
        <family val="2"/>
        <scheme val="minor"/>
      </rPr>
      <t>Ds</t>
    </r>
  </si>
  <si>
    <t>Atomic mass of darmstadtium</t>
  </si>
  <si>
    <r>
      <t>AM</t>
    </r>
    <r>
      <rPr>
        <vertAlign val="subscript"/>
        <sz val="11"/>
        <rFont val="Calibri"/>
        <family val="2"/>
        <scheme val="minor"/>
      </rPr>
      <t>Rg</t>
    </r>
  </si>
  <si>
    <t>Atomic mass of roentgenium</t>
  </si>
  <si>
    <r>
      <t>AM</t>
    </r>
    <r>
      <rPr>
        <vertAlign val="subscript"/>
        <sz val="11"/>
        <rFont val="Calibri"/>
        <family val="2"/>
        <scheme val="minor"/>
      </rPr>
      <t>Cn</t>
    </r>
  </si>
  <si>
    <t>Atomic mass of copernicium</t>
  </si>
  <si>
    <r>
      <t>AM</t>
    </r>
    <r>
      <rPr>
        <vertAlign val="subscript"/>
        <sz val="11"/>
        <rFont val="Calibri"/>
        <family val="2"/>
        <scheme val="minor"/>
      </rPr>
      <t>Uut</t>
    </r>
  </si>
  <si>
    <t>Atomic mass of ununtrium</t>
  </si>
  <si>
    <r>
      <t>AM</t>
    </r>
    <r>
      <rPr>
        <vertAlign val="subscript"/>
        <sz val="11"/>
        <rFont val="Calibri"/>
        <family val="2"/>
        <scheme val="minor"/>
      </rPr>
      <t>Fl</t>
    </r>
  </si>
  <si>
    <t>Atomic mass of flerovium</t>
  </si>
  <si>
    <r>
      <t>AM</t>
    </r>
    <r>
      <rPr>
        <vertAlign val="subscript"/>
        <sz val="11"/>
        <rFont val="Calibri"/>
        <family val="2"/>
        <scheme val="minor"/>
      </rPr>
      <t>Uup</t>
    </r>
  </si>
  <si>
    <t>Atomic mass of ununpentium</t>
  </si>
  <si>
    <r>
      <t>AM</t>
    </r>
    <r>
      <rPr>
        <vertAlign val="subscript"/>
        <sz val="11"/>
        <rFont val="Calibri"/>
        <family val="2"/>
        <scheme val="minor"/>
      </rPr>
      <t>Lv</t>
    </r>
  </si>
  <si>
    <t>Atomic mass of livermorium</t>
  </si>
  <si>
    <r>
      <t>AM</t>
    </r>
    <r>
      <rPr>
        <vertAlign val="subscript"/>
        <sz val="11"/>
        <rFont val="Calibri"/>
        <family val="2"/>
        <scheme val="minor"/>
      </rPr>
      <t>Uus</t>
    </r>
  </si>
  <si>
    <t>Atomic mass of ununseptium</t>
  </si>
  <si>
    <r>
      <t>AM</t>
    </r>
    <r>
      <rPr>
        <vertAlign val="subscript"/>
        <sz val="11"/>
        <rFont val="Calibri"/>
        <family val="2"/>
        <scheme val="minor"/>
      </rPr>
      <t>Uuo</t>
    </r>
  </si>
  <si>
    <t>Atomic mass of ununoctium</t>
  </si>
  <si>
    <t>Molecular masses (gas phase)</t>
  </si>
  <si>
    <r>
      <t>MM</t>
    </r>
    <r>
      <rPr>
        <vertAlign val="subscript"/>
        <sz val="11"/>
        <rFont val="Calibri"/>
        <family val="2"/>
        <scheme val="minor"/>
      </rPr>
      <t>GCO2</t>
    </r>
  </si>
  <si>
    <t>Molecular mass of carbon dioxide</t>
  </si>
  <si>
    <t>GO2 is a workaround - we should equip SMT with a mechanism to be able to handle GO2, SO2, etc. similarly when it is about finding molecular mass</t>
  </si>
  <si>
    <r>
      <t>MM</t>
    </r>
    <r>
      <rPr>
        <vertAlign val="subscript"/>
        <sz val="11"/>
        <rFont val="Calibri"/>
        <family val="2"/>
        <scheme val="minor"/>
      </rPr>
      <t>GNO</t>
    </r>
  </si>
  <si>
    <t>Molecular mass of nitric oxide</t>
  </si>
  <si>
    <t>GNO is a workaround - we should equip SMT with a mechanism to be able to handle GNO, SNO, etc. similarly when it is about finding molecular mass</t>
  </si>
  <si>
    <r>
      <t>MM</t>
    </r>
    <r>
      <rPr>
        <vertAlign val="subscript"/>
        <sz val="11"/>
        <rFont val="Calibri"/>
        <family val="2"/>
        <scheme val="minor"/>
      </rPr>
      <t>GN2O</t>
    </r>
  </si>
  <si>
    <t>Molecular mass of nitrous oxide</t>
  </si>
  <si>
    <t>GN2O is a workaround - we should equip SMT with a mechanism to be able to handle GN2O, SN2O, etc. similarly when it is about finding molecular mass</t>
  </si>
  <si>
    <t>Molecular masses</t>
  </si>
  <si>
    <r>
      <t>MM</t>
    </r>
    <r>
      <rPr>
        <vertAlign val="subscript"/>
        <sz val="11"/>
        <rFont val="Calibri"/>
        <family val="2"/>
        <scheme val="minor"/>
      </rPr>
      <t>NH3</t>
    </r>
  </si>
  <si>
    <t>Molecular mass of ammonia</t>
  </si>
  <si>
    <t>Molecular mass of phosphate</t>
  </si>
  <si>
    <r>
      <t>MM</t>
    </r>
    <r>
      <rPr>
        <vertAlign val="subscript"/>
        <sz val="11"/>
        <rFont val="Calibri"/>
        <family val="2"/>
        <scheme val="minor"/>
      </rPr>
      <t>CH3OH</t>
    </r>
  </si>
  <si>
    <t>Molecular mass of methanol</t>
  </si>
  <si>
    <r>
      <t>MM</t>
    </r>
    <r>
      <rPr>
        <vertAlign val="subscript"/>
        <sz val="11"/>
        <rFont val="Calibri"/>
        <family val="2"/>
        <scheme val="minor"/>
      </rPr>
      <t>CH3COOH</t>
    </r>
  </si>
  <si>
    <t>Molecular mass of acetic acid</t>
  </si>
  <si>
    <t>Specific molecular masses</t>
  </si>
  <si>
    <r>
      <t>MM</t>
    </r>
    <r>
      <rPr>
        <vertAlign val="subscript"/>
        <sz val="11"/>
        <rFont val="Calibri"/>
        <family val="2"/>
        <scheme val="minor"/>
      </rPr>
      <t>EQ,GCH4</t>
    </r>
  </si>
  <si>
    <r>
      <t>MM</t>
    </r>
    <r>
      <rPr>
        <vertAlign val="subscript"/>
        <sz val="11"/>
        <rFont val="Calibri"/>
        <family val="2"/>
        <scheme val="minor"/>
      </rPr>
      <t>EQ,GH2</t>
    </r>
  </si>
  <si>
    <t>Dissociation constants</t>
  </si>
  <si>
    <t>Nitrite dissociation</t>
  </si>
  <si>
    <t>Electron equivalences</t>
  </si>
  <si>
    <r>
      <t>EEQ</t>
    </r>
    <r>
      <rPr>
        <vertAlign val="subscript"/>
        <sz val="11"/>
        <rFont val="Calibri"/>
        <family val="2"/>
      </rPr>
      <t>N2</t>
    </r>
  </si>
  <si>
    <r>
      <t>Electron equivalence of N</t>
    </r>
    <r>
      <rPr>
        <vertAlign val="subscript"/>
        <sz val="11"/>
        <rFont val="Calibri"/>
        <family val="2"/>
      </rPr>
      <t>2</t>
    </r>
  </si>
  <si>
    <r>
      <t>EEQ</t>
    </r>
    <r>
      <rPr>
        <vertAlign val="subscript"/>
        <sz val="11"/>
        <rFont val="Calibri"/>
        <family val="2"/>
      </rPr>
      <t>N2O</t>
    </r>
  </si>
  <si>
    <r>
      <t>Electron equivalence of N</t>
    </r>
    <r>
      <rPr>
        <vertAlign val="subscript"/>
        <sz val="11"/>
        <rFont val="Calibri"/>
        <family val="2"/>
      </rPr>
      <t>2</t>
    </r>
    <r>
      <rPr>
        <sz val="11"/>
        <rFont val="Calibri"/>
        <family val="2"/>
      </rPr>
      <t>O</t>
    </r>
  </si>
  <si>
    <r>
      <t>EEQ</t>
    </r>
    <r>
      <rPr>
        <vertAlign val="subscript"/>
        <sz val="11"/>
        <rFont val="Calibri"/>
        <family val="2"/>
      </rPr>
      <t>NO</t>
    </r>
  </si>
  <si>
    <t>Electron equivalence of NO</t>
  </si>
  <si>
    <r>
      <t>EEQ</t>
    </r>
    <r>
      <rPr>
        <vertAlign val="subscript"/>
        <sz val="11"/>
        <rFont val="Calibri"/>
        <family val="2"/>
      </rPr>
      <t>NO2</t>
    </r>
  </si>
  <si>
    <r>
      <t>Electron equivalence of NO</t>
    </r>
    <r>
      <rPr>
        <vertAlign val="subscript"/>
        <sz val="11"/>
        <rFont val="Calibri"/>
        <family val="2"/>
      </rPr>
      <t>2</t>
    </r>
  </si>
  <si>
    <r>
      <t>EEQ</t>
    </r>
    <r>
      <rPr>
        <vertAlign val="subscript"/>
        <sz val="11"/>
        <rFont val="Calibri"/>
        <family val="2"/>
      </rPr>
      <t>NO3</t>
    </r>
  </si>
  <si>
    <r>
      <t>Electron equivalence of NO</t>
    </r>
    <r>
      <rPr>
        <vertAlign val="subscript"/>
        <sz val="11"/>
        <rFont val="Calibri"/>
        <family val="2"/>
      </rPr>
      <t>3</t>
    </r>
  </si>
  <si>
    <r>
      <t>Electron equivalence of NO</t>
    </r>
    <r>
      <rPr>
        <vertAlign val="subscript"/>
        <sz val="11"/>
        <rFont val="Calibri"/>
        <family val="2"/>
      </rPr>
      <t>2</t>
    </r>
    <r>
      <rPr>
        <sz val="11"/>
        <rFont val="Calibri"/>
        <family val="2"/>
      </rPr>
      <t xml:space="preserve"> to NO</t>
    </r>
    <r>
      <rPr>
        <vertAlign val="subscript"/>
        <sz val="11"/>
        <rFont val="Calibri"/>
        <family val="2"/>
      </rPr>
      <t>3</t>
    </r>
  </si>
  <si>
    <r>
      <t>Electron equivalence of N</t>
    </r>
    <r>
      <rPr>
        <vertAlign val="subscript"/>
        <sz val="11"/>
        <rFont val="Calibri"/>
        <family val="2"/>
      </rPr>
      <t>2</t>
    </r>
    <r>
      <rPr>
        <sz val="11"/>
        <rFont val="Calibri"/>
        <family val="2"/>
      </rPr>
      <t xml:space="preserve"> to NO</t>
    </r>
    <r>
      <rPr>
        <vertAlign val="subscript"/>
        <sz val="11"/>
        <rFont val="Calibri"/>
        <family val="2"/>
      </rPr>
      <t>2</t>
    </r>
  </si>
  <si>
    <r>
      <t>Electron equivalence of NO to NO</t>
    </r>
    <r>
      <rPr>
        <vertAlign val="subscript"/>
        <sz val="11"/>
        <rFont val="Calibri"/>
        <family val="2"/>
      </rPr>
      <t>2</t>
    </r>
  </si>
  <si>
    <r>
      <t>Electron equivalence of N</t>
    </r>
    <r>
      <rPr>
        <vertAlign val="subscript"/>
        <sz val="11"/>
        <rFont val="Calibri"/>
        <family val="2"/>
      </rPr>
      <t>2</t>
    </r>
    <r>
      <rPr>
        <sz val="11"/>
        <rFont val="Calibri"/>
        <family val="2"/>
      </rPr>
      <t>O to NO</t>
    </r>
  </si>
  <si>
    <r>
      <t>Electron equivalence of N</t>
    </r>
    <r>
      <rPr>
        <vertAlign val="subscript"/>
        <sz val="11"/>
        <rFont val="Calibri"/>
        <family val="2"/>
      </rPr>
      <t>2</t>
    </r>
    <r>
      <rPr>
        <sz val="11"/>
        <rFont val="Calibri"/>
        <family val="2"/>
      </rPr>
      <t xml:space="preserve"> to N</t>
    </r>
    <r>
      <rPr>
        <vertAlign val="subscript"/>
        <sz val="11"/>
        <rFont val="Calibri"/>
        <family val="2"/>
      </rPr>
      <t>2</t>
    </r>
    <r>
      <rPr>
        <sz val="11"/>
        <rFont val="Calibri"/>
        <family val="2"/>
      </rPr>
      <t>O</t>
    </r>
  </si>
  <si>
    <t>(s/x)/(s/x+k)</t>
  </si>
  <si>
    <t>Sign(x)</t>
  </si>
  <si>
    <t>Sign</t>
  </si>
  <si>
    <t>Temperature dependent Henry coefficient for NO</t>
  </si>
  <si>
    <t>Max(lolim;Min(hilim;var))</t>
  </si>
  <si>
    <t>If(x&gt;0;1;If(x&lt;0;-1;0))</t>
  </si>
  <si>
    <t>SUMO functions</t>
  </si>
  <si>
    <t>this can be used in Excel from FuncEngine 1.5.2</t>
  </si>
  <si>
    <t>Diffusion coefficient of NO in water @ 25°C</t>
  </si>
  <si>
    <r>
      <t>g.m</t>
    </r>
    <r>
      <rPr>
        <vertAlign val="superscript"/>
        <sz val="11"/>
        <rFont val="Calibri"/>
        <family val="2"/>
        <scheme val="minor"/>
      </rPr>
      <t>-3</t>
    </r>
  </si>
  <si>
    <t>Pa</t>
  </si>
  <si>
    <t>Other parameters</t>
  </si>
  <si>
    <t>pH effects on/not on from systemcode</t>
  </si>
  <si>
    <t>Boolean</t>
  </si>
  <si>
    <r>
      <t>Electron equivalence of N</t>
    </r>
    <r>
      <rPr>
        <vertAlign val="subscript"/>
        <sz val="11"/>
        <rFont val="Calibri"/>
        <family val="2"/>
      </rPr>
      <t>2</t>
    </r>
    <r>
      <rPr>
        <sz val="11"/>
        <rFont val="Calibri"/>
        <family val="2"/>
        <scheme val="minor"/>
      </rPr>
      <t xml:space="preserve"> to NO</t>
    </r>
    <r>
      <rPr>
        <vertAlign val="subscript"/>
        <sz val="11"/>
        <rFont val="Calibri"/>
        <family val="2"/>
      </rPr>
      <t>3</t>
    </r>
  </si>
  <si>
    <t>Total phosphorus</t>
  </si>
  <si>
    <r>
      <t>g P.m</t>
    </r>
    <r>
      <rPr>
        <vertAlign val="superscript"/>
        <sz val="11"/>
        <rFont val="Calibri"/>
        <family val="2"/>
      </rPr>
      <t>-3</t>
    </r>
  </si>
  <si>
    <t>Sumo__pHEffects</t>
  </si>
  <si>
    <t>On the Components Tab</t>
  </si>
  <si>
    <t>On the Model Tab</t>
  </si>
  <si>
    <t>Starting a new model: pH setup (skip with models without pH modelling)</t>
  </si>
  <si>
    <t>On the Species Tab</t>
  </si>
  <si>
    <t>On the pH Tab</t>
  </si>
  <si>
    <r>
      <rPr>
        <b/>
        <sz val="11"/>
        <color indexed="8"/>
        <rFont val="Calibri"/>
        <family val="2"/>
      </rPr>
      <t>Functions</t>
    </r>
    <r>
      <rPr>
        <sz val="11"/>
        <color indexed="8"/>
        <rFont val="Calibri"/>
        <family val="2"/>
      </rPr>
      <t xml:space="preserve"> that can be used in rate expressions are listed in systemcode.xlsx. Some examples are given below:</t>
    </r>
  </si>
  <si>
    <r>
      <rPr>
        <b/>
        <sz val="11"/>
        <color indexed="8"/>
        <rFont val="Calibri"/>
        <family val="2"/>
      </rPr>
      <t xml:space="preserve">Excel </t>
    </r>
    <r>
      <rPr>
        <sz val="11"/>
        <color indexed="8"/>
        <rFont val="Calibri"/>
        <family val="2"/>
      </rPr>
      <t>frequently mixes up macros when two workbooks are open at the same time. Open Workbooks one at a time when using the checking macros.</t>
    </r>
  </si>
  <si>
    <t>General stoichiometry</t>
  </si>
  <si>
    <t>Set</t>
  </si>
  <si>
    <t>input alkalinity - in feed PU</t>
  </si>
  <si>
    <r>
      <t>S</t>
    </r>
    <r>
      <rPr>
        <vertAlign val="subscript"/>
        <sz val="11"/>
        <rFont val="Calibri"/>
        <family val="2"/>
        <charset val="238"/>
      </rPr>
      <t>ALK,input</t>
    </r>
  </si>
  <si>
    <r>
      <t>S</t>
    </r>
    <r>
      <rPr>
        <b/>
        <vertAlign val="subscript"/>
        <sz val="11"/>
        <rFont val="Calibri"/>
        <family val="2"/>
        <scheme val="minor"/>
      </rPr>
      <t>VFA</t>
    </r>
  </si>
  <si>
    <r>
      <t>S</t>
    </r>
    <r>
      <rPr>
        <b/>
        <vertAlign val="subscript"/>
        <sz val="11"/>
        <rFont val="Calibri"/>
        <family val="2"/>
        <scheme val="minor"/>
      </rPr>
      <t>B</t>
    </r>
  </si>
  <si>
    <r>
      <t>S</t>
    </r>
    <r>
      <rPr>
        <b/>
        <vertAlign val="subscript"/>
        <sz val="11"/>
        <rFont val="Calibri"/>
        <family val="2"/>
        <scheme val="minor"/>
      </rPr>
      <t>MEOL</t>
    </r>
  </si>
  <si>
    <r>
      <t>C</t>
    </r>
    <r>
      <rPr>
        <b/>
        <vertAlign val="subscript"/>
        <sz val="11"/>
        <rFont val="Calibri"/>
        <family val="2"/>
        <scheme val="minor"/>
      </rPr>
      <t>B</t>
    </r>
  </si>
  <si>
    <r>
      <t>X</t>
    </r>
    <r>
      <rPr>
        <b/>
        <vertAlign val="subscript"/>
        <sz val="11"/>
        <rFont val="Calibri"/>
        <family val="2"/>
        <scheme val="minor"/>
      </rPr>
      <t>B</t>
    </r>
  </si>
  <si>
    <r>
      <t>S</t>
    </r>
    <r>
      <rPr>
        <b/>
        <vertAlign val="subscript"/>
        <sz val="11"/>
        <rFont val="Calibri"/>
        <family val="2"/>
        <scheme val="minor"/>
      </rPr>
      <t>U</t>
    </r>
  </si>
  <si>
    <r>
      <t>C</t>
    </r>
    <r>
      <rPr>
        <b/>
        <vertAlign val="subscript"/>
        <sz val="11"/>
        <rFont val="Calibri"/>
        <family val="2"/>
        <scheme val="minor"/>
      </rPr>
      <t>U</t>
    </r>
  </si>
  <si>
    <r>
      <t>X</t>
    </r>
    <r>
      <rPr>
        <b/>
        <vertAlign val="subscript"/>
        <sz val="11"/>
        <rFont val="Calibri"/>
        <family val="2"/>
        <scheme val="minor"/>
      </rPr>
      <t>U</t>
    </r>
  </si>
  <si>
    <r>
      <t>X</t>
    </r>
    <r>
      <rPr>
        <b/>
        <vertAlign val="subscript"/>
        <sz val="11"/>
        <rFont val="Calibri"/>
        <family val="2"/>
        <scheme val="minor"/>
      </rPr>
      <t>E</t>
    </r>
  </si>
  <si>
    <r>
      <t>X</t>
    </r>
    <r>
      <rPr>
        <b/>
        <vertAlign val="subscript"/>
        <sz val="11"/>
        <rFont val="Calibri"/>
        <family val="2"/>
        <scheme val="minor"/>
      </rPr>
      <t>OHO</t>
    </r>
  </si>
  <si>
    <r>
      <t>X</t>
    </r>
    <r>
      <rPr>
        <b/>
        <vertAlign val="subscript"/>
        <sz val="11"/>
        <rFont val="Calibri"/>
        <family val="2"/>
        <scheme val="minor"/>
      </rPr>
      <t>MEOLO</t>
    </r>
  </si>
  <si>
    <r>
      <t>X</t>
    </r>
    <r>
      <rPr>
        <b/>
        <vertAlign val="subscript"/>
        <sz val="11"/>
        <rFont val="Calibri"/>
        <family val="2"/>
        <scheme val="minor"/>
      </rPr>
      <t>AMETO</t>
    </r>
  </si>
  <si>
    <r>
      <t>X</t>
    </r>
    <r>
      <rPr>
        <b/>
        <vertAlign val="subscript"/>
        <sz val="11"/>
        <rFont val="Calibri"/>
        <family val="2"/>
        <scheme val="minor"/>
      </rPr>
      <t>HMETO</t>
    </r>
  </si>
  <si>
    <r>
      <t>S</t>
    </r>
    <r>
      <rPr>
        <b/>
        <vertAlign val="subscript"/>
        <sz val="11"/>
        <rFont val="Calibri"/>
        <family val="2"/>
        <scheme val="minor"/>
      </rPr>
      <t>NHx</t>
    </r>
  </si>
  <si>
    <r>
      <t>S</t>
    </r>
    <r>
      <rPr>
        <b/>
        <vertAlign val="subscript"/>
        <sz val="11"/>
        <rFont val="Calibri"/>
        <family val="2"/>
        <scheme val="minor"/>
      </rPr>
      <t>N2</t>
    </r>
  </si>
  <si>
    <r>
      <t>S</t>
    </r>
    <r>
      <rPr>
        <b/>
        <vertAlign val="subscript"/>
        <sz val="11"/>
        <rFont val="Calibri"/>
        <family val="2"/>
        <scheme val="minor"/>
      </rPr>
      <t>N,B</t>
    </r>
  </si>
  <si>
    <t>Soluble biodegradable organic N (from SB)</t>
  </si>
  <si>
    <r>
      <t>X</t>
    </r>
    <r>
      <rPr>
        <b/>
        <vertAlign val="subscript"/>
        <sz val="11"/>
        <rFont val="Calibri"/>
        <family val="2"/>
        <scheme val="minor"/>
      </rPr>
      <t>N,B</t>
    </r>
  </si>
  <si>
    <r>
      <t>X</t>
    </r>
    <r>
      <rPr>
        <b/>
        <vertAlign val="subscript"/>
        <sz val="11"/>
        <rFont val="Calibri"/>
        <family val="2"/>
        <scheme val="minor"/>
      </rPr>
      <t>N,U</t>
    </r>
  </si>
  <si>
    <r>
      <t>S</t>
    </r>
    <r>
      <rPr>
        <b/>
        <vertAlign val="subscript"/>
        <sz val="11"/>
        <rFont val="Calibri"/>
        <family val="2"/>
        <scheme val="minor"/>
      </rPr>
      <t>PO4</t>
    </r>
  </si>
  <si>
    <r>
      <t>S</t>
    </r>
    <r>
      <rPr>
        <b/>
        <vertAlign val="subscript"/>
        <sz val="11"/>
        <rFont val="Calibri"/>
        <family val="2"/>
        <scheme val="minor"/>
      </rPr>
      <t>P,B</t>
    </r>
  </si>
  <si>
    <r>
      <t>X</t>
    </r>
    <r>
      <rPr>
        <b/>
        <vertAlign val="subscript"/>
        <sz val="11"/>
        <rFont val="Calibri"/>
        <family val="2"/>
        <scheme val="minor"/>
      </rPr>
      <t>P,B</t>
    </r>
  </si>
  <si>
    <r>
      <t>X</t>
    </r>
    <r>
      <rPr>
        <b/>
        <vertAlign val="subscript"/>
        <sz val="11"/>
        <rFont val="Calibri"/>
        <family val="2"/>
        <scheme val="minor"/>
      </rPr>
      <t>P,U</t>
    </r>
  </si>
  <si>
    <r>
      <t>S</t>
    </r>
    <r>
      <rPr>
        <b/>
        <vertAlign val="subscript"/>
        <sz val="11"/>
        <rFont val="Calibri"/>
        <family val="2"/>
        <scheme val="minor"/>
      </rPr>
      <t>O2</t>
    </r>
  </si>
  <si>
    <r>
      <t>g O</t>
    </r>
    <r>
      <rPr>
        <vertAlign val="subscript"/>
        <sz val="11"/>
        <rFont val="Calibri"/>
        <family val="2"/>
      </rPr>
      <t>2</t>
    </r>
    <r>
      <rPr>
        <sz val="11"/>
        <rFont val="Calibri"/>
        <family val="2"/>
      </rPr>
      <t>.m</t>
    </r>
    <r>
      <rPr>
        <vertAlign val="superscript"/>
        <sz val="11"/>
        <rFont val="Calibri"/>
        <family val="2"/>
      </rPr>
      <t>-3</t>
    </r>
  </si>
  <si>
    <r>
      <t>S</t>
    </r>
    <r>
      <rPr>
        <b/>
        <vertAlign val="subscript"/>
        <sz val="11"/>
        <rFont val="Calibri"/>
        <family val="2"/>
        <scheme val="minor"/>
      </rPr>
      <t>CH4</t>
    </r>
  </si>
  <si>
    <r>
      <t>S</t>
    </r>
    <r>
      <rPr>
        <b/>
        <vertAlign val="subscript"/>
        <sz val="11"/>
        <rFont val="Calibri"/>
        <family val="2"/>
        <scheme val="minor"/>
      </rPr>
      <t>H2</t>
    </r>
  </si>
  <si>
    <r>
      <t>S</t>
    </r>
    <r>
      <rPr>
        <b/>
        <vertAlign val="subscript"/>
        <sz val="11"/>
        <rFont val="Calibri"/>
        <family val="2"/>
        <scheme val="minor"/>
      </rPr>
      <t>CO2</t>
    </r>
  </si>
  <si>
    <r>
      <t>X</t>
    </r>
    <r>
      <rPr>
        <b/>
        <vertAlign val="subscript"/>
        <sz val="11"/>
        <rFont val="Calibri"/>
        <family val="2"/>
        <scheme val="minor"/>
      </rPr>
      <t>INORG</t>
    </r>
  </si>
  <si>
    <r>
      <t>S</t>
    </r>
    <r>
      <rPr>
        <b/>
        <vertAlign val="subscript"/>
        <sz val="11"/>
        <rFont val="Calibri"/>
        <family val="2"/>
      </rPr>
      <t>Mg</t>
    </r>
  </si>
  <si>
    <r>
      <t>g Mg.m</t>
    </r>
    <r>
      <rPr>
        <vertAlign val="superscript"/>
        <sz val="11"/>
        <rFont val="Calibri"/>
        <family val="2"/>
      </rPr>
      <t>-3</t>
    </r>
  </si>
  <si>
    <r>
      <t>g.m</t>
    </r>
    <r>
      <rPr>
        <vertAlign val="superscript"/>
        <sz val="11"/>
        <rFont val="Calibri"/>
        <family val="2"/>
      </rPr>
      <t>-3</t>
    </r>
  </si>
  <si>
    <r>
      <t>g Fe.m</t>
    </r>
    <r>
      <rPr>
        <vertAlign val="superscript"/>
        <sz val="11"/>
        <rFont val="Calibri"/>
        <family val="2"/>
      </rPr>
      <t>-3</t>
    </r>
  </si>
  <si>
    <r>
      <t>X</t>
    </r>
    <r>
      <rPr>
        <b/>
        <vertAlign val="subscript"/>
        <sz val="11"/>
        <rFont val="Calibri"/>
        <family val="2"/>
        <charset val="238"/>
        <scheme val="minor"/>
      </rPr>
      <t>HFO,L</t>
    </r>
  </si>
  <si>
    <r>
      <t>X</t>
    </r>
    <r>
      <rPr>
        <b/>
        <vertAlign val="subscript"/>
        <sz val="11"/>
        <rFont val="Calibri"/>
        <family val="2"/>
        <charset val="238"/>
        <scheme val="minor"/>
      </rPr>
      <t>HFO,H</t>
    </r>
  </si>
  <si>
    <t>Components</t>
  </si>
  <si>
    <t>Default</t>
  </si>
  <si>
    <t>Particle size</t>
  </si>
  <si>
    <r>
      <t>mol.L</t>
    </r>
    <r>
      <rPr>
        <vertAlign val="superscript"/>
        <sz val="11"/>
        <rFont val="Calibri"/>
        <family val="2"/>
      </rPr>
      <t>-1</t>
    </r>
  </si>
  <si>
    <r>
      <t>mol.L</t>
    </r>
    <r>
      <rPr>
        <vertAlign val="superscript"/>
        <sz val="11"/>
        <rFont val="Calibri"/>
        <family val="2"/>
      </rPr>
      <t>-1</t>
    </r>
    <r>
      <rPr>
        <sz val="11"/>
        <color theme="1"/>
        <rFont val="Calibri"/>
        <family val="2"/>
        <scheme val="minor"/>
      </rPr>
      <t/>
    </r>
  </si>
  <si>
    <r>
      <t>IS</t>
    </r>
    <r>
      <rPr>
        <vertAlign val="subscript"/>
        <sz val="11"/>
        <rFont val="Calibri"/>
        <family val="2"/>
        <charset val="238"/>
      </rPr>
      <t>calc</t>
    </r>
  </si>
  <si>
    <r>
      <t>X</t>
    </r>
    <r>
      <rPr>
        <b/>
        <vertAlign val="subscript"/>
        <sz val="11"/>
        <rFont val="Calibri"/>
        <family val="2"/>
        <charset val="238"/>
      </rPr>
      <t>HFO,H,P,old</t>
    </r>
  </si>
  <si>
    <r>
      <t>X</t>
    </r>
    <r>
      <rPr>
        <b/>
        <vertAlign val="subscript"/>
        <sz val="11"/>
        <rFont val="Calibri"/>
        <family val="2"/>
        <charset val="238"/>
      </rPr>
      <t>HFO,L,P,old</t>
    </r>
  </si>
  <si>
    <t>r44</t>
  </si>
  <si>
    <r>
      <t>d</t>
    </r>
    <r>
      <rPr>
        <vertAlign val="superscript"/>
        <sz val="11"/>
        <color indexed="8"/>
        <rFont val="Calibri"/>
        <family val="2"/>
        <scheme val="minor"/>
      </rPr>
      <t>-1</t>
    </r>
  </si>
  <si>
    <r>
      <t>g COD.m</t>
    </r>
    <r>
      <rPr>
        <vertAlign val="superscript"/>
        <sz val="11"/>
        <color indexed="8"/>
        <rFont val="Calibri"/>
        <family val="2"/>
        <scheme val="minor"/>
      </rPr>
      <t>-3</t>
    </r>
  </si>
  <si>
    <r>
      <t>g O</t>
    </r>
    <r>
      <rPr>
        <vertAlign val="subscript"/>
        <sz val="11"/>
        <color indexed="8"/>
        <rFont val="Calibri"/>
        <family val="2"/>
        <scheme val="minor"/>
      </rPr>
      <t>2</t>
    </r>
    <r>
      <rPr>
        <sz val="11"/>
        <color indexed="8"/>
        <rFont val="Calibri"/>
        <family val="2"/>
        <scheme val="minor"/>
      </rPr>
      <t>.m</t>
    </r>
    <r>
      <rPr>
        <vertAlign val="superscript"/>
        <sz val="11"/>
        <color indexed="8"/>
        <rFont val="Calibri"/>
        <family val="2"/>
        <scheme val="minor"/>
      </rPr>
      <t>-3</t>
    </r>
  </si>
  <si>
    <r>
      <t>g N.m</t>
    </r>
    <r>
      <rPr>
        <vertAlign val="superscript"/>
        <sz val="11"/>
        <color indexed="8"/>
        <rFont val="Calibri"/>
        <family val="2"/>
        <scheme val="minor"/>
      </rPr>
      <t>-3</t>
    </r>
  </si>
  <si>
    <r>
      <t>µ</t>
    </r>
    <r>
      <rPr>
        <vertAlign val="subscript"/>
        <sz val="11"/>
        <color indexed="8"/>
        <rFont val="Calibri"/>
        <family val="2"/>
        <scheme val="minor"/>
      </rPr>
      <t>HMETO</t>
    </r>
  </si>
  <si>
    <r>
      <t>b</t>
    </r>
    <r>
      <rPr>
        <vertAlign val="subscript"/>
        <sz val="11"/>
        <color indexed="8"/>
        <rFont val="Calibri"/>
        <family val="2"/>
        <scheme val="minor"/>
      </rPr>
      <t>HMETO</t>
    </r>
    <r>
      <rPr>
        <sz val="11"/>
        <color indexed="8"/>
        <rFont val="Calibri"/>
        <family val="2"/>
      </rPr>
      <t/>
    </r>
  </si>
  <si>
    <r>
      <t>q</t>
    </r>
    <r>
      <rPr>
        <vertAlign val="subscript"/>
        <sz val="11"/>
        <color indexed="8"/>
        <rFont val="Calibri"/>
        <family val="2"/>
        <scheme val="minor"/>
      </rPr>
      <t>FLOC</t>
    </r>
  </si>
  <si>
    <r>
      <t>q</t>
    </r>
    <r>
      <rPr>
        <vertAlign val="subscript"/>
        <sz val="11"/>
        <color indexed="8"/>
        <rFont val="Calibri"/>
        <family val="2"/>
        <scheme val="minor"/>
      </rPr>
      <t>AMMON</t>
    </r>
  </si>
  <si>
    <r>
      <t>q</t>
    </r>
    <r>
      <rPr>
        <vertAlign val="subscript"/>
        <sz val="11"/>
        <color indexed="8"/>
        <rFont val="Calibri"/>
        <family val="2"/>
        <scheme val="minor"/>
      </rPr>
      <t>ASSIM</t>
    </r>
  </si>
  <si>
    <r>
      <rPr>
        <sz val="11"/>
        <color indexed="8"/>
        <rFont val="Calibri"/>
        <family val="2"/>
        <scheme val="minor"/>
      </rPr>
      <t>θ</t>
    </r>
    <r>
      <rPr>
        <vertAlign val="subscript"/>
        <sz val="11"/>
        <color indexed="8"/>
        <rFont val="Calibri"/>
        <family val="2"/>
        <scheme val="minor"/>
      </rPr>
      <t>µ,OHO</t>
    </r>
  </si>
  <si>
    <r>
      <t>θ</t>
    </r>
    <r>
      <rPr>
        <vertAlign val="subscript"/>
        <sz val="11"/>
        <color indexed="8"/>
        <rFont val="Calibri"/>
        <family val="2"/>
        <scheme val="minor"/>
      </rPr>
      <t>FERM,OHO</t>
    </r>
  </si>
  <si>
    <r>
      <t>θ</t>
    </r>
    <r>
      <rPr>
        <vertAlign val="subscript"/>
        <sz val="11"/>
        <color indexed="8"/>
        <rFont val="Calibri"/>
        <family val="2"/>
        <scheme val="minor"/>
      </rPr>
      <t>b,OHO</t>
    </r>
  </si>
  <si>
    <r>
      <t>θ</t>
    </r>
    <r>
      <rPr>
        <vertAlign val="subscript"/>
        <sz val="11"/>
        <color indexed="8"/>
        <rFont val="Calibri"/>
        <family val="2"/>
        <scheme val="minor"/>
      </rPr>
      <t>µ,MEOLO</t>
    </r>
  </si>
  <si>
    <r>
      <t>θ</t>
    </r>
    <r>
      <rPr>
        <vertAlign val="subscript"/>
        <sz val="11"/>
        <color indexed="8"/>
        <rFont val="Calibri"/>
        <family val="2"/>
        <scheme val="minor"/>
      </rPr>
      <t>b,MEOLO</t>
    </r>
  </si>
  <si>
    <r>
      <t>θ</t>
    </r>
    <r>
      <rPr>
        <vertAlign val="subscript"/>
        <sz val="11"/>
        <color indexed="8"/>
        <rFont val="Calibri"/>
        <family val="2"/>
        <scheme val="minor"/>
      </rPr>
      <t>q,PAO,PHA</t>
    </r>
  </si>
  <si>
    <r>
      <t>θ</t>
    </r>
    <r>
      <rPr>
        <vertAlign val="subscript"/>
        <sz val="11"/>
        <color indexed="8"/>
        <rFont val="Calibri"/>
        <family val="2"/>
        <scheme val="minor"/>
      </rPr>
      <t>µ,AMETO</t>
    </r>
  </si>
  <si>
    <r>
      <t>θ</t>
    </r>
    <r>
      <rPr>
        <vertAlign val="subscript"/>
        <sz val="11"/>
        <color indexed="8"/>
        <rFont val="Calibri"/>
        <family val="2"/>
        <scheme val="minor"/>
      </rPr>
      <t>b,AMETO</t>
    </r>
  </si>
  <si>
    <r>
      <t>θ</t>
    </r>
    <r>
      <rPr>
        <vertAlign val="subscript"/>
        <sz val="11"/>
        <color indexed="8"/>
        <rFont val="Calibri"/>
        <family val="2"/>
        <scheme val="minor"/>
      </rPr>
      <t>µ,HMETO</t>
    </r>
  </si>
  <si>
    <r>
      <t>θ</t>
    </r>
    <r>
      <rPr>
        <vertAlign val="subscript"/>
        <sz val="11"/>
        <color indexed="8"/>
        <rFont val="Calibri"/>
        <family val="2"/>
        <scheme val="minor"/>
      </rPr>
      <t>b,HMETO</t>
    </r>
  </si>
  <si>
    <r>
      <t>θ</t>
    </r>
    <r>
      <rPr>
        <vertAlign val="subscript"/>
        <sz val="11"/>
        <color indexed="8"/>
        <rFont val="Calibri"/>
        <family val="2"/>
        <scheme val="minor"/>
      </rPr>
      <t>q,FLOC</t>
    </r>
  </si>
  <si>
    <r>
      <t>θ</t>
    </r>
    <r>
      <rPr>
        <vertAlign val="subscript"/>
        <sz val="11"/>
        <color indexed="8"/>
        <rFont val="Calibri"/>
        <family val="2"/>
        <scheme val="minor"/>
      </rPr>
      <t>q,HYD</t>
    </r>
  </si>
  <si>
    <r>
      <t>θ</t>
    </r>
    <r>
      <rPr>
        <vertAlign val="subscript"/>
        <sz val="11"/>
        <color indexed="8"/>
        <rFont val="Calibri"/>
        <family val="2"/>
        <scheme val="minor"/>
      </rPr>
      <t>q,AMMON</t>
    </r>
  </si>
  <si>
    <r>
      <t>θ</t>
    </r>
    <r>
      <rPr>
        <vertAlign val="subscript"/>
        <sz val="11"/>
        <color indexed="8"/>
        <rFont val="Calibri"/>
        <family val="2"/>
        <scheme val="minor"/>
      </rPr>
      <t>q,ASSIM</t>
    </r>
  </si>
  <si>
    <r>
      <t>Y</t>
    </r>
    <r>
      <rPr>
        <vertAlign val="subscript"/>
        <sz val="11"/>
        <rFont val="Calibri"/>
        <family val="2"/>
        <scheme val="minor"/>
      </rPr>
      <t>MEOLO</t>
    </r>
  </si>
  <si>
    <r>
      <t>Y</t>
    </r>
    <r>
      <rPr>
        <vertAlign val="subscript"/>
        <sz val="11"/>
        <rFont val="Calibri"/>
        <family val="2"/>
        <scheme val="minor"/>
      </rPr>
      <t>HMETO</t>
    </r>
  </si>
  <si>
    <r>
      <t>Y</t>
    </r>
    <r>
      <rPr>
        <vertAlign val="subscript"/>
        <sz val="11"/>
        <rFont val="Calibri"/>
        <family val="2"/>
        <scheme val="minor"/>
      </rPr>
      <t>AMETO</t>
    </r>
  </si>
  <si>
    <r>
      <t>f</t>
    </r>
    <r>
      <rPr>
        <vertAlign val="subscript"/>
        <sz val="11"/>
        <rFont val="Calibri"/>
        <family val="2"/>
        <scheme val="minor"/>
      </rPr>
      <t>E</t>
    </r>
  </si>
  <si>
    <r>
      <t>i</t>
    </r>
    <r>
      <rPr>
        <vertAlign val="subscript"/>
        <sz val="11"/>
        <rFont val="Calibri"/>
        <family val="2"/>
        <scheme val="minor"/>
      </rPr>
      <t>N,BIO</t>
    </r>
  </si>
  <si>
    <r>
      <t>i</t>
    </r>
    <r>
      <rPr>
        <vertAlign val="subscript"/>
        <sz val="11"/>
        <rFont val="Calibri"/>
        <family val="2"/>
        <scheme val="minor"/>
      </rPr>
      <t>P,BIO</t>
    </r>
  </si>
  <si>
    <r>
      <t>i</t>
    </r>
    <r>
      <rPr>
        <vertAlign val="subscript"/>
        <sz val="11"/>
        <rFont val="Calibri"/>
        <family val="2"/>
        <scheme val="minor"/>
      </rPr>
      <t>CV,BIO</t>
    </r>
  </si>
  <si>
    <r>
      <t>i</t>
    </r>
    <r>
      <rPr>
        <vertAlign val="subscript"/>
        <sz val="11"/>
        <rFont val="Calibri"/>
        <family val="2"/>
        <scheme val="minor"/>
      </rPr>
      <t>CV,PHA</t>
    </r>
  </si>
  <si>
    <r>
      <t>i</t>
    </r>
    <r>
      <rPr>
        <vertAlign val="subscript"/>
        <sz val="11"/>
        <rFont val="Calibri"/>
        <family val="2"/>
        <scheme val="minor"/>
      </rPr>
      <t>P,XSTR</t>
    </r>
  </si>
  <si>
    <r>
      <t>f</t>
    </r>
    <r>
      <rPr>
        <vertAlign val="subscript"/>
        <sz val="11"/>
        <rFont val="Calibri"/>
        <family val="2"/>
        <scheme val="minor"/>
      </rPr>
      <t>P,VFA</t>
    </r>
  </si>
  <si>
    <r>
      <t>i</t>
    </r>
    <r>
      <rPr>
        <vertAlign val="subscript"/>
        <sz val="11"/>
        <rFont val="Calibri"/>
        <family val="2"/>
        <scheme val="minor"/>
      </rPr>
      <t>TSS,PP</t>
    </r>
  </si>
  <si>
    <t>Active site factor for HFO,H</t>
  </si>
  <si>
    <t>Active site factor for HFO,L</t>
  </si>
  <si>
    <r>
      <t>K</t>
    </r>
    <r>
      <rPr>
        <vertAlign val="subscript"/>
        <sz val="11"/>
        <rFont val="Calibri"/>
        <family val="2"/>
        <scheme val="minor"/>
      </rPr>
      <t>NHx,BIO</t>
    </r>
  </si>
  <si>
    <r>
      <t>g N.m</t>
    </r>
    <r>
      <rPr>
        <vertAlign val="superscript"/>
        <sz val="11"/>
        <rFont val="Calibri"/>
        <family val="2"/>
        <scheme val="minor"/>
      </rPr>
      <t>-3</t>
    </r>
  </si>
  <si>
    <r>
      <t>K</t>
    </r>
    <r>
      <rPr>
        <vertAlign val="subscript"/>
        <sz val="11"/>
        <rFont val="Calibri"/>
        <family val="2"/>
        <scheme val="minor"/>
      </rPr>
      <t>PO4,BIO</t>
    </r>
  </si>
  <si>
    <r>
      <t>g P.m</t>
    </r>
    <r>
      <rPr>
        <vertAlign val="superscript"/>
        <sz val="11"/>
        <rFont val="Calibri"/>
        <family val="2"/>
        <scheme val="minor"/>
      </rPr>
      <t>-3</t>
    </r>
  </si>
  <si>
    <r>
      <t>K</t>
    </r>
    <r>
      <rPr>
        <vertAlign val="subscript"/>
        <sz val="11"/>
        <rFont val="Calibri"/>
        <family val="2"/>
        <scheme val="minor"/>
      </rPr>
      <t>CAT</t>
    </r>
  </si>
  <si>
    <r>
      <t>K</t>
    </r>
    <r>
      <rPr>
        <vertAlign val="subscript"/>
        <sz val="11"/>
        <rFont val="Calibri"/>
        <family val="2"/>
        <scheme val="minor"/>
      </rPr>
      <t>AN</t>
    </r>
  </si>
  <si>
    <r>
      <t>C</t>
    </r>
    <r>
      <rPr>
        <vertAlign val="superscript"/>
        <sz val="11"/>
        <rFont val="Calibri"/>
        <family val="2"/>
        <scheme val="minor"/>
      </rPr>
      <t>o</t>
    </r>
  </si>
  <si>
    <r>
      <t>T</t>
    </r>
    <r>
      <rPr>
        <vertAlign val="subscript"/>
        <sz val="11"/>
        <rFont val="Calibri"/>
        <family val="2"/>
        <scheme val="minor"/>
      </rPr>
      <t>base</t>
    </r>
  </si>
  <si>
    <t>Saturation/inhibition terms</t>
  </si>
  <si>
    <r>
      <t>Msat</t>
    </r>
    <r>
      <rPr>
        <vertAlign val="subscript"/>
        <sz val="11"/>
        <rFont val="Calibri"/>
        <family val="2"/>
        <scheme val="minor"/>
      </rPr>
      <t>SVFA,KVFA</t>
    </r>
  </si>
  <si>
    <r>
      <t>Msat(S</t>
    </r>
    <r>
      <rPr>
        <vertAlign val="subscript"/>
        <sz val="11"/>
        <rFont val="Calibri"/>
        <family val="2"/>
        <scheme val="minor"/>
      </rPr>
      <t>VFA</t>
    </r>
    <r>
      <rPr>
        <sz val="11"/>
        <rFont val="Calibri"/>
        <family val="2"/>
        <scheme val="minor"/>
      </rPr>
      <t>;K</t>
    </r>
    <r>
      <rPr>
        <vertAlign val="subscript"/>
        <sz val="11"/>
        <rFont val="Calibri"/>
        <family val="2"/>
        <scheme val="minor"/>
      </rPr>
      <t>VFA</t>
    </r>
    <r>
      <rPr>
        <sz val="11"/>
        <rFont val="Calibri"/>
        <family val="2"/>
        <scheme val="minor"/>
      </rPr>
      <t>)</t>
    </r>
  </si>
  <si>
    <r>
      <t>[HPO</t>
    </r>
    <r>
      <rPr>
        <vertAlign val="subscript"/>
        <sz val="11"/>
        <rFont val="Calibri"/>
        <family val="2"/>
        <scheme val="minor"/>
      </rPr>
      <t>4</t>
    </r>
    <r>
      <rPr>
        <vertAlign val="superscript"/>
        <sz val="11"/>
        <rFont val="Calibri"/>
        <family val="2"/>
        <scheme val="minor"/>
      </rPr>
      <t>2-</t>
    </r>
    <r>
      <rPr>
        <sz val="11"/>
        <rFont val="Calibri"/>
        <family val="2"/>
        <scheme val="minor"/>
      </rPr>
      <t>]</t>
    </r>
    <r>
      <rPr>
        <vertAlign val="subscript"/>
        <sz val="11"/>
        <rFont val="Calibri"/>
        <family val="2"/>
        <scheme val="minor"/>
      </rPr>
      <t>eq</t>
    </r>
  </si>
  <si>
    <t>Hydrogen phosphate molar concentration in equivalence point</t>
  </si>
  <si>
    <r>
      <t>[H</t>
    </r>
    <r>
      <rPr>
        <vertAlign val="subscript"/>
        <sz val="11"/>
        <rFont val="Calibri"/>
        <family val="2"/>
        <scheme val="minor"/>
      </rPr>
      <t>2</t>
    </r>
    <r>
      <rPr>
        <sz val="11"/>
        <rFont val="Calibri"/>
        <family val="2"/>
        <scheme val="minor"/>
      </rPr>
      <t>PO</t>
    </r>
    <r>
      <rPr>
        <vertAlign val="subscript"/>
        <sz val="11"/>
        <rFont val="Calibri"/>
        <family val="2"/>
        <scheme val="minor"/>
      </rPr>
      <t>4</t>
    </r>
    <r>
      <rPr>
        <vertAlign val="superscript"/>
        <sz val="11"/>
        <rFont val="Calibri"/>
        <family val="2"/>
        <scheme val="minor"/>
      </rPr>
      <t>-</t>
    </r>
    <r>
      <rPr>
        <sz val="11"/>
        <rFont val="Calibri"/>
        <family val="2"/>
        <scheme val="minor"/>
      </rPr>
      <t>]</t>
    </r>
    <r>
      <rPr>
        <vertAlign val="subscript"/>
        <sz val="11"/>
        <rFont val="Calibri"/>
        <family val="2"/>
        <scheme val="minor"/>
      </rPr>
      <t>eq</t>
    </r>
  </si>
  <si>
    <t>Dihydrogen phosphate molar concentration in equivalence point</t>
  </si>
  <si>
    <r>
      <t>[Ac</t>
    </r>
    <r>
      <rPr>
        <vertAlign val="superscript"/>
        <sz val="11"/>
        <rFont val="Calibri"/>
        <family val="2"/>
        <scheme val="minor"/>
      </rPr>
      <t>-</t>
    </r>
    <r>
      <rPr>
        <sz val="11"/>
        <rFont val="Calibri"/>
        <family val="2"/>
        <scheme val="minor"/>
      </rPr>
      <t>]</t>
    </r>
    <r>
      <rPr>
        <vertAlign val="subscript"/>
        <sz val="11"/>
        <rFont val="Calibri"/>
        <family val="2"/>
        <scheme val="minor"/>
      </rPr>
      <t>eq</t>
    </r>
  </si>
  <si>
    <t>Acetate molar concentration in equivalence point</t>
  </si>
  <si>
    <t>Coefficients for alkalinity calculation</t>
  </si>
  <si>
    <r>
      <t>[H</t>
    </r>
    <r>
      <rPr>
        <vertAlign val="superscript"/>
        <sz val="11"/>
        <rFont val="Calibri"/>
        <family val="2"/>
        <scheme val="minor"/>
      </rPr>
      <t>+</t>
    </r>
    <r>
      <rPr>
        <sz val="11"/>
        <rFont val="Calibri"/>
        <family val="2"/>
        <scheme val="minor"/>
      </rPr>
      <t>]</t>
    </r>
    <r>
      <rPr>
        <vertAlign val="subscript"/>
        <sz val="11"/>
        <rFont val="Calibri"/>
        <family val="2"/>
        <scheme val="minor"/>
      </rPr>
      <t>eq</t>
    </r>
  </si>
  <si>
    <t>Hydrogen ion concentration in equivalence point</t>
  </si>
  <si>
    <t>CH3COOH -&gt; CH4+CO2</t>
  </si>
  <si>
    <t>Davies correction coefficient</t>
  </si>
  <si>
    <t>1-(T-3.9863)^2*(T+288.9414)/(508929.2*(T+68.12963))+0.011445*Exp(-374.3/T)</t>
  </si>
  <si>
    <t>ε</t>
  </si>
  <si>
    <r>
      <t>A</t>
    </r>
    <r>
      <rPr>
        <vertAlign val="subscript"/>
        <sz val="11"/>
        <rFont val="Calibri"/>
        <family val="2"/>
        <scheme val="minor"/>
      </rPr>
      <t>Davies</t>
    </r>
  </si>
  <si>
    <t>ρ</t>
  </si>
  <si>
    <t>http://webbook.nist.gov/cgi/cbook.cgi?ID=C124389&amp;Mask=10</t>
  </si>
  <si>
    <t>http://webbook.nist.gov/cgi/cbook.cgi?ID=C10102439&amp;Mask=10</t>
  </si>
  <si>
    <t>http://webbook.nist.gov/cgi/cbook.cgi?ID=C10024972&amp;Mask=10</t>
  </si>
  <si>
    <t>http://webbook.nist.gov/cgi/cbook.cgi?ID=C7727379&amp;Mask=10</t>
  </si>
  <si>
    <r>
      <t>c</t>
    </r>
    <r>
      <rPr>
        <vertAlign val="subscript"/>
        <sz val="11"/>
        <rFont val="Calibri"/>
        <family val="2"/>
        <scheme val="minor"/>
      </rPr>
      <t>p,water</t>
    </r>
  </si>
  <si>
    <t>Heat capacity of water at standard temperature (25°C)</t>
  </si>
  <si>
    <r>
      <t>K</t>
    </r>
    <r>
      <rPr>
        <vertAlign val="subscript"/>
        <sz val="11"/>
        <rFont val="Calibri"/>
        <family val="2"/>
        <scheme val="minor"/>
      </rPr>
      <t>W,param</t>
    </r>
  </si>
  <si>
    <r>
      <t>K</t>
    </r>
    <r>
      <rPr>
        <vertAlign val="subscript"/>
        <sz val="11"/>
        <rFont val="Calibri"/>
        <family val="2"/>
        <scheme val="minor"/>
      </rPr>
      <t>C1,param</t>
    </r>
  </si>
  <si>
    <r>
      <t>K</t>
    </r>
    <r>
      <rPr>
        <vertAlign val="subscript"/>
        <sz val="11"/>
        <rFont val="Calibri"/>
        <family val="2"/>
        <scheme val="minor"/>
      </rPr>
      <t>C2,param</t>
    </r>
  </si>
  <si>
    <r>
      <t>K</t>
    </r>
    <r>
      <rPr>
        <vertAlign val="subscript"/>
        <sz val="11"/>
        <rFont val="Calibri"/>
        <family val="2"/>
        <scheme val="minor"/>
      </rPr>
      <t>P1,param</t>
    </r>
  </si>
  <si>
    <r>
      <t>K</t>
    </r>
    <r>
      <rPr>
        <vertAlign val="subscript"/>
        <sz val="11"/>
        <rFont val="Calibri"/>
        <family val="2"/>
        <scheme val="minor"/>
      </rPr>
      <t>P2,param</t>
    </r>
  </si>
  <si>
    <r>
      <t>K</t>
    </r>
    <r>
      <rPr>
        <vertAlign val="subscript"/>
        <sz val="11"/>
        <rFont val="Calibri"/>
        <family val="2"/>
        <scheme val="minor"/>
      </rPr>
      <t>P3,param</t>
    </r>
  </si>
  <si>
    <t>IS coefficients</t>
  </si>
  <si>
    <r>
      <t>f</t>
    </r>
    <r>
      <rPr>
        <vertAlign val="subscript"/>
        <sz val="11"/>
        <rFont val="Calibri"/>
        <family val="2"/>
        <scheme val="minor"/>
      </rPr>
      <t>mono,IS,cat</t>
    </r>
  </si>
  <si>
    <t>Coefficient for ionic strength calculation for monovalent cations</t>
  </si>
  <si>
    <r>
      <t>f</t>
    </r>
    <r>
      <rPr>
        <vertAlign val="subscript"/>
        <sz val="11"/>
        <rFont val="Calibri"/>
        <family val="2"/>
        <scheme val="minor"/>
      </rPr>
      <t>mono,IS,an</t>
    </r>
  </si>
  <si>
    <t>Coefficient for ionic strength calculation for monovalent anions</t>
  </si>
  <si>
    <r>
      <t>f</t>
    </r>
    <r>
      <rPr>
        <vertAlign val="subscript"/>
        <sz val="11"/>
        <rFont val="Calibri"/>
        <family val="2"/>
        <scheme val="minor"/>
      </rPr>
      <t>di,IS,cat</t>
    </r>
  </si>
  <si>
    <t>Coefficient for ionic strength calculation for divalent cations</t>
  </si>
  <si>
    <r>
      <t>f</t>
    </r>
    <r>
      <rPr>
        <vertAlign val="subscript"/>
        <sz val="11"/>
        <rFont val="Calibri"/>
        <family val="2"/>
        <scheme val="minor"/>
      </rPr>
      <t>di,IS,an</t>
    </r>
  </si>
  <si>
    <t>Coefficient for ionic strength calculation for divalent anions</t>
  </si>
  <si>
    <r>
      <t>f</t>
    </r>
    <r>
      <rPr>
        <vertAlign val="subscript"/>
        <sz val="11"/>
        <rFont val="Calibri"/>
        <family val="2"/>
        <scheme val="minor"/>
      </rPr>
      <t>tri,IS,cat</t>
    </r>
  </si>
  <si>
    <t>Coefficient for ionic strength calculation for trivalent cations</t>
  </si>
  <si>
    <r>
      <t>f</t>
    </r>
    <r>
      <rPr>
        <vertAlign val="subscript"/>
        <sz val="11"/>
        <rFont val="Calibri"/>
        <family val="2"/>
        <scheme val="minor"/>
      </rPr>
      <t>tri,IS,an</t>
    </r>
  </si>
  <si>
    <t>Coefficient for ionic strength calculation for trivalent anions</t>
  </si>
  <si>
    <t>Unit conversion coefficients</t>
  </si>
  <si>
    <r>
      <t>c</t>
    </r>
    <r>
      <rPr>
        <vertAlign val="subscript"/>
        <sz val="11"/>
        <rFont val="Calibri"/>
        <family val="2"/>
        <scheme val="minor"/>
      </rPr>
      <t>ppm,Vconc</t>
    </r>
  </si>
  <si>
    <t>Conversion coefficient between ppm and volumetric concentration</t>
  </si>
  <si>
    <r>
      <t>c</t>
    </r>
    <r>
      <rPr>
        <vertAlign val="subscript"/>
        <sz val="11"/>
        <rFont val="Calibri"/>
        <family val="2"/>
        <scheme val="minor"/>
      </rPr>
      <t>s,d</t>
    </r>
  </si>
  <si>
    <r>
      <t>c</t>
    </r>
    <r>
      <rPr>
        <vertAlign val="subscript"/>
        <sz val="11"/>
        <rFont val="Calibri"/>
        <family val="2"/>
        <scheme val="minor"/>
      </rPr>
      <t>mg,g</t>
    </r>
  </si>
  <si>
    <t>Conversion coefficient between milligrams and grams</t>
  </si>
  <si>
    <r>
      <t>c</t>
    </r>
    <r>
      <rPr>
        <vertAlign val="subscript"/>
        <sz val="11"/>
        <rFont val="Calibri"/>
        <family val="2"/>
        <scheme val="minor"/>
      </rPr>
      <t>L,m3</t>
    </r>
  </si>
  <si>
    <r>
      <t>2727.586+0.6224107*T</t>
    </r>
    <r>
      <rPr>
        <vertAlign val="subscript"/>
        <sz val="11"/>
        <rFont val="Calibri"/>
        <family val="2"/>
        <scheme val="minor"/>
      </rPr>
      <t>K</t>
    </r>
    <r>
      <rPr>
        <sz val="11"/>
        <rFont val="Calibri"/>
        <family val="2"/>
        <scheme val="minor"/>
      </rPr>
      <t>-466.9151*Ln( T</t>
    </r>
    <r>
      <rPr>
        <vertAlign val="subscript"/>
        <sz val="11"/>
        <rFont val="Calibri"/>
        <family val="2"/>
        <scheme val="minor"/>
      </rPr>
      <t xml:space="preserve">K </t>
    </r>
    <r>
      <rPr>
        <sz val="11"/>
        <rFont val="Calibri"/>
        <family val="2"/>
        <scheme val="minor"/>
      </rPr>
      <t>)-(52000.87/T</t>
    </r>
    <r>
      <rPr>
        <vertAlign val="subscript"/>
        <sz val="11"/>
        <rFont val="Calibri"/>
        <family val="2"/>
        <scheme val="minor"/>
      </rPr>
      <t>K</t>
    </r>
    <r>
      <rPr>
        <sz val="11"/>
        <rFont val="Calibri"/>
        <family val="2"/>
        <scheme val="minor"/>
      </rPr>
      <t>)</t>
    </r>
  </si>
  <si>
    <r>
      <t>S</t>
    </r>
    <r>
      <rPr>
        <vertAlign val="subscript"/>
        <sz val="11"/>
        <rFont val="Calibri"/>
        <family val="2"/>
        <scheme val="minor"/>
      </rPr>
      <t>COD</t>
    </r>
    <r>
      <rPr>
        <sz val="11"/>
        <rFont val="Calibri"/>
        <family val="2"/>
        <scheme val="minor"/>
      </rPr>
      <t xml:space="preserve"> + C</t>
    </r>
    <r>
      <rPr>
        <vertAlign val="subscript"/>
        <sz val="11"/>
        <rFont val="Calibri"/>
        <family val="2"/>
        <scheme val="minor"/>
      </rPr>
      <t xml:space="preserve">B </t>
    </r>
    <r>
      <rPr>
        <sz val="11"/>
        <rFont val="Calibri"/>
        <family val="2"/>
        <scheme val="minor"/>
      </rPr>
      <t>+C</t>
    </r>
    <r>
      <rPr>
        <vertAlign val="subscript"/>
        <sz val="11"/>
        <rFont val="Calibri"/>
        <family val="2"/>
        <scheme val="minor"/>
      </rPr>
      <t>U</t>
    </r>
  </si>
  <si>
    <t>Dissociation constants - temperature corrected</t>
  </si>
  <si>
    <r>
      <t>K</t>
    </r>
    <r>
      <rPr>
        <vertAlign val="subscript"/>
        <sz val="11"/>
        <rFont val="Calibri"/>
        <family val="2"/>
        <scheme val="minor"/>
      </rPr>
      <t>W,T</t>
    </r>
  </si>
  <si>
    <r>
      <t>K</t>
    </r>
    <r>
      <rPr>
        <vertAlign val="subscript"/>
        <sz val="11"/>
        <rFont val="Calibri"/>
        <family val="2"/>
        <scheme val="minor"/>
      </rPr>
      <t>C1,T</t>
    </r>
  </si>
  <si>
    <r>
      <t>K</t>
    </r>
    <r>
      <rPr>
        <vertAlign val="subscript"/>
        <sz val="11"/>
        <rFont val="Calibri"/>
        <family val="2"/>
        <scheme val="minor"/>
      </rPr>
      <t>C2,T</t>
    </r>
  </si>
  <si>
    <r>
      <t>K</t>
    </r>
    <r>
      <rPr>
        <vertAlign val="subscript"/>
        <sz val="11"/>
        <rFont val="Calibri"/>
        <family val="2"/>
        <scheme val="minor"/>
      </rPr>
      <t>P1,T</t>
    </r>
  </si>
  <si>
    <r>
      <t>K</t>
    </r>
    <r>
      <rPr>
        <vertAlign val="subscript"/>
        <sz val="11"/>
        <rFont val="Calibri"/>
        <family val="2"/>
        <scheme val="minor"/>
      </rPr>
      <t>P2,T</t>
    </r>
  </si>
  <si>
    <r>
      <t>K</t>
    </r>
    <r>
      <rPr>
        <vertAlign val="subscript"/>
        <sz val="11"/>
        <rFont val="Calibri"/>
        <family val="2"/>
        <scheme val="minor"/>
      </rPr>
      <t>P3,T</t>
    </r>
  </si>
  <si>
    <r>
      <t>K</t>
    </r>
    <r>
      <rPr>
        <vertAlign val="subscript"/>
        <sz val="11"/>
        <rFont val="Calibri"/>
        <family val="2"/>
        <scheme val="minor"/>
      </rPr>
      <t>W,T</t>
    </r>
    <r>
      <rPr>
        <sz val="11"/>
        <rFont val="Calibri"/>
        <family val="2"/>
        <scheme val="minor"/>
      </rPr>
      <t>/f</t>
    </r>
    <r>
      <rPr>
        <vertAlign val="subscript"/>
        <sz val="11"/>
        <rFont val="Calibri"/>
        <family val="2"/>
        <scheme val="minor"/>
      </rPr>
      <t>mono</t>
    </r>
    <r>
      <rPr>
        <sz val="11"/>
        <rFont val="Calibri"/>
        <family val="2"/>
        <scheme val="minor"/>
      </rPr>
      <t>^2</t>
    </r>
  </si>
  <si>
    <r>
      <t>K</t>
    </r>
    <r>
      <rPr>
        <vertAlign val="subscript"/>
        <sz val="11"/>
        <rFont val="Calibri"/>
        <family val="2"/>
        <scheme val="minor"/>
      </rPr>
      <t>C1,T</t>
    </r>
    <r>
      <rPr>
        <sz val="11"/>
        <rFont val="Calibri"/>
        <family val="2"/>
        <scheme val="minor"/>
      </rPr>
      <t>/f</t>
    </r>
    <r>
      <rPr>
        <vertAlign val="subscript"/>
        <sz val="11"/>
        <rFont val="Calibri"/>
        <family val="2"/>
        <scheme val="minor"/>
      </rPr>
      <t>mono</t>
    </r>
    <r>
      <rPr>
        <sz val="11"/>
        <rFont val="Calibri"/>
        <family val="2"/>
        <scheme val="minor"/>
      </rPr>
      <t>^2</t>
    </r>
  </si>
  <si>
    <r>
      <t>K</t>
    </r>
    <r>
      <rPr>
        <vertAlign val="subscript"/>
        <sz val="11"/>
        <rFont val="Calibri"/>
        <family val="2"/>
        <scheme val="minor"/>
      </rPr>
      <t>C2,T</t>
    </r>
    <r>
      <rPr>
        <sz val="11"/>
        <rFont val="Calibri"/>
        <family val="2"/>
        <scheme val="minor"/>
      </rPr>
      <t>/f</t>
    </r>
    <r>
      <rPr>
        <vertAlign val="subscript"/>
        <sz val="11"/>
        <rFont val="Calibri"/>
        <family val="2"/>
        <scheme val="minor"/>
      </rPr>
      <t>di</t>
    </r>
  </si>
  <si>
    <r>
      <t>K</t>
    </r>
    <r>
      <rPr>
        <vertAlign val="subscript"/>
        <sz val="11"/>
        <rFont val="Calibri"/>
        <family val="2"/>
        <scheme val="minor"/>
      </rPr>
      <t>P1,T</t>
    </r>
    <r>
      <rPr>
        <sz val="11"/>
        <rFont val="Calibri"/>
        <family val="2"/>
        <scheme val="minor"/>
      </rPr>
      <t>/f</t>
    </r>
    <r>
      <rPr>
        <vertAlign val="subscript"/>
        <sz val="11"/>
        <rFont val="Calibri"/>
        <family val="2"/>
        <scheme val="minor"/>
      </rPr>
      <t>mono</t>
    </r>
    <r>
      <rPr>
        <sz val="11"/>
        <rFont val="Calibri"/>
        <family val="2"/>
        <scheme val="minor"/>
      </rPr>
      <t>^2</t>
    </r>
  </si>
  <si>
    <r>
      <t>K</t>
    </r>
    <r>
      <rPr>
        <vertAlign val="subscript"/>
        <sz val="11"/>
        <rFont val="Calibri"/>
        <family val="2"/>
        <scheme val="minor"/>
      </rPr>
      <t>P2,T</t>
    </r>
    <r>
      <rPr>
        <sz val="11"/>
        <rFont val="Calibri"/>
        <family val="2"/>
        <scheme val="minor"/>
      </rPr>
      <t>/f</t>
    </r>
    <r>
      <rPr>
        <vertAlign val="subscript"/>
        <sz val="11"/>
        <rFont val="Calibri"/>
        <family val="2"/>
        <scheme val="minor"/>
      </rPr>
      <t>di</t>
    </r>
  </si>
  <si>
    <r>
      <t>K</t>
    </r>
    <r>
      <rPr>
        <vertAlign val="subscript"/>
        <sz val="11"/>
        <rFont val="Calibri"/>
        <family val="2"/>
        <scheme val="minor"/>
      </rPr>
      <t>P3,T</t>
    </r>
    <r>
      <rPr>
        <sz val="11"/>
        <rFont val="Calibri"/>
        <family val="2"/>
        <scheme val="minor"/>
      </rPr>
      <t>/(f</t>
    </r>
    <r>
      <rPr>
        <vertAlign val="subscript"/>
        <sz val="11"/>
        <rFont val="Calibri"/>
        <family val="2"/>
        <scheme val="minor"/>
      </rPr>
      <t>mono</t>
    </r>
    <r>
      <rPr>
        <sz val="11"/>
        <rFont val="Calibri"/>
        <family val="2"/>
        <scheme val="minor"/>
      </rPr>
      <t>*f</t>
    </r>
    <r>
      <rPr>
        <vertAlign val="subscript"/>
        <sz val="11"/>
        <rFont val="Calibri"/>
        <family val="2"/>
        <scheme val="minor"/>
      </rPr>
      <t>tri</t>
    </r>
    <r>
      <rPr>
        <sz val="11"/>
        <rFont val="Calibri"/>
        <family val="2"/>
        <scheme val="minor"/>
      </rPr>
      <t>)*f</t>
    </r>
    <r>
      <rPr>
        <vertAlign val="subscript"/>
        <sz val="11"/>
        <rFont val="Calibri"/>
        <family val="2"/>
        <scheme val="minor"/>
      </rPr>
      <t>di</t>
    </r>
  </si>
  <si>
    <t>Standard enthalpy of formation of species</t>
  </si>
  <si>
    <t>Standard enthalpy of proton</t>
  </si>
  <si>
    <t>http://www.riverdell.org/cms/lib05/NJ01001380/Centricity/Domain/68/Thermodynamic_Values.pdf</t>
  </si>
  <si>
    <t>Standard enthalpy of oxonium ion</t>
  </si>
  <si>
    <t>http://www.vias.org/genchem/standard_enthalpies_table.html</t>
  </si>
  <si>
    <t>Standard enthalpy of hydroxil ion</t>
  </si>
  <si>
    <t>Standard enthalpy of free ammonia</t>
  </si>
  <si>
    <t>Standard enthalpy of ammonium</t>
  </si>
  <si>
    <t>Standard enthalpy of nitrous acid</t>
  </si>
  <si>
    <t>Standard enthalpy of nitrite</t>
  </si>
  <si>
    <t>Standard enthalpy of nitrate</t>
  </si>
  <si>
    <t>Standard enthalpy of carbonic acid</t>
  </si>
  <si>
    <t>Standard enthalpy of bicarbonate ion</t>
  </si>
  <si>
    <t>Standard enthalpy of carbonate ion</t>
  </si>
  <si>
    <t>Perry's Chemical Engineering Handbook, Chap. 2</t>
  </si>
  <si>
    <t>Standard enthalpy of dihydrogen phosphate ion</t>
  </si>
  <si>
    <t>http://bluedevilchem.com/honorshome/hch10/hch10docs/files/heatsformation.pdf</t>
  </si>
  <si>
    <t>Standard enthalpy of hydrogen phosphate ion</t>
  </si>
  <si>
    <t>Standard enthalpy of phosphate ion</t>
  </si>
  <si>
    <t>Standard enthalpy of acetic acid</t>
  </si>
  <si>
    <t>Standard enthalpy of acetate ion</t>
  </si>
  <si>
    <t>Standard enthalpy of formation of compounds</t>
  </si>
  <si>
    <r>
      <t>H</t>
    </r>
    <r>
      <rPr>
        <vertAlign val="subscript"/>
        <sz val="11"/>
        <rFont val="Calibri"/>
        <family val="2"/>
        <scheme val="minor"/>
      </rPr>
      <t>H2O</t>
    </r>
  </si>
  <si>
    <t>Standard enthalpy of formation of H2O (l)</t>
  </si>
  <si>
    <t>Perry's Chemical Engineering Handbook, 2-189</t>
  </si>
  <si>
    <t>Dissociation constants - activity corrected</t>
  </si>
  <si>
    <t>Stoichiometric yields</t>
  </si>
  <si>
    <t>Calcium</t>
  </si>
  <si>
    <r>
      <t>g Ca.m</t>
    </r>
    <r>
      <rPr>
        <vertAlign val="superscript"/>
        <sz val="11"/>
        <rFont val="Calibri"/>
        <family val="2"/>
      </rPr>
      <t>-3</t>
    </r>
  </si>
  <si>
    <t>Ca</t>
  </si>
  <si>
    <t>Mg</t>
  </si>
  <si>
    <r>
      <t>map</t>
    </r>
    <r>
      <rPr>
        <vertAlign val="subscript"/>
        <sz val="11"/>
        <rFont val="Calibri"/>
        <family val="2"/>
      </rPr>
      <t>Ca</t>
    </r>
  </si>
  <si>
    <r>
      <t>map</t>
    </r>
    <r>
      <rPr>
        <vertAlign val="subscript"/>
        <sz val="11"/>
        <rFont val="Calibri"/>
        <family val="2"/>
      </rPr>
      <t>Mg</t>
    </r>
  </si>
  <si>
    <t>Calcium fully dissociated</t>
  </si>
  <si>
    <t>Magnesium fully dissociated</t>
  </si>
  <si>
    <r>
      <t>S</t>
    </r>
    <r>
      <rPr>
        <vertAlign val="subscript"/>
        <sz val="11"/>
        <rFont val="Calibri"/>
        <family val="2"/>
      </rPr>
      <t>Ca</t>
    </r>
    <r>
      <rPr>
        <sz val="11"/>
        <rFont val="Calibri"/>
        <family val="2"/>
      </rPr>
      <t>/(AM</t>
    </r>
    <r>
      <rPr>
        <vertAlign val="subscript"/>
        <sz val="11"/>
        <rFont val="Calibri"/>
        <family val="2"/>
      </rPr>
      <t>Ca</t>
    </r>
    <r>
      <rPr>
        <sz val="11"/>
        <rFont val="Calibri"/>
        <family val="2"/>
      </rPr>
      <t>*1000)</t>
    </r>
  </si>
  <si>
    <r>
      <t>S</t>
    </r>
    <r>
      <rPr>
        <vertAlign val="subscript"/>
        <sz val="11"/>
        <rFont val="Calibri"/>
        <family val="2"/>
      </rPr>
      <t>Mg</t>
    </r>
    <r>
      <rPr>
        <sz val="11"/>
        <rFont val="Calibri"/>
        <family val="2"/>
      </rPr>
      <t>/(AM</t>
    </r>
    <r>
      <rPr>
        <vertAlign val="subscript"/>
        <sz val="11"/>
        <rFont val="Calibri"/>
        <family val="2"/>
      </rPr>
      <t>Mg</t>
    </r>
    <r>
      <rPr>
        <sz val="11"/>
        <rFont val="Calibri"/>
        <family val="2"/>
      </rPr>
      <t>*1000)</t>
    </r>
  </si>
  <si>
    <r>
      <t>[Ca</t>
    </r>
    <r>
      <rPr>
        <b/>
        <vertAlign val="superscript"/>
        <sz val="11"/>
        <rFont val="Calibri"/>
        <family val="2"/>
      </rPr>
      <t>2+</t>
    </r>
    <r>
      <rPr>
        <b/>
        <sz val="11"/>
        <rFont val="Calibri"/>
        <family val="2"/>
      </rPr>
      <t>]</t>
    </r>
  </si>
  <si>
    <r>
      <t>[Mg</t>
    </r>
    <r>
      <rPr>
        <b/>
        <vertAlign val="superscript"/>
        <sz val="11"/>
        <rFont val="Calibri"/>
        <family val="2"/>
      </rPr>
      <t>2+</t>
    </r>
    <r>
      <rPr>
        <b/>
        <sz val="11"/>
        <rFont val="Calibri"/>
        <family val="2"/>
      </rPr>
      <t>]</t>
    </r>
  </si>
  <si>
    <t>Calcium ion</t>
  </si>
  <si>
    <t>Magnesium ion</t>
  </si>
  <si>
    <r>
      <t>S</t>
    </r>
    <r>
      <rPr>
        <b/>
        <vertAlign val="subscript"/>
        <sz val="11"/>
        <rFont val="Calibri"/>
        <family val="2"/>
        <scheme val="minor"/>
      </rPr>
      <t>Ca</t>
    </r>
  </si>
  <si>
    <r>
      <t>X</t>
    </r>
    <r>
      <rPr>
        <b/>
        <vertAlign val="subscript"/>
        <sz val="11"/>
        <rFont val="Calibri"/>
        <family val="2"/>
        <scheme val="minor"/>
      </rPr>
      <t>CaCO3</t>
    </r>
  </si>
  <si>
    <r>
      <t>X</t>
    </r>
    <r>
      <rPr>
        <b/>
        <vertAlign val="subscript"/>
        <sz val="12"/>
        <rFont val="Calibri"/>
        <family val="2"/>
        <scheme val="minor"/>
      </rPr>
      <t>CaCO3</t>
    </r>
  </si>
  <si>
    <r>
      <t>i</t>
    </r>
    <r>
      <rPr>
        <vertAlign val="subscript"/>
        <sz val="11"/>
        <rFont val="Calibri"/>
        <family val="2"/>
        <scheme val="minor"/>
      </rPr>
      <t>Ca,PP</t>
    </r>
  </si>
  <si>
    <r>
      <t>i</t>
    </r>
    <r>
      <rPr>
        <vertAlign val="subscript"/>
        <sz val="11"/>
        <rFont val="Calibri"/>
        <family val="2"/>
        <scheme val="minor"/>
      </rPr>
      <t>Mg,PP</t>
    </r>
  </si>
  <si>
    <r>
      <t>Henry</t>
    </r>
    <r>
      <rPr>
        <vertAlign val="subscript"/>
        <sz val="11"/>
        <rFont val="Calibri"/>
        <family val="2"/>
        <scheme val="minor"/>
      </rPr>
      <t>GO2,25</t>
    </r>
  </si>
  <si>
    <r>
      <t>Henry</t>
    </r>
    <r>
      <rPr>
        <vertAlign val="subscript"/>
        <sz val="11"/>
        <rFont val="Calibri"/>
        <family val="2"/>
        <scheme val="minor"/>
      </rPr>
      <t>GO2,dt</t>
    </r>
  </si>
  <si>
    <r>
      <t>Henry</t>
    </r>
    <r>
      <rPr>
        <vertAlign val="subscript"/>
        <sz val="11"/>
        <rFont val="Calibri"/>
        <family val="2"/>
        <scheme val="minor"/>
      </rPr>
      <t>GCO2,25</t>
    </r>
  </si>
  <si>
    <r>
      <t>Henry</t>
    </r>
    <r>
      <rPr>
        <vertAlign val="subscript"/>
        <sz val="11"/>
        <rFont val="Calibri"/>
        <family val="2"/>
        <scheme val="minor"/>
      </rPr>
      <t>GCO2,dt</t>
    </r>
  </si>
  <si>
    <r>
      <t>Henry</t>
    </r>
    <r>
      <rPr>
        <vertAlign val="subscript"/>
        <sz val="11"/>
        <rFont val="Calibri"/>
        <family val="2"/>
        <scheme val="minor"/>
      </rPr>
      <t>GNO,25</t>
    </r>
  </si>
  <si>
    <r>
      <t>Henry</t>
    </r>
    <r>
      <rPr>
        <vertAlign val="subscript"/>
        <sz val="11"/>
        <rFont val="Calibri"/>
        <family val="2"/>
        <scheme val="minor"/>
      </rPr>
      <t>GNO,dt</t>
    </r>
  </si>
  <si>
    <r>
      <t>Henry</t>
    </r>
    <r>
      <rPr>
        <vertAlign val="subscript"/>
        <sz val="11"/>
        <rFont val="Calibri"/>
        <family val="2"/>
        <scheme val="minor"/>
      </rPr>
      <t>GN2O,25</t>
    </r>
  </si>
  <si>
    <r>
      <t>Henry</t>
    </r>
    <r>
      <rPr>
        <vertAlign val="subscript"/>
        <sz val="11"/>
        <rFont val="Calibri"/>
        <family val="2"/>
        <scheme val="minor"/>
      </rPr>
      <t>GN2O,dt</t>
    </r>
  </si>
  <si>
    <r>
      <t>Henry</t>
    </r>
    <r>
      <rPr>
        <vertAlign val="subscript"/>
        <sz val="11"/>
        <rFont val="Calibri"/>
        <family val="2"/>
        <scheme val="minor"/>
      </rPr>
      <t>GN2,25</t>
    </r>
  </si>
  <si>
    <r>
      <t>Henry</t>
    </r>
    <r>
      <rPr>
        <vertAlign val="subscript"/>
        <sz val="11"/>
        <rFont val="Calibri"/>
        <family val="2"/>
        <scheme val="minor"/>
      </rPr>
      <t>GN2,dt</t>
    </r>
  </si>
  <si>
    <r>
      <t>Henry</t>
    </r>
    <r>
      <rPr>
        <vertAlign val="subscript"/>
        <sz val="11"/>
        <rFont val="Calibri"/>
        <family val="2"/>
        <scheme val="minor"/>
      </rPr>
      <t>GH2,25</t>
    </r>
  </si>
  <si>
    <r>
      <t>Henry</t>
    </r>
    <r>
      <rPr>
        <vertAlign val="subscript"/>
        <sz val="11"/>
        <rFont val="Calibri"/>
        <family val="2"/>
        <scheme val="minor"/>
      </rPr>
      <t>GH2,dt</t>
    </r>
  </si>
  <si>
    <r>
      <t>Henry</t>
    </r>
    <r>
      <rPr>
        <vertAlign val="subscript"/>
        <sz val="11"/>
        <rFont val="Calibri"/>
        <family val="2"/>
        <scheme val="minor"/>
      </rPr>
      <t>GCH4,25</t>
    </r>
  </si>
  <si>
    <r>
      <t>Henry</t>
    </r>
    <r>
      <rPr>
        <vertAlign val="subscript"/>
        <sz val="11"/>
        <rFont val="Calibri"/>
        <family val="2"/>
        <scheme val="minor"/>
      </rPr>
      <t>GCH4,dt</t>
    </r>
  </si>
  <si>
    <r>
      <t>MM</t>
    </r>
    <r>
      <rPr>
        <vertAlign val="subscript"/>
        <sz val="11"/>
        <rFont val="Calibri"/>
        <family val="2"/>
        <scheme val="minor"/>
      </rPr>
      <t>NH4</t>
    </r>
  </si>
  <si>
    <r>
      <t>MM</t>
    </r>
    <r>
      <rPr>
        <vertAlign val="subscript"/>
        <sz val="11"/>
        <rFont val="Calibri"/>
        <family val="2"/>
        <scheme val="minor"/>
      </rPr>
      <t>NO2</t>
    </r>
  </si>
  <si>
    <r>
      <t>MM</t>
    </r>
    <r>
      <rPr>
        <vertAlign val="subscript"/>
        <sz val="11"/>
        <rFont val="Calibri"/>
        <family val="2"/>
        <scheme val="minor"/>
      </rPr>
      <t>NO3</t>
    </r>
  </si>
  <si>
    <r>
      <t>MM</t>
    </r>
    <r>
      <rPr>
        <vertAlign val="subscript"/>
        <sz val="11"/>
        <rFont val="Calibri"/>
        <family val="2"/>
        <scheme val="minor"/>
      </rPr>
      <t>CO3</t>
    </r>
  </si>
  <si>
    <t>Molecular mass of carbonate</t>
  </si>
  <si>
    <r>
      <t>MM</t>
    </r>
    <r>
      <rPr>
        <vertAlign val="subscript"/>
        <sz val="11"/>
        <rFont val="Calibri"/>
        <family val="2"/>
        <scheme val="minor"/>
      </rPr>
      <t>HCO3</t>
    </r>
  </si>
  <si>
    <t>Molecular mass of hydrogen carbonate</t>
  </si>
  <si>
    <r>
      <t>MM</t>
    </r>
    <r>
      <rPr>
        <vertAlign val="subscript"/>
        <sz val="11"/>
        <rFont val="Calibri"/>
        <family val="2"/>
        <scheme val="minor"/>
      </rPr>
      <t>H2CO3</t>
    </r>
  </si>
  <si>
    <t>Molecular mass of carbonic acid</t>
  </si>
  <si>
    <t>Molecular mass of sulfuric acid</t>
  </si>
  <si>
    <r>
      <t>MM</t>
    </r>
    <r>
      <rPr>
        <vertAlign val="subscript"/>
        <sz val="11"/>
        <rFont val="Calibri"/>
        <family val="2"/>
        <scheme val="minor"/>
      </rPr>
      <t>HCl</t>
    </r>
  </si>
  <si>
    <t>Molecular mass of hydrogen sulfide</t>
  </si>
  <si>
    <t>Molecular mass of calcium carbonate</t>
  </si>
  <si>
    <t>Molecular mass of struvite</t>
  </si>
  <si>
    <r>
      <t>MM</t>
    </r>
    <r>
      <rPr>
        <vertAlign val="subscript"/>
        <sz val="11"/>
        <rFont val="Calibri"/>
        <family val="2"/>
        <scheme val="minor"/>
      </rPr>
      <t>SiO2</t>
    </r>
  </si>
  <si>
    <t>Molecular mass of silica</t>
  </si>
  <si>
    <r>
      <t>EEQ</t>
    </r>
    <r>
      <rPr>
        <vertAlign val="subscript"/>
        <sz val="11"/>
        <rFont val="Calibri"/>
        <family val="2"/>
      </rPr>
      <t>NO2,NO3</t>
    </r>
  </si>
  <si>
    <r>
      <t>EEQ</t>
    </r>
    <r>
      <rPr>
        <vertAlign val="subscript"/>
        <sz val="11"/>
        <rFont val="Calibri"/>
        <family val="2"/>
      </rPr>
      <t>N2,NO2</t>
    </r>
  </si>
  <si>
    <r>
      <t>EEQ</t>
    </r>
    <r>
      <rPr>
        <vertAlign val="subscript"/>
        <sz val="11"/>
        <rFont val="Calibri"/>
        <family val="2"/>
      </rPr>
      <t>NO,NO2</t>
    </r>
  </si>
  <si>
    <r>
      <t>EEQ</t>
    </r>
    <r>
      <rPr>
        <vertAlign val="subscript"/>
        <sz val="11"/>
        <rFont val="Calibri"/>
        <family val="2"/>
      </rPr>
      <t>N2O,NO</t>
    </r>
  </si>
  <si>
    <r>
      <t>EEQ</t>
    </r>
    <r>
      <rPr>
        <vertAlign val="subscript"/>
        <sz val="11"/>
        <rFont val="Calibri"/>
        <family val="2"/>
      </rPr>
      <t>N2,N2O</t>
    </r>
  </si>
  <si>
    <r>
      <t>c</t>
    </r>
    <r>
      <rPr>
        <vertAlign val="subscript"/>
        <sz val="11"/>
        <rFont val="Calibri"/>
        <family val="2"/>
        <scheme val="minor"/>
      </rPr>
      <t>g,kg</t>
    </r>
  </si>
  <si>
    <t>Conversion coefficient between grams and kilograms</t>
  </si>
  <si>
    <r>
      <t>c</t>
    </r>
    <r>
      <rPr>
        <vertAlign val="subscript"/>
        <sz val="11"/>
        <rFont val="Calibri"/>
        <family val="2"/>
        <scheme val="minor"/>
      </rPr>
      <t>Pa,Hgmm</t>
    </r>
  </si>
  <si>
    <r>
      <t>c</t>
    </r>
    <r>
      <rPr>
        <vertAlign val="subscript"/>
        <sz val="11"/>
        <rFont val="Calibri"/>
        <family val="2"/>
        <scheme val="minor"/>
      </rPr>
      <t>Pa,bar</t>
    </r>
  </si>
  <si>
    <r>
      <t>c</t>
    </r>
    <r>
      <rPr>
        <vertAlign val="subscript"/>
        <sz val="11"/>
        <rFont val="Calibri"/>
        <family val="2"/>
        <scheme val="minor"/>
      </rPr>
      <t>cm2,m2</t>
    </r>
  </si>
  <si>
    <t>Maximum specific growth rate of HMETO</t>
  </si>
  <si>
    <r>
      <t>S</t>
    </r>
    <r>
      <rPr>
        <b/>
        <vertAlign val="subscript"/>
        <sz val="11"/>
        <rFont val="Calibri"/>
        <family val="2"/>
      </rPr>
      <t>K</t>
    </r>
  </si>
  <si>
    <t>Potassium</t>
  </si>
  <si>
    <r>
      <t>g Na.m</t>
    </r>
    <r>
      <rPr>
        <vertAlign val="superscript"/>
        <sz val="11"/>
        <rFont val="Calibri"/>
        <family val="2"/>
      </rPr>
      <t>-3</t>
    </r>
  </si>
  <si>
    <r>
      <t>g K.m</t>
    </r>
    <r>
      <rPr>
        <vertAlign val="superscript"/>
        <sz val="11"/>
        <rFont val="Calibri"/>
        <family val="2"/>
      </rPr>
      <t>-3</t>
    </r>
  </si>
  <si>
    <r>
      <t>g Cl.m</t>
    </r>
    <r>
      <rPr>
        <vertAlign val="superscript"/>
        <sz val="11"/>
        <rFont val="Calibri"/>
        <family val="2"/>
      </rPr>
      <t>-3</t>
    </r>
  </si>
  <si>
    <r>
      <t>G</t>
    </r>
    <r>
      <rPr>
        <b/>
        <vertAlign val="subscript"/>
        <sz val="11"/>
        <rFont val="Calibri"/>
        <family val="2"/>
        <charset val="238"/>
      </rPr>
      <t>NH3</t>
    </r>
  </si>
  <si>
    <t>Ferrous ion</t>
  </si>
  <si>
    <r>
      <t>G</t>
    </r>
    <r>
      <rPr>
        <b/>
        <vertAlign val="subscript"/>
        <sz val="11"/>
        <rFont val="Calibri"/>
        <family val="2"/>
      </rPr>
      <t>NH3</t>
    </r>
  </si>
  <si>
    <t>Sodium (strong cations)</t>
  </si>
  <si>
    <r>
      <t>[K</t>
    </r>
    <r>
      <rPr>
        <b/>
        <vertAlign val="superscript"/>
        <sz val="11"/>
        <rFont val="Calibri"/>
        <family val="2"/>
      </rPr>
      <t>+</t>
    </r>
    <r>
      <rPr>
        <b/>
        <sz val="11"/>
        <rFont val="Calibri"/>
        <family val="2"/>
      </rPr>
      <t>]</t>
    </r>
  </si>
  <si>
    <t>Chloride (strong anions)</t>
  </si>
  <si>
    <r>
      <t>[Fe</t>
    </r>
    <r>
      <rPr>
        <b/>
        <vertAlign val="superscript"/>
        <sz val="11"/>
        <rFont val="Calibri"/>
        <family val="2"/>
      </rPr>
      <t>2+</t>
    </r>
    <r>
      <rPr>
        <b/>
        <sz val="11"/>
        <rFont val="Calibri"/>
        <family val="2"/>
      </rPr>
      <t>]</t>
    </r>
  </si>
  <si>
    <r>
      <t>10^(-(2835.8/T</t>
    </r>
    <r>
      <rPr>
        <vertAlign val="subscript"/>
        <sz val="11"/>
        <rFont val="Calibri"/>
        <family val="2"/>
        <scheme val="minor"/>
      </rPr>
      <t>K</t>
    </r>
    <r>
      <rPr>
        <sz val="11"/>
        <rFont val="Calibri"/>
        <family val="2"/>
        <scheme val="minor"/>
      </rPr>
      <t xml:space="preserve"> - 0.6322 + 0.00123*T</t>
    </r>
    <r>
      <rPr>
        <vertAlign val="subscript"/>
        <sz val="11"/>
        <rFont val="Calibri"/>
        <family val="2"/>
        <scheme val="minor"/>
      </rPr>
      <t>K</t>
    </r>
    <r>
      <rPr>
        <sz val="11"/>
        <rFont val="Calibri"/>
        <family val="2"/>
        <scheme val="minor"/>
      </rPr>
      <t>))</t>
    </r>
  </si>
  <si>
    <r>
      <t>i</t>
    </r>
    <r>
      <rPr>
        <vertAlign val="subscript"/>
        <sz val="11"/>
        <rFont val="Calibri"/>
        <family val="2"/>
        <scheme val="minor"/>
      </rPr>
      <t>N,CU</t>
    </r>
  </si>
  <si>
    <r>
      <t>i</t>
    </r>
    <r>
      <rPr>
        <vertAlign val="subscript"/>
        <sz val="11"/>
        <rFont val="Calibri"/>
        <family val="2"/>
        <scheme val="minor"/>
      </rPr>
      <t>P,CB</t>
    </r>
  </si>
  <si>
    <r>
      <t>i</t>
    </r>
    <r>
      <rPr>
        <vertAlign val="subscript"/>
        <sz val="11"/>
        <rFont val="Calibri"/>
        <family val="2"/>
        <scheme val="minor"/>
      </rPr>
      <t>P,CU</t>
    </r>
  </si>
  <si>
    <r>
      <t>i</t>
    </r>
    <r>
      <rPr>
        <vertAlign val="subscript"/>
        <sz val="11"/>
        <rFont val="Calibri"/>
        <family val="2"/>
        <scheme val="minor"/>
      </rPr>
      <t>P,SU</t>
    </r>
  </si>
  <si>
    <t>15% of VSS - Ekama</t>
  </si>
  <si>
    <t>and other cations</t>
  </si>
  <si>
    <t>and other anions</t>
  </si>
  <si>
    <t>Diffusion coefficient of ammonia in water</t>
  </si>
  <si>
    <r>
      <t>MM</t>
    </r>
    <r>
      <rPr>
        <vertAlign val="subscript"/>
        <sz val="11"/>
        <rFont val="Calibri"/>
        <family val="2"/>
        <scheme val="minor"/>
      </rPr>
      <t>SO4</t>
    </r>
  </si>
  <si>
    <r>
      <t>MM</t>
    </r>
    <r>
      <rPr>
        <vertAlign val="subscript"/>
        <sz val="11"/>
        <rFont val="Calibri"/>
        <family val="2"/>
        <scheme val="minor"/>
      </rPr>
      <t>HSO4</t>
    </r>
  </si>
  <si>
    <r>
      <t>MM</t>
    </r>
    <r>
      <rPr>
        <vertAlign val="subscript"/>
        <sz val="11"/>
        <rFont val="Calibri"/>
        <family val="2"/>
        <scheme val="minor"/>
      </rPr>
      <t>H2SO4</t>
    </r>
  </si>
  <si>
    <t>N content in GN2</t>
  </si>
  <si>
    <t>N content in GNO</t>
  </si>
  <si>
    <t>N content in GN2O</t>
  </si>
  <si>
    <t>Molecular mass of GCO2</t>
  </si>
  <si>
    <t>Molecular mass of GO2</t>
  </si>
  <si>
    <t>Molecular mass of GCH4</t>
  </si>
  <si>
    <t>Molecular mass of GH2</t>
  </si>
  <si>
    <r>
      <t>EEQ</t>
    </r>
    <r>
      <rPr>
        <vertAlign val="subscript"/>
        <sz val="11"/>
        <rFont val="Calibri"/>
        <family val="2"/>
        <scheme val="minor"/>
      </rPr>
      <t>N2,NO3</t>
    </r>
  </si>
  <si>
    <t>=0.5*1^2</t>
  </si>
  <si>
    <t>=0.5*(-1)^2</t>
  </si>
  <si>
    <t>=0.5*2^2</t>
  </si>
  <si>
    <t>=0.5*(-2)^2</t>
  </si>
  <si>
    <t>=0.5*3^2</t>
  </si>
  <si>
    <t>=0.5*(-3)^2</t>
  </si>
  <si>
    <r>
      <t>c</t>
    </r>
    <r>
      <rPr>
        <vertAlign val="subscript"/>
        <sz val="11"/>
        <rFont val="Calibri"/>
        <family val="2"/>
        <scheme val="minor"/>
      </rPr>
      <t>ms,h</t>
    </r>
  </si>
  <si>
    <t>Conversion coefficient between milliseconds and hours</t>
  </si>
  <si>
    <r>
      <t>ms.h</t>
    </r>
    <r>
      <rPr>
        <vertAlign val="superscript"/>
        <sz val="11"/>
        <rFont val="Calibri"/>
        <family val="2"/>
        <scheme val="minor"/>
      </rPr>
      <t>-1</t>
    </r>
  </si>
  <si>
    <r>
      <t>H</t>
    </r>
    <r>
      <rPr>
        <vertAlign val="subscript"/>
        <sz val="11"/>
        <rFont val="Calibri"/>
        <family val="2"/>
        <scheme val="minor"/>
      </rPr>
      <t>Hp</t>
    </r>
  </si>
  <si>
    <r>
      <t>H</t>
    </r>
    <r>
      <rPr>
        <vertAlign val="subscript"/>
        <sz val="11"/>
        <rFont val="Calibri"/>
        <family val="2"/>
        <scheme val="minor"/>
      </rPr>
      <t>H3Op</t>
    </r>
  </si>
  <si>
    <r>
      <t>H</t>
    </r>
    <r>
      <rPr>
        <vertAlign val="subscript"/>
        <sz val="11"/>
        <rFont val="Calibri"/>
        <family val="2"/>
        <scheme val="minor"/>
      </rPr>
      <t>OHm</t>
    </r>
  </si>
  <si>
    <r>
      <t>H</t>
    </r>
    <r>
      <rPr>
        <vertAlign val="subscript"/>
        <sz val="11"/>
        <rFont val="Calibri"/>
        <family val="2"/>
        <scheme val="minor"/>
      </rPr>
      <t>NH3</t>
    </r>
  </si>
  <si>
    <r>
      <t>H</t>
    </r>
    <r>
      <rPr>
        <vertAlign val="subscript"/>
        <sz val="11"/>
        <rFont val="Calibri"/>
        <family val="2"/>
        <scheme val="minor"/>
      </rPr>
      <t>NH4p</t>
    </r>
  </si>
  <si>
    <r>
      <t>H</t>
    </r>
    <r>
      <rPr>
        <vertAlign val="subscript"/>
        <sz val="11"/>
        <rFont val="Calibri"/>
        <family val="2"/>
        <scheme val="minor"/>
      </rPr>
      <t>HNO2</t>
    </r>
  </si>
  <si>
    <r>
      <t>H</t>
    </r>
    <r>
      <rPr>
        <vertAlign val="subscript"/>
        <sz val="11"/>
        <rFont val="Calibri"/>
        <family val="2"/>
        <scheme val="minor"/>
      </rPr>
      <t>NO2m</t>
    </r>
  </si>
  <si>
    <r>
      <t>H</t>
    </r>
    <r>
      <rPr>
        <vertAlign val="subscript"/>
        <sz val="11"/>
        <rFont val="Calibri"/>
        <family val="2"/>
        <scheme val="minor"/>
      </rPr>
      <t>NO3m</t>
    </r>
  </si>
  <si>
    <r>
      <t>H</t>
    </r>
    <r>
      <rPr>
        <vertAlign val="subscript"/>
        <sz val="11"/>
        <rFont val="Calibri"/>
        <family val="2"/>
        <scheme val="minor"/>
      </rPr>
      <t>H2CO3</t>
    </r>
  </si>
  <si>
    <r>
      <t>H</t>
    </r>
    <r>
      <rPr>
        <vertAlign val="subscript"/>
        <sz val="11"/>
        <rFont val="Calibri"/>
        <family val="2"/>
        <scheme val="minor"/>
      </rPr>
      <t>HCO3m</t>
    </r>
  </si>
  <si>
    <r>
      <t>H</t>
    </r>
    <r>
      <rPr>
        <vertAlign val="subscript"/>
        <sz val="11"/>
        <rFont val="Calibri"/>
        <family val="2"/>
        <scheme val="minor"/>
      </rPr>
      <t>CO32m</t>
    </r>
  </si>
  <si>
    <r>
      <t>H</t>
    </r>
    <r>
      <rPr>
        <vertAlign val="subscript"/>
        <sz val="11"/>
        <rFont val="Calibri"/>
        <family val="2"/>
        <scheme val="minor"/>
      </rPr>
      <t>H3PO4</t>
    </r>
  </si>
  <si>
    <r>
      <t>H</t>
    </r>
    <r>
      <rPr>
        <vertAlign val="subscript"/>
        <sz val="11"/>
        <rFont val="Calibri"/>
        <family val="2"/>
        <scheme val="minor"/>
      </rPr>
      <t>H2PO4m</t>
    </r>
  </si>
  <si>
    <r>
      <t>H</t>
    </r>
    <r>
      <rPr>
        <vertAlign val="subscript"/>
        <sz val="11"/>
        <rFont val="Calibri"/>
        <family val="2"/>
        <scheme val="minor"/>
      </rPr>
      <t>HPO42m</t>
    </r>
  </si>
  <si>
    <r>
      <t>H</t>
    </r>
    <r>
      <rPr>
        <vertAlign val="subscript"/>
        <sz val="11"/>
        <rFont val="Calibri"/>
        <family val="2"/>
        <scheme val="minor"/>
      </rPr>
      <t>PO43m</t>
    </r>
  </si>
  <si>
    <r>
      <t>H</t>
    </r>
    <r>
      <rPr>
        <vertAlign val="subscript"/>
        <sz val="11"/>
        <rFont val="Calibri"/>
        <family val="2"/>
        <scheme val="minor"/>
      </rPr>
      <t>HAc</t>
    </r>
  </si>
  <si>
    <r>
      <t>H</t>
    </r>
    <r>
      <rPr>
        <vertAlign val="subscript"/>
        <sz val="11"/>
        <rFont val="Calibri"/>
        <family val="2"/>
        <scheme val="minor"/>
      </rPr>
      <t>Acm</t>
    </r>
  </si>
  <si>
    <r>
      <t>S</t>
    </r>
    <r>
      <rPr>
        <vertAlign val="subscript"/>
        <sz val="11"/>
        <rFont val="Calibri"/>
        <family val="2"/>
      </rPr>
      <t>K</t>
    </r>
    <r>
      <rPr>
        <sz val="11"/>
        <rFont val="Calibri"/>
        <family val="2"/>
      </rPr>
      <t>/(AM</t>
    </r>
    <r>
      <rPr>
        <vertAlign val="subscript"/>
        <sz val="11"/>
        <rFont val="Calibri"/>
        <family val="2"/>
      </rPr>
      <t>K</t>
    </r>
    <r>
      <rPr>
        <sz val="11"/>
        <rFont val="Calibri"/>
        <family val="2"/>
      </rPr>
      <t>*1000)</t>
    </r>
  </si>
  <si>
    <r>
      <t>map</t>
    </r>
    <r>
      <rPr>
        <vertAlign val="subscript"/>
        <sz val="11"/>
        <rFont val="Calibri"/>
        <family val="2"/>
      </rPr>
      <t>K</t>
    </r>
  </si>
  <si>
    <r>
      <t>map</t>
    </r>
    <r>
      <rPr>
        <vertAlign val="subscript"/>
        <sz val="11"/>
        <rFont val="Calibri"/>
        <family val="2"/>
      </rPr>
      <t>NO3</t>
    </r>
  </si>
  <si>
    <t>Potassium fully dissociated</t>
  </si>
  <si>
    <r>
      <t>map</t>
    </r>
    <r>
      <rPr>
        <vertAlign val="subscript"/>
        <sz val="11"/>
        <rFont val="Calibri"/>
        <family val="2"/>
      </rPr>
      <t>SFerrous</t>
    </r>
  </si>
  <si>
    <t>Molecular mass of hydrogen chloride</t>
  </si>
  <si>
    <t>Molecular mass of hydrogen sulfate</t>
  </si>
  <si>
    <r>
      <t>MM</t>
    </r>
    <r>
      <rPr>
        <vertAlign val="subscript"/>
        <sz val="11"/>
        <rFont val="Calibri"/>
        <family val="2"/>
        <scheme val="minor"/>
      </rPr>
      <t>GNH3</t>
    </r>
  </si>
  <si>
    <t>Molecular mass of sulfate</t>
  </si>
  <si>
    <r>
      <t>MM</t>
    </r>
    <r>
      <rPr>
        <vertAlign val="subscript"/>
        <sz val="11"/>
        <rFont val="Calibri"/>
        <family val="2"/>
        <scheme val="minor"/>
      </rPr>
      <t>H2S</t>
    </r>
  </si>
  <si>
    <t>N content in GNH3</t>
  </si>
  <si>
    <t>Na</t>
  </si>
  <si>
    <r>
      <t>X</t>
    </r>
    <r>
      <rPr>
        <b/>
        <vertAlign val="subscript"/>
        <sz val="11"/>
        <rFont val="Calibri"/>
        <family val="2"/>
        <scheme val="minor"/>
      </rPr>
      <t>Vivi</t>
    </r>
  </si>
  <si>
    <t>Molecular mass of vivianite</t>
  </si>
  <si>
    <t>Molecular mass of iron sulfide</t>
  </si>
  <si>
    <r>
      <t>MM</t>
    </r>
    <r>
      <rPr>
        <vertAlign val="subscript"/>
        <sz val="11"/>
        <rFont val="Calibri"/>
        <family val="2"/>
        <scheme val="minor"/>
      </rPr>
      <t>H2O</t>
    </r>
  </si>
  <si>
    <t>Molecular mass of water</t>
  </si>
  <si>
    <r>
      <t>MM</t>
    </r>
    <r>
      <rPr>
        <vertAlign val="subscript"/>
        <sz val="11"/>
        <rFont val="Calibri"/>
        <family val="2"/>
        <scheme val="minor"/>
      </rPr>
      <t>Vivi</t>
    </r>
  </si>
  <si>
    <r>
      <t>MM</t>
    </r>
    <r>
      <rPr>
        <vertAlign val="subscript"/>
        <sz val="11"/>
        <rFont val="Calibri"/>
        <family val="2"/>
        <scheme val="minor"/>
      </rPr>
      <t>FeS</t>
    </r>
  </si>
  <si>
    <t xml:space="preserve">                                                      </t>
  </si>
  <si>
    <r>
      <t>i</t>
    </r>
    <r>
      <rPr>
        <vertAlign val="subscript"/>
        <sz val="11"/>
        <rFont val="Calibri"/>
        <family val="2"/>
        <scheme val="minor"/>
      </rPr>
      <t>N,CB</t>
    </r>
  </si>
  <si>
    <r>
      <t>i</t>
    </r>
    <r>
      <rPr>
        <vertAlign val="subscript"/>
        <sz val="11"/>
        <rFont val="Calibri"/>
        <family val="2"/>
        <scheme val="minor"/>
      </rPr>
      <t>N,SU</t>
    </r>
  </si>
  <si>
    <t>Vivianite precipitation</t>
  </si>
  <si>
    <r>
      <t>MgNH</t>
    </r>
    <r>
      <rPr>
        <vertAlign val="subscript"/>
        <sz val="11"/>
        <color indexed="8"/>
        <rFont val="Calibri"/>
        <family val="2"/>
        <scheme val="minor"/>
      </rPr>
      <t>4</t>
    </r>
    <r>
      <rPr>
        <sz val="11"/>
        <color indexed="8"/>
        <rFont val="Calibri"/>
        <family val="2"/>
        <scheme val="minor"/>
      </rPr>
      <t>PO</t>
    </r>
    <r>
      <rPr>
        <vertAlign val="subscript"/>
        <sz val="11"/>
        <color indexed="8"/>
        <rFont val="Calibri"/>
        <family val="2"/>
        <scheme val="minor"/>
      </rPr>
      <t>4</t>
    </r>
    <r>
      <rPr>
        <sz val="11"/>
        <color indexed="8"/>
        <rFont val="Calibri"/>
        <family val="2"/>
        <scheme val="minor"/>
      </rPr>
      <t xml:space="preserve"> * 6H</t>
    </r>
    <r>
      <rPr>
        <vertAlign val="subscript"/>
        <sz val="11"/>
        <color indexed="8"/>
        <rFont val="Calibri"/>
        <family val="2"/>
        <scheme val="minor"/>
      </rPr>
      <t>2</t>
    </r>
    <r>
      <rPr>
        <sz val="11"/>
        <color indexed="8"/>
        <rFont val="Calibri"/>
        <family val="2"/>
        <scheme val="minor"/>
      </rPr>
      <t>O</t>
    </r>
  </si>
  <si>
    <t>Amorphous calcium phosphate precipitation</t>
  </si>
  <si>
    <t>Calcium carbonate precipitation</t>
  </si>
  <si>
    <r>
      <t>CaCO</t>
    </r>
    <r>
      <rPr>
        <vertAlign val="subscript"/>
        <sz val="11"/>
        <color indexed="8"/>
        <rFont val="Calibri"/>
        <family val="2"/>
        <scheme val="minor"/>
      </rPr>
      <t>3</t>
    </r>
  </si>
  <si>
    <r>
      <t>Ca</t>
    </r>
    <r>
      <rPr>
        <vertAlign val="subscript"/>
        <sz val="11"/>
        <color indexed="8"/>
        <rFont val="Calibri"/>
        <family val="2"/>
      </rPr>
      <t>3</t>
    </r>
    <r>
      <rPr>
        <sz val="11"/>
        <color indexed="8"/>
        <rFont val="Calibri"/>
        <family val="2"/>
      </rPr>
      <t>(</t>
    </r>
    <r>
      <rPr>
        <sz val="11"/>
        <color indexed="8"/>
        <rFont val="Calibri"/>
        <family val="2"/>
        <scheme val="minor"/>
      </rPr>
      <t>PO</t>
    </r>
    <r>
      <rPr>
        <vertAlign val="subscript"/>
        <sz val="11"/>
        <color indexed="8"/>
        <rFont val="Calibri"/>
        <family val="2"/>
        <scheme val="minor"/>
      </rPr>
      <t>4</t>
    </r>
    <r>
      <rPr>
        <sz val="11"/>
        <color indexed="8"/>
        <rFont val="Calibri"/>
        <family val="2"/>
        <scheme val="minor"/>
      </rPr>
      <t>)</t>
    </r>
    <r>
      <rPr>
        <vertAlign val="subscript"/>
        <sz val="11"/>
        <color indexed="8"/>
        <rFont val="Calibri"/>
        <family val="2"/>
        <scheme val="minor"/>
      </rPr>
      <t>2</t>
    </r>
    <r>
      <rPr>
        <sz val="11"/>
        <color indexed="8"/>
        <rFont val="Calibri"/>
        <family val="2"/>
        <scheme val="minor"/>
      </rPr>
      <t xml:space="preserve"> * 4H</t>
    </r>
    <r>
      <rPr>
        <vertAlign val="subscript"/>
        <sz val="11"/>
        <color indexed="8"/>
        <rFont val="Calibri"/>
        <family val="2"/>
        <scheme val="minor"/>
      </rPr>
      <t>2</t>
    </r>
    <r>
      <rPr>
        <sz val="11"/>
        <color indexed="8"/>
        <rFont val="Calibri"/>
        <family val="2"/>
        <scheme val="minor"/>
      </rPr>
      <t>O</t>
    </r>
  </si>
  <si>
    <r>
      <t>Fe</t>
    </r>
    <r>
      <rPr>
        <vertAlign val="subscript"/>
        <sz val="11"/>
        <color indexed="8"/>
        <rFont val="Calibri"/>
        <family val="2"/>
      </rPr>
      <t>3</t>
    </r>
    <r>
      <rPr>
        <sz val="11"/>
        <color indexed="8"/>
        <rFont val="Calibri"/>
        <family val="2"/>
      </rPr>
      <t>(PO</t>
    </r>
    <r>
      <rPr>
        <vertAlign val="subscript"/>
        <sz val="11"/>
        <color indexed="8"/>
        <rFont val="Calibri"/>
        <family val="2"/>
      </rPr>
      <t>4</t>
    </r>
    <r>
      <rPr>
        <sz val="11"/>
        <color indexed="8"/>
        <rFont val="Calibri"/>
        <family val="2"/>
      </rPr>
      <t>)</t>
    </r>
    <r>
      <rPr>
        <vertAlign val="subscript"/>
        <sz val="11"/>
        <color indexed="8"/>
        <rFont val="Calibri"/>
        <family val="2"/>
      </rPr>
      <t xml:space="preserve">2 </t>
    </r>
    <r>
      <rPr>
        <sz val="11"/>
        <color indexed="8"/>
        <rFont val="Calibri"/>
        <family val="2"/>
      </rPr>
      <t>* 8H</t>
    </r>
    <r>
      <rPr>
        <vertAlign val="subscript"/>
        <sz val="11"/>
        <color indexed="8"/>
        <rFont val="Calibri"/>
        <family val="2"/>
      </rPr>
      <t>2</t>
    </r>
    <r>
      <rPr>
        <sz val="11"/>
        <color indexed="8"/>
        <rFont val="Calibri"/>
        <family val="2"/>
      </rPr>
      <t>O</t>
    </r>
  </si>
  <si>
    <t>Molecular mass of amorphous calcium phosphate</t>
  </si>
  <si>
    <r>
      <t>X</t>
    </r>
    <r>
      <rPr>
        <b/>
        <vertAlign val="subscript"/>
        <sz val="12"/>
        <rFont val="Calibri"/>
        <family val="2"/>
        <scheme val="minor"/>
      </rPr>
      <t>ACP</t>
    </r>
  </si>
  <si>
    <r>
      <t>X</t>
    </r>
    <r>
      <rPr>
        <b/>
        <vertAlign val="subscript"/>
        <sz val="11"/>
        <rFont val="Calibri"/>
        <family val="2"/>
        <scheme val="minor"/>
      </rPr>
      <t>ACP</t>
    </r>
  </si>
  <si>
    <r>
      <t>g TIC.m</t>
    </r>
    <r>
      <rPr>
        <vertAlign val="superscript"/>
        <sz val="11"/>
        <rFont val="Calibri"/>
        <family val="2"/>
      </rPr>
      <t>-3</t>
    </r>
  </si>
  <si>
    <t>Anaerobic endogenous decay products</t>
  </si>
  <si>
    <t>1 / (1 + Exp((halfval - var) * slope))</t>
  </si>
  <si>
    <t>1 / (1 + Exp((var - halfval) * slope))</t>
  </si>
  <si>
    <t>Haldane equation</t>
  </si>
  <si>
    <t>Noncompinh(var; halfinh)</t>
  </si>
  <si>
    <t>Non-competetive inhibition</t>
  </si>
  <si>
    <t>1 / (1 + (var / halfinh))</t>
  </si>
  <si>
    <r>
      <t>i</t>
    </r>
    <r>
      <rPr>
        <vertAlign val="subscript"/>
        <sz val="11"/>
        <rFont val="Calibri"/>
        <family val="2"/>
        <scheme val="minor"/>
      </rPr>
      <t>CV,VFA</t>
    </r>
  </si>
  <si>
    <r>
      <t>i</t>
    </r>
    <r>
      <rPr>
        <vertAlign val="subscript"/>
        <sz val="11"/>
        <rFont val="Calibri"/>
        <family val="2"/>
        <scheme val="minor"/>
      </rPr>
      <t>CV,SB</t>
    </r>
  </si>
  <si>
    <r>
      <t>i</t>
    </r>
    <r>
      <rPr>
        <vertAlign val="subscript"/>
        <sz val="11"/>
        <rFont val="Calibri"/>
        <family val="2"/>
        <scheme val="minor"/>
      </rPr>
      <t>CV,SU</t>
    </r>
  </si>
  <si>
    <r>
      <t>i</t>
    </r>
    <r>
      <rPr>
        <vertAlign val="subscript"/>
        <sz val="11"/>
        <rFont val="Calibri"/>
        <family val="2"/>
        <scheme val="minor"/>
      </rPr>
      <t>CV,CB</t>
    </r>
  </si>
  <si>
    <r>
      <t>i</t>
    </r>
    <r>
      <rPr>
        <vertAlign val="subscript"/>
        <sz val="11"/>
        <rFont val="Calibri"/>
        <family val="2"/>
        <scheme val="minor"/>
      </rPr>
      <t>CV,CU</t>
    </r>
  </si>
  <si>
    <r>
      <t>EEQ</t>
    </r>
    <r>
      <rPr>
        <vertAlign val="subscript"/>
        <sz val="11"/>
        <rFont val="Calibri"/>
        <family val="2"/>
        <scheme val="minor"/>
      </rPr>
      <t>H2S</t>
    </r>
  </si>
  <si>
    <t>-1</t>
  </si>
  <si>
    <r>
      <t>MM</t>
    </r>
    <r>
      <rPr>
        <vertAlign val="subscript"/>
        <sz val="11"/>
        <rFont val="Calibri"/>
        <family val="2"/>
        <scheme val="minor"/>
      </rPr>
      <t>EQ,GH2S</t>
    </r>
  </si>
  <si>
    <t>Molecular mass of GH2S</t>
  </si>
  <si>
    <t>Non-pH</t>
  </si>
  <si>
    <r>
      <t>Henry</t>
    </r>
    <r>
      <rPr>
        <vertAlign val="subscript"/>
        <sz val="11"/>
        <rFont val="Calibri"/>
        <family val="2"/>
        <scheme val="minor"/>
      </rPr>
      <t>GH2S,25</t>
    </r>
  </si>
  <si>
    <r>
      <t>Henry</t>
    </r>
    <r>
      <rPr>
        <vertAlign val="subscript"/>
        <sz val="11"/>
        <rFont val="Calibri"/>
        <family val="2"/>
        <scheme val="minor"/>
      </rPr>
      <t>GH2S,dt</t>
    </r>
  </si>
  <si>
    <r>
      <t>Temperature dependency factor for H</t>
    </r>
    <r>
      <rPr>
        <vertAlign val="subscript"/>
        <sz val="11"/>
        <rFont val="Calibri"/>
        <family val="2"/>
        <scheme val="minor"/>
      </rPr>
      <t>2</t>
    </r>
    <r>
      <rPr>
        <sz val="11"/>
        <rFont val="Calibri"/>
        <family val="2"/>
        <scheme val="minor"/>
      </rPr>
      <t>S Henry coefficient</t>
    </r>
  </si>
  <si>
    <r>
      <t>MM</t>
    </r>
    <r>
      <rPr>
        <vertAlign val="subscript"/>
        <sz val="11"/>
        <rFont val="Calibri"/>
        <family val="2"/>
        <scheme val="minor"/>
      </rPr>
      <t>GH2S</t>
    </r>
  </si>
  <si>
    <t>Advanced</t>
  </si>
  <si>
    <r>
      <t>f</t>
    </r>
    <r>
      <rPr>
        <vertAlign val="subscript"/>
        <sz val="11"/>
        <rFont val="Calibri"/>
        <family val="2"/>
        <scheme val="minor"/>
      </rPr>
      <t>Na</t>
    </r>
  </si>
  <si>
    <t>To clean up any remaining methanol in digesters without having to ferment mechanistically</t>
  </si>
  <si>
    <r>
      <t>S</t>
    </r>
    <r>
      <rPr>
        <b/>
        <vertAlign val="subscript"/>
        <sz val="11"/>
        <rFont val="Calibri"/>
        <family val="2"/>
      </rPr>
      <t>CAT</t>
    </r>
  </si>
  <si>
    <r>
      <t>S</t>
    </r>
    <r>
      <rPr>
        <b/>
        <vertAlign val="subscript"/>
        <sz val="11"/>
        <rFont val="Calibri"/>
        <family val="2"/>
      </rPr>
      <t>AN</t>
    </r>
  </si>
  <si>
    <r>
      <t>S</t>
    </r>
    <r>
      <rPr>
        <vertAlign val="subscript"/>
        <sz val="11"/>
        <rFont val="Calibri"/>
        <family val="2"/>
        <scheme val="minor"/>
      </rPr>
      <t>CAT</t>
    </r>
  </si>
  <si>
    <r>
      <t>S</t>
    </r>
    <r>
      <rPr>
        <vertAlign val="subscript"/>
        <sz val="11"/>
        <rFont val="Calibri"/>
        <family val="2"/>
      </rPr>
      <t>CAT</t>
    </r>
    <r>
      <rPr>
        <sz val="11"/>
        <rFont val="Calibri"/>
        <family val="2"/>
      </rPr>
      <t>/(AM</t>
    </r>
    <r>
      <rPr>
        <vertAlign val="subscript"/>
        <sz val="11"/>
        <rFont val="Calibri"/>
        <family val="2"/>
      </rPr>
      <t>Na</t>
    </r>
    <r>
      <rPr>
        <sz val="11"/>
        <rFont val="Calibri"/>
        <family val="2"/>
      </rPr>
      <t>*1000)</t>
    </r>
  </si>
  <si>
    <r>
      <t>S</t>
    </r>
    <r>
      <rPr>
        <vertAlign val="subscript"/>
        <sz val="11"/>
        <rFont val="Calibri"/>
        <family val="2"/>
      </rPr>
      <t>AN</t>
    </r>
    <r>
      <rPr>
        <sz val="11"/>
        <rFont val="Calibri"/>
        <family val="2"/>
      </rPr>
      <t>/(AM</t>
    </r>
    <r>
      <rPr>
        <vertAlign val="subscript"/>
        <sz val="11"/>
        <rFont val="Calibri"/>
        <family val="2"/>
      </rPr>
      <t>Cl</t>
    </r>
    <r>
      <rPr>
        <sz val="11"/>
        <rFont val="Calibri"/>
        <family val="2"/>
      </rPr>
      <t>*1000)</t>
    </r>
  </si>
  <si>
    <t>Charge balance error for SCAT calculation</t>
  </si>
  <si>
    <r>
      <t>pH</t>
    </r>
    <r>
      <rPr>
        <vertAlign val="subscript"/>
        <sz val="11"/>
        <rFont val="Calibri"/>
        <family val="2"/>
        <scheme val="minor"/>
      </rPr>
      <t>low</t>
    </r>
  </si>
  <si>
    <r>
      <t>pH</t>
    </r>
    <r>
      <rPr>
        <vertAlign val="subscript"/>
        <sz val="11"/>
        <rFont val="Calibri"/>
        <family val="2"/>
        <scheme val="minor"/>
      </rPr>
      <t>high</t>
    </r>
  </si>
  <si>
    <t>www.dynamita.com</t>
  </si>
  <si>
    <r>
      <t>f(G</t>
    </r>
    <r>
      <rPr>
        <vertAlign val="subscript"/>
        <sz val="11"/>
        <rFont val="Calibri"/>
        <family val="2"/>
      </rPr>
      <t>O2</t>
    </r>
    <r>
      <rPr>
        <sz val="11"/>
        <rFont val="Calibri"/>
        <family val="2"/>
      </rPr>
      <t>)</t>
    </r>
  </si>
  <si>
    <r>
      <t>f(G</t>
    </r>
    <r>
      <rPr>
        <vertAlign val="subscript"/>
        <sz val="11"/>
        <rFont val="Calibri"/>
        <family val="2"/>
      </rPr>
      <t>CO2</t>
    </r>
    <r>
      <rPr>
        <sz val="11"/>
        <rFont val="Calibri"/>
        <family val="2"/>
      </rPr>
      <t>)</t>
    </r>
  </si>
  <si>
    <r>
      <t>f(G</t>
    </r>
    <r>
      <rPr>
        <vertAlign val="subscript"/>
        <sz val="11"/>
        <rFont val="Calibri"/>
        <family val="2"/>
      </rPr>
      <t>CH4</t>
    </r>
    <r>
      <rPr>
        <sz val="11"/>
        <rFont val="Calibri"/>
        <family val="2"/>
      </rPr>
      <t>)</t>
    </r>
  </si>
  <si>
    <r>
      <t>f(G</t>
    </r>
    <r>
      <rPr>
        <vertAlign val="subscript"/>
        <sz val="11"/>
        <rFont val="Calibri"/>
        <family val="2"/>
      </rPr>
      <t>H2</t>
    </r>
    <r>
      <rPr>
        <sz val="11"/>
        <rFont val="Calibri"/>
        <family val="2"/>
      </rPr>
      <t>)</t>
    </r>
  </si>
  <si>
    <r>
      <t>f(G</t>
    </r>
    <r>
      <rPr>
        <vertAlign val="subscript"/>
        <sz val="11"/>
        <rFont val="Calibri"/>
        <family val="2"/>
      </rPr>
      <t>N2</t>
    </r>
    <r>
      <rPr>
        <sz val="11"/>
        <rFont val="Calibri"/>
        <family val="2"/>
      </rPr>
      <t>)</t>
    </r>
  </si>
  <si>
    <t>Other system parameters</t>
  </si>
  <si>
    <t>NoName</t>
  </si>
  <si>
    <t>Testing Attributes</t>
  </si>
  <si>
    <t>Biofilm</t>
  </si>
  <si>
    <t>TestAttribute</t>
  </si>
  <si>
    <r>
      <t>f(G</t>
    </r>
    <r>
      <rPr>
        <vertAlign val="subscript"/>
        <sz val="11"/>
        <rFont val="Calibri"/>
        <family val="2"/>
      </rPr>
      <t>H2S</t>
    </r>
    <r>
      <rPr>
        <sz val="11"/>
        <rFont val="Calibri"/>
        <family val="2"/>
      </rPr>
      <t>)</t>
    </r>
  </si>
  <si>
    <r>
      <t>f(G</t>
    </r>
    <r>
      <rPr>
        <vertAlign val="subscript"/>
        <sz val="11"/>
        <rFont val="Calibri"/>
        <family val="2"/>
      </rPr>
      <t>NH3</t>
    </r>
    <r>
      <rPr>
        <sz val="11"/>
        <rFont val="Calibri"/>
        <family val="2"/>
      </rPr>
      <t>)</t>
    </r>
  </si>
  <si>
    <r>
      <t>g O</t>
    </r>
    <r>
      <rPr>
        <vertAlign val="subscript"/>
        <sz val="11"/>
        <rFont val="Calibri"/>
        <family val="2"/>
        <scheme val="minor"/>
      </rPr>
      <t>2</t>
    </r>
    <r>
      <rPr>
        <sz val="11"/>
        <rFont val="Calibri"/>
        <family val="2"/>
        <scheme val="minor"/>
      </rPr>
      <t>.m</t>
    </r>
    <r>
      <rPr>
        <vertAlign val="superscript"/>
        <sz val="11"/>
        <rFont val="Calibri"/>
        <family val="2"/>
        <scheme val="minor"/>
      </rPr>
      <t>-3</t>
    </r>
  </si>
  <si>
    <r>
      <t>g COD.m</t>
    </r>
    <r>
      <rPr>
        <vertAlign val="superscript"/>
        <sz val="11"/>
        <rFont val="Calibri"/>
        <family val="2"/>
        <scheme val="minor"/>
      </rPr>
      <t>-3</t>
    </r>
  </si>
  <si>
    <r>
      <t>K</t>
    </r>
    <r>
      <rPr>
        <vertAlign val="subscript"/>
        <sz val="11"/>
        <rFont val="Calibri"/>
        <family val="2"/>
        <scheme val="minor"/>
      </rPr>
      <t>PO4,PAO</t>
    </r>
  </si>
  <si>
    <r>
      <t>K</t>
    </r>
    <r>
      <rPr>
        <vertAlign val="subscript"/>
        <sz val="11"/>
        <rFont val="Calibri"/>
        <family val="2"/>
        <scheme val="minor"/>
      </rPr>
      <t>PP,lim</t>
    </r>
  </si>
  <si>
    <r>
      <t>K</t>
    </r>
    <r>
      <rPr>
        <vertAlign val="subscript"/>
        <sz val="11"/>
        <rFont val="Calibri"/>
        <family val="2"/>
        <scheme val="minor"/>
      </rPr>
      <t>HYD</t>
    </r>
  </si>
  <si>
    <r>
      <t>µ</t>
    </r>
    <r>
      <rPr>
        <vertAlign val="subscript"/>
        <sz val="11"/>
        <rFont val="Calibri"/>
        <family val="2"/>
        <scheme val="minor"/>
      </rPr>
      <t>OHO</t>
    </r>
  </si>
  <si>
    <r>
      <t>b</t>
    </r>
    <r>
      <rPr>
        <vertAlign val="subscript"/>
        <sz val="11"/>
        <rFont val="Calibri"/>
        <family val="2"/>
        <scheme val="minor"/>
      </rPr>
      <t>OHO</t>
    </r>
  </si>
  <si>
    <r>
      <t>µ</t>
    </r>
    <r>
      <rPr>
        <vertAlign val="subscript"/>
        <sz val="11"/>
        <rFont val="Calibri"/>
        <family val="2"/>
        <scheme val="minor"/>
      </rPr>
      <t>FERM,OHO</t>
    </r>
  </si>
  <si>
    <r>
      <t>µ</t>
    </r>
    <r>
      <rPr>
        <vertAlign val="subscript"/>
        <sz val="11"/>
        <rFont val="Calibri"/>
        <family val="2"/>
        <scheme val="minor"/>
      </rPr>
      <t>MEOLO</t>
    </r>
  </si>
  <si>
    <r>
      <t>b</t>
    </r>
    <r>
      <rPr>
        <vertAlign val="subscript"/>
        <sz val="11"/>
        <rFont val="Calibri"/>
        <family val="2"/>
        <scheme val="minor"/>
      </rPr>
      <t>MEOLO</t>
    </r>
  </si>
  <si>
    <r>
      <t>q</t>
    </r>
    <r>
      <rPr>
        <vertAlign val="subscript"/>
        <sz val="11"/>
        <rFont val="Calibri"/>
        <family val="2"/>
        <scheme val="minor"/>
      </rPr>
      <t>MEOL</t>
    </r>
  </si>
  <si>
    <r>
      <t>µ</t>
    </r>
    <r>
      <rPr>
        <vertAlign val="subscript"/>
        <sz val="11"/>
        <rFont val="Calibri"/>
        <family val="2"/>
        <scheme val="minor"/>
      </rPr>
      <t>AMETO</t>
    </r>
  </si>
  <si>
    <r>
      <t>b</t>
    </r>
    <r>
      <rPr>
        <vertAlign val="subscript"/>
        <sz val="11"/>
        <rFont val="Calibri"/>
        <family val="2"/>
        <scheme val="minor"/>
      </rPr>
      <t>AMETO</t>
    </r>
    <r>
      <rPr>
        <sz val="11"/>
        <color indexed="8"/>
        <rFont val="Calibri"/>
        <family val="2"/>
      </rPr>
      <t/>
    </r>
  </si>
  <si>
    <t>Parameters for half saturation coefficients in biofilms</t>
  </si>
  <si>
    <r>
      <rPr>
        <sz val="11"/>
        <rFont val="Calibri"/>
        <family val="2"/>
        <scheme val="minor"/>
      </rPr>
      <t>f</t>
    </r>
    <r>
      <rPr>
        <vertAlign val="subscript"/>
        <sz val="11"/>
        <rFont val="Calibri"/>
        <family val="2"/>
        <scheme val="minor"/>
      </rPr>
      <t>KS,biofilm</t>
    </r>
  </si>
  <si>
    <t>http://webbook.nist.gov/cgi/cbook.cgi?Formula=H2&amp;NoIon=on&amp;Units=SI&amp;cSO=on</t>
  </si>
  <si>
    <t>http://webbook.nist.gov/cgi/cbook.cgi?Formula=CH4&amp;NoIon=on&amp;Units=SI&amp;cSO=on</t>
  </si>
  <si>
    <r>
      <t>Henry</t>
    </r>
    <r>
      <rPr>
        <vertAlign val="subscript"/>
        <sz val="11"/>
        <rFont val="Calibri"/>
        <family val="2"/>
        <scheme val="minor"/>
      </rPr>
      <t>GNH3,25</t>
    </r>
  </si>
  <si>
    <r>
      <t>Henry coefficient for NH</t>
    </r>
    <r>
      <rPr>
        <vertAlign val="subscript"/>
        <sz val="11"/>
        <rFont val="Calibri"/>
        <family val="2"/>
        <scheme val="minor"/>
      </rPr>
      <t xml:space="preserve">3 </t>
    </r>
    <r>
      <rPr>
        <sz val="11"/>
        <rFont val="Calibri"/>
        <family val="2"/>
        <scheme val="minor"/>
      </rPr>
      <t>@25°C</t>
    </r>
  </si>
  <si>
    <t>http://webbook.nist.gov/cgi/cbook.cgi?Formula=NH3&amp;NoIon=on&amp;Units=SI&amp;cSO=on</t>
  </si>
  <si>
    <r>
      <t>Henry</t>
    </r>
    <r>
      <rPr>
        <vertAlign val="subscript"/>
        <sz val="11"/>
        <rFont val="Calibri"/>
        <family val="2"/>
        <scheme val="minor"/>
      </rPr>
      <t>GNH3,dt</t>
    </r>
  </si>
  <si>
    <r>
      <t>Temperature dependency factor for NH</t>
    </r>
    <r>
      <rPr>
        <vertAlign val="subscript"/>
        <sz val="11"/>
        <rFont val="Calibri"/>
        <family val="2"/>
        <scheme val="minor"/>
      </rPr>
      <t>3</t>
    </r>
    <r>
      <rPr>
        <sz val="11"/>
        <rFont val="Calibri"/>
        <family val="2"/>
        <scheme val="minor"/>
      </rPr>
      <t xml:space="preserve"> Henry coefficient</t>
    </r>
  </si>
  <si>
    <r>
      <t>Henry coefficient for H</t>
    </r>
    <r>
      <rPr>
        <vertAlign val="subscript"/>
        <sz val="11"/>
        <rFont val="Calibri"/>
        <family val="2"/>
        <scheme val="minor"/>
      </rPr>
      <t>2</t>
    </r>
    <r>
      <rPr>
        <sz val="11"/>
        <rFont val="Calibri"/>
        <family val="2"/>
        <scheme val="minor"/>
      </rPr>
      <t>S</t>
    </r>
    <r>
      <rPr>
        <vertAlign val="subscript"/>
        <sz val="11"/>
        <rFont val="Calibri"/>
        <family val="2"/>
        <scheme val="minor"/>
      </rPr>
      <t xml:space="preserve"> </t>
    </r>
    <r>
      <rPr>
        <sz val="11"/>
        <rFont val="Calibri"/>
        <family val="2"/>
        <scheme val="minor"/>
      </rPr>
      <t>@25°C</t>
    </r>
  </si>
  <si>
    <t>http://webbook.nist.gov/cgi/cbook.cgi?Formula=H2S&amp;NoIon=on&amp;Units=SI&amp;cSO=on</t>
  </si>
  <si>
    <t>Diffusion coefficient of hydrogen sulfide in water @ 25°C</t>
  </si>
  <si>
    <t>Enthalpy of water at 0°C</t>
  </si>
  <si>
    <t>Molecular mass of hydrogen sulphide</t>
  </si>
  <si>
    <r>
      <t>MM</t>
    </r>
    <r>
      <rPr>
        <vertAlign val="subscript"/>
        <sz val="11"/>
        <rFont val="Calibri"/>
        <family val="2"/>
        <scheme val="minor"/>
      </rPr>
      <t>ACP</t>
    </r>
  </si>
  <si>
    <r>
      <t>Electron equivalence of H</t>
    </r>
    <r>
      <rPr>
        <vertAlign val="subscript"/>
        <sz val="11"/>
        <rFont val="Calibri"/>
        <family val="2"/>
        <scheme val="minor"/>
      </rPr>
      <t>2</t>
    </r>
    <r>
      <rPr>
        <sz val="11"/>
        <rFont val="Calibri"/>
        <family val="2"/>
        <scheme val="minor"/>
      </rPr>
      <t>S to H</t>
    </r>
    <r>
      <rPr>
        <vertAlign val="subscript"/>
        <sz val="11"/>
        <rFont val="Calibri"/>
        <family val="2"/>
        <scheme val="minor"/>
      </rPr>
      <t>2</t>
    </r>
    <r>
      <rPr>
        <sz val="11"/>
        <rFont val="Calibri"/>
        <family val="2"/>
        <scheme val="minor"/>
      </rPr>
      <t>SO</t>
    </r>
    <r>
      <rPr>
        <vertAlign val="subscript"/>
        <sz val="11"/>
        <rFont val="Calibri"/>
        <family val="2"/>
        <scheme val="minor"/>
      </rPr>
      <t>4</t>
    </r>
  </si>
  <si>
    <t>Precipitation/redissolution rates</t>
  </si>
  <si>
    <t>Digester</t>
  </si>
  <si>
    <t>NonDetect</t>
  </si>
  <si>
    <r>
      <t>g TIC.m</t>
    </r>
    <r>
      <rPr>
        <vertAlign val="superscript"/>
        <sz val="11"/>
        <rFont val="Calibri"/>
        <family val="2"/>
        <scheme val="minor"/>
      </rPr>
      <t>-3</t>
    </r>
  </si>
  <si>
    <t>Type(Energy)</t>
  </si>
  <si>
    <t>Temperature [K]</t>
  </si>
  <si>
    <t>Temperature [°C]</t>
  </si>
  <si>
    <t>°C</t>
  </si>
  <si>
    <t>Zero</t>
  </si>
  <si>
    <t xml:space="preserve">  </t>
  </si>
  <si>
    <t>Type(Chargebalance)</t>
  </si>
  <si>
    <t>Rate</t>
  </si>
  <si>
    <r>
      <t>f(S</t>
    </r>
    <r>
      <rPr>
        <vertAlign val="subscript"/>
        <sz val="11"/>
        <rFont val="Calibri"/>
        <family val="2"/>
        <scheme val="minor"/>
      </rPr>
      <t>CO2</t>
    </r>
    <r>
      <rPr>
        <sz val="11"/>
        <rFont val="Calibri"/>
        <family val="2"/>
        <scheme val="minor"/>
      </rPr>
      <t>); pH</t>
    </r>
  </si>
  <si>
    <r>
      <t>f(S</t>
    </r>
    <r>
      <rPr>
        <vertAlign val="subscript"/>
        <sz val="11"/>
        <rFont val="Calibri"/>
        <family val="2"/>
        <scheme val="minor"/>
      </rPr>
      <t>PO4</t>
    </r>
    <r>
      <rPr>
        <sz val="11"/>
        <rFont val="Calibri"/>
        <family val="2"/>
        <scheme val="minor"/>
      </rPr>
      <t>);pH</t>
    </r>
  </si>
  <si>
    <r>
      <t>f(S</t>
    </r>
    <r>
      <rPr>
        <vertAlign val="subscript"/>
        <sz val="11"/>
        <rFont val="Calibri"/>
        <family val="2"/>
        <scheme val="minor"/>
      </rPr>
      <t>Ca</t>
    </r>
    <r>
      <rPr>
        <sz val="11"/>
        <rFont val="Calibri"/>
        <family val="2"/>
        <scheme val="minor"/>
      </rPr>
      <t>); pH</t>
    </r>
  </si>
  <si>
    <r>
      <t>f(S</t>
    </r>
    <r>
      <rPr>
        <vertAlign val="subscript"/>
        <sz val="11"/>
        <rFont val="Calibri"/>
        <family val="2"/>
      </rPr>
      <t>Mg</t>
    </r>
    <r>
      <rPr>
        <sz val="11"/>
        <rFont val="Calibri"/>
        <family val="2"/>
      </rPr>
      <t>); pH</t>
    </r>
  </si>
  <si>
    <r>
      <t>f(S</t>
    </r>
    <r>
      <rPr>
        <vertAlign val="subscript"/>
        <sz val="11"/>
        <rFont val="Calibri"/>
        <family val="2"/>
      </rPr>
      <t>CAT</t>
    </r>
    <r>
      <rPr>
        <sz val="11"/>
        <rFont val="Calibri"/>
        <family val="2"/>
      </rPr>
      <t>); pH</t>
    </r>
  </si>
  <si>
    <r>
      <t>f(S</t>
    </r>
    <r>
      <rPr>
        <vertAlign val="subscript"/>
        <sz val="11"/>
        <rFont val="Calibri"/>
        <family val="2"/>
      </rPr>
      <t>K</t>
    </r>
    <r>
      <rPr>
        <sz val="11"/>
        <rFont val="Calibri"/>
        <family val="2"/>
      </rPr>
      <t>); pH</t>
    </r>
  </si>
  <si>
    <r>
      <t>f(S</t>
    </r>
    <r>
      <rPr>
        <vertAlign val="subscript"/>
        <sz val="11"/>
        <rFont val="Calibri"/>
        <family val="2"/>
      </rPr>
      <t>AN</t>
    </r>
    <r>
      <rPr>
        <sz val="11"/>
        <rFont val="Calibri"/>
        <family val="2"/>
      </rPr>
      <t>); pH</t>
    </r>
  </si>
  <si>
    <t>Hsat(var; halfval; halfinh)</t>
  </si>
  <si>
    <t>var / (halfval + var + (var^2/halfinh))</t>
  </si>
  <si>
    <t>Arrhenius coefficient for fermentation (OHO)</t>
  </si>
  <si>
    <t>Arrhenius coefficient for flocculation</t>
  </si>
  <si>
    <t>Arrhenius coefficient for hydrolysis</t>
  </si>
  <si>
    <t>Arrhenius coefficient for ammonification</t>
  </si>
  <si>
    <t>Arrhenius coefficient for PO4 conversion</t>
  </si>
  <si>
    <t>Arrhenius coefficient endogenous residual conversion</t>
  </si>
  <si>
    <t>Arrhenius coefficient assimilative kinetics</t>
  </si>
  <si>
    <t>Arrhenius coefficient for OHO growth</t>
  </si>
  <si>
    <t>Arrhenius coefficient for OHO decay</t>
  </si>
  <si>
    <t>Arrhenius coefficient for MEOLO growth</t>
  </si>
  <si>
    <t>Arrhenius coefficient for MEOLO decay</t>
  </si>
  <si>
    <t>Arrhenius coefficient for PAO growth (P limited)</t>
  </si>
  <si>
    <t>Arrhenius coefficient for PHA storage</t>
  </si>
  <si>
    <t>Arrhenius coefficient for anaerobic PP storage</t>
  </si>
  <si>
    <t>Arrhenius coefficient for AMETO growth</t>
  </si>
  <si>
    <t>Arrhenius coefficient for AMETO decay</t>
  </si>
  <si>
    <t>Arrhenius coefficient for HMETO growth</t>
  </si>
  <si>
    <t>Arrhenius coefficient for HMETO decay</t>
  </si>
  <si>
    <r>
      <t>f(S</t>
    </r>
    <r>
      <rPr>
        <vertAlign val="subscript"/>
        <sz val="11"/>
        <rFont val="Calibri"/>
        <family val="2"/>
        <scheme val="minor"/>
      </rPr>
      <t>NHx</t>
    </r>
    <r>
      <rPr>
        <sz val="11"/>
        <rFont val="Calibri"/>
        <family val="2"/>
        <scheme val="minor"/>
      </rPr>
      <t>); pH</t>
    </r>
  </si>
  <si>
    <t>Non-Biofilm</t>
  </si>
  <si>
    <t>Non-pHSet; pH</t>
  </si>
  <si>
    <r>
      <t>[AN</t>
    </r>
    <r>
      <rPr>
        <b/>
        <vertAlign val="superscript"/>
        <sz val="11"/>
        <rFont val="Calibri"/>
        <family val="2"/>
      </rPr>
      <t>-</t>
    </r>
    <r>
      <rPr>
        <b/>
        <sz val="11"/>
        <rFont val="Calibri"/>
        <family val="2"/>
      </rPr>
      <t>]</t>
    </r>
  </si>
  <si>
    <r>
      <t>[CAT</t>
    </r>
    <r>
      <rPr>
        <b/>
        <vertAlign val="superscript"/>
        <sz val="11"/>
        <rFont val="Calibri"/>
        <family val="2"/>
      </rPr>
      <t>+</t>
    </r>
    <r>
      <rPr>
        <b/>
        <sz val="11"/>
        <rFont val="Calibri"/>
        <family val="2"/>
      </rPr>
      <t>]</t>
    </r>
  </si>
  <si>
    <t>Parameters for gas transfer</t>
  </si>
  <si>
    <t>BigNumber</t>
  </si>
  <si>
    <t>pHSet</t>
  </si>
  <si>
    <r>
      <t>Diffusion coefficient of N</t>
    </r>
    <r>
      <rPr>
        <vertAlign val="subscript"/>
        <sz val="11"/>
        <rFont val="Calibri"/>
        <family val="2"/>
      </rPr>
      <t>2</t>
    </r>
    <r>
      <rPr>
        <sz val="11"/>
        <rFont val="Calibri"/>
        <family val="2"/>
      </rPr>
      <t>O in water @ 25°C</t>
    </r>
  </si>
  <si>
    <r>
      <t>MM</t>
    </r>
    <r>
      <rPr>
        <vertAlign val="subscript"/>
        <sz val="11"/>
        <rFont val="Calibri"/>
        <family val="2"/>
      </rPr>
      <t>Fe2O3</t>
    </r>
  </si>
  <si>
    <r>
      <t>Molecular mass of Fe</t>
    </r>
    <r>
      <rPr>
        <vertAlign val="subscript"/>
        <sz val="11"/>
        <rFont val="Calibri"/>
        <family val="2"/>
        <scheme val="minor"/>
      </rPr>
      <t>2</t>
    </r>
    <r>
      <rPr>
        <sz val="11"/>
        <rFont val="Calibri"/>
        <family val="2"/>
        <scheme val="minor"/>
      </rPr>
      <t>O</t>
    </r>
    <r>
      <rPr>
        <vertAlign val="subscript"/>
        <sz val="11"/>
        <rFont val="Calibri"/>
        <family val="2"/>
        <scheme val="minor"/>
      </rPr>
      <t>3</t>
    </r>
  </si>
  <si>
    <r>
      <t>MM</t>
    </r>
    <r>
      <rPr>
        <vertAlign val="subscript"/>
        <sz val="11"/>
        <rFont val="Calibri"/>
        <family val="2"/>
      </rPr>
      <t>PO4</t>
    </r>
  </si>
  <si>
    <r>
      <t>MM</t>
    </r>
    <r>
      <rPr>
        <vertAlign val="subscript"/>
        <sz val="11"/>
        <rFont val="Calibri"/>
        <family val="2"/>
      </rPr>
      <t>CO2</t>
    </r>
  </si>
  <si>
    <r>
      <t>MM</t>
    </r>
    <r>
      <rPr>
        <vertAlign val="subscript"/>
        <sz val="11"/>
        <rFont val="Calibri"/>
        <family val="2"/>
        <scheme val="minor"/>
      </rPr>
      <t>CaCO3</t>
    </r>
  </si>
  <si>
    <r>
      <t>MM</t>
    </r>
    <r>
      <rPr>
        <vertAlign val="subscript"/>
        <sz val="11"/>
        <rFont val="Calibri"/>
        <family val="2"/>
        <scheme val="minor"/>
      </rPr>
      <t>STR</t>
    </r>
  </si>
  <si>
    <r>
      <t>MM</t>
    </r>
    <r>
      <rPr>
        <vertAlign val="subscript"/>
        <sz val="11"/>
        <rFont val="Calibri"/>
        <family val="2"/>
        <scheme val="minor"/>
      </rPr>
      <t>EQ,GN2</t>
    </r>
  </si>
  <si>
    <r>
      <t>MM</t>
    </r>
    <r>
      <rPr>
        <vertAlign val="subscript"/>
        <sz val="11"/>
        <rFont val="Calibri"/>
        <family val="2"/>
        <scheme val="minor"/>
      </rPr>
      <t>EQ,GNH3</t>
    </r>
  </si>
  <si>
    <r>
      <t>MM</t>
    </r>
    <r>
      <rPr>
        <vertAlign val="subscript"/>
        <sz val="11"/>
        <rFont val="Calibri"/>
        <family val="2"/>
        <scheme val="minor"/>
      </rPr>
      <t>EQ,GNO</t>
    </r>
  </si>
  <si>
    <r>
      <t>MM</t>
    </r>
    <r>
      <rPr>
        <vertAlign val="subscript"/>
        <sz val="11"/>
        <rFont val="Calibri"/>
        <family val="2"/>
        <scheme val="minor"/>
      </rPr>
      <t>EQ,GN2O</t>
    </r>
  </si>
  <si>
    <r>
      <t>MM</t>
    </r>
    <r>
      <rPr>
        <vertAlign val="subscript"/>
        <sz val="11"/>
        <rFont val="Calibri"/>
        <family val="2"/>
        <scheme val="minor"/>
      </rPr>
      <t>EQ,GCO2</t>
    </r>
  </si>
  <si>
    <r>
      <t>C</t>
    </r>
    <r>
      <rPr>
        <vertAlign val="subscript"/>
        <sz val="11"/>
        <rFont val="Calibri"/>
        <family val="2"/>
        <scheme val="minor"/>
      </rPr>
      <t>O2</t>
    </r>
    <r>
      <rPr>
        <sz val="11"/>
        <rFont val="Calibri"/>
        <family val="2"/>
        <scheme val="minor"/>
      </rPr>
      <t xml:space="preserve"> is used in mg/l in kinetic matrix, no need for any special eq-type value, so the exact value is the same as the molecular mass. This is needed only because of the CSTR code, which needs MM</t>
    </r>
    <r>
      <rPr>
        <vertAlign val="subscript"/>
        <sz val="11"/>
        <rFont val="Calibri"/>
        <family val="2"/>
        <scheme val="minor"/>
      </rPr>
      <t>EQ,XXX</t>
    </r>
    <r>
      <rPr>
        <sz val="11"/>
        <rFont val="Calibri"/>
        <family val="2"/>
        <scheme val="minor"/>
      </rPr>
      <t xml:space="preserve"> data</t>
    </r>
  </si>
  <si>
    <r>
      <t>MM</t>
    </r>
    <r>
      <rPr>
        <vertAlign val="subscript"/>
        <sz val="11"/>
        <rFont val="Calibri"/>
        <family val="2"/>
        <scheme val="minor"/>
      </rPr>
      <t>EQ,GO2</t>
    </r>
  </si>
  <si>
    <t>Hvitved-Jacobsen 2013</t>
  </si>
  <si>
    <t>base is sulphate</t>
  </si>
  <si>
    <t>pH = 4.1929</t>
  </si>
  <si>
    <t>Standard enthalpy of hydrogen sulfide (aq)</t>
  </si>
  <si>
    <t>Standard enthalpy of bisulfide ion</t>
  </si>
  <si>
    <t xml:space="preserve">Minteq V4 H+ + HS- = H2S  (log_k 7.02/ delta_h -22 kJ)and  HS- = S-2 + H+ ( log_k -17.3/delta_h 49.4 kJ)
</t>
  </si>
  <si>
    <t>Standard enthalpy of sulfide ion</t>
  </si>
  <si>
    <t>Standard enthalpy of sulfuric acid</t>
  </si>
  <si>
    <t>Standard enthalpy of hydrosulfate ion</t>
  </si>
  <si>
    <t>Minteq V4 H+ + SO42- = HSO4- (log_k 1.99/ delta_h 22 kJ) and http://bluedevilchem.com/honorshome/hch10/hch10docs/files/heatsformation.pdf</t>
  </si>
  <si>
    <t>Standard enthalpy of sulfate ion</t>
  </si>
  <si>
    <r>
      <t>S</t>
    </r>
    <r>
      <rPr>
        <vertAlign val="subscript"/>
        <sz val="11"/>
        <rFont val="Calibri"/>
        <family val="2"/>
        <scheme val="minor"/>
      </rPr>
      <t>ALK</t>
    </r>
  </si>
  <si>
    <r>
      <t>f</t>
    </r>
    <r>
      <rPr>
        <vertAlign val="subscript"/>
        <sz val="11"/>
        <rFont val="Calibri"/>
        <family val="2"/>
      </rPr>
      <t>mono,IS,cat</t>
    </r>
  </si>
  <si>
    <r>
      <t>f</t>
    </r>
    <r>
      <rPr>
        <vertAlign val="subscript"/>
        <sz val="11"/>
        <rFont val="Calibri"/>
        <family val="2"/>
      </rPr>
      <t>mono,IS,an</t>
    </r>
  </si>
  <si>
    <r>
      <t>f</t>
    </r>
    <r>
      <rPr>
        <vertAlign val="subscript"/>
        <sz val="11"/>
        <rFont val="Calibri"/>
        <family val="2"/>
      </rPr>
      <t>di,IS,an</t>
    </r>
  </si>
  <si>
    <r>
      <t>f</t>
    </r>
    <r>
      <rPr>
        <vertAlign val="subscript"/>
        <sz val="11"/>
        <rFont val="Calibri"/>
        <family val="2"/>
      </rPr>
      <t>tri,IS,an</t>
    </r>
  </si>
  <si>
    <r>
      <t>f</t>
    </r>
    <r>
      <rPr>
        <vertAlign val="subscript"/>
        <sz val="11"/>
        <rFont val="Calibri"/>
        <family val="2"/>
      </rPr>
      <t>di,IS,cat</t>
    </r>
  </si>
  <si>
    <t>Enthalpy</t>
  </si>
  <si>
    <t>Water with 0°C is considered to have zero enthalpy. Initial values are calculated for 20°C</t>
  </si>
  <si>
    <r>
      <t>MM</t>
    </r>
    <r>
      <rPr>
        <vertAlign val="subscript"/>
        <sz val="11"/>
        <rFont val="Calibri"/>
        <family val="2"/>
        <charset val="238"/>
        <scheme val="minor"/>
      </rPr>
      <t>MKP</t>
    </r>
  </si>
  <si>
    <t>Molecular mass of struvite-K</t>
  </si>
  <si>
    <r>
      <t>MM</t>
    </r>
    <r>
      <rPr>
        <vertAlign val="subscript"/>
        <sz val="11"/>
        <rFont val="Calibri"/>
        <family val="2"/>
        <scheme val="minor"/>
      </rPr>
      <t>HDP</t>
    </r>
  </si>
  <si>
    <t>Molecular mass of HDP</t>
  </si>
  <si>
    <r>
      <t>MM</t>
    </r>
    <r>
      <rPr>
        <vertAlign val="subscript"/>
        <sz val="11"/>
        <rFont val="Calibri"/>
        <family val="2"/>
        <scheme val="minor"/>
      </rPr>
      <t>HAP</t>
    </r>
  </si>
  <si>
    <t>Molecular mass of HAP</t>
  </si>
  <si>
    <r>
      <t>MM</t>
    </r>
    <r>
      <rPr>
        <vertAlign val="subscript"/>
        <sz val="11"/>
        <rFont val="Calibri"/>
        <family val="2"/>
        <scheme val="minor"/>
      </rPr>
      <t>CaOH</t>
    </r>
  </si>
  <si>
    <t>Molecular mass of CaOH</t>
  </si>
  <si>
    <r>
      <t>MM</t>
    </r>
    <r>
      <rPr>
        <vertAlign val="subscript"/>
        <sz val="11"/>
        <rFont val="Calibri"/>
        <family val="2"/>
        <scheme val="minor"/>
      </rPr>
      <t>CaHCO3</t>
    </r>
  </si>
  <si>
    <r>
      <t>MM</t>
    </r>
    <r>
      <rPr>
        <vertAlign val="subscript"/>
        <sz val="11"/>
        <rFont val="Calibri"/>
        <family val="2"/>
        <scheme val="minor"/>
      </rPr>
      <t>CaPO4</t>
    </r>
  </si>
  <si>
    <r>
      <t>MM</t>
    </r>
    <r>
      <rPr>
        <vertAlign val="subscript"/>
        <sz val="11"/>
        <rFont val="Calibri"/>
        <family val="2"/>
        <scheme val="minor"/>
      </rPr>
      <t>CaHPO4</t>
    </r>
  </si>
  <si>
    <r>
      <t>MM</t>
    </r>
    <r>
      <rPr>
        <vertAlign val="subscript"/>
        <sz val="11"/>
        <rFont val="Calibri"/>
        <family val="2"/>
        <scheme val="minor"/>
      </rPr>
      <t>CaH2PO4</t>
    </r>
  </si>
  <si>
    <r>
      <t>MM</t>
    </r>
    <r>
      <rPr>
        <vertAlign val="subscript"/>
        <sz val="11"/>
        <rFont val="Calibri"/>
        <family val="2"/>
        <scheme val="minor"/>
      </rPr>
      <t>MgOH</t>
    </r>
  </si>
  <si>
    <r>
      <t>MM</t>
    </r>
    <r>
      <rPr>
        <vertAlign val="subscript"/>
        <sz val="11"/>
        <rFont val="Calibri"/>
        <family val="2"/>
        <scheme val="minor"/>
      </rPr>
      <t>MgCO3</t>
    </r>
  </si>
  <si>
    <r>
      <t>MM</t>
    </r>
    <r>
      <rPr>
        <vertAlign val="subscript"/>
        <sz val="11"/>
        <rFont val="Calibri"/>
        <family val="2"/>
        <scheme val="minor"/>
      </rPr>
      <t>MgHCO3</t>
    </r>
  </si>
  <si>
    <r>
      <t>MM</t>
    </r>
    <r>
      <rPr>
        <vertAlign val="subscript"/>
        <sz val="11"/>
        <rFont val="Calibri"/>
        <family val="2"/>
        <scheme val="minor"/>
      </rPr>
      <t>MgHPO4</t>
    </r>
  </si>
  <si>
    <r>
      <t>MM</t>
    </r>
    <r>
      <rPr>
        <vertAlign val="subscript"/>
        <sz val="11"/>
        <rFont val="Calibri"/>
        <family val="2"/>
        <scheme val="minor"/>
      </rPr>
      <t>MgPO4</t>
    </r>
  </si>
  <si>
    <r>
      <t>MM</t>
    </r>
    <r>
      <rPr>
        <vertAlign val="subscript"/>
        <sz val="11"/>
        <rFont val="Calibri"/>
        <family val="2"/>
        <scheme val="minor"/>
      </rPr>
      <t>MgH2PO4</t>
    </r>
  </si>
  <si>
    <r>
      <t>MM</t>
    </r>
    <r>
      <rPr>
        <vertAlign val="subscript"/>
        <sz val="11"/>
        <rFont val="Calibri"/>
        <family val="2"/>
        <scheme val="minor"/>
      </rPr>
      <t>NaHPO4</t>
    </r>
  </si>
  <si>
    <t>Precipitation constants</t>
  </si>
  <si>
    <r>
      <t>H</t>
    </r>
    <r>
      <rPr>
        <vertAlign val="subscript"/>
        <sz val="11"/>
        <rFont val="Calibri"/>
        <family val="2"/>
        <scheme val="minor"/>
      </rPr>
      <t>Ca2p</t>
    </r>
  </si>
  <si>
    <t>Standard enthalpy of calcium ion</t>
  </si>
  <si>
    <r>
      <t>H</t>
    </r>
    <r>
      <rPr>
        <vertAlign val="subscript"/>
        <sz val="11"/>
        <rFont val="Calibri"/>
        <family val="2"/>
        <scheme val="minor"/>
      </rPr>
      <t>Mg2p</t>
    </r>
  </si>
  <si>
    <r>
      <t>H</t>
    </r>
    <r>
      <rPr>
        <vertAlign val="subscript"/>
        <sz val="11"/>
        <rFont val="Calibri"/>
        <family val="2"/>
        <scheme val="minor"/>
      </rPr>
      <t>Nap</t>
    </r>
  </si>
  <si>
    <t>Standard enthalpy of sodium ion</t>
  </si>
  <si>
    <r>
      <t>g.m</t>
    </r>
    <r>
      <rPr>
        <vertAlign val="superscript"/>
        <sz val="11"/>
        <rFont val="Calibri"/>
        <family val="2"/>
        <scheme val="minor"/>
      </rPr>
      <t>-3</t>
    </r>
    <r>
      <rPr>
        <sz val="11"/>
        <rFont val="Calibri"/>
        <family val="2"/>
        <scheme val="minor"/>
      </rPr>
      <t>.d</t>
    </r>
    <r>
      <rPr>
        <vertAlign val="superscript"/>
        <sz val="11"/>
        <rFont val="Calibri"/>
        <family val="2"/>
        <scheme val="minor"/>
      </rPr>
      <t>-1</t>
    </r>
  </si>
  <si>
    <t>d-1</t>
  </si>
  <si>
    <r>
      <t>Electron equivalence of S0 to H</t>
    </r>
    <r>
      <rPr>
        <vertAlign val="subscript"/>
        <sz val="11"/>
        <rFont val="Calibri"/>
        <family val="2"/>
        <scheme val="minor"/>
      </rPr>
      <t>2</t>
    </r>
    <r>
      <rPr>
        <sz val="11"/>
        <rFont val="Calibri"/>
        <family val="2"/>
        <scheme val="minor"/>
      </rPr>
      <t>SO</t>
    </r>
    <r>
      <rPr>
        <vertAlign val="subscript"/>
        <sz val="11"/>
        <rFont val="Calibri"/>
        <family val="2"/>
        <scheme val="minor"/>
      </rPr>
      <t>4</t>
    </r>
  </si>
  <si>
    <t>Precipitation constants - activity corrected</t>
  </si>
  <si>
    <r>
      <t>K</t>
    </r>
    <r>
      <rPr>
        <vertAlign val="subscript"/>
        <sz val="11"/>
        <rFont val="Calibri"/>
        <family val="2"/>
        <scheme val="minor"/>
      </rPr>
      <t>sp,CaCO3,param</t>
    </r>
  </si>
  <si>
    <r>
      <t>K</t>
    </r>
    <r>
      <rPr>
        <vertAlign val="subscript"/>
        <sz val="11"/>
        <rFont val="Calibri"/>
        <family val="2"/>
        <scheme val="minor"/>
      </rPr>
      <t>sp,STR,param</t>
    </r>
  </si>
  <si>
    <r>
      <t>K</t>
    </r>
    <r>
      <rPr>
        <vertAlign val="subscript"/>
        <sz val="11"/>
        <rFont val="Calibri"/>
        <family val="2"/>
        <scheme val="minor"/>
      </rPr>
      <t>sp,Vivi,param</t>
    </r>
  </si>
  <si>
    <r>
      <t>K</t>
    </r>
    <r>
      <rPr>
        <vertAlign val="subscript"/>
        <sz val="11"/>
        <rFont val="Calibri"/>
        <family val="2"/>
        <scheme val="minor"/>
      </rPr>
      <t>sp,HDP,param</t>
    </r>
  </si>
  <si>
    <r>
      <t>K</t>
    </r>
    <r>
      <rPr>
        <vertAlign val="subscript"/>
        <sz val="11"/>
        <rFont val="Calibri"/>
        <family val="2"/>
        <scheme val="minor"/>
      </rPr>
      <t>sp,MKP,param</t>
    </r>
  </si>
  <si>
    <r>
      <t>K</t>
    </r>
    <r>
      <rPr>
        <vertAlign val="subscript"/>
        <sz val="11"/>
        <rFont val="Calibri"/>
        <family val="2"/>
        <scheme val="minor"/>
      </rPr>
      <t>sp,ACP,param</t>
    </r>
  </si>
  <si>
    <r>
      <t>K</t>
    </r>
    <r>
      <rPr>
        <vertAlign val="subscript"/>
        <sz val="11"/>
        <rFont val="Calibri"/>
        <family val="2"/>
        <scheme val="minor"/>
      </rPr>
      <t>sp,STR</t>
    </r>
  </si>
  <si>
    <r>
      <t>K</t>
    </r>
    <r>
      <rPr>
        <vertAlign val="subscript"/>
        <sz val="11"/>
        <rFont val="Calibri"/>
        <family val="2"/>
        <scheme val="minor"/>
      </rPr>
      <t>sp,Vivi</t>
    </r>
  </si>
  <si>
    <r>
      <t>K</t>
    </r>
    <r>
      <rPr>
        <vertAlign val="subscript"/>
        <sz val="11"/>
        <rFont val="Calibri"/>
        <family val="2"/>
        <scheme val="minor"/>
      </rPr>
      <t>sp,ACP</t>
    </r>
  </si>
  <si>
    <r>
      <t>K</t>
    </r>
    <r>
      <rPr>
        <vertAlign val="subscript"/>
        <sz val="11"/>
        <rFont val="Calibri"/>
        <family val="2"/>
        <scheme val="minor"/>
      </rPr>
      <t>sp,CaCO3</t>
    </r>
  </si>
  <si>
    <r>
      <t>EEQ</t>
    </r>
    <r>
      <rPr>
        <vertAlign val="subscript"/>
        <sz val="11"/>
        <rFont val="Calibri"/>
        <family val="2"/>
        <scheme val="minor"/>
      </rPr>
      <t>S</t>
    </r>
  </si>
  <si>
    <t>Molecular mass of CaHCO3+</t>
  </si>
  <si>
    <t>Molecular mass of CaPO4-</t>
  </si>
  <si>
    <t>Molecular mass of CaHPO4</t>
  </si>
  <si>
    <t>Molecular mass of CaH2PO4+</t>
  </si>
  <si>
    <t>Molecular mass of MgOH+</t>
  </si>
  <si>
    <t>Molecular mass of MgCO3</t>
  </si>
  <si>
    <t>Molecular mass of MgHCO3+</t>
  </si>
  <si>
    <t>Molecular mass of MgHPO4</t>
  </si>
  <si>
    <t>Molecular mass of MgPO4-</t>
  </si>
  <si>
    <t>Molecular mass of MgH2PO4+</t>
  </si>
  <si>
    <t>Molecular mass of NaHPO4-</t>
  </si>
  <si>
    <r>
      <t>K</t>
    </r>
    <r>
      <rPr>
        <vertAlign val="subscript"/>
        <sz val="11"/>
        <rFont val="Calibri"/>
        <family val="2"/>
        <scheme val="minor"/>
      </rPr>
      <t>S1,param</t>
    </r>
  </si>
  <si>
    <r>
      <t>K</t>
    </r>
    <r>
      <rPr>
        <vertAlign val="subscript"/>
        <sz val="11"/>
        <rFont val="Calibri"/>
        <family val="2"/>
        <scheme val="minor"/>
      </rPr>
      <t>S2,param</t>
    </r>
  </si>
  <si>
    <r>
      <t>K</t>
    </r>
    <r>
      <rPr>
        <vertAlign val="subscript"/>
        <sz val="11"/>
        <rFont val="Calibri"/>
        <family val="2"/>
        <scheme val="minor"/>
      </rPr>
      <t>SO41,param</t>
    </r>
  </si>
  <si>
    <r>
      <t>K</t>
    </r>
    <r>
      <rPr>
        <vertAlign val="subscript"/>
        <sz val="11"/>
        <rFont val="Calibri"/>
        <family val="2"/>
        <scheme val="minor"/>
      </rPr>
      <t>SO42,param</t>
    </r>
  </si>
  <si>
    <r>
      <t>K</t>
    </r>
    <r>
      <rPr>
        <vertAlign val="subscript"/>
        <sz val="11"/>
        <rFont val="Calibri"/>
        <family val="2"/>
        <scheme val="minor"/>
      </rPr>
      <t>sp,FeS,param</t>
    </r>
  </si>
  <si>
    <r>
      <t>EEQ</t>
    </r>
    <r>
      <rPr>
        <vertAlign val="subscript"/>
        <sz val="11"/>
        <rFont val="Calibri"/>
        <family val="2"/>
        <scheme val="minor"/>
      </rPr>
      <t>Fe2</t>
    </r>
  </si>
  <si>
    <r>
      <t>Electron equivalence of Fe</t>
    </r>
    <r>
      <rPr>
        <vertAlign val="superscript"/>
        <sz val="11"/>
        <rFont val="Calibri"/>
        <family val="2"/>
        <scheme val="minor"/>
      </rPr>
      <t>2+</t>
    </r>
  </si>
  <si>
    <r>
      <t>H</t>
    </r>
    <r>
      <rPr>
        <vertAlign val="subscript"/>
        <sz val="11"/>
        <rFont val="Calibri"/>
        <family val="2"/>
        <scheme val="minor"/>
      </rPr>
      <t>H2S</t>
    </r>
  </si>
  <si>
    <r>
      <t>H</t>
    </r>
    <r>
      <rPr>
        <vertAlign val="subscript"/>
        <sz val="11"/>
        <rFont val="Calibri"/>
        <family val="2"/>
        <scheme val="minor"/>
      </rPr>
      <t>HSm</t>
    </r>
  </si>
  <si>
    <r>
      <t>H</t>
    </r>
    <r>
      <rPr>
        <vertAlign val="subscript"/>
        <sz val="11"/>
        <rFont val="Calibri"/>
        <family val="2"/>
        <scheme val="minor"/>
      </rPr>
      <t>S2m</t>
    </r>
  </si>
  <si>
    <r>
      <t>H</t>
    </r>
    <r>
      <rPr>
        <vertAlign val="subscript"/>
        <sz val="11"/>
        <rFont val="Calibri"/>
        <family val="2"/>
        <scheme val="minor"/>
      </rPr>
      <t>H2SO4</t>
    </r>
  </si>
  <si>
    <r>
      <t>H</t>
    </r>
    <r>
      <rPr>
        <vertAlign val="subscript"/>
        <sz val="11"/>
        <rFont val="Calibri"/>
        <family val="2"/>
        <scheme val="minor"/>
      </rPr>
      <t>HSO4m</t>
    </r>
  </si>
  <si>
    <r>
      <t>H</t>
    </r>
    <r>
      <rPr>
        <vertAlign val="subscript"/>
        <sz val="11"/>
        <rFont val="Calibri"/>
        <family val="2"/>
        <scheme val="minor"/>
      </rPr>
      <t>SO42m</t>
    </r>
  </si>
  <si>
    <r>
      <t>-X</t>
    </r>
    <r>
      <rPr>
        <vertAlign val="subscript"/>
        <sz val="11"/>
        <rFont val="Calibri"/>
        <family val="2"/>
      </rPr>
      <t>HFO,H</t>
    </r>
    <r>
      <rPr>
        <sz val="11"/>
        <rFont val="Calibri"/>
        <family val="2"/>
      </rPr>
      <t>/(X</t>
    </r>
    <r>
      <rPr>
        <vertAlign val="subscript"/>
        <sz val="11"/>
        <rFont val="Calibri"/>
        <family val="2"/>
      </rPr>
      <t>HFO,H</t>
    </r>
    <r>
      <rPr>
        <sz val="11"/>
        <rFont val="Calibri"/>
        <family val="2"/>
      </rPr>
      <t>+X</t>
    </r>
    <r>
      <rPr>
        <vertAlign val="subscript"/>
        <sz val="11"/>
        <rFont val="Calibri"/>
        <family val="2"/>
      </rPr>
      <t>HFO,H,P</t>
    </r>
    <r>
      <rPr>
        <sz val="11"/>
        <rFont val="Calibri"/>
        <family val="2"/>
      </rPr>
      <t>)</t>
    </r>
  </si>
  <si>
    <r>
      <t>X</t>
    </r>
    <r>
      <rPr>
        <vertAlign val="subscript"/>
        <sz val="11"/>
        <rFont val="Calibri"/>
        <family val="2"/>
      </rPr>
      <t>HFO,H</t>
    </r>
    <r>
      <rPr>
        <sz val="11"/>
        <rFont val="Calibri"/>
        <family val="2"/>
      </rPr>
      <t>/(X</t>
    </r>
    <r>
      <rPr>
        <vertAlign val="subscript"/>
        <sz val="11"/>
        <rFont val="Calibri"/>
        <family val="2"/>
      </rPr>
      <t>HFO,H</t>
    </r>
    <r>
      <rPr>
        <sz val="11"/>
        <rFont val="Calibri"/>
        <family val="2"/>
      </rPr>
      <t>+X</t>
    </r>
    <r>
      <rPr>
        <vertAlign val="subscript"/>
        <sz val="11"/>
        <rFont val="Calibri"/>
        <family val="2"/>
      </rPr>
      <t>HFO,H,P</t>
    </r>
    <r>
      <rPr>
        <sz val="11"/>
        <rFont val="Calibri"/>
        <family val="2"/>
      </rPr>
      <t>)</t>
    </r>
  </si>
  <si>
    <r>
      <t>-X</t>
    </r>
    <r>
      <rPr>
        <vertAlign val="subscript"/>
        <sz val="11"/>
        <rFont val="Calibri"/>
        <family val="2"/>
      </rPr>
      <t>HFO,L</t>
    </r>
    <r>
      <rPr>
        <sz val="11"/>
        <rFont val="Calibri"/>
        <family val="2"/>
      </rPr>
      <t>/(X</t>
    </r>
    <r>
      <rPr>
        <vertAlign val="subscript"/>
        <sz val="11"/>
        <rFont val="Calibri"/>
        <family val="2"/>
      </rPr>
      <t>HFO,L</t>
    </r>
    <r>
      <rPr>
        <sz val="11"/>
        <rFont val="Calibri"/>
        <family val="2"/>
      </rPr>
      <t>+X</t>
    </r>
    <r>
      <rPr>
        <vertAlign val="subscript"/>
        <sz val="11"/>
        <rFont val="Calibri"/>
        <family val="2"/>
      </rPr>
      <t>HFO,L,P</t>
    </r>
    <r>
      <rPr>
        <sz val="11"/>
        <rFont val="Calibri"/>
        <family val="2"/>
      </rPr>
      <t>)</t>
    </r>
  </si>
  <si>
    <r>
      <t>X</t>
    </r>
    <r>
      <rPr>
        <vertAlign val="subscript"/>
        <sz val="11"/>
        <rFont val="Calibri"/>
        <family val="2"/>
      </rPr>
      <t>HFO,L</t>
    </r>
    <r>
      <rPr>
        <sz val="11"/>
        <rFont val="Calibri"/>
        <family val="2"/>
      </rPr>
      <t>/(X</t>
    </r>
    <r>
      <rPr>
        <vertAlign val="subscript"/>
        <sz val="11"/>
        <rFont val="Calibri"/>
        <family val="2"/>
      </rPr>
      <t>HFO,L</t>
    </r>
    <r>
      <rPr>
        <sz val="11"/>
        <rFont val="Calibri"/>
        <family val="2"/>
      </rPr>
      <t>+X</t>
    </r>
    <r>
      <rPr>
        <vertAlign val="subscript"/>
        <sz val="11"/>
        <rFont val="Calibri"/>
        <family val="2"/>
      </rPr>
      <t>HFO,L,P</t>
    </r>
    <r>
      <rPr>
        <sz val="11"/>
        <rFont val="Calibri"/>
        <family val="2"/>
      </rPr>
      <t>)</t>
    </r>
  </si>
  <si>
    <r>
      <t>-X</t>
    </r>
    <r>
      <rPr>
        <vertAlign val="subscript"/>
        <sz val="11"/>
        <rFont val="Calibri"/>
        <family val="2"/>
      </rPr>
      <t>HFO,H,P</t>
    </r>
    <r>
      <rPr>
        <sz val="11"/>
        <rFont val="Calibri"/>
        <family val="2"/>
      </rPr>
      <t>/(X</t>
    </r>
    <r>
      <rPr>
        <vertAlign val="subscript"/>
        <sz val="11"/>
        <rFont val="Calibri"/>
        <family val="2"/>
      </rPr>
      <t>HFO,H</t>
    </r>
    <r>
      <rPr>
        <sz val="11"/>
        <rFont val="Calibri"/>
        <family val="2"/>
      </rPr>
      <t>+X</t>
    </r>
    <r>
      <rPr>
        <vertAlign val="subscript"/>
        <sz val="11"/>
        <rFont val="Calibri"/>
        <family val="2"/>
      </rPr>
      <t>HFO,H,P</t>
    </r>
    <r>
      <rPr>
        <sz val="11"/>
        <rFont val="Calibri"/>
        <family val="2"/>
      </rPr>
      <t>)</t>
    </r>
  </si>
  <si>
    <r>
      <t>X</t>
    </r>
    <r>
      <rPr>
        <vertAlign val="subscript"/>
        <sz val="11"/>
        <rFont val="Calibri"/>
        <family val="2"/>
      </rPr>
      <t>HFO,H,P</t>
    </r>
    <r>
      <rPr>
        <sz val="11"/>
        <rFont val="Calibri"/>
        <family val="2"/>
      </rPr>
      <t>/(X</t>
    </r>
    <r>
      <rPr>
        <vertAlign val="subscript"/>
        <sz val="11"/>
        <rFont val="Calibri"/>
        <family val="2"/>
      </rPr>
      <t>HFO,H</t>
    </r>
    <r>
      <rPr>
        <sz val="11"/>
        <rFont val="Calibri"/>
        <family val="2"/>
      </rPr>
      <t>+X</t>
    </r>
    <r>
      <rPr>
        <vertAlign val="subscript"/>
        <sz val="11"/>
        <rFont val="Calibri"/>
        <family val="2"/>
      </rPr>
      <t>HFO,H,P</t>
    </r>
    <r>
      <rPr>
        <sz val="11"/>
        <rFont val="Calibri"/>
        <family val="2"/>
      </rPr>
      <t>)</t>
    </r>
  </si>
  <si>
    <r>
      <t>-X</t>
    </r>
    <r>
      <rPr>
        <vertAlign val="subscript"/>
        <sz val="11"/>
        <rFont val="Calibri"/>
        <family val="2"/>
      </rPr>
      <t>HFO,L,P</t>
    </r>
    <r>
      <rPr>
        <sz val="11"/>
        <rFont val="Calibri"/>
        <family val="2"/>
      </rPr>
      <t>/(X</t>
    </r>
    <r>
      <rPr>
        <vertAlign val="subscript"/>
        <sz val="11"/>
        <rFont val="Calibri"/>
        <family val="2"/>
      </rPr>
      <t>HFO,L</t>
    </r>
    <r>
      <rPr>
        <sz val="11"/>
        <rFont val="Calibri"/>
        <family val="2"/>
      </rPr>
      <t>+X</t>
    </r>
    <r>
      <rPr>
        <vertAlign val="subscript"/>
        <sz val="11"/>
        <rFont val="Calibri"/>
        <family val="2"/>
      </rPr>
      <t>HFO,L,P</t>
    </r>
    <r>
      <rPr>
        <sz val="11"/>
        <rFont val="Calibri"/>
        <family val="2"/>
      </rPr>
      <t>)</t>
    </r>
  </si>
  <si>
    <r>
      <t>X</t>
    </r>
    <r>
      <rPr>
        <vertAlign val="subscript"/>
        <sz val="11"/>
        <rFont val="Calibri"/>
        <family val="2"/>
      </rPr>
      <t>HFO,L,P</t>
    </r>
    <r>
      <rPr>
        <sz val="11"/>
        <rFont val="Calibri"/>
        <family val="2"/>
      </rPr>
      <t>/(X</t>
    </r>
    <r>
      <rPr>
        <vertAlign val="subscript"/>
        <sz val="11"/>
        <rFont val="Calibri"/>
        <family val="2"/>
      </rPr>
      <t>HFO,L</t>
    </r>
    <r>
      <rPr>
        <sz val="11"/>
        <rFont val="Calibri"/>
        <family val="2"/>
      </rPr>
      <t>+X</t>
    </r>
    <r>
      <rPr>
        <vertAlign val="subscript"/>
        <sz val="11"/>
        <rFont val="Calibri"/>
        <family val="2"/>
      </rPr>
      <t>HFO,L,P</t>
    </r>
    <r>
      <rPr>
        <sz val="11"/>
        <rFont val="Calibri"/>
        <family val="2"/>
      </rPr>
      <t>)</t>
    </r>
  </si>
  <si>
    <t>r30</t>
  </si>
  <si>
    <t>r31</t>
  </si>
  <si>
    <t>Precipitation kinetics</t>
  </si>
  <si>
    <t>Arrhenius coefficient for ferrous iron oxidation kinetics</t>
  </si>
  <si>
    <t>Arrhenius coefficient for ferric iron reduction kinetics</t>
  </si>
  <si>
    <r>
      <t>i</t>
    </r>
    <r>
      <rPr>
        <vertAlign val="subscript"/>
        <sz val="11"/>
        <rFont val="Calibri"/>
        <family val="2"/>
        <scheme val="minor"/>
      </rPr>
      <t>N,XSTR</t>
    </r>
  </si>
  <si>
    <r>
      <t>i</t>
    </r>
    <r>
      <rPr>
        <vertAlign val="subscript"/>
        <sz val="11"/>
        <rFont val="Calibri"/>
        <family val="2"/>
        <scheme val="minor"/>
      </rPr>
      <t>P,XACP</t>
    </r>
  </si>
  <si>
    <r>
      <t>q</t>
    </r>
    <r>
      <rPr>
        <vertAlign val="subscript"/>
        <sz val="11"/>
        <color theme="1"/>
        <rFont val="Calibri"/>
        <family val="2"/>
        <scheme val="minor"/>
      </rPr>
      <t>STR</t>
    </r>
  </si>
  <si>
    <r>
      <t>q</t>
    </r>
    <r>
      <rPr>
        <vertAlign val="subscript"/>
        <sz val="11"/>
        <color theme="1"/>
        <rFont val="Calibri"/>
        <family val="2"/>
        <scheme val="minor"/>
      </rPr>
      <t>ACP</t>
    </r>
  </si>
  <si>
    <r>
      <t>q</t>
    </r>
    <r>
      <rPr>
        <vertAlign val="subscript"/>
        <sz val="11"/>
        <color theme="1"/>
        <rFont val="Calibri"/>
        <family val="2"/>
        <scheme val="minor"/>
      </rPr>
      <t>CaCO3</t>
    </r>
  </si>
  <si>
    <r>
      <t>q</t>
    </r>
    <r>
      <rPr>
        <vertAlign val="subscript"/>
        <sz val="11"/>
        <color theme="1"/>
        <rFont val="Calibri"/>
        <family val="2"/>
        <scheme val="minor"/>
      </rPr>
      <t>Vivi</t>
    </r>
  </si>
  <si>
    <r>
      <t>i</t>
    </r>
    <r>
      <rPr>
        <vertAlign val="subscript"/>
        <sz val="11"/>
        <rFont val="Calibri"/>
        <family val="2"/>
        <scheme val="minor"/>
      </rPr>
      <t>P,XVivi</t>
    </r>
  </si>
  <si>
    <t>2/3</t>
  </si>
  <si>
    <t>1/3</t>
  </si>
  <si>
    <r>
      <t>i</t>
    </r>
    <r>
      <rPr>
        <vertAlign val="subscript"/>
        <sz val="11"/>
        <rFont val="Calibri"/>
        <family val="2"/>
        <scheme val="minor"/>
      </rPr>
      <t>K,PP</t>
    </r>
  </si>
  <si>
    <t>(k)/(s/x+k)</t>
  </si>
  <si>
    <t>Logsat(var; halfval; slope)</t>
  </si>
  <si>
    <t>Loginh(var; halfval; slope)</t>
  </si>
  <si>
    <t>Dmp(dx; x)</t>
  </si>
  <si>
    <t xml:space="preserve">Derivative damping </t>
  </si>
  <si>
    <r>
      <t>Henry</t>
    </r>
    <r>
      <rPr>
        <vertAlign val="subscript"/>
        <sz val="11"/>
        <rFont val="Calibri"/>
        <family val="2"/>
        <scheme val="minor"/>
      </rPr>
      <t>GO2</t>
    </r>
    <r>
      <rPr>
        <sz val="11"/>
        <rFont val="Calibri"/>
        <family val="2"/>
        <scheme val="minor"/>
      </rPr>
      <t>(T)</t>
    </r>
  </si>
  <si>
    <r>
      <t>Temperature dependent Henry coefficient for O</t>
    </r>
    <r>
      <rPr>
        <vertAlign val="subscript"/>
        <sz val="11"/>
        <rFont val="Calibri"/>
        <family val="2"/>
        <scheme val="minor"/>
      </rPr>
      <t>2</t>
    </r>
  </si>
  <si>
    <r>
      <t>Henry</t>
    </r>
    <r>
      <rPr>
        <vertAlign val="subscript"/>
        <sz val="11"/>
        <rFont val="Calibri"/>
        <family val="2"/>
        <scheme val="minor"/>
      </rPr>
      <t>GO2_25</t>
    </r>
    <r>
      <rPr>
        <sz val="11"/>
        <rFont val="Calibri"/>
        <family val="2"/>
        <scheme val="minor"/>
      </rPr>
      <t>*Exp(Henry</t>
    </r>
    <r>
      <rPr>
        <vertAlign val="subscript"/>
        <sz val="11"/>
        <rFont val="Calibri"/>
        <family val="2"/>
        <scheme val="minor"/>
      </rPr>
      <t>GO2_dt</t>
    </r>
    <r>
      <rPr>
        <sz val="11"/>
        <rFont val="Calibri"/>
        <family val="2"/>
        <scheme val="minor"/>
      </rPr>
      <t>*((1/T)-(1/298.15)))</t>
    </r>
  </si>
  <si>
    <r>
      <t>Henry</t>
    </r>
    <r>
      <rPr>
        <vertAlign val="subscript"/>
        <sz val="11"/>
        <rFont val="Calibri"/>
        <family val="2"/>
        <scheme val="minor"/>
      </rPr>
      <t>GCO2</t>
    </r>
    <r>
      <rPr>
        <sz val="11"/>
        <rFont val="Calibri"/>
        <family val="2"/>
        <scheme val="minor"/>
      </rPr>
      <t>(T)</t>
    </r>
  </si>
  <si>
    <r>
      <t>Temperature dependent Henry coefficient for CO</t>
    </r>
    <r>
      <rPr>
        <vertAlign val="subscript"/>
        <sz val="11"/>
        <rFont val="Calibri"/>
        <family val="2"/>
        <scheme val="minor"/>
      </rPr>
      <t>2</t>
    </r>
  </si>
  <si>
    <r>
      <t>Henry</t>
    </r>
    <r>
      <rPr>
        <vertAlign val="subscript"/>
        <sz val="11"/>
        <rFont val="Calibri"/>
        <family val="2"/>
        <scheme val="minor"/>
      </rPr>
      <t>GCO2_25</t>
    </r>
    <r>
      <rPr>
        <sz val="11"/>
        <rFont val="Calibri"/>
        <family val="2"/>
        <scheme val="minor"/>
      </rPr>
      <t>*Exp(Henry</t>
    </r>
    <r>
      <rPr>
        <vertAlign val="subscript"/>
        <sz val="11"/>
        <rFont val="Calibri"/>
        <family val="2"/>
        <scheme val="minor"/>
      </rPr>
      <t>GCO2_dt</t>
    </r>
    <r>
      <rPr>
        <sz val="11"/>
        <rFont val="Calibri"/>
        <family val="2"/>
        <scheme val="minor"/>
      </rPr>
      <t>*((1/T)-(1/298.15)))</t>
    </r>
  </si>
  <si>
    <r>
      <t>Henry</t>
    </r>
    <r>
      <rPr>
        <vertAlign val="subscript"/>
        <sz val="11"/>
        <rFont val="Calibri"/>
        <family val="2"/>
        <scheme val="minor"/>
      </rPr>
      <t>GNO</t>
    </r>
    <r>
      <rPr>
        <sz val="11"/>
        <rFont val="Calibri"/>
        <family val="2"/>
        <scheme val="minor"/>
      </rPr>
      <t>(T)</t>
    </r>
  </si>
  <si>
    <r>
      <t>Henry</t>
    </r>
    <r>
      <rPr>
        <vertAlign val="subscript"/>
        <sz val="11"/>
        <rFont val="Calibri"/>
        <family val="2"/>
        <scheme val="minor"/>
      </rPr>
      <t>GNO_25</t>
    </r>
    <r>
      <rPr>
        <sz val="11"/>
        <rFont val="Calibri"/>
        <family val="2"/>
        <scheme val="minor"/>
      </rPr>
      <t>*Exp(Henry</t>
    </r>
    <r>
      <rPr>
        <vertAlign val="subscript"/>
        <sz val="11"/>
        <rFont val="Calibri"/>
        <family val="2"/>
        <scheme val="minor"/>
      </rPr>
      <t>GNO_dt</t>
    </r>
    <r>
      <rPr>
        <sz val="11"/>
        <rFont val="Calibri"/>
        <family val="2"/>
        <scheme val="minor"/>
      </rPr>
      <t>*((1/T)-(1/298.15)))</t>
    </r>
  </si>
  <si>
    <r>
      <t>Henry</t>
    </r>
    <r>
      <rPr>
        <vertAlign val="subscript"/>
        <sz val="11"/>
        <rFont val="Calibri"/>
        <family val="2"/>
        <scheme val="minor"/>
      </rPr>
      <t>GN2O</t>
    </r>
    <r>
      <rPr>
        <sz val="11"/>
        <rFont val="Calibri"/>
        <family val="2"/>
        <scheme val="minor"/>
      </rPr>
      <t>(T)</t>
    </r>
  </si>
  <si>
    <r>
      <t>Temperature dependent Henry coefficient for N</t>
    </r>
    <r>
      <rPr>
        <vertAlign val="subscript"/>
        <sz val="11"/>
        <rFont val="Calibri"/>
        <family val="2"/>
        <scheme val="minor"/>
      </rPr>
      <t>2</t>
    </r>
    <r>
      <rPr>
        <sz val="11"/>
        <rFont val="Calibri"/>
        <family val="2"/>
        <scheme val="minor"/>
      </rPr>
      <t>O</t>
    </r>
  </si>
  <si>
    <r>
      <t>Henry</t>
    </r>
    <r>
      <rPr>
        <vertAlign val="subscript"/>
        <sz val="11"/>
        <rFont val="Calibri"/>
        <family val="2"/>
        <scheme val="minor"/>
      </rPr>
      <t>GN2O_25</t>
    </r>
    <r>
      <rPr>
        <sz val="11"/>
        <rFont val="Calibri"/>
        <family val="2"/>
        <scheme val="minor"/>
      </rPr>
      <t>*Exp(Henry</t>
    </r>
    <r>
      <rPr>
        <vertAlign val="subscript"/>
        <sz val="11"/>
        <rFont val="Calibri"/>
        <family val="2"/>
        <scheme val="minor"/>
      </rPr>
      <t>GN2O_dt</t>
    </r>
    <r>
      <rPr>
        <sz val="11"/>
        <rFont val="Calibri"/>
        <family val="2"/>
        <scheme val="minor"/>
      </rPr>
      <t>*((1/T)-(1/298.15)))</t>
    </r>
  </si>
  <si>
    <r>
      <t>Henry</t>
    </r>
    <r>
      <rPr>
        <vertAlign val="subscript"/>
        <sz val="11"/>
        <rFont val="Calibri"/>
        <family val="2"/>
        <scheme val="minor"/>
      </rPr>
      <t>GN2</t>
    </r>
    <r>
      <rPr>
        <sz val="11"/>
        <rFont val="Calibri"/>
        <family val="2"/>
        <scheme val="minor"/>
      </rPr>
      <t>(T)</t>
    </r>
  </si>
  <si>
    <r>
      <t>Temperature dependent Henry coefficient for N</t>
    </r>
    <r>
      <rPr>
        <vertAlign val="subscript"/>
        <sz val="11"/>
        <rFont val="Calibri"/>
        <family val="2"/>
        <scheme val="minor"/>
      </rPr>
      <t>2</t>
    </r>
  </si>
  <si>
    <r>
      <t>Henry</t>
    </r>
    <r>
      <rPr>
        <vertAlign val="subscript"/>
        <sz val="11"/>
        <rFont val="Calibri"/>
        <family val="2"/>
        <scheme val="minor"/>
      </rPr>
      <t>GN2_25</t>
    </r>
    <r>
      <rPr>
        <sz val="11"/>
        <rFont val="Calibri"/>
        <family val="2"/>
        <scheme val="minor"/>
      </rPr>
      <t>*Exp(Henry</t>
    </r>
    <r>
      <rPr>
        <vertAlign val="subscript"/>
        <sz val="11"/>
        <rFont val="Calibri"/>
        <family val="2"/>
        <scheme val="minor"/>
      </rPr>
      <t>GN2_dt</t>
    </r>
    <r>
      <rPr>
        <sz val="11"/>
        <rFont val="Calibri"/>
        <family val="2"/>
        <scheme val="minor"/>
      </rPr>
      <t>*((1/T)-(1/298.15)))</t>
    </r>
  </si>
  <si>
    <r>
      <t>Henry</t>
    </r>
    <r>
      <rPr>
        <vertAlign val="subscript"/>
        <sz val="11"/>
        <rFont val="Calibri"/>
        <family val="2"/>
        <scheme val="minor"/>
      </rPr>
      <t>GH2</t>
    </r>
    <r>
      <rPr>
        <sz val="11"/>
        <rFont val="Calibri"/>
        <family val="2"/>
        <scheme val="minor"/>
      </rPr>
      <t>(T)</t>
    </r>
  </si>
  <si>
    <r>
      <t>Temperature dependent Henry coefficient for H</t>
    </r>
    <r>
      <rPr>
        <vertAlign val="subscript"/>
        <sz val="11"/>
        <rFont val="Calibri"/>
        <family val="2"/>
        <scheme val="minor"/>
      </rPr>
      <t>2</t>
    </r>
  </si>
  <si>
    <r>
      <t>Henry</t>
    </r>
    <r>
      <rPr>
        <vertAlign val="subscript"/>
        <sz val="11"/>
        <rFont val="Calibri"/>
        <family val="2"/>
        <scheme val="minor"/>
      </rPr>
      <t>GH2_25</t>
    </r>
    <r>
      <rPr>
        <sz val="11"/>
        <rFont val="Calibri"/>
        <family val="2"/>
        <scheme val="minor"/>
      </rPr>
      <t>*Exp(Henry</t>
    </r>
    <r>
      <rPr>
        <vertAlign val="subscript"/>
        <sz val="11"/>
        <rFont val="Calibri"/>
        <family val="2"/>
        <scheme val="minor"/>
      </rPr>
      <t>GH2_dt</t>
    </r>
    <r>
      <rPr>
        <sz val="11"/>
        <rFont val="Calibri"/>
        <family val="2"/>
        <scheme val="minor"/>
      </rPr>
      <t>*((1/T)-(1/298.15)))</t>
    </r>
  </si>
  <si>
    <r>
      <t>Henry</t>
    </r>
    <r>
      <rPr>
        <vertAlign val="subscript"/>
        <sz val="11"/>
        <rFont val="Calibri"/>
        <family val="2"/>
        <scheme val="minor"/>
      </rPr>
      <t>GCH4</t>
    </r>
    <r>
      <rPr>
        <sz val="11"/>
        <rFont val="Calibri"/>
        <family val="2"/>
        <scheme val="minor"/>
      </rPr>
      <t>(T)</t>
    </r>
  </si>
  <si>
    <r>
      <t>Temperature dependent Henry coefficient for CH</t>
    </r>
    <r>
      <rPr>
        <vertAlign val="subscript"/>
        <sz val="11"/>
        <rFont val="Calibri"/>
        <family val="2"/>
        <scheme val="minor"/>
      </rPr>
      <t>4</t>
    </r>
  </si>
  <si>
    <r>
      <t>Henry</t>
    </r>
    <r>
      <rPr>
        <vertAlign val="subscript"/>
        <sz val="11"/>
        <rFont val="Calibri"/>
        <family val="2"/>
        <scheme val="minor"/>
      </rPr>
      <t>GCH4_25</t>
    </r>
    <r>
      <rPr>
        <sz val="11"/>
        <rFont val="Calibri"/>
        <family val="2"/>
        <scheme val="minor"/>
      </rPr>
      <t>*Exp(Henry</t>
    </r>
    <r>
      <rPr>
        <vertAlign val="subscript"/>
        <sz val="11"/>
        <rFont val="Calibri"/>
        <family val="2"/>
        <scheme val="minor"/>
      </rPr>
      <t>GCH4_dt</t>
    </r>
    <r>
      <rPr>
        <sz val="11"/>
        <rFont val="Calibri"/>
        <family val="2"/>
        <scheme val="minor"/>
      </rPr>
      <t>*((1/T)-(1/298.15)))</t>
    </r>
  </si>
  <si>
    <t>C++ functions</t>
  </si>
  <si>
    <t>New functions to be used only in C++ (must follow C++ syntax)</t>
  </si>
  <si>
    <t>SignedAbs(x1; x2)</t>
  </si>
  <si>
    <t>Abs value with sign of x2</t>
  </si>
  <si>
    <t>Sign(x2) * abs(x1)</t>
  </si>
  <si>
    <t>Damp(x)</t>
  </si>
  <si>
    <t xml:space="preserve">Logarithmic damping </t>
  </si>
  <si>
    <t>AbsError(modelvar;data)</t>
  </si>
  <si>
    <t>Absolute error</t>
  </si>
  <si>
    <t>abs(modelvar-data)</t>
  </si>
  <si>
    <t>RelError(modelvar;data)</t>
  </si>
  <si>
    <t>Relative error</t>
  </si>
  <si>
    <t>abs((modelvar-data)/modelvar)</t>
  </si>
  <si>
    <t>AbsSumOfSquares(modelvar;data)</t>
  </si>
  <si>
    <t>Sum of squares</t>
  </si>
  <si>
    <t>pow((modelvar-data), 2)</t>
  </si>
  <si>
    <t>RelSumOfSquares(modelvar;data)</t>
  </si>
  <si>
    <t>Sum of relative squares</t>
  </si>
  <si>
    <t>pow(((modelvar-data)/modelvar), 2)</t>
  </si>
  <si>
    <t>MaxElemIndex([] x)</t>
  </si>
  <si>
    <t>Index of element with maximum value in 'x'</t>
  </si>
  <si>
    <t>return std::distance(x.data, std::max_element(x.data, x.data+x.size))+1;</t>
  </si>
  <si>
    <t>SumIf([] x;[] y; z)</t>
  </si>
  <si>
    <t>Conditional sum</t>
  </si>
  <si>
    <t>If(BOOL a;b;c)</t>
  </si>
  <si>
    <t>if (a is true) then b else c</t>
  </si>
  <si>
    <t>return a ? b : c;</t>
  </si>
  <si>
    <t>Average([] x)</t>
  </si>
  <si>
    <t>Average of array elements</t>
  </si>
  <si>
    <t>Max([] x)</t>
  </si>
  <si>
    <t>Maximum of array elements</t>
  </si>
  <si>
    <t>Min([] x)</t>
  </si>
  <si>
    <t>Minimum of array elements</t>
  </si>
  <si>
    <t>Sum([] x)</t>
  </si>
  <si>
    <t>Sum of array elements</t>
  </si>
  <si>
    <t>And(BOOL x; BOOL y)</t>
  </si>
  <si>
    <t>Logical 'and'</t>
  </si>
  <si>
    <t>return x &amp;&amp; y;</t>
  </si>
  <si>
    <t>And(BOOL x; BOOL y; BOOL z)</t>
  </si>
  <si>
    <t>Logical 'and' for three arguments</t>
  </si>
  <si>
    <t>return x &amp;&amp; y &amp;&amp; z;</t>
  </si>
  <si>
    <t>And(BOOL x; BOOL y; BOOL z; BOOL m)</t>
  </si>
  <si>
    <t>Logical 'and' for four arguments</t>
  </si>
  <si>
    <t>return x &amp;&amp; y &amp;&amp; z &amp;&amp; m;</t>
  </si>
  <si>
    <t>And(BOOL x; BOOL y; BOOL z; BOOL m; BOOL n)</t>
  </si>
  <si>
    <t>Logical 'and' for five arguments</t>
  </si>
  <si>
    <t>return x &amp;&amp; y &amp;&amp; z &amp;&amp; m &amp;&amp; n;</t>
  </si>
  <si>
    <t>And(BOOL x; BOOL y; BOOL z; BOOL m; BOOL n; BOOL o)</t>
  </si>
  <si>
    <t>Logical 'and' for six arguments</t>
  </si>
  <si>
    <t>return x &amp;&amp; y &amp;&amp; z &amp;&amp; m &amp;&amp; n &amp;&amp; o;</t>
  </si>
  <si>
    <t>Or(BOOL x; BOOL y)</t>
  </si>
  <si>
    <t>Logical 'or'</t>
  </si>
  <si>
    <t>return x || y;</t>
  </si>
  <si>
    <t>Or(BOOL x; BOOL y; BOOL z)</t>
  </si>
  <si>
    <t>Logical 'or' for three arguments</t>
  </si>
  <si>
    <t>return x || y || z;</t>
  </si>
  <si>
    <t>Or(BOOL x; BOOL y; BOOL z; BOOL m)</t>
  </si>
  <si>
    <t>Logical 'or' for four arguments</t>
  </si>
  <si>
    <t>return x || y || z || m;</t>
  </si>
  <si>
    <t>Or(BOOL x; BOOL y; BOOL z; BOOL m; BOOL n)</t>
  </si>
  <si>
    <t>Logical 'or' for five arguments</t>
  </si>
  <si>
    <t>return x || y || z || m || n;</t>
  </si>
  <si>
    <t>Or(BOOL x; BOOL y; BOOL z; BOOL m; BOOL n; BOOL o)</t>
  </si>
  <si>
    <t>Logical 'or' for six arguments</t>
  </si>
  <si>
    <t>return x || y || z || m || n || o;</t>
  </si>
  <si>
    <t>SUMO to C++ mapping</t>
  </si>
  <si>
    <t>Straight mapping from Excel to C++. Will work in both</t>
  </si>
  <si>
    <t>Min(a;b)</t>
  </si>
  <si>
    <t>min(a,b)</t>
  </si>
  <si>
    <t>Max(a;b;c)</t>
  </si>
  <si>
    <t>max(Max(a;b);c)</t>
  </si>
  <si>
    <t>Max(a;b;c;d)</t>
  </si>
  <si>
    <t>max(Max(a;b;c);d)</t>
  </si>
  <si>
    <t>Max(a;b;c;d;e)</t>
  </si>
  <si>
    <t>max(Max(a;b;c;d);e)</t>
  </si>
  <si>
    <t>Max(a;b;c;d;e;f)</t>
  </si>
  <si>
    <t>max(Max(a;b;c;d;e);f)</t>
  </si>
  <si>
    <t>Max(a;b;c;d;e;f;g)</t>
  </si>
  <si>
    <t>max(Max(a;b;c;d;e;f);g)</t>
  </si>
  <si>
    <t>Max(a;b;c;d;e;f;g;h)</t>
  </si>
  <si>
    <t>max(Max(a;b;c;d;e;f;g);h)</t>
  </si>
  <si>
    <t>Max(a;b;c;d;e;f;g;h;i)</t>
  </si>
  <si>
    <t>max(Max(a;b;c;d;e;f;g;h);i)</t>
  </si>
  <si>
    <t>Max(a;b;c;d;e;f;g;h;i;j)</t>
  </si>
  <si>
    <t>max(Max(a;b;c;d;e;f;g;h;i);j)</t>
  </si>
  <si>
    <t>Max(a;b;c;d;e;f;g;h;i;j;k)</t>
  </si>
  <si>
    <t>max(Max(a;b;c;d;e;f;g;h;i;j);k)</t>
  </si>
  <si>
    <t>Max(a;b;c;d;e;f;g;h;i;j;k;l)</t>
  </si>
  <si>
    <t>max(Max(a;b;c;d;e;f;g;h;i;j;k);l)</t>
  </si>
  <si>
    <t>Max(a;b;c;d;e;f;g;h;i;j;k;l;m)</t>
  </si>
  <si>
    <t>max(Max(a;b;c;d;e;f;g;h;i;j;k;l);m)</t>
  </si>
  <si>
    <t>Max(a;b;c;d;e;f;g;h;i;j;k;l;m;n)</t>
  </si>
  <si>
    <t>max(Max(a;b;c;d;e;f;g;h;i;j;k;l;m);n)</t>
  </si>
  <si>
    <t>Max(a;b;c;d;e;f;g;h;i;j;k;l;m;n;o)</t>
  </si>
  <si>
    <t>max(Max(a;b;c;d;e;f;g;h;i;j;k;l;m;n);o)</t>
  </si>
  <si>
    <t>Max(a;b;c;d;e;f;g;h;i;j;k;l;m;n;o;p)</t>
  </si>
  <si>
    <t>max(Max(a;b;c;d;e;f;g;h;i;j;k;l;m;n;o);p)</t>
  </si>
  <si>
    <t>Max(a;b;c;d;e;f;g;h;i;j;k;l;m;n;o;p;q)</t>
  </si>
  <si>
    <t>max(Max(a;b;c;d;e;f;g;h;i;j;k;l;m;n;o;p);q)</t>
  </si>
  <si>
    <t>Max(a;b;c;d;e;f;g;h;i;j;k;l;m;n;o;p;q;r)</t>
  </si>
  <si>
    <t>max(Max(a;b;c;d;e;f;g;h;i;j;k;l;m;n;o;p;q);r)</t>
  </si>
  <si>
    <t>Max(a;b;c;d;e;f;g;h;i;j;k;l;m;n;o;p;q;r;s)</t>
  </si>
  <si>
    <t>max(Max(a;b;c;d;e;f;g;h;i;j;k;l;m;n;o;p;q;r);s)</t>
  </si>
  <si>
    <t>Max(a;b;c;d;e;f;g;h;i;j;k;l;m;n;o;p;q;r;s;t)</t>
  </si>
  <si>
    <t>max(Max(a;b;c;d;e;f;g;h;i;j;k;l;m;n;o;p;q;r;s);t)</t>
  </si>
  <si>
    <t>Power</t>
  </si>
  <si>
    <t>Absolute value</t>
  </si>
  <si>
    <t>Natural base exponent</t>
  </si>
  <si>
    <t>Ln(x)</t>
  </si>
  <si>
    <t>e based logarithm</t>
  </si>
  <si>
    <t>log(x)</t>
  </si>
  <si>
    <t>Min(a;b;c)</t>
  </si>
  <si>
    <t>Minimum of three numbers</t>
  </si>
  <si>
    <t>min(min(a;b);c)</t>
  </si>
  <si>
    <t>Min(a;b;c;d)</t>
  </si>
  <si>
    <t>Minimum of four numbers</t>
  </si>
  <si>
    <t>min(Min(a;b;c);d)</t>
  </si>
  <si>
    <t>Min(a;b;c;d;e)</t>
  </si>
  <si>
    <t>Minimum of five numbers</t>
  </si>
  <si>
    <t>min(Min(a;b;c;d);e)</t>
  </si>
  <si>
    <t>Built in C++ functions</t>
  </si>
  <si>
    <t>Pure</t>
  </si>
  <si>
    <t>valid C++ functions (don't need definition)</t>
  </si>
  <si>
    <t>Argument</t>
  </si>
  <si>
    <t>cos</t>
  </si>
  <si>
    <t>Compute cosine</t>
  </si>
  <si>
    <t>sin</t>
  </si>
  <si>
    <t>Compute sine</t>
  </si>
  <si>
    <t>tan</t>
  </si>
  <si>
    <t>Compute tangent</t>
  </si>
  <si>
    <t>acos</t>
  </si>
  <si>
    <t>Compute arc cosine</t>
  </si>
  <si>
    <t>asin</t>
  </si>
  <si>
    <t>Compute arc sine</t>
  </si>
  <si>
    <t>atan</t>
  </si>
  <si>
    <t>Compute arc tangent</t>
  </si>
  <si>
    <t>atan2</t>
  </si>
  <si>
    <t>Compute arc tangent with two parameters</t>
  </si>
  <si>
    <t>cosh</t>
  </si>
  <si>
    <t>Compute hyperbolic cosine</t>
  </si>
  <si>
    <t>sinh</t>
  </si>
  <si>
    <t>Compute hyperbolic sine</t>
  </si>
  <si>
    <t>tanh</t>
  </si>
  <si>
    <t>Compute hyperbolic tangent</t>
  </si>
  <si>
    <t>exp</t>
  </si>
  <si>
    <t>Compute exponential function</t>
  </si>
  <si>
    <t>(power)</t>
  </si>
  <si>
    <t>ldexp</t>
  </si>
  <si>
    <t>Generate number from significand and exponent</t>
  </si>
  <si>
    <t>log</t>
  </si>
  <si>
    <t>Compute natural logarithm</t>
  </si>
  <si>
    <t>log10</t>
  </si>
  <si>
    <t>Compute common logarithm</t>
  </si>
  <si>
    <t>sqrt</t>
  </si>
  <si>
    <t>Compute square root</t>
  </si>
  <si>
    <t>ceil</t>
  </si>
  <si>
    <t>Round up value</t>
  </si>
  <si>
    <t>fabs</t>
  </si>
  <si>
    <t>Compute absolute value</t>
  </si>
  <si>
    <t>floor</t>
  </si>
  <si>
    <t>Round down value</t>
  </si>
  <si>
    <t>round</t>
  </si>
  <si>
    <t>Round value to next integer</t>
  </si>
  <si>
    <t>fmod</t>
  </si>
  <si>
    <t>Compute remainder of division</t>
  </si>
  <si>
    <t>pow</t>
  </si>
  <si>
    <t>(base,power)</t>
  </si>
  <si>
    <t>abs of</t>
  </si>
  <si>
    <t>min</t>
  </si>
  <si>
    <t>minimum of</t>
  </si>
  <si>
    <t>max</t>
  </si>
  <si>
    <t>maximum of</t>
  </si>
  <si>
    <t>distance</t>
  </si>
  <si>
    <t>Return distance between two iterators</t>
  </si>
  <si>
    <t>max_element</t>
  </si>
  <si>
    <t>Return largest element in a range</t>
  </si>
  <si>
    <t>int</t>
  </si>
  <si>
    <t>converts to integer</t>
  </si>
  <si>
    <r>
      <t>η</t>
    </r>
    <r>
      <rPr>
        <vertAlign val="subscript"/>
        <sz val="11"/>
        <rFont val="Calibri"/>
        <family val="2"/>
        <scheme val="minor"/>
      </rPr>
      <t>H2O</t>
    </r>
  </si>
  <si>
    <r>
      <t>kg.m</t>
    </r>
    <r>
      <rPr>
        <vertAlign val="superscript"/>
        <sz val="11"/>
        <rFont val="Calibri"/>
        <family val="2"/>
        <scheme val="minor"/>
      </rPr>
      <t>-1</t>
    </r>
    <r>
      <rPr>
        <sz val="11"/>
        <rFont val="Calibri"/>
        <family val="2"/>
        <scheme val="minor"/>
      </rPr>
      <t>.s</t>
    </r>
    <r>
      <rPr>
        <vertAlign val="superscript"/>
        <sz val="11"/>
        <rFont val="Calibri"/>
        <family val="2"/>
        <scheme val="minor"/>
      </rPr>
      <t>-1</t>
    </r>
  </si>
  <si>
    <r>
      <t>R</t>
    </r>
    <r>
      <rPr>
        <vertAlign val="subscript"/>
        <sz val="11"/>
        <rFont val="Calibri"/>
        <family val="2"/>
        <scheme val="minor"/>
      </rPr>
      <t>air</t>
    </r>
  </si>
  <si>
    <t>Specific mass based gas constant for air</t>
  </si>
  <si>
    <r>
      <t>J.kg</t>
    </r>
    <r>
      <rPr>
        <vertAlign val="superscript"/>
        <sz val="11"/>
        <rFont val="Calibri"/>
        <family val="2"/>
        <scheme val="minor"/>
      </rPr>
      <t>-1</t>
    </r>
    <r>
      <rPr>
        <sz val="11"/>
        <rFont val="Calibri"/>
        <family val="2"/>
        <scheme val="minor"/>
      </rPr>
      <t>.K</t>
    </r>
    <r>
      <rPr>
        <vertAlign val="superscript"/>
        <sz val="11"/>
        <rFont val="Calibri"/>
        <family val="2"/>
        <scheme val="minor"/>
      </rPr>
      <t>-1</t>
    </r>
  </si>
  <si>
    <t>κ</t>
  </si>
  <si>
    <r>
      <t xml:space="preserve">However the elements under standard conditions are considered to have zero enthalpy, Sumo uses 0°C as the point where water has zero enthalpy. Reason: in this case there is no need for solvers to deal with negative </t>
    </r>
    <r>
      <rPr>
        <sz val="11"/>
        <color rgb="FF0082C8"/>
        <rFont val="Calibri"/>
        <family val="2"/>
        <scheme val="minor"/>
      </rPr>
      <t>SV</t>
    </r>
    <r>
      <rPr>
        <sz val="11"/>
        <rFont val="Calibri"/>
        <family val="2"/>
        <scheme val="minor"/>
      </rPr>
      <t>s. Otherwise all cases when T is below 25°C, this would be the case.</t>
    </r>
  </si>
  <si>
    <t>Conversion coefficient between secs and days</t>
  </si>
  <si>
    <r>
      <t>s.d</t>
    </r>
    <r>
      <rPr>
        <vertAlign val="superscript"/>
        <sz val="11"/>
        <rFont val="Calibri"/>
        <family val="2"/>
        <scheme val="minor"/>
      </rPr>
      <t>-1</t>
    </r>
  </si>
  <si>
    <r>
      <t>c</t>
    </r>
    <r>
      <rPr>
        <vertAlign val="subscript"/>
        <sz val="11"/>
        <rFont val="Calibri"/>
        <family val="2"/>
        <scheme val="minor"/>
      </rPr>
      <t>s,h</t>
    </r>
  </si>
  <si>
    <t>Conversion coefficient between seconds and hours</t>
  </si>
  <si>
    <r>
      <t>s.h</t>
    </r>
    <r>
      <rPr>
        <vertAlign val="superscript"/>
        <sz val="11"/>
        <rFont val="Calibri"/>
        <family val="2"/>
        <scheme val="minor"/>
      </rPr>
      <t>-1</t>
    </r>
  </si>
  <si>
    <r>
      <t>mg.g</t>
    </r>
    <r>
      <rPr>
        <vertAlign val="superscript"/>
        <sz val="11"/>
        <rFont val="Calibri"/>
        <family val="2"/>
        <scheme val="minor"/>
      </rPr>
      <t>-1</t>
    </r>
  </si>
  <si>
    <r>
      <t>g.kg</t>
    </r>
    <r>
      <rPr>
        <vertAlign val="superscript"/>
        <sz val="11"/>
        <rFont val="Calibri"/>
        <family val="2"/>
        <scheme val="minor"/>
      </rPr>
      <t>-1</t>
    </r>
  </si>
  <si>
    <t>Conversion coefficient between liters and cubic meters</t>
  </si>
  <si>
    <r>
      <t>L.m</t>
    </r>
    <r>
      <rPr>
        <vertAlign val="superscript"/>
        <sz val="11"/>
        <rFont val="Calibri"/>
        <family val="2"/>
        <scheme val="minor"/>
      </rPr>
      <t>-3</t>
    </r>
  </si>
  <si>
    <r>
      <t>Pa.Hgmm</t>
    </r>
    <r>
      <rPr>
        <vertAlign val="superscript"/>
        <sz val="11"/>
        <rFont val="Calibri"/>
        <family val="2"/>
        <scheme val="minor"/>
      </rPr>
      <t>-1</t>
    </r>
  </si>
  <si>
    <r>
      <t>Pa.bar</t>
    </r>
    <r>
      <rPr>
        <vertAlign val="superscript"/>
        <sz val="11"/>
        <rFont val="Calibri"/>
        <family val="2"/>
        <scheme val="minor"/>
      </rPr>
      <t>-1</t>
    </r>
  </si>
  <si>
    <r>
      <t>cm</t>
    </r>
    <r>
      <rPr>
        <vertAlign val="superscript"/>
        <sz val="11"/>
        <rFont val="Calibri"/>
        <family val="2"/>
        <scheme val="minor"/>
      </rPr>
      <t>2</t>
    </r>
    <r>
      <rPr>
        <sz val="11"/>
        <rFont val="Calibri"/>
        <family val="2"/>
        <scheme val="minor"/>
      </rPr>
      <t>.m</t>
    </r>
    <r>
      <rPr>
        <vertAlign val="superscript"/>
        <sz val="11"/>
        <rFont val="Calibri"/>
        <family val="2"/>
        <scheme val="minor"/>
      </rPr>
      <t>-2</t>
    </r>
  </si>
  <si>
    <r>
      <t>S</t>
    </r>
    <r>
      <rPr>
        <b/>
        <vertAlign val="subscript"/>
        <sz val="11"/>
        <rFont val="Calibri"/>
        <family val="2"/>
        <scheme val="minor"/>
      </rPr>
      <t>Fe2</t>
    </r>
  </si>
  <si>
    <r>
      <t>S</t>
    </r>
    <r>
      <rPr>
        <vertAlign val="subscript"/>
        <sz val="11"/>
        <rFont val="Calibri"/>
        <family val="2"/>
      </rPr>
      <t>Fe2</t>
    </r>
    <r>
      <rPr>
        <sz val="11"/>
        <rFont val="Calibri"/>
        <family val="2"/>
      </rPr>
      <t>/(AM</t>
    </r>
    <r>
      <rPr>
        <vertAlign val="subscript"/>
        <sz val="11"/>
        <rFont val="Calibri"/>
        <family val="2"/>
      </rPr>
      <t>Fe</t>
    </r>
    <r>
      <rPr>
        <sz val="11"/>
        <rFont val="Calibri"/>
        <family val="2"/>
      </rPr>
      <t>*1000)</t>
    </r>
  </si>
  <si>
    <t>Total iron</t>
  </si>
  <si>
    <r>
      <t>PrecipDrivingForce</t>
    </r>
    <r>
      <rPr>
        <vertAlign val="subscript"/>
        <sz val="11"/>
        <color theme="1"/>
        <rFont val="Calibri"/>
        <family val="2"/>
        <scheme val="minor"/>
      </rPr>
      <t>ACP</t>
    </r>
  </si>
  <si>
    <r>
      <t>PrecipDrivingForce</t>
    </r>
    <r>
      <rPr>
        <vertAlign val="subscript"/>
        <sz val="11"/>
        <color theme="1"/>
        <rFont val="Calibri"/>
        <family val="2"/>
        <scheme val="minor"/>
      </rPr>
      <t>CaCO3</t>
    </r>
  </si>
  <si>
    <t>Sidestream</t>
  </si>
  <si>
    <r>
      <t>g TIC.m</t>
    </r>
    <r>
      <rPr>
        <vertAlign val="superscript"/>
        <sz val="11"/>
        <color indexed="8"/>
        <rFont val="Calibri"/>
        <family val="2"/>
        <scheme val="minor"/>
      </rPr>
      <t>-3</t>
    </r>
  </si>
  <si>
    <r>
      <t>f(S</t>
    </r>
    <r>
      <rPr>
        <vertAlign val="subscript"/>
        <sz val="11"/>
        <rFont val="Calibri"/>
        <family val="2"/>
      </rPr>
      <t>VFA</t>
    </r>
    <r>
      <rPr>
        <sz val="11"/>
        <rFont val="Calibri"/>
        <family val="2"/>
      </rPr>
      <t>)pH</t>
    </r>
  </si>
  <si>
    <t>Non-Biofilm; Non-Sidestream</t>
  </si>
  <si>
    <t>Biofilm; Non-Sidestream</t>
  </si>
  <si>
    <r>
      <t>g Mg.m</t>
    </r>
    <r>
      <rPr>
        <vertAlign val="superscript"/>
        <sz val="11"/>
        <rFont val="Calibri"/>
        <family val="2"/>
        <scheme val="minor"/>
      </rPr>
      <t>-3</t>
    </r>
  </si>
  <si>
    <r>
      <t>g K.m</t>
    </r>
    <r>
      <rPr>
        <vertAlign val="superscript"/>
        <sz val="11"/>
        <rFont val="Calibri"/>
        <family val="2"/>
        <scheme val="minor"/>
      </rPr>
      <t>-3</t>
    </r>
  </si>
  <si>
    <r>
      <t>g Ca.m</t>
    </r>
    <r>
      <rPr>
        <vertAlign val="superscript"/>
        <sz val="11"/>
        <rFont val="Calibri"/>
        <family val="2"/>
        <scheme val="minor"/>
      </rPr>
      <t>-3</t>
    </r>
  </si>
  <si>
    <r>
      <t>K</t>
    </r>
    <r>
      <rPr>
        <vertAlign val="subscript"/>
        <sz val="11"/>
        <rFont val="Calibri"/>
        <family val="2"/>
        <scheme val="minor"/>
      </rPr>
      <t>Mg,PAO</t>
    </r>
  </si>
  <si>
    <r>
      <t>K</t>
    </r>
    <r>
      <rPr>
        <vertAlign val="subscript"/>
        <sz val="11"/>
        <rFont val="Calibri"/>
        <family val="2"/>
        <scheme val="minor"/>
      </rPr>
      <t>K,PAO</t>
    </r>
  </si>
  <si>
    <r>
      <t>K</t>
    </r>
    <r>
      <rPr>
        <vertAlign val="subscript"/>
        <sz val="11"/>
        <rFont val="Calibri"/>
        <family val="2"/>
        <scheme val="minor"/>
      </rPr>
      <t>Ca,PAO</t>
    </r>
  </si>
  <si>
    <t>Precipitation</t>
  </si>
  <si>
    <r>
      <t>f(S</t>
    </r>
    <r>
      <rPr>
        <vertAlign val="subscript"/>
        <sz val="11"/>
        <rFont val="Calibri"/>
        <family val="2"/>
      </rPr>
      <t>Fe2</t>
    </r>
    <r>
      <rPr>
        <sz val="11"/>
        <rFont val="Calibri"/>
        <family val="2"/>
      </rPr>
      <t>); pH</t>
    </r>
  </si>
  <si>
    <r>
      <t>f(X</t>
    </r>
    <r>
      <rPr>
        <vertAlign val="subscript"/>
        <sz val="11"/>
        <rFont val="Calibri"/>
        <family val="2"/>
      </rPr>
      <t>B</t>
    </r>
    <r>
      <rPr>
        <sz val="11"/>
        <rFont val="Calibri"/>
        <family val="2"/>
      </rPr>
      <t>)</t>
    </r>
  </si>
  <si>
    <r>
      <t>i</t>
    </r>
    <r>
      <rPr>
        <vertAlign val="subscript"/>
        <sz val="11"/>
        <rFont val="Calibri"/>
        <family val="2"/>
        <scheme val="minor"/>
      </rPr>
      <t>CIT,BIO</t>
    </r>
  </si>
  <si>
    <r>
      <t>-EEQ</t>
    </r>
    <r>
      <rPr>
        <vertAlign val="subscript"/>
        <sz val="11"/>
        <rFont val="Calibri"/>
        <family val="2"/>
        <scheme val="minor"/>
      </rPr>
      <t>NO3</t>
    </r>
  </si>
  <si>
    <r>
      <t>-EEQ</t>
    </r>
    <r>
      <rPr>
        <vertAlign val="subscript"/>
        <sz val="11"/>
        <rFont val="Calibri"/>
        <family val="2"/>
        <scheme val="minor"/>
      </rPr>
      <t>N2</t>
    </r>
  </si>
  <si>
    <r>
      <t>3*AM</t>
    </r>
    <r>
      <rPr>
        <vertAlign val="subscript"/>
        <sz val="11"/>
        <rFont val="Calibri"/>
        <family val="2"/>
      </rPr>
      <t>Fe</t>
    </r>
    <r>
      <rPr>
        <sz val="11"/>
        <rFont val="Calibri"/>
        <family val="2"/>
      </rPr>
      <t>/MM</t>
    </r>
    <r>
      <rPr>
        <vertAlign val="subscript"/>
        <sz val="11"/>
        <rFont val="Calibri"/>
        <family val="2"/>
      </rPr>
      <t>Vivi</t>
    </r>
    <r>
      <rPr>
        <sz val="11"/>
        <rFont val="Calibri"/>
        <family val="2"/>
      </rPr>
      <t>*EEQ</t>
    </r>
    <r>
      <rPr>
        <vertAlign val="subscript"/>
        <sz val="11"/>
        <rFont val="Calibri"/>
        <family val="2"/>
      </rPr>
      <t>Fe2</t>
    </r>
  </si>
  <si>
    <r>
      <t>i</t>
    </r>
    <r>
      <rPr>
        <vertAlign val="subscript"/>
        <sz val="11"/>
        <rFont val="Calibri"/>
        <family val="2"/>
      </rPr>
      <t>N,BIO</t>
    </r>
  </si>
  <si>
    <r>
      <t>AM</t>
    </r>
    <r>
      <rPr>
        <vertAlign val="subscript"/>
        <sz val="11"/>
        <rFont val="Calibri"/>
        <family val="2"/>
        <scheme val="minor"/>
      </rPr>
      <t>N</t>
    </r>
    <r>
      <rPr>
        <sz val="11"/>
        <rFont val="Calibri"/>
        <family val="2"/>
        <scheme val="minor"/>
      </rPr>
      <t>/MM</t>
    </r>
    <r>
      <rPr>
        <vertAlign val="subscript"/>
        <sz val="11"/>
        <rFont val="Calibri"/>
        <family val="2"/>
        <scheme val="minor"/>
      </rPr>
      <t>STR</t>
    </r>
  </si>
  <si>
    <r>
      <t>i</t>
    </r>
    <r>
      <rPr>
        <vertAlign val="subscript"/>
        <sz val="11"/>
        <rFont val="Calibri"/>
        <family val="2"/>
      </rPr>
      <t>P,BIO</t>
    </r>
  </si>
  <si>
    <r>
      <t>2*AM</t>
    </r>
    <r>
      <rPr>
        <vertAlign val="subscript"/>
        <sz val="11"/>
        <rFont val="Calibri"/>
        <family val="2"/>
        <scheme val="minor"/>
      </rPr>
      <t>P</t>
    </r>
    <r>
      <rPr>
        <sz val="11"/>
        <rFont val="Calibri"/>
        <family val="2"/>
        <scheme val="minor"/>
      </rPr>
      <t>/MM</t>
    </r>
    <r>
      <rPr>
        <vertAlign val="subscript"/>
        <sz val="11"/>
        <rFont val="Calibri"/>
        <family val="2"/>
        <scheme val="minor"/>
      </rPr>
      <t>ACP</t>
    </r>
  </si>
  <si>
    <r>
      <t>AM</t>
    </r>
    <r>
      <rPr>
        <vertAlign val="subscript"/>
        <sz val="11"/>
        <rFont val="Calibri"/>
        <family val="2"/>
        <scheme val="minor"/>
      </rPr>
      <t>P</t>
    </r>
    <r>
      <rPr>
        <sz val="11"/>
        <rFont val="Calibri"/>
        <family val="2"/>
        <scheme val="minor"/>
      </rPr>
      <t>/MM</t>
    </r>
    <r>
      <rPr>
        <vertAlign val="subscript"/>
        <sz val="11"/>
        <rFont val="Calibri"/>
        <family val="2"/>
        <scheme val="minor"/>
      </rPr>
      <t>STR</t>
    </r>
  </si>
  <si>
    <r>
      <t>2*AM</t>
    </r>
    <r>
      <rPr>
        <vertAlign val="subscript"/>
        <sz val="11"/>
        <rFont val="Calibri"/>
        <family val="2"/>
      </rPr>
      <t>P</t>
    </r>
    <r>
      <rPr>
        <sz val="11"/>
        <rFont val="Calibri"/>
        <family val="2"/>
      </rPr>
      <t>/MM</t>
    </r>
    <r>
      <rPr>
        <vertAlign val="subscript"/>
        <sz val="11"/>
        <rFont val="Calibri"/>
        <family val="2"/>
      </rPr>
      <t>Vivi</t>
    </r>
  </si>
  <si>
    <r>
      <t>i</t>
    </r>
    <r>
      <rPr>
        <vertAlign val="subscript"/>
        <sz val="11"/>
        <rFont val="Calibri"/>
        <family val="2"/>
        <scheme val="minor"/>
      </rPr>
      <t>K,PP</t>
    </r>
    <r>
      <rPr>
        <sz val="11"/>
        <rFont val="Calibri"/>
        <family val="2"/>
        <scheme val="minor"/>
      </rPr>
      <t>*AM</t>
    </r>
    <r>
      <rPr>
        <vertAlign val="subscript"/>
        <sz val="11"/>
        <rFont val="Calibri"/>
        <family val="2"/>
        <scheme val="minor"/>
      </rPr>
      <t>K</t>
    </r>
    <r>
      <rPr>
        <sz val="11"/>
        <rFont val="Calibri"/>
        <family val="2"/>
        <scheme val="minor"/>
      </rPr>
      <t>/AM</t>
    </r>
    <r>
      <rPr>
        <vertAlign val="subscript"/>
        <sz val="11"/>
        <rFont val="Calibri"/>
        <family val="2"/>
        <scheme val="minor"/>
      </rPr>
      <t>P</t>
    </r>
  </si>
  <si>
    <r>
      <t>i</t>
    </r>
    <r>
      <rPr>
        <vertAlign val="subscript"/>
        <sz val="11"/>
        <rFont val="Calibri"/>
        <family val="2"/>
        <scheme val="minor"/>
      </rPr>
      <t>Ca,PP</t>
    </r>
    <r>
      <rPr>
        <sz val="11"/>
        <rFont val="Calibri"/>
        <family val="2"/>
        <scheme val="minor"/>
      </rPr>
      <t>*AM</t>
    </r>
    <r>
      <rPr>
        <vertAlign val="subscript"/>
        <sz val="11"/>
        <rFont val="Calibri"/>
        <family val="2"/>
        <scheme val="minor"/>
      </rPr>
      <t>Ca</t>
    </r>
    <r>
      <rPr>
        <sz val="11"/>
        <rFont val="Calibri"/>
        <family val="2"/>
        <scheme val="minor"/>
      </rPr>
      <t>/AM</t>
    </r>
    <r>
      <rPr>
        <vertAlign val="subscript"/>
        <sz val="11"/>
        <rFont val="Calibri"/>
        <family val="2"/>
        <scheme val="minor"/>
      </rPr>
      <t>P</t>
    </r>
  </si>
  <si>
    <r>
      <t>AM</t>
    </r>
    <r>
      <rPr>
        <vertAlign val="subscript"/>
        <sz val="11"/>
        <rFont val="Calibri"/>
        <family val="2"/>
        <scheme val="minor"/>
      </rPr>
      <t>Ca</t>
    </r>
    <r>
      <rPr>
        <sz val="11"/>
        <rFont val="Calibri"/>
        <family val="2"/>
        <scheme val="minor"/>
      </rPr>
      <t>/MM</t>
    </r>
    <r>
      <rPr>
        <vertAlign val="subscript"/>
        <sz val="11"/>
        <rFont val="Calibri"/>
        <family val="2"/>
        <scheme val="minor"/>
      </rPr>
      <t>CaCO3</t>
    </r>
  </si>
  <si>
    <r>
      <t>3*AM</t>
    </r>
    <r>
      <rPr>
        <vertAlign val="subscript"/>
        <sz val="11"/>
        <rFont val="Calibri"/>
        <family val="2"/>
        <scheme val="minor"/>
      </rPr>
      <t>Ca</t>
    </r>
    <r>
      <rPr>
        <sz val="11"/>
        <rFont val="Calibri"/>
        <family val="2"/>
        <scheme val="minor"/>
      </rPr>
      <t>/MM</t>
    </r>
    <r>
      <rPr>
        <vertAlign val="subscript"/>
        <sz val="11"/>
        <rFont val="Calibri"/>
        <family val="2"/>
        <scheme val="minor"/>
      </rPr>
      <t>ACP</t>
    </r>
  </si>
  <si>
    <r>
      <t>i</t>
    </r>
    <r>
      <rPr>
        <vertAlign val="subscript"/>
        <sz val="11"/>
        <rFont val="Calibri"/>
        <family val="2"/>
        <scheme val="minor"/>
      </rPr>
      <t>Mg,PP</t>
    </r>
    <r>
      <rPr>
        <sz val="11"/>
        <rFont val="Calibri"/>
        <family val="2"/>
        <scheme val="minor"/>
      </rPr>
      <t>*AM</t>
    </r>
    <r>
      <rPr>
        <vertAlign val="subscript"/>
        <sz val="11"/>
        <rFont val="Calibri"/>
        <family val="2"/>
        <scheme val="minor"/>
      </rPr>
      <t>Mg</t>
    </r>
    <r>
      <rPr>
        <sz val="11"/>
        <rFont val="Calibri"/>
        <family val="2"/>
        <scheme val="minor"/>
      </rPr>
      <t>/AM</t>
    </r>
    <r>
      <rPr>
        <vertAlign val="subscript"/>
        <sz val="11"/>
        <rFont val="Calibri"/>
        <family val="2"/>
        <scheme val="minor"/>
      </rPr>
      <t>P</t>
    </r>
  </si>
  <si>
    <r>
      <t>AM</t>
    </r>
    <r>
      <rPr>
        <vertAlign val="subscript"/>
        <sz val="11"/>
        <rFont val="Calibri"/>
        <family val="2"/>
        <scheme val="minor"/>
      </rPr>
      <t>Mg</t>
    </r>
    <r>
      <rPr>
        <sz val="11"/>
        <rFont val="Calibri"/>
        <family val="2"/>
        <scheme val="minor"/>
      </rPr>
      <t>/MM</t>
    </r>
    <r>
      <rPr>
        <vertAlign val="subscript"/>
        <sz val="11"/>
        <rFont val="Calibri"/>
        <family val="2"/>
        <scheme val="minor"/>
      </rPr>
      <t>STR</t>
    </r>
  </si>
  <si>
    <r>
      <t>3*AM</t>
    </r>
    <r>
      <rPr>
        <vertAlign val="subscript"/>
        <sz val="11"/>
        <rFont val="Calibri"/>
        <family val="2"/>
      </rPr>
      <t>Fe</t>
    </r>
    <r>
      <rPr>
        <sz val="11"/>
        <rFont val="Calibri"/>
        <family val="2"/>
      </rPr>
      <t>/MM</t>
    </r>
    <r>
      <rPr>
        <vertAlign val="subscript"/>
        <sz val="11"/>
        <rFont val="Calibri"/>
        <family val="2"/>
      </rPr>
      <t>Vivi</t>
    </r>
  </si>
  <si>
    <r>
      <t>S</t>
    </r>
    <r>
      <rPr>
        <b/>
        <vertAlign val="subscript"/>
        <sz val="11"/>
        <rFont val="Calibri"/>
        <family val="2"/>
        <scheme val="minor"/>
      </rPr>
      <t>Mg</t>
    </r>
  </si>
  <si>
    <r>
      <t>X</t>
    </r>
    <r>
      <rPr>
        <b/>
        <vertAlign val="subscript"/>
        <sz val="11"/>
        <rFont val="Calibri"/>
        <family val="2"/>
        <scheme val="minor"/>
      </rPr>
      <t>HFO,H</t>
    </r>
  </si>
  <si>
    <r>
      <t>X</t>
    </r>
    <r>
      <rPr>
        <b/>
        <vertAlign val="subscript"/>
        <sz val="11"/>
        <rFont val="Calibri"/>
        <family val="2"/>
        <scheme val="minor"/>
      </rPr>
      <t>HFO,L</t>
    </r>
  </si>
  <si>
    <r>
      <t>X</t>
    </r>
    <r>
      <rPr>
        <b/>
        <vertAlign val="subscript"/>
        <sz val="11"/>
        <rFont val="Calibri"/>
        <family val="2"/>
        <scheme val="minor"/>
      </rPr>
      <t>HFO,old</t>
    </r>
  </si>
  <si>
    <r>
      <t>X</t>
    </r>
    <r>
      <rPr>
        <b/>
        <vertAlign val="subscript"/>
        <sz val="11"/>
        <rFont val="Calibri"/>
        <family val="2"/>
        <scheme val="minor"/>
      </rPr>
      <t>HFO,H,P</t>
    </r>
  </si>
  <si>
    <r>
      <t>X</t>
    </r>
    <r>
      <rPr>
        <b/>
        <vertAlign val="subscript"/>
        <sz val="11"/>
        <rFont val="Calibri"/>
        <family val="2"/>
        <scheme val="minor"/>
      </rPr>
      <t>HFO,L,P</t>
    </r>
  </si>
  <si>
    <r>
      <t>X</t>
    </r>
    <r>
      <rPr>
        <b/>
        <vertAlign val="subscript"/>
        <sz val="11"/>
        <rFont val="Calibri"/>
        <family val="2"/>
      </rPr>
      <t>HFO,H,P,old</t>
    </r>
  </si>
  <si>
    <r>
      <t>X</t>
    </r>
    <r>
      <rPr>
        <b/>
        <vertAlign val="subscript"/>
        <sz val="11"/>
        <rFont val="Calibri"/>
        <family val="2"/>
      </rPr>
      <t>HFO,L,P,old</t>
    </r>
  </si>
  <si>
    <r>
      <t>G</t>
    </r>
    <r>
      <rPr>
        <b/>
        <vertAlign val="subscript"/>
        <sz val="11"/>
        <rFont val="Calibri"/>
        <family val="2"/>
      </rPr>
      <t>CO2</t>
    </r>
  </si>
  <si>
    <r>
      <t>G</t>
    </r>
    <r>
      <rPr>
        <b/>
        <vertAlign val="subscript"/>
        <sz val="11"/>
        <rFont val="Calibri"/>
        <family val="2"/>
      </rPr>
      <t>CH4</t>
    </r>
  </si>
  <si>
    <r>
      <t>G</t>
    </r>
    <r>
      <rPr>
        <b/>
        <vertAlign val="subscript"/>
        <sz val="11"/>
        <rFont val="Calibri"/>
        <family val="2"/>
      </rPr>
      <t>H2</t>
    </r>
  </si>
  <si>
    <r>
      <t>G</t>
    </r>
    <r>
      <rPr>
        <b/>
        <vertAlign val="subscript"/>
        <sz val="11"/>
        <rFont val="Calibri"/>
        <family val="2"/>
      </rPr>
      <t>O2</t>
    </r>
  </si>
  <si>
    <r>
      <t>G</t>
    </r>
    <r>
      <rPr>
        <b/>
        <vertAlign val="subscript"/>
        <sz val="11"/>
        <rFont val="Calibri"/>
        <family val="2"/>
      </rPr>
      <t>N2</t>
    </r>
  </si>
  <si>
    <r>
      <t>OHO growth on VFAs, O</t>
    </r>
    <r>
      <rPr>
        <vertAlign val="subscript"/>
        <sz val="11"/>
        <color rgb="FF000000"/>
        <rFont val="Calibri"/>
        <family val="2"/>
        <scheme val="minor"/>
      </rPr>
      <t>2</t>
    </r>
  </si>
  <si>
    <r>
      <t>-i</t>
    </r>
    <r>
      <rPr>
        <vertAlign val="subscript"/>
        <sz val="11"/>
        <rFont val="Calibri"/>
        <family val="2"/>
      </rPr>
      <t>N,BIO</t>
    </r>
  </si>
  <si>
    <r>
      <t>-i</t>
    </r>
    <r>
      <rPr>
        <vertAlign val="subscript"/>
        <sz val="11"/>
        <rFont val="Calibri"/>
        <family val="2"/>
      </rPr>
      <t>P,BIO</t>
    </r>
  </si>
  <si>
    <r>
      <t>OHO growth on VFAs, NO</t>
    </r>
    <r>
      <rPr>
        <vertAlign val="subscript"/>
        <sz val="11"/>
        <color rgb="FF000000"/>
        <rFont val="Calibri"/>
        <family val="2"/>
        <scheme val="minor"/>
      </rPr>
      <t>3</t>
    </r>
  </si>
  <si>
    <r>
      <t>OHO growth on S</t>
    </r>
    <r>
      <rPr>
        <vertAlign val="subscript"/>
        <sz val="11"/>
        <color rgb="FF000000"/>
        <rFont val="Calibri"/>
        <family val="2"/>
        <scheme val="minor"/>
      </rPr>
      <t>B</t>
    </r>
    <r>
      <rPr>
        <sz val="11"/>
        <color rgb="FF000000"/>
        <rFont val="Calibri"/>
        <family val="2"/>
        <charset val="238"/>
        <scheme val="minor"/>
      </rPr>
      <t>, O</t>
    </r>
    <r>
      <rPr>
        <vertAlign val="subscript"/>
        <sz val="11"/>
        <color rgb="FF000000"/>
        <rFont val="Calibri"/>
        <family val="2"/>
        <scheme val="minor"/>
      </rPr>
      <t>2</t>
    </r>
  </si>
  <si>
    <r>
      <t>OHO growth on S</t>
    </r>
    <r>
      <rPr>
        <vertAlign val="subscript"/>
        <sz val="11"/>
        <color rgb="FF000000"/>
        <rFont val="Calibri"/>
        <family val="2"/>
        <scheme val="minor"/>
      </rPr>
      <t>B</t>
    </r>
    <r>
      <rPr>
        <sz val="11"/>
        <color rgb="FF000000"/>
        <rFont val="Calibri"/>
        <family val="2"/>
        <charset val="238"/>
        <scheme val="minor"/>
      </rPr>
      <t>, NO</t>
    </r>
    <r>
      <rPr>
        <vertAlign val="subscript"/>
        <sz val="11"/>
        <color rgb="FF000000"/>
        <rFont val="Calibri"/>
        <family val="2"/>
        <scheme val="minor"/>
      </rPr>
      <t>3</t>
    </r>
  </si>
  <si>
    <r>
      <t>OHO growth on S</t>
    </r>
    <r>
      <rPr>
        <vertAlign val="subscript"/>
        <sz val="11"/>
        <color rgb="FF000000"/>
        <rFont val="Calibri"/>
        <family val="2"/>
        <scheme val="minor"/>
      </rPr>
      <t>MEOL</t>
    </r>
    <r>
      <rPr>
        <sz val="11"/>
        <color rgb="FF000000"/>
        <rFont val="Calibri"/>
        <family val="2"/>
        <charset val="238"/>
        <scheme val="minor"/>
      </rPr>
      <t>, O</t>
    </r>
    <r>
      <rPr>
        <vertAlign val="subscript"/>
        <sz val="11"/>
        <color rgb="FF000000"/>
        <rFont val="Calibri"/>
        <family val="2"/>
        <scheme val="minor"/>
      </rPr>
      <t>2</t>
    </r>
  </si>
  <si>
    <r>
      <t>1-f</t>
    </r>
    <r>
      <rPr>
        <vertAlign val="subscript"/>
        <sz val="11"/>
        <rFont val="Calibri"/>
        <family val="2"/>
      </rPr>
      <t>E</t>
    </r>
  </si>
  <si>
    <r>
      <t>f</t>
    </r>
    <r>
      <rPr>
        <vertAlign val="subscript"/>
        <sz val="11"/>
        <rFont val="Calibri"/>
        <family val="2"/>
      </rPr>
      <t>E</t>
    </r>
  </si>
  <si>
    <r>
      <t>(1-f</t>
    </r>
    <r>
      <rPr>
        <vertAlign val="subscript"/>
        <sz val="11"/>
        <rFont val="Calibri"/>
        <family val="2"/>
      </rPr>
      <t>E</t>
    </r>
    <r>
      <rPr>
        <sz val="11"/>
        <rFont val="Calibri"/>
        <family val="2"/>
      </rPr>
      <t>)*i</t>
    </r>
    <r>
      <rPr>
        <vertAlign val="subscript"/>
        <sz val="11"/>
        <rFont val="Calibri"/>
        <family val="2"/>
      </rPr>
      <t>N,BIO</t>
    </r>
  </si>
  <si>
    <r>
      <t>(1-f</t>
    </r>
    <r>
      <rPr>
        <vertAlign val="subscript"/>
        <sz val="11"/>
        <rFont val="Calibri"/>
        <family val="2"/>
      </rPr>
      <t>E</t>
    </r>
    <r>
      <rPr>
        <sz val="11"/>
        <rFont val="Calibri"/>
        <family val="2"/>
      </rPr>
      <t>)*i</t>
    </r>
    <r>
      <rPr>
        <vertAlign val="subscript"/>
        <sz val="11"/>
        <rFont val="Calibri"/>
        <family val="2"/>
      </rPr>
      <t>P,BIO</t>
    </r>
  </si>
  <si>
    <r>
      <t>MEOLO growth, NO</t>
    </r>
    <r>
      <rPr>
        <vertAlign val="subscript"/>
        <sz val="11"/>
        <color rgb="FF000000"/>
        <rFont val="Calibri"/>
        <family val="2"/>
        <scheme val="minor"/>
      </rPr>
      <t>3</t>
    </r>
  </si>
  <si>
    <r>
      <t>-1/Y</t>
    </r>
    <r>
      <rPr>
        <vertAlign val="subscript"/>
        <sz val="11"/>
        <rFont val="Calibri"/>
        <family val="2"/>
      </rPr>
      <t>MEOLO</t>
    </r>
  </si>
  <si>
    <r>
      <t>PAO growth on PHA, O</t>
    </r>
    <r>
      <rPr>
        <vertAlign val="subscript"/>
        <sz val="11"/>
        <color rgb="FF000000"/>
        <rFont val="Calibri"/>
        <family val="2"/>
        <scheme val="minor"/>
      </rPr>
      <t>2</t>
    </r>
    <r>
      <rPr>
        <sz val="11"/>
        <color rgb="FF000000"/>
        <rFont val="Calibri"/>
        <family val="2"/>
        <charset val="238"/>
        <scheme val="minor"/>
      </rPr>
      <t>; PO</t>
    </r>
    <r>
      <rPr>
        <vertAlign val="subscript"/>
        <sz val="11"/>
        <color rgb="FF000000"/>
        <rFont val="Calibri"/>
        <family val="2"/>
        <scheme val="minor"/>
      </rPr>
      <t>4</t>
    </r>
    <r>
      <rPr>
        <sz val="11"/>
        <color rgb="FF000000"/>
        <rFont val="Calibri"/>
        <family val="2"/>
        <charset val="238"/>
        <scheme val="minor"/>
      </rPr>
      <t xml:space="preserve"> limited</t>
    </r>
  </si>
  <si>
    <r>
      <t>i</t>
    </r>
    <r>
      <rPr>
        <vertAlign val="subscript"/>
        <sz val="11"/>
        <rFont val="Calibri"/>
        <family val="2"/>
      </rPr>
      <t>K,PP</t>
    </r>
    <r>
      <rPr>
        <sz val="11"/>
        <rFont val="Calibri"/>
        <family val="2"/>
      </rPr>
      <t>*AM</t>
    </r>
    <r>
      <rPr>
        <vertAlign val="subscript"/>
        <sz val="11"/>
        <rFont val="Calibri"/>
        <family val="2"/>
      </rPr>
      <t>K</t>
    </r>
    <r>
      <rPr>
        <sz val="11"/>
        <rFont val="Calibri"/>
        <family val="2"/>
      </rPr>
      <t>/AM</t>
    </r>
    <r>
      <rPr>
        <vertAlign val="subscript"/>
        <sz val="11"/>
        <rFont val="Calibri"/>
        <family val="2"/>
      </rPr>
      <t>P</t>
    </r>
    <r>
      <rPr>
        <sz val="11"/>
        <rFont val="Calibri"/>
        <family val="2"/>
      </rPr>
      <t>*i</t>
    </r>
    <r>
      <rPr>
        <vertAlign val="subscript"/>
        <sz val="11"/>
        <rFont val="Calibri"/>
        <family val="2"/>
      </rPr>
      <t>P,BIO</t>
    </r>
  </si>
  <si>
    <r>
      <t>PAO growth on PHA, NO</t>
    </r>
    <r>
      <rPr>
        <vertAlign val="subscript"/>
        <sz val="11"/>
        <color rgb="FF000000"/>
        <rFont val="Calibri"/>
        <family val="2"/>
        <scheme val="minor"/>
      </rPr>
      <t>3</t>
    </r>
    <r>
      <rPr>
        <sz val="11"/>
        <color rgb="FF000000"/>
        <rFont val="Calibri"/>
        <family val="2"/>
        <charset val="238"/>
        <scheme val="minor"/>
      </rPr>
      <t>; PO</t>
    </r>
    <r>
      <rPr>
        <vertAlign val="subscript"/>
        <sz val="11"/>
        <color rgb="FF000000"/>
        <rFont val="Calibri"/>
        <family val="2"/>
        <scheme val="minor"/>
      </rPr>
      <t>4</t>
    </r>
    <r>
      <rPr>
        <sz val="11"/>
        <color rgb="FF000000"/>
        <rFont val="Calibri"/>
        <family val="2"/>
        <charset val="238"/>
        <scheme val="minor"/>
      </rPr>
      <t xml:space="preserve"> limited</t>
    </r>
  </si>
  <si>
    <r>
      <t>f</t>
    </r>
    <r>
      <rPr>
        <vertAlign val="subscript"/>
        <sz val="11"/>
        <rFont val="Calibri"/>
        <family val="2"/>
      </rPr>
      <t>P,VFA</t>
    </r>
  </si>
  <si>
    <r>
      <t>-f</t>
    </r>
    <r>
      <rPr>
        <vertAlign val="subscript"/>
        <sz val="11"/>
        <rFont val="Calibri"/>
        <family val="2"/>
      </rPr>
      <t>P,VFA</t>
    </r>
  </si>
  <si>
    <r>
      <t>i</t>
    </r>
    <r>
      <rPr>
        <vertAlign val="subscript"/>
        <sz val="11"/>
        <rFont val="Calibri"/>
        <family val="2"/>
      </rPr>
      <t>Ca,PP</t>
    </r>
    <r>
      <rPr>
        <sz val="11"/>
        <rFont val="Calibri"/>
        <family val="2"/>
      </rPr>
      <t>*AM</t>
    </r>
    <r>
      <rPr>
        <vertAlign val="subscript"/>
        <sz val="11"/>
        <rFont val="Calibri"/>
        <family val="2"/>
      </rPr>
      <t>Ca</t>
    </r>
    <r>
      <rPr>
        <sz val="11"/>
        <rFont val="Calibri"/>
        <family val="2"/>
      </rPr>
      <t>/AM</t>
    </r>
    <r>
      <rPr>
        <vertAlign val="subscript"/>
        <sz val="11"/>
        <rFont val="Calibri"/>
        <family val="2"/>
      </rPr>
      <t>P</t>
    </r>
    <r>
      <rPr>
        <sz val="11"/>
        <rFont val="Calibri"/>
        <family val="2"/>
      </rPr>
      <t>*f</t>
    </r>
    <r>
      <rPr>
        <vertAlign val="subscript"/>
        <sz val="11"/>
        <rFont val="Calibri"/>
        <family val="2"/>
      </rPr>
      <t>P,VFA</t>
    </r>
  </si>
  <si>
    <r>
      <t>i</t>
    </r>
    <r>
      <rPr>
        <vertAlign val="subscript"/>
        <sz val="11"/>
        <rFont val="Calibri"/>
        <family val="2"/>
      </rPr>
      <t>Mg,PP</t>
    </r>
    <r>
      <rPr>
        <sz val="11"/>
        <rFont val="Calibri"/>
        <family val="2"/>
      </rPr>
      <t>*AM</t>
    </r>
    <r>
      <rPr>
        <vertAlign val="subscript"/>
        <sz val="11"/>
        <rFont val="Calibri"/>
        <family val="2"/>
      </rPr>
      <t>Mg</t>
    </r>
    <r>
      <rPr>
        <sz val="11"/>
        <rFont val="Calibri"/>
        <family val="2"/>
      </rPr>
      <t>/AM</t>
    </r>
    <r>
      <rPr>
        <vertAlign val="subscript"/>
        <sz val="11"/>
        <rFont val="Calibri"/>
        <family val="2"/>
      </rPr>
      <t>P</t>
    </r>
    <r>
      <rPr>
        <sz val="11"/>
        <rFont val="Calibri"/>
        <family val="2"/>
      </rPr>
      <t>*f</t>
    </r>
    <r>
      <rPr>
        <vertAlign val="subscript"/>
        <sz val="11"/>
        <rFont val="Calibri"/>
        <family val="2"/>
      </rPr>
      <t>P,VFA</t>
    </r>
  </si>
  <si>
    <r>
      <t>i</t>
    </r>
    <r>
      <rPr>
        <vertAlign val="subscript"/>
        <sz val="11"/>
        <rFont val="Calibri"/>
        <family val="2"/>
      </rPr>
      <t>K,PP</t>
    </r>
    <r>
      <rPr>
        <sz val="11"/>
        <rFont val="Calibri"/>
        <family val="2"/>
      </rPr>
      <t>*AM</t>
    </r>
    <r>
      <rPr>
        <vertAlign val="subscript"/>
        <sz val="11"/>
        <rFont val="Calibri"/>
        <family val="2"/>
      </rPr>
      <t>K</t>
    </r>
    <r>
      <rPr>
        <sz val="11"/>
        <rFont val="Calibri"/>
        <family val="2"/>
      </rPr>
      <t>/AM</t>
    </r>
    <r>
      <rPr>
        <vertAlign val="subscript"/>
        <sz val="11"/>
        <rFont val="Calibri"/>
        <family val="2"/>
      </rPr>
      <t>P</t>
    </r>
    <r>
      <rPr>
        <sz val="11"/>
        <rFont val="Calibri"/>
        <family val="2"/>
      </rPr>
      <t>*f</t>
    </r>
    <r>
      <rPr>
        <vertAlign val="subscript"/>
        <sz val="11"/>
        <rFont val="Calibri"/>
        <family val="2"/>
      </rPr>
      <t>P,VFA</t>
    </r>
  </si>
  <si>
    <r>
      <t>i</t>
    </r>
    <r>
      <rPr>
        <vertAlign val="subscript"/>
        <sz val="11"/>
        <rFont val="Calibri"/>
        <family val="2"/>
      </rPr>
      <t>Ca,PP</t>
    </r>
    <r>
      <rPr>
        <sz val="11"/>
        <rFont val="Calibri"/>
        <family val="2"/>
      </rPr>
      <t>*AM</t>
    </r>
    <r>
      <rPr>
        <vertAlign val="subscript"/>
        <sz val="11"/>
        <rFont val="Calibri"/>
        <family val="2"/>
      </rPr>
      <t>Ca</t>
    </r>
    <r>
      <rPr>
        <sz val="11"/>
        <rFont val="Calibri"/>
        <family val="2"/>
      </rPr>
      <t>/AM</t>
    </r>
    <r>
      <rPr>
        <vertAlign val="subscript"/>
        <sz val="11"/>
        <rFont val="Calibri"/>
        <family val="2"/>
      </rPr>
      <t>P</t>
    </r>
  </si>
  <si>
    <r>
      <t>i</t>
    </r>
    <r>
      <rPr>
        <vertAlign val="subscript"/>
        <sz val="11"/>
        <rFont val="Calibri"/>
        <family val="2"/>
      </rPr>
      <t>Mg,PP</t>
    </r>
    <r>
      <rPr>
        <sz val="11"/>
        <rFont val="Calibri"/>
        <family val="2"/>
      </rPr>
      <t>*AM</t>
    </r>
    <r>
      <rPr>
        <vertAlign val="subscript"/>
        <sz val="11"/>
        <rFont val="Calibri"/>
        <family val="2"/>
      </rPr>
      <t>Mg</t>
    </r>
    <r>
      <rPr>
        <sz val="11"/>
        <rFont val="Calibri"/>
        <family val="2"/>
      </rPr>
      <t>/AM</t>
    </r>
    <r>
      <rPr>
        <vertAlign val="subscript"/>
        <sz val="11"/>
        <rFont val="Calibri"/>
        <family val="2"/>
      </rPr>
      <t>P</t>
    </r>
  </si>
  <si>
    <r>
      <t>i</t>
    </r>
    <r>
      <rPr>
        <vertAlign val="subscript"/>
        <sz val="11"/>
        <rFont val="Calibri"/>
        <family val="2"/>
      </rPr>
      <t>K,PP</t>
    </r>
    <r>
      <rPr>
        <sz val="11"/>
        <rFont val="Calibri"/>
        <family val="2"/>
      </rPr>
      <t>*AM</t>
    </r>
    <r>
      <rPr>
        <vertAlign val="subscript"/>
        <sz val="11"/>
        <rFont val="Calibri"/>
        <family val="2"/>
      </rPr>
      <t>K</t>
    </r>
    <r>
      <rPr>
        <sz val="11"/>
        <rFont val="Calibri"/>
        <family val="2"/>
      </rPr>
      <t>/AM</t>
    </r>
    <r>
      <rPr>
        <vertAlign val="subscript"/>
        <sz val="11"/>
        <rFont val="Calibri"/>
        <family val="2"/>
      </rPr>
      <t>P</t>
    </r>
  </si>
  <si>
    <r>
      <t>-i</t>
    </r>
    <r>
      <rPr>
        <vertAlign val="subscript"/>
        <sz val="11"/>
        <rFont val="Calibri"/>
        <family val="2"/>
      </rPr>
      <t>CIT,BIO</t>
    </r>
  </si>
  <si>
    <r>
      <t>-1/Y</t>
    </r>
    <r>
      <rPr>
        <vertAlign val="subscript"/>
        <sz val="11"/>
        <rFont val="Calibri"/>
        <family val="2"/>
      </rPr>
      <t>AMETO</t>
    </r>
  </si>
  <si>
    <r>
      <t>(1-Y</t>
    </r>
    <r>
      <rPr>
        <vertAlign val="subscript"/>
        <sz val="11"/>
        <rFont val="Calibri"/>
        <family val="2"/>
      </rPr>
      <t>AMETO</t>
    </r>
    <r>
      <rPr>
        <sz val="11"/>
        <rFont val="Calibri"/>
        <family val="2"/>
      </rPr>
      <t>)/Y</t>
    </r>
    <r>
      <rPr>
        <vertAlign val="subscript"/>
        <sz val="11"/>
        <rFont val="Calibri"/>
        <family val="2"/>
      </rPr>
      <t>AMETO</t>
    </r>
  </si>
  <si>
    <r>
      <t>(1-Y</t>
    </r>
    <r>
      <rPr>
        <vertAlign val="subscript"/>
        <sz val="11"/>
        <rFont val="Calibri"/>
        <family val="2"/>
      </rPr>
      <t>HMETO</t>
    </r>
    <r>
      <rPr>
        <sz val="11"/>
        <rFont val="Calibri"/>
        <family val="2"/>
      </rPr>
      <t>)/Y</t>
    </r>
    <r>
      <rPr>
        <vertAlign val="subscript"/>
        <sz val="11"/>
        <rFont val="Calibri"/>
        <family val="2"/>
      </rPr>
      <t>HMETO</t>
    </r>
  </si>
  <si>
    <r>
      <t>-1/Y</t>
    </r>
    <r>
      <rPr>
        <vertAlign val="subscript"/>
        <sz val="11"/>
        <rFont val="Calibri"/>
        <family val="2"/>
      </rPr>
      <t>HMETO</t>
    </r>
  </si>
  <si>
    <t>Flocculation of colloidal biodegradable substrate</t>
  </si>
  <si>
    <r>
      <t>i</t>
    </r>
    <r>
      <rPr>
        <vertAlign val="subscript"/>
        <sz val="11"/>
        <rFont val="Calibri"/>
        <family val="2"/>
      </rPr>
      <t>N,CB</t>
    </r>
  </si>
  <si>
    <r>
      <t>i</t>
    </r>
    <r>
      <rPr>
        <vertAlign val="subscript"/>
        <sz val="11"/>
        <rFont val="Calibri"/>
        <family val="2"/>
      </rPr>
      <t>P,CB</t>
    </r>
  </si>
  <si>
    <t>Flocculation of colloidal unbiodegradable organics</t>
  </si>
  <si>
    <r>
      <t>i</t>
    </r>
    <r>
      <rPr>
        <vertAlign val="subscript"/>
        <sz val="11"/>
        <rFont val="Calibri"/>
        <family val="2"/>
      </rPr>
      <t>N,CU</t>
    </r>
  </si>
  <si>
    <r>
      <t>i</t>
    </r>
    <r>
      <rPr>
        <vertAlign val="subscript"/>
        <sz val="11"/>
        <rFont val="Calibri"/>
        <family val="2"/>
      </rPr>
      <t>P,CU</t>
    </r>
  </si>
  <si>
    <r>
      <t>X</t>
    </r>
    <r>
      <rPr>
        <vertAlign val="subscript"/>
        <sz val="11"/>
        <rFont val="Calibri"/>
        <family val="2"/>
      </rPr>
      <t>N,B</t>
    </r>
    <r>
      <rPr>
        <sz val="11"/>
        <rFont val="Calibri"/>
        <family val="2"/>
      </rPr>
      <t>/X</t>
    </r>
    <r>
      <rPr>
        <vertAlign val="subscript"/>
        <sz val="11"/>
        <rFont val="Calibri"/>
        <family val="2"/>
      </rPr>
      <t>B</t>
    </r>
  </si>
  <si>
    <r>
      <t>-X</t>
    </r>
    <r>
      <rPr>
        <vertAlign val="subscript"/>
        <sz val="11"/>
        <rFont val="Calibri"/>
        <family val="2"/>
      </rPr>
      <t>N,B</t>
    </r>
    <r>
      <rPr>
        <sz val="11"/>
        <rFont val="Calibri"/>
        <family val="2"/>
      </rPr>
      <t>/X</t>
    </r>
    <r>
      <rPr>
        <vertAlign val="subscript"/>
        <sz val="11"/>
        <rFont val="Calibri"/>
        <family val="2"/>
      </rPr>
      <t>B</t>
    </r>
  </si>
  <si>
    <r>
      <t>X</t>
    </r>
    <r>
      <rPr>
        <vertAlign val="subscript"/>
        <sz val="11"/>
        <rFont val="Calibri"/>
        <family val="2"/>
      </rPr>
      <t>P,B</t>
    </r>
    <r>
      <rPr>
        <sz val="11"/>
        <rFont val="Calibri"/>
        <family val="2"/>
      </rPr>
      <t>/X</t>
    </r>
    <r>
      <rPr>
        <vertAlign val="subscript"/>
        <sz val="11"/>
        <rFont val="Calibri"/>
        <family val="2"/>
      </rPr>
      <t>B</t>
    </r>
  </si>
  <si>
    <r>
      <t>-X</t>
    </r>
    <r>
      <rPr>
        <vertAlign val="subscript"/>
        <sz val="11"/>
        <rFont val="Calibri"/>
        <family val="2"/>
      </rPr>
      <t>P,B</t>
    </r>
    <r>
      <rPr>
        <sz val="11"/>
        <rFont val="Calibri"/>
        <family val="2"/>
      </rPr>
      <t>/X</t>
    </r>
    <r>
      <rPr>
        <vertAlign val="subscript"/>
        <sz val="11"/>
        <rFont val="Calibri"/>
        <family val="2"/>
      </rPr>
      <t>B</t>
    </r>
  </si>
  <si>
    <r>
      <t>S</t>
    </r>
    <r>
      <rPr>
        <vertAlign val="subscript"/>
        <sz val="11"/>
        <color rgb="FF000000"/>
        <rFont val="Calibri"/>
        <family val="2"/>
        <scheme val="minor"/>
      </rPr>
      <t>P,B</t>
    </r>
    <r>
      <rPr>
        <sz val="11"/>
        <color rgb="FF000000"/>
        <rFont val="Calibri"/>
        <family val="2"/>
        <charset val="238"/>
        <scheme val="minor"/>
      </rPr>
      <t xml:space="preserve"> conversion to PO</t>
    </r>
    <r>
      <rPr>
        <vertAlign val="subscript"/>
        <sz val="11"/>
        <color rgb="FF000000"/>
        <rFont val="Calibri"/>
        <family val="2"/>
        <scheme val="minor"/>
      </rPr>
      <t>4</t>
    </r>
  </si>
  <si>
    <r>
      <t>NO</t>
    </r>
    <r>
      <rPr>
        <vertAlign val="subscript"/>
        <sz val="11"/>
        <color rgb="FF000000"/>
        <rFont val="Calibri"/>
        <family val="2"/>
        <scheme val="minor"/>
      </rPr>
      <t>3</t>
    </r>
    <r>
      <rPr>
        <sz val="11"/>
        <color rgb="FF000000"/>
        <rFont val="Calibri"/>
        <family val="2"/>
        <charset val="238"/>
        <scheme val="minor"/>
      </rPr>
      <t xml:space="preserve"> assimilative reduction</t>
    </r>
  </si>
  <si>
    <r>
      <t>Reduction of X</t>
    </r>
    <r>
      <rPr>
        <vertAlign val="subscript"/>
        <sz val="11"/>
        <rFont val="Calibri"/>
        <family val="2"/>
      </rPr>
      <t>HFO</t>
    </r>
    <r>
      <rPr>
        <sz val="11"/>
        <rFont val="Calibri"/>
        <family val="2"/>
      </rPr>
      <t xml:space="preserve"> with organic matter</t>
    </r>
  </si>
  <si>
    <r>
      <t>Oxidation of Fe</t>
    </r>
    <r>
      <rPr>
        <vertAlign val="superscript"/>
        <sz val="11"/>
        <rFont val="Calibri"/>
        <family val="2"/>
        <scheme val="minor"/>
      </rPr>
      <t>2+</t>
    </r>
    <r>
      <rPr>
        <sz val="11"/>
        <rFont val="Calibri"/>
        <family val="2"/>
        <scheme val="minor"/>
      </rPr>
      <t xml:space="preserve"> </t>
    </r>
  </si>
  <si>
    <r>
      <t>-EEQ</t>
    </r>
    <r>
      <rPr>
        <vertAlign val="subscript"/>
        <sz val="11"/>
        <rFont val="Calibri"/>
        <family val="2"/>
      </rPr>
      <t>Fe2</t>
    </r>
  </si>
  <si>
    <r>
      <t>-AM</t>
    </r>
    <r>
      <rPr>
        <vertAlign val="subscript"/>
        <sz val="11"/>
        <rFont val="Calibri"/>
        <family val="2"/>
      </rPr>
      <t>Ca</t>
    </r>
    <r>
      <rPr>
        <sz val="11"/>
        <rFont val="Calibri"/>
        <family val="2"/>
      </rPr>
      <t>/MM</t>
    </r>
    <r>
      <rPr>
        <vertAlign val="subscript"/>
        <sz val="11"/>
        <rFont val="Calibri"/>
        <family val="2"/>
      </rPr>
      <t>CaCO3</t>
    </r>
  </si>
  <si>
    <r>
      <t>q</t>
    </r>
    <r>
      <rPr>
        <vertAlign val="subscript"/>
        <sz val="11"/>
        <rFont val="Calibri"/>
        <family val="2"/>
      </rPr>
      <t>CaCO3</t>
    </r>
    <r>
      <rPr>
        <sz val="11"/>
        <rFont val="Calibri"/>
        <family val="2"/>
      </rPr>
      <t>*PrecipDrivingForce</t>
    </r>
    <r>
      <rPr>
        <vertAlign val="subscript"/>
        <sz val="11"/>
        <rFont val="Calibri"/>
        <family val="2"/>
      </rPr>
      <t>CaCO3</t>
    </r>
    <r>
      <rPr>
        <vertAlign val="superscript"/>
        <sz val="11"/>
        <rFont val="Calibri"/>
        <family val="2"/>
      </rPr>
      <t>^2</t>
    </r>
  </si>
  <si>
    <r>
      <t>-2*AM</t>
    </r>
    <r>
      <rPr>
        <vertAlign val="subscript"/>
        <sz val="11"/>
        <rFont val="Calibri"/>
        <family val="2"/>
      </rPr>
      <t>P</t>
    </r>
    <r>
      <rPr>
        <sz val="11"/>
        <rFont val="Calibri"/>
        <family val="2"/>
      </rPr>
      <t>/MM</t>
    </r>
    <r>
      <rPr>
        <vertAlign val="subscript"/>
        <sz val="11"/>
        <rFont val="Calibri"/>
        <family val="2"/>
      </rPr>
      <t>ACP</t>
    </r>
  </si>
  <si>
    <r>
      <t>-3*AM</t>
    </r>
    <r>
      <rPr>
        <vertAlign val="subscript"/>
        <sz val="11"/>
        <rFont val="Calibri"/>
        <family val="2"/>
      </rPr>
      <t>Ca</t>
    </r>
    <r>
      <rPr>
        <sz val="11"/>
        <rFont val="Calibri"/>
        <family val="2"/>
      </rPr>
      <t>/MM</t>
    </r>
    <r>
      <rPr>
        <vertAlign val="subscript"/>
        <sz val="11"/>
        <rFont val="Calibri"/>
        <family val="2"/>
      </rPr>
      <t>ACP</t>
    </r>
  </si>
  <si>
    <r>
      <t>q</t>
    </r>
    <r>
      <rPr>
        <vertAlign val="subscript"/>
        <sz val="11"/>
        <rFont val="Calibri"/>
        <family val="2"/>
      </rPr>
      <t>ACP</t>
    </r>
    <r>
      <rPr>
        <sz val="11"/>
        <rFont val="Calibri"/>
        <family val="2"/>
      </rPr>
      <t>*PrecipDrivingForce</t>
    </r>
    <r>
      <rPr>
        <vertAlign val="subscript"/>
        <sz val="11"/>
        <rFont val="Calibri"/>
        <family val="2"/>
      </rPr>
      <t>ACP</t>
    </r>
    <r>
      <rPr>
        <vertAlign val="superscript"/>
        <sz val="11"/>
        <rFont val="Calibri"/>
        <family val="2"/>
      </rPr>
      <t>^2</t>
    </r>
  </si>
  <si>
    <r>
      <t>-AM</t>
    </r>
    <r>
      <rPr>
        <vertAlign val="subscript"/>
        <sz val="11"/>
        <rFont val="Calibri"/>
        <family val="2"/>
      </rPr>
      <t>N</t>
    </r>
    <r>
      <rPr>
        <sz val="11"/>
        <rFont val="Calibri"/>
        <family val="2"/>
      </rPr>
      <t>/MM</t>
    </r>
    <r>
      <rPr>
        <vertAlign val="subscript"/>
        <sz val="11"/>
        <rFont val="Calibri"/>
        <family val="2"/>
      </rPr>
      <t>STR</t>
    </r>
  </si>
  <si>
    <r>
      <t>-AM</t>
    </r>
    <r>
      <rPr>
        <vertAlign val="subscript"/>
        <sz val="11"/>
        <rFont val="Calibri"/>
        <family val="2"/>
      </rPr>
      <t>P</t>
    </r>
    <r>
      <rPr>
        <sz val="11"/>
        <rFont val="Calibri"/>
        <family val="2"/>
      </rPr>
      <t>/MM</t>
    </r>
    <r>
      <rPr>
        <vertAlign val="subscript"/>
        <sz val="11"/>
        <rFont val="Calibri"/>
        <family val="2"/>
      </rPr>
      <t>STR</t>
    </r>
  </si>
  <si>
    <r>
      <t>-AM</t>
    </r>
    <r>
      <rPr>
        <vertAlign val="subscript"/>
        <sz val="11"/>
        <rFont val="Calibri"/>
        <family val="2"/>
      </rPr>
      <t>Mg</t>
    </r>
    <r>
      <rPr>
        <sz val="11"/>
        <rFont val="Calibri"/>
        <family val="2"/>
      </rPr>
      <t>/MM</t>
    </r>
    <r>
      <rPr>
        <vertAlign val="subscript"/>
        <sz val="11"/>
        <rFont val="Calibri"/>
        <family val="2"/>
      </rPr>
      <t>STR</t>
    </r>
  </si>
  <si>
    <r>
      <t>q</t>
    </r>
    <r>
      <rPr>
        <vertAlign val="subscript"/>
        <sz val="11"/>
        <rFont val="Calibri"/>
        <family val="2"/>
      </rPr>
      <t>STR</t>
    </r>
    <r>
      <rPr>
        <sz val="11"/>
        <rFont val="Calibri"/>
        <family val="2"/>
      </rPr>
      <t>*PrecipDrivingForce</t>
    </r>
    <r>
      <rPr>
        <vertAlign val="subscript"/>
        <sz val="11"/>
        <rFont val="Calibri"/>
        <family val="2"/>
      </rPr>
      <t>STR</t>
    </r>
    <r>
      <rPr>
        <vertAlign val="superscript"/>
        <sz val="11"/>
        <rFont val="Calibri"/>
        <family val="2"/>
      </rPr>
      <t>^3</t>
    </r>
  </si>
  <si>
    <r>
      <t>-2*AM</t>
    </r>
    <r>
      <rPr>
        <vertAlign val="subscript"/>
        <sz val="11"/>
        <rFont val="Calibri"/>
        <family val="2"/>
      </rPr>
      <t>P</t>
    </r>
    <r>
      <rPr>
        <sz val="11"/>
        <rFont val="Calibri"/>
        <family val="2"/>
      </rPr>
      <t>/MM</t>
    </r>
    <r>
      <rPr>
        <vertAlign val="subscript"/>
        <sz val="11"/>
        <rFont val="Calibri"/>
        <family val="2"/>
      </rPr>
      <t>Vivi</t>
    </r>
  </si>
  <si>
    <r>
      <t>-3*AM</t>
    </r>
    <r>
      <rPr>
        <vertAlign val="subscript"/>
        <sz val="11"/>
        <rFont val="Calibri"/>
        <family val="2"/>
      </rPr>
      <t>Fe</t>
    </r>
    <r>
      <rPr>
        <sz val="11"/>
        <rFont val="Calibri"/>
        <family val="2"/>
      </rPr>
      <t>/MM</t>
    </r>
    <r>
      <rPr>
        <vertAlign val="subscript"/>
        <sz val="11"/>
        <rFont val="Calibri"/>
        <family val="2"/>
      </rPr>
      <t>Vivi</t>
    </r>
  </si>
  <si>
    <r>
      <t>q</t>
    </r>
    <r>
      <rPr>
        <vertAlign val="subscript"/>
        <sz val="11"/>
        <rFont val="Calibri"/>
        <family val="2"/>
      </rPr>
      <t>Vivi</t>
    </r>
    <r>
      <rPr>
        <sz val="11"/>
        <rFont val="Calibri"/>
        <family val="2"/>
      </rPr>
      <t>*PrecipDrivingForce</t>
    </r>
    <r>
      <rPr>
        <vertAlign val="subscript"/>
        <sz val="11"/>
        <rFont val="Calibri"/>
        <family val="2"/>
      </rPr>
      <t>Vivi</t>
    </r>
    <r>
      <rPr>
        <vertAlign val="superscript"/>
        <sz val="11"/>
        <rFont val="Calibri"/>
        <family val="2"/>
      </rPr>
      <t>^2</t>
    </r>
  </si>
  <si>
    <r>
      <t>S</t>
    </r>
    <r>
      <rPr>
        <vertAlign val="subscript"/>
        <sz val="11"/>
        <rFont val="Calibri"/>
        <family val="2"/>
        <scheme val="minor"/>
      </rPr>
      <t>U</t>
    </r>
    <r>
      <rPr>
        <sz val="11"/>
        <rFont val="Calibri"/>
        <family val="2"/>
        <scheme val="minor"/>
      </rPr>
      <t xml:space="preserve"> + S</t>
    </r>
    <r>
      <rPr>
        <vertAlign val="subscript"/>
        <sz val="11"/>
        <rFont val="Calibri"/>
        <family val="2"/>
        <scheme val="minor"/>
      </rPr>
      <t xml:space="preserve">B </t>
    </r>
    <r>
      <rPr>
        <sz val="11"/>
        <rFont val="Calibri"/>
        <family val="2"/>
        <scheme val="minor"/>
      </rPr>
      <t>+S</t>
    </r>
    <r>
      <rPr>
        <vertAlign val="subscript"/>
        <sz val="11"/>
        <rFont val="Calibri"/>
        <family val="2"/>
        <scheme val="minor"/>
      </rPr>
      <t xml:space="preserve">VFA </t>
    </r>
    <r>
      <rPr>
        <sz val="11"/>
        <rFont val="Calibri"/>
        <family val="2"/>
        <scheme val="minor"/>
      </rPr>
      <t>+S</t>
    </r>
    <r>
      <rPr>
        <vertAlign val="subscript"/>
        <sz val="11"/>
        <rFont val="Calibri"/>
        <family val="2"/>
        <scheme val="minor"/>
      </rPr>
      <t>MEOL</t>
    </r>
  </si>
  <si>
    <r>
      <t>µ</t>
    </r>
    <r>
      <rPr>
        <vertAlign val="subscript"/>
        <sz val="11"/>
        <rFont val="Calibri"/>
        <family val="2"/>
        <scheme val="minor"/>
      </rPr>
      <t>PAO,lim</t>
    </r>
  </si>
  <si>
    <r>
      <t>q</t>
    </r>
    <r>
      <rPr>
        <vertAlign val="subscript"/>
        <sz val="11"/>
        <rFont val="Calibri"/>
        <family val="2"/>
        <scheme val="minor"/>
      </rPr>
      <t>CaCO3,PREC</t>
    </r>
  </si>
  <si>
    <r>
      <t>q</t>
    </r>
    <r>
      <rPr>
        <vertAlign val="subscript"/>
        <sz val="11"/>
        <rFont val="Calibri"/>
        <family val="2"/>
        <scheme val="minor"/>
      </rPr>
      <t>CaCO3,DISS</t>
    </r>
  </si>
  <si>
    <r>
      <t>q</t>
    </r>
    <r>
      <rPr>
        <vertAlign val="subscript"/>
        <sz val="11"/>
        <rFont val="Calibri"/>
        <family val="2"/>
        <scheme val="minor"/>
      </rPr>
      <t>STR,PREC</t>
    </r>
  </si>
  <si>
    <r>
      <t>q</t>
    </r>
    <r>
      <rPr>
        <vertAlign val="subscript"/>
        <sz val="11"/>
        <rFont val="Calibri"/>
        <family val="2"/>
        <scheme val="minor"/>
      </rPr>
      <t>STR,DISS</t>
    </r>
  </si>
  <si>
    <r>
      <t>q</t>
    </r>
    <r>
      <rPr>
        <vertAlign val="subscript"/>
        <sz val="11"/>
        <rFont val="Calibri"/>
        <family val="2"/>
        <scheme val="minor"/>
      </rPr>
      <t>ACP,PREC</t>
    </r>
  </si>
  <si>
    <r>
      <t>q</t>
    </r>
    <r>
      <rPr>
        <vertAlign val="subscript"/>
        <sz val="11"/>
        <rFont val="Calibri"/>
        <family val="2"/>
        <scheme val="minor"/>
      </rPr>
      <t>ACP,DISS</t>
    </r>
  </si>
  <si>
    <r>
      <t>q</t>
    </r>
    <r>
      <rPr>
        <vertAlign val="subscript"/>
        <sz val="11"/>
        <rFont val="Calibri"/>
        <family val="2"/>
        <scheme val="minor"/>
      </rPr>
      <t>Vivi,PREC</t>
    </r>
  </si>
  <si>
    <r>
      <t>q</t>
    </r>
    <r>
      <rPr>
        <vertAlign val="subscript"/>
        <sz val="11"/>
        <rFont val="Calibri"/>
        <family val="2"/>
        <scheme val="minor"/>
      </rPr>
      <t>Vivi,DISS</t>
    </r>
  </si>
  <si>
    <r>
      <t>q</t>
    </r>
    <r>
      <rPr>
        <vertAlign val="subscript"/>
        <sz val="11"/>
        <rFont val="Calibri"/>
        <family val="2"/>
        <scheme val="minor"/>
      </rPr>
      <t>HFOH,AGING</t>
    </r>
  </si>
  <si>
    <r>
      <t>q</t>
    </r>
    <r>
      <rPr>
        <vertAlign val="subscript"/>
        <sz val="11"/>
        <rFont val="Calibri"/>
        <family val="2"/>
        <scheme val="minor"/>
      </rPr>
      <t>HFOL,AGING</t>
    </r>
  </si>
  <si>
    <r>
      <rPr>
        <sz val="11"/>
        <color indexed="8"/>
        <rFont val="Calibri"/>
        <family val="2"/>
        <scheme val="minor"/>
      </rPr>
      <t>q</t>
    </r>
    <r>
      <rPr>
        <vertAlign val="subscript"/>
        <sz val="11"/>
        <color indexed="8"/>
        <rFont val="Calibri"/>
        <family val="2"/>
        <scheme val="minor"/>
      </rPr>
      <t>HFO,RED</t>
    </r>
  </si>
  <si>
    <r>
      <t>η</t>
    </r>
    <r>
      <rPr>
        <vertAlign val="subscript"/>
        <sz val="11"/>
        <rFont val="Calibri"/>
        <family val="2"/>
        <scheme val="minor"/>
      </rPr>
      <t>HYD,anox</t>
    </r>
  </si>
  <si>
    <r>
      <t>η</t>
    </r>
    <r>
      <rPr>
        <vertAlign val="subscript"/>
        <sz val="11"/>
        <rFont val="Calibri"/>
        <family val="2"/>
        <scheme val="minor"/>
      </rPr>
      <t>HYD,ana</t>
    </r>
  </si>
  <si>
    <r>
      <t>η</t>
    </r>
    <r>
      <rPr>
        <vertAlign val="subscript"/>
        <sz val="11"/>
        <rFont val="Calibri"/>
        <family val="2"/>
        <scheme val="minor"/>
      </rPr>
      <t>b,anox</t>
    </r>
  </si>
  <si>
    <r>
      <t>η</t>
    </r>
    <r>
      <rPr>
        <vertAlign val="subscript"/>
        <sz val="11"/>
        <rFont val="Calibri"/>
        <family val="2"/>
        <scheme val="minor"/>
      </rPr>
      <t>b,ana</t>
    </r>
  </si>
  <si>
    <r>
      <t>η</t>
    </r>
    <r>
      <rPr>
        <vertAlign val="subscript"/>
        <sz val="11"/>
        <rFont val="Calibri"/>
        <family val="2"/>
        <scheme val="minor"/>
      </rPr>
      <t>OHO,anox</t>
    </r>
  </si>
  <si>
    <r>
      <t>θ</t>
    </r>
    <r>
      <rPr>
        <vertAlign val="subscript"/>
        <sz val="11"/>
        <color indexed="8"/>
        <rFont val="Calibri"/>
        <family val="2"/>
        <scheme val="minor"/>
      </rPr>
      <t>q,HFO,RED</t>
    </r>
  </si>
  <si>
    <r>
      <t>θ</t>
    </r>
    <r>
      <rPr>
        <vertAlign val="subscript"/>
        <sz val="11"/>
        <color indexed="8"/>
        <rFont val="Calibri"/>
        <family val="2"/>
        <scheme val="minor"/>
      </rPr>
      <t>µ,PAO,lim</t>
    </r>
  </si>
  <si>
    <r>
      <t>Y</t>
    </r>
    <r>
      <rPr>
        <vertAlign val="subscript"/>
        <sz val="11"/>
        <rFont val="Calibri"/>
        <family val="2"/>
        <scheme val="minor"/>
      </rPr>
      <t>OHO,VFA,ox</t>
    </r>
  </si>
  <si>
    <r>
      <t>Y</t>
    </r>
    <r>
      <rPr>
        <vertAlign val="subscript"/>
        <sz val="11"/>
        <rFont val="Calibri"/>
        <family val="2"/>
        <scheme val="minor"/>
      </rPr>
      <t>OHO,VFA,anox</t>
    </r>
  </si>
  <si>
    <r>
      <t>Y</t>
    </r>
    <r>
      <rPr>
        <vertAlign val="subscript"/>
        <sz val="11"/>
        <rFont val="Calibri"/>
        <family val="2"/>
        <scheme val="minor"/>
      </rPr>
      <t>OHO,SB,ox</t>
    </r>
  </si>
  <si>
    <r>
      <t>Y</t>
    </r>
    <r>
      <rPr>
        <vertAlign val="subscript"/>
        <sz val="11"/>
        <rFont val="Calibri"/>
        <family val="2"/>
        <scheme val="minor"/>
      </rPr>
      <t>OHO,SB,anox</t>
    </r>
  </si>
  <si>
    <r>
      <t>Y</t>
    </r>
    <r>
      <rPr>
        <vertAlign val="subscript"/>
        <sz val="11"/>
        <rFont val="Calibri"/>
        <family val="2"/>
        <scheme val="minor"/>
      </rPr>
      <t>OHO,SB,ana</t>
    </r>
  </si>
  <si>
    <r>
      <t>Y</t>
    </r>
    <r>
      <rPr>
        <vertAlign val="subscript"/>
        <sz val="11"/>
        <rFont val="Calibri"/>
        <family val="2"/>
        <scheme val="minor"/>
      </rPr>
      <t>OHO,SMEOL,ox</t>
    </r>
  </si>
  <si>
    <r>
      <t>X</t>
    </r>
    <r>
      <rPr>
        <b/>
        <vertAlign val="subscript"/>
        <sz val="11"/>
        <rFont val="Calibri"/>
        <family val="2"/>
        <scheme val="minor"/>
      </rPr>
      <t>E,ana</t>
    </r>
  </si>
  <si>
    <r>
      <t>q</t>
    </r>
    <r>
      <rPr>
        <vertAlign val="subscript"/>
        <sz val="11"/>
        <rFont val="Calibri"/>
        <family val="2"/>
      </rPr>
      <t>XE,T</t>
    </r>
    <r>
      <rPr>
        <sz val="11"/>
        <rFont val="Calibri"/>
        <family val="2"/>
      </rPr>
      <t>*X</t>
    </r>
    <r>
      <rPr>
        <vertAlign val="subscript"/>
        <sz val="11"/>
        <rFont val="Calibri"/>
        <family val="2"/>
      </rPr>
      <t>E</t>
    </r>
  </si>
  <si>
    <r>
      <t>-1/Y</t>
    </r>
    <r>
      <rPr>
        <vertAlign val="subscript"/>
        <sz val="11"/>
        <rFont val="Calibri"/>
        <family val="2"/>
      </rPr>
      <t>OHO,VFA,ox</t>
    </r>
  </si>
  <si>
    <r>
      <t>-1/Y</t>
    </r>
    <r>
      <rPr>
        <vertAlign val="subscript"/>
        <sz val="11"/>
        <rFont val="Calibri"/>
        <family val="2"/>
      </rPr>
      <t>OHO,VFA,anox</t>
    </r>
  </si>
  <si>
    <r>
      <t>-1/Y</t>
    </r>
    <r>
      <rPr>
        <vertAlign val="subscript"/>
        <sz val="11"/>
        <rFont val="Calibri"/>
        <family val="2"/>
      </rPr>
      <t>OHO,SB,ox</t>
    </r>
  </si>
  <si>
    <r>
      <t>-1/Y</t>
    </r>
    <r>
      <rPr>
        <vertAlign val="subscript"/>
        <sz val="11"/>
        <rFont val="Calibri"/>
        <family val="2"/>
      </rPr>
      <t>OHO,SB,anox</t>
    </r>
  </si>
  <si>
    <r>
      <t>-1/Y</t>
    </r>
    <r>
      <rPr>
        <vertAlign val="subscript"/>
        <sz val="11"/>
        <rFont val="Calibri"/>
        <family val="2"/>
      </rPr>
      <t>OHO,SB,ana</t>
    </r>
  </si>
  <si>
    <r>
      <t>-1/Y</t>
    </r>
    <r>
      <rPr>
        <vertAlign val="subscript"/>
        <sz val="11"/>
        <rFont val="Calibri"/>
        <family val="2"/>
      </rPr>
      <t>OHO,SMEOL,ox</t>
    </r>
  </si>
  <si>
    <r>
      <t>-(1-Y</t>
    </r>
    <r>
      <rPr>
        <vertAlign val="subscript"/>
        <sz val="11"/>
        <rFont val="Calibri"/>
        <family val="2"/>
      </rPr>
      <t>OHO,VFA,ox</t>
    </r>
    <r>
      <rPr>
        <sz val="11"/>
        <rFont val="Calibri"/>
        <family val="2"/>
      </rPr>
      <t>)/Y</t>
    </r>
    <r>
      <rPr>
        <vertAlign val="subscript"/>
        <sz val="11"/>
        <rFont val="Calibri"/>
        <family val="2"/>
      </rPr>
      <t>OHO,VFA,ox</t>
    </r>
  </si>
  <si>
    <r>
      <t>-(1-Y</t>
    </r>
    <r>
      <rPr>
        <vertAlign val="subscript"/>
        <sz val="11"/>
        <rFont val="Calibri"/>
        <family val="2"/>
      </rPr>
      <t>OHO,SB,ox</t>
    </r>
    <r>
      <rPr>
        <sz val="11"/>
        <rFont val="Calibri"/>
        <family val="2"/>
      </rPr>
      <t>)/Y</t>
    </r>
    <r>
      <rPr>
        <vertAlign val="subscript"/>
        <sz val="11"/>
        <rFont val="Calibri"/>
        <family val="2"/>
      </rPr>
      <t>OHO,SB,ox</t>
    </r>
  </si>
  <si>
    <r>
      <t>-(1-Y</t>
    </r>
    <r>
      <rPr>
        <vertAlign val="subscript"/>
        <sz val="11"/>
        <rFont val="Calibri"/>
        <family val="2"/>
      </rPr>
      <t>OHO,SMEOL,ox</t>
    </r>
    <r>
      <rPr>
        <sz val="11"/>
        <rFont val="Calibri"/>
        <family val="2"/>
      </rPr>
      <t>)/Y</t>
    </r>
    <r>
      <rPr>
        <vertAlign val="subscript"/>
        <sz val="11"/>
        <rFont val="Calibri"/>
        <family val="2"/>
      </rPr>
      <t>OHO,SMEOL,ox</t>
    </r>
  </si>
  <si>
    <r>
      <t>θ</t>
    </r>
    <r>
      <rPr>
        <vertAlign val="subscript"/>
        <sz val="11"/>
        <color indexed="8"/>
        <rFont val="Calibri"/>
        <family val="2"/>
        <scheme val="minor"/>
      </rPr>
      <t>q,XE</t>
    </r>
  </si>
  <si>
    <r>
      <t>θ</t>
    </r>
    <r>
      <rPr>
        <vertAlign val="subscript"/>
        <sz val="11"/>
        <color indexed="8"/>
        <rFont val="Calibri"/>
        <family val="2"/>
        <scheme val="minor"/>
      </rPr>
      <t>q,SPB</t>
    </r>
  </si>
  <si>
    <r>
      <t>q</t>
    </r>
    <r>
      <rPr>
        <vertAlign val="subscript"/>
        <sz val="11"/>
        <color indexed="8"/>
        <rFont val="Calibri"/>
        <family val="2"/>
        <scheme val="minor"/>
      </rPr>
      <t>SPB</t>
    </r>
  </si>
  <si>
    <r>
      <t>q</t>
    </r>
    <r>
      <rPr>
        <vertAlign val="subscript"/>
        <sz val="11"/>
        <color indexed="8"/>
        <rFont val="Calibri"/>
        <family val="2"/>
        <scheme val="minor"/>
      </rPr>
      <t>XE</t>
    </r>
  </si>
  <si>
    <r>
      <t>X</t>
    </r>
    <r>
      <rPr>
        <vertAlign val="subscript"/>
        <sz val="11"/>
        <rFont val="Calibri"/>
        <family val="2"/>
        <scheme val="minor"/>
      </rPr>
      <t>BIO</t>
    </r>
  </si>
  <si>
    <r>
      <t>X</t>
    </r>
    <r>
      <rPr>
        <vertAlign val="subscript"/>
        <sz val="11"/>
        <rFont val="Calibri"/>
        <family val="2"/>
        <scheme val="minor"/>
      </rPr>
      <t>COD</t>
    </r>
  </si>
  <si>
    <r>
      <t>X</t>
    </r>
    <r>
      <rPr>
        <vertAlign val="subscript"/>
        <sz val="11"/>
        <rFont val="Calibri"/>
        <family val="2"/>
        <scheme val="minor"/>
      </rPr>
      <t>VSS,BIO</t>
    </r>
  </si>
  <si>
    <r>
      <t>X</t>
    </r>
    <r>
      <rPr>
        <vertAlign val="subscript"/>
        <sz val="11"/>
        <rFont val="Calibri"/>
        <family val="2"/>
        <scheme val="minor"/>
      </rPr>
      <t>BIO</t>
    </r>
    <r>
      <rPr>
        <sz val="11"/>
        <rFont val="Calibri"/>
        <family val="2"/>
        <scheme val="minor"/>
      </rPr>
      <t>/i</t>
    </r>
    <r>
      <rPr>
        <vertAlign val="subscript"/>
        <sz val="11"/>
        <rFont val="Calibri"/>
        <family val="2"/>
        <scheme val="minor"/>
      </rPr>
      <t>CV,BIO</t>
    </r>
  </si>
  <si>
    <r>
      <t>g VSS.m</t>
    </r>
    <r>
      <rPr>
        <vertAlign val="superscript"/>
        <sz val="11"/>
        <rFont val="Calibri"/>
        <family val="2"/>
        <scheme val="minor"/>
      </rPr>
      <t>-3</t>
    </r>
  </si>
  <si>
    <r>
      <t>X</t>
    </r>
    <r>
      <rPr>
        <vertAlign val="subscript"/>
        <sz val="11"/>
        <rFont val="Calibri"/>
        <family val="2"/>
        <scheme val="minor"/>
      </rPr>
      <t>VSS</t>
    </r>
  </si>
  <si>
    <r>
      <t>X</t>
    </r>
    <r>
      <rPr>
        <vertAlign val="subscript"/>
        <sz val="11"/>
        <rFont val="Calibri"/>
        <family val="2"/>
        <scheme val="minor"/>
      </rPr>
      <t>TSS</t>
    </r>
  </si>
  <si>
    <r>
      <t>g TSS.m</t>
    </r>
    <r>
      <rPr>
        <vertAlign val="superscript"/>
        <sz val="11"/>
        <rFont val="Calibri"/>
        <family val="2"/>
        <scheme val="minor"/>
      </rPr>
      <t>-3</t>
    </r>
  </si>
  <si>
    <r>
      <t>X</t>
    </r>
    <r>
      <rPr>
        <vertAlign val="subscript"/>
        <sz val="11"/>
        <rFont val="Calibri"/>
        <family val="2"/>
        <scheme val="minor"/>
      </rPr>
      <t>VS</t>
    </r>
  </si>
  <si>
    <r>
      <t>g VS.m</t>
    </r>
    <r>
      <rPr>
        <vertAlign val="superscript"/>
        <sz val="11"/>
        <rFont val="Calibri"/>
        <family val="2"/>
        <scheme val="minor"/>
      </rPr>
      <t>-3</t>
    </r>
  </si>
  <si>
    <r>
      <t>T</t>
    </r>
    <r>
      <rPr>
        <vertAlign val="subscript"/>
        <sz val="11"/>
        <rFont val="Calibri"/>
        <family val="2"/>
        <scheme val="minor"/>
      </rPr>
      <t>COD</t>
    </r>
  </si>
  <si>
    <r>
      <t>SC</t>
    </r>
    <r>
      <rPr>
        <vertAlign val="subscript"/>
        <sz val="11"/>
        <rFont val="Calibri"/>
        <family val="2"/>
        <scheme val="minor"/>
      </rPr>
      <t>COD</t>
    </r>
    <r>
      <rPr>
        <sz val="11"/>
        <rFont val="Calibri"/>
        <family val="2"/>
        <scheme val="minor"/>
      </rPr>
      <t xml:space="preserve"> +X</t>
    </r>
    <r>
      <rPr>
        <vertAlign val="subscript"/>
        <sz val="11"/>
        <rFont val="Calibri"/>
        <family val="2"/>
        <scheme val="minor"/>
      </rPr>
      <t>COD</t>
    </r>
  </si>
  <si>
    <r>
      <t>T</t>
    </r>
    <r>
      <rPr>
        <vertAlign val="subscript"/>
        <sz val="11"/>
        <rFont val="Calibri"/>
        <family val="2"/>
        <scheme val="minor"/>
      </rPr>
      <t>KN</t>
    </r>
  </si>
  <si>
    <r>
      <t>T</t>
    </r>
    <r>
      <rPr>
        <vertAlign val="subscript"/>
        <sz val="11"/>
        <rFont val="Calibri"/>
        <family val="2"/>
        <scheme val="minor"/>
      </rPr>
      <t>N</t>
    </r>
  </si>
  <si>
    <r>
      <t>T</t>
    </r>
    <r>
      <rPr>
        <vertAlign val="subscript"/>
        <sz val="11"/>
        <rFont val="Calibri"/>
        <family val="2"/>
        <scheme val="minor"/>
      </rPr>
      <t>P</t>
    </r>
  </si>
  <si>
    <r>
      <t>X</t>
    </r>
    <r>
      <rPr>
        <vertAlign val="subscript"/>
        <sz val="11"/>
        <rFont val="Calibri"/>
        <family val="2"/>
        <scheme val="minor"/>
      </rPr>
      <t>HFO</t>
    </r>
  </si>
  <si>
    <r>
      <t>X</t>
    </r>
    <r>
      <rPr>
        <vertAlign val="subscript"/>
        <sz val="11"/>
        <rFont val="Calibri"/>
        <family val="2"/>
        <scheme val="minor"/>
      </rPr>
      <t>HFO,H</t>
    </r>
    <r>
      <rPr>
        <sz val="11"/>
        <rFont val="Calibri"/>
        <family val="2"/>
        <scheme val="minor"/>
      </rPr>
      <t>+X</t>
    </r>
    <r>
      <rPr>
        <vertAlign val="subscript"/>
        <sz val="11"/>
        <rFont val="Calibri"/>
        <family val="2"/>
        <scheme val="minor"/>
      </rPr>
      <t>HFO,L</t>
    </r>
    <r>
      <rPr>
        <sz val="11"/>
        <rFont val="Calibri"/>
        <family val="2"/>
        <scheme val="minor"/>
      </rPr>
      <t>+X</t>
    </r>
    <r>
      <rPr>
        <vertAlign val="subscript"/>
        <sz val="11"/>
        <rFont val="Calibri"/>
        <family val="2"/>
        <scheme val="minor"/>
      </rPr>
      <t>HFO,L,P</t>
    </r>
    <r>
      <rPr>
        <sz val="11"/>
        <rFont val="Calibri"/>
        <family val="2"/>
        <scheme val="minor"/>
      </rPr>
      <t>+X</t>
    </r>
    <r>
      <rPr>
        <vertAlign val="subscript"/>
        <sz val="11"/>
        <rFont val="Calibri"/>
        <family val="2"/>
        <scheme val="minor"/>
      </rPr>
      <t>HFO,H,P</t>
    </r>
    <r>
      <rPr>
        <sz val="11"/>
        <rFont val="Calibri"/>
        <family val="2"/>
        <scheme val="minor"/>
      </rPr>
      <t>+X</t>
    </r>
    <r>
      <rPr>
        <vertAlign val="subscript"/>
        <sz val="11"/>
        <rFont val="Calibri"/>
        <family val="2"/>
        <scheme val="minor"/>
      </rPr>
      <t>HFO,old</t>
    </r>
    <r>
      <rPr>
        <sz val="11"/>
        <rFont val="Calibri"/>
        <family val="2"/>
        <scheme val="minor"/>
      </rPr>
      <t>+X</t>
    </r>
    <r>
      <rPr>
        <vertAlign val="subscript"/>
        <sz val="11"/>
        <rFont val="Calibri"/>
        <family val="2"/>
        <scheme val="minor"/>
      </rPr>
      <t>HFO,L,P,old</t>
    </r>
    <r>
      <rPr>
        <sz val="11"/>
        <rFont val="Calibri"/>
        <family val="2"/>
        <scheme val="minor"/>
      </rPr>
      <t>+X</t>
    </r>
    <r>
      <rPr>
        <vertAlign val="subscript"/>
        <sz val="11"/>
        <rFont val="Calibri"/>
        <family val="2"/>
        <scheme val="minor"/>
      </rPr>
      <t>HFO,H,P,old</t>
    </r>
  </si>
  <si>
    <r>
      <t>T</t>
    </r>
    <r>
      <rPr>
        <vertAlign val="subscript"/>
        <sz val="11"/>
        <rFont val="Calibri"/>
        <family val="2"/>
        <scheme val="minor"/>
      </rPr>
      <t>Fe</t>
    </r>
  </si>
  <si>
    <r>
      <t>X</t>
    </r>
    <r>
      <rPr>
        <vertAlign val="subscript"/>
        <sz val="11"/>
        <rFont val="Calibri"/>
        <family val="2"/>
        <scheme val="minor"/>
      </rPr>
      <t>HFO,P</t>
    </r>
  </si>
  <si>
    <r>
      <t>PrecipDrivingForce</t>
    </r>
    <r>
      <rPr>
        <vertAlign val="subscript"/>
        <sz val="11"/>
        <color theme="1"/>
        <rFont val="Calibri"/>
        <family val="2"/>
        <scheme val="minor"/>
      </rPr>
      <t>STR</t>
    </r>
  </si>
  <si>
    <r>
      <t>(([Mg</t>
    </r>
    <r>
      <rPr>
        <vertAlign val="superscript"/>
        <sz val="11"/>
        <color theme="1"/>
        <rFont val="Calibri"/>
        <family val="2"/>
        <scheme val="minor"/>
      </rPr>
      <t>2+</t>
    </r>
    <r>
      <rPr>
        <sz val="11"/>
        <color theme="1"/>
        <rFont val="Calibri"/>
        <family val="2"/>
        <scheme val="minor"/>
      </rPr>
      <t>]</t>
    </r>
    <r>
      <rPr>
        <vertAlign val="superscript"/>
        <sz val="11"/>
        <color theme="1"/>
        <rFont val="Calibri"/>
        <family val="2"/>
        <scheme val="minor"/>
      </rPr>
      <t>^(1/3)</t>
    </r>
    <r>
      <rPr>
        <sz val="11"/>
        <color theme="1"/>
        <rFont val="Calibri"/>
        <family val="2"/>
        <scheme val="minor"/>
      </rPr>
      <t>*[NH</t>
    </r>
    <r>
      <rPr>
        <vertAlign val="subscript"/>
        <sz val="11"/>
        <color theme="1"/>
        <rFont val="Calibri"/>
        <family val="2"/>
        <scheme val="minor"/>
      </rPr>
      <t>4</t>
    </r>
    <r>
      <rPr>
        <vertAlign val="superscript"/>
        <sz val="11"/>
        <color theme="1"/>
        <rFont val="Calibri"/>
        <family val="2"/>
        <scheme val="minor"/>
      </rPr>
      <t>+</t>
    </r>
    <r>
      <rPr>
        <sz val="11"/>
        <color theme="1"/>
        <rFont val="Calibri"/>
        <family val="2"/>
        <scheme val="minor"/>
      </rPr>
      <t>]</t>
    </r>
    <r>
      <rPr>
        <vertAlign val="superscript"/>
        <sz val="11"/>
        <color theme="1"/>
        <rFont val="Calibri"/>
        <family val="2"/>
        <scheme val="minor"/>
      </rPr>
      <t>^(1/3)</t>
    </r>
    <r>
      <rPr>
        <sz val="11"/>
        <color theme="1"/>
        <rFont val="Calibri"/>
        <family val="2"/>
        <scheme val="minor"/>
      </rPr>
      <t xml:space="preserve"> * [PO</t>
    </r>
    <r>
      <rPr>
        <vertAlign val="subscript"/>
        <sz val="11"/>
        <color theme="1"/>
        <rFont val="Calibri"/>
        <family val="2"/>
        <scheme val="minor"/>
      </rPr>
      <t>4</t>
    </r>
    <r>
      <rPr>
        <vertAlign val="superscript"/>
        <sz val="11"/>
        <color theme="1"/>
        <rFont val="Calibri"/>
        <family val="2"/>
        <scheme val="minor"/>
      </rPr>
      <t>3-</t>
    </r>
    <r>
      <rPr>
        <sz val="11"/>
        <color theme="1"/>
        <rFont val="Calibri"/>
        <family val="2"/>
        <scheme val="minor"/>
      </rPr>
      <t>]</t>
    </r>
    <r>
      <rPr>
        <vertAlign val="superscript"/>
        <sz val="11"/>
        <color theme="1"/>
        <rFont val="Calibri"/>
        <family val="2"/>
        <scheme val="minor"/>
      </rPr>
      <t>^(1/3)</t>
    </r>
    <r>
      <rPr>
        <sz val="11"/>
        <color theme="1"/>
        <rFont val="Calibri"/>
        <family val="2"/>
        <scheme val="minor"/>
      </rPr>
      <t xml:space="preserve"> - K</t>
    </r>
    <r>
      <rPr>
        <vertAlign val="subscript"/>
        <sz val="11"/>
        <color theme="1"/>
        <rFont val="Calibri"/>
        <family val="2"/>
        <scheme val="minor"/>
      </rPr>
      <t>sp,STR</t>
    </r>
    <r>
      <rPr>
        <vertAlign val="superscript"/>
        <sz val="11"/>
        <color theme="1"/>
        <rFont val="Calibri"/>
        <family val="2"/>
        <scheme val="minor"/>
      </rPr>
      <t>^(1/3)</t>
    </r>
    <r>
      <rPr>
        <sz val="11"/>
        <color theme="1"/>
        <rFont val="Calibri"/>
        <family val="2"/>
        <scheme val="minor"/>
      </rPr>
      <t>)/ K</t>
    </r>
    <r>
      <rPr>
        <vertAlign val="subscript"/>
        <sz val="11"/>
        <color theme="1"/>
        <rFont val="Calibri"/>
        <family val="2"/>
        <scheme val="minor"/>
      </rPr>
      <t>sp,STR</t>
    </r>
    <r>
      <rPr>
        <vertAlign val="superscript"/>
        <sz val="11"/>
        <color theme="1"/>
        <rFont val="Calibri"/>
        <family val="2"/>
        <scheme val="minor"/>
      </rPr>
      <t>^(1/3)</t>
    </r>
    <r>
      <rPr>
        <sz val="11"/>
        <color theme="1"/>
        <rFont val="Calibri"/>
        <family val="2"/>
        <scheme val="minor"/>
      </rPr>
      <t>)</t>
    </r>
  </si>
  <si>
    <r>
      <t>([Ca</t>
    </r>
    <r>
      <rPr>
        <vertAlign val="superscript"/>
        <sz val="11"/>
        <color theme="1"/>
        <rFont val="Calibri"/>
        <family val="2"/>
        <scheme val="minor"/>
      </rPr>
      <t>2+</t>
    </r>
    <r>
      <rPr>
        <sz val="11"/>
        <color theme="1"/>
        <rFont val="Calibri"/>
        <family val="2"/>
        <scheme val="minor"/>
      </rPr>
      <t>]</t>
    </r>
    <r>
      <rPr>
        <vertAlign val="superscript"/>
        <sz val="11"/>
        <color theme="1"/>
        <rFont val="Calibri"/>
        <family val="2"/>
        <scheme val="minor"/>
      </rPr>
      <t>^(3/5)</t>
    </r>
    <r>
      <rPr>
        <sz val="11"/>
        <color theme="1"/>
        <rFont val="Calibri"/>
        <family val="2"/>
        <scheme val="minor"/>
      </rPr>
      <t>*[PO</t>
    </r>
    <r>
      <rPr>
        <vertAlign val="subscript"/>
        <sz val="11"/>
        <color theme="1"/>
        <rFont val="Calibri"/>
        <family val="2"/>
        <scheme val="minor"/>
      </rPr>
      <t>4</t>
    </r>
    <r>
      <rPr>
        <vertAlign val="superscript"/>
        <sz val="11"/>
        <color theme="1"/>
        <rFont val="Calibri"/>
        <family val="2"/>
        <scheme val="minor"/>
      </rPr>
      <t>3-</t>
    </r>
    <r>
      <rPr>
        <sz val="11"/>
        <color theme="1"/>
        <rFont val="Calibri"/>
        <family val="2"/>
        <scheme val="minor"/>
      </rPr>
      <t>]</t>
    </r>
    <r>
      <rPr>
        <vertAlign val="superscript"/>
        <sz val="11"/>
        <color theme="1"/>
        <rFont val="Calibri"/>
        <family val="2"/>
        <scheme val="minor"/>
      </rPr>
      <t>^(2/5)</t>
    </r>
    <r>
      <rPr>
        <sz val="11"/>
        <color theme="1"/>
        <rFont val="Calibri"/>
        <family val="2"/>
        <scheme val="minor"/>
      </rPr>
      <t>-K</t>
    </r>
    <r>
      <rPr>
        <vertAlign val="subscript"/>
        <sz val="11"/>
        <color theme="1"/>
        <rFont val="Calibri"/>
        <family val="2"/>
        <scheme val="minor"/>
      </rPr>
      <t>sp,ACP</t>
    </r>
    <r>
      <rPr>
        <vertAlign val="superscript"/>
        <sz val="11"/>
        <color theme="1"/>
        <rFont val="Calibri"/>
        <family val="2"/>
        <scheme val="minor"/>
      </rPr>
      <t>^(1/5)</t>
    </r>
    <r>
      <rPr>
        <sz val="11"/>
        <color theme="1"/>
        <rFont val="Calibri"/>
        <family val="2"/>
        <scheme val="minor"/>
      </rPr>
      <t>)/K</t>
    </r>
    <r>
      <rPr>
        <vertAlign val="subscript"/>
        <sz val="11"/>
        <color theme="1"/>
        <rFont val="Calibri"/>
        <family val="2"/>
        <scheme val="minor"/>
      </rPr>
      <t>sp,ACP</t>
    </r>
    <r>
      <rPr>
        <vertAlign val="superscript"/>
        <sz val="11"/>
        <color theme="1"/>
        <rFont val="Calibri"/>
        <family val="2"/>
        <scheme val="minor"/>
      </rPr>
      <t>^(1/5)</t>
    </r>
  </si>
  <si>
    <r>
      <t>([Ca</t>
    </r>
    <r>
      <rPr>
        <vertAlign val="superscript"/>
        <sz val="11"/>
        <color theme="1"/>
        <rFont val="Calibri"/>
        <family val="2"/>
        <scheme val="minor"/>
      </rPr>
      <t>2+</t>
    </r>
    <r>
      <rPr>
        <sz val="11"/>
        <color theme="1"/>
        <rFont val="Calibri"/>
        <family val="2"/>
        <scheme val="minor"/>
      </rPr>
      <t>]</t>
    </r>
    <r>
      <rPr>
        <vertAlign val="superscript"/>
        <sz val="11"/>
        <color theme="1"/>
        <rFont val="Calibri"/>
        <family val="2"/>
        <scheme val="minor"/>
      </rPr>
      <t>^(1/2)</t>
    </r>
    <r>
      <rPr>
        <sz val="11"/>
        <color theme="1"/>
        <rFont val="Calibri"/>
        <family val="2"/>
        <scheme val="minor"/>
      </rPr>
      <t>*[CO</t>
    </r>
    <r>
      <rPr>
        <vertAlign val="subscript"/>
        <sz val="11"/>
        <color theme="1"/>
        <rFont val="Calibri"/>
        <family val="2"/>
        <scheme val="minor"/>
      </rPr>
      <t>3</t>
    </r>
    <r>
      <rPr>
        <vertAlign val="superscript"/>
        <sz val="11"/>
        <color theme="1"/>
        <rFont val="Calibri"/>
        <family val="2"/>
        <scheme val="minor"/>
      </rPr>
      <t>2-</t>
    </r>
    <r>
      <rPr>
        <sz val="11"/>
        <color theme="1"/>
        <rFont val="Calibri"/>
        <family val="2"/>
        <scheme val="minor"/>
      </rPr>
      <t>]</t>
    </r>
    <r>
      <rPr>
        <vertAlign val="superscript"/>
        <sz val="11"/>
        <color theme="1"/>
        <rFont val="Calibri"/>
        <family val="2"/>
        <scheme val="minor"/>
      </rPr>
      <t>^(1/2)</t>
    </r>
    <r>
      <rPr>
        <sz val="11"/>
        <color theme="1"/>
        <rFont val="Calibri"/>
        <family val="2"/>
        <scheme val="minor"/>
      </rPr>
      <t>-K</t>
    </r>
    <r>
      <rPr>
        <vertAlign val="subscript"/>
        <sz val="11"/>
        <color theme="1"/>
        <rFont val="Calibri"/>
        <family val="2"/>
        <scheme val="minor"/>
      </rPr>
      <t>sp,CaCO3</t>
    </r>
    <r>
      <rPr>
        <vertAlign val="superscript"/>
        <sz val="11"/>
        <color theme="1"/>
        <rFont val="Calibri"/>
        <family val="2"/>
        <scheme val="minor"/>
      </rPr>
      <t>^(1/2)</t>
    </r>
    <r>
      <rPr>
        <sz val="11"/>
        <color theme="1"/>
        <rFont val="Calibri"/>
        <family val="2"/>
        <scheme val="minor"/>
      </rPr>
      <t>)/K</t>
    </r>
    <r>
      <rPr>
        <vertAlign val="subscript"/>
        <sz val="11"/>
        <color theme="1"/>
        <rFont val="Calibri"/>
        <family val="2"/>
        <scheme val="minor"/>
      </rPr>
      <t>sp,CaCO3</t>
    </r>
    <r>
      <rPr>
        <vertAlign val="superscript"/>
        <sz val="11"/>
        <color theme="1"/>
        <rFont val="Calibri"/>
        <family val="2"/>
        <scheme val="minor"/>
      </rPr>
      <t>^(1/2)</t>
    </r>
  </si>
  <si>
    <r>
      <t>PrecipDrivingForce</t>
    </r>
    <r>
      <rPr>
        <vertAlign val="subscript"/>
        <sz val="11"/>
        <color theme="1"/>
        <rFont val="Calibri"/>
        <family val="2"/>
        <scheme val="minor"/>
      </rPr>
      <t>Vivi</t>
    </r>
  </si>
  <si>
    <r>
      <t>(([Fe</t>
    </r>
    <r>
      <rPr>
        <vertAlign val="superscript"/>
        <sz val="11"/>
        <color theme="1"/>
        <rFont val="Calibri"/>
        <family val="2"/>
        <scheme val="minor"/>
      </rPr>
      <t>2+</t>
    </r>
    <r>
      <rPr>
        <sz val="11"/>
        <color theme="1"/>
        <rFont val="Calibri"/>
        <family val="2"/>
        <scheme val="minor"/>
      </rPr>
      <t>]</t>
    </r>
    <r>
      <rPr>
        <vertAlign val="superscript"/>
        <sz val="11"/>
        <color theme="1"/>
        <rFont val="Calibri"/>
        <family val="2"/>
        <scheme val="minor"/>
      </rPr>
      <t>^(3/5)</t>
    </r>
    <r>
      <rPr>
        <sz val="11"/>
        <color theme="1"/>
        <rFont val="Calibri"/>
        <family val="2"/>
        <scheme val="minor"/>
      </rPr>
      <t xml:space="preserve"> * [PO</t>
    </r>
    <r>
      <rPr>
        <vertAlign val="subscript"/>
        <sz val="11"/>
        <color theme="1"/>
        <rFont val="Calibri"/>
        <family val="2"/>
        <scheme val="minor"/>
      </rPr>
      <t>4</t>
    </r>
    <r>
      <rPr>
        <vertAlign val="superscript"/>
        <sz val="11"/>
        <color theme="1"/>
        <rFont val="Calibri"/>
        <family val="2"/>
        <scheme val="minor"/>
      </rPr>
      <t>3-</t>
    </r>
    <r>
      <rPr>
        <sz val="11"/>
        <color theme="1"/>
        <rFont val="Calibri"/>
        <family val="2"/>
        <scheme val="minor"/>
      </rPr>
      <t>]</t>
    </r>
    <r>
      <rPr>
        <vertAlign val="superscript"/>
        <sz val="11"/>
        <color theme="1"/>
        <rFont val="Calibri"/>
        <family val="2"/>
        <scheme val="minor"/>
      </rPr>
      <t>^(2/5)</t>
    </r>
    <r>
      <rPr>
        <sz val="11"/>
        <color theme="1"/>
        <rFont val="Calibri"/>
        <family val="2"/>
        <scheme val="minor"/>
      </rPr>
      <t xml:space="preserve"> - K</t>
    </r>
    <r>
      <rPr>
        <vertAlign val="subscript"/>
        <sz val="11"/>
        <color theme="1"/>
        <rFont val="Calibri"/>
        <family val="2"/>
        <scheme val="minor"/>
      </rPr>
      <t>sp,Vivi</t>
    </r>
    <r>
      <rPr>
        <vertAlign val="superscript"/>
        <sz val="11"/>
        <color theme="1"/>
        <rFont val="Calibri"/>
        <family val="2"/>
        <scheme val="minor"/>
      </rPr>
      <t>^(1/5)</t>
    </r>
    <r>
      <rPr>
        <sz val="11"/>
        <color theme="1"/>
        <rFont val="Calibri"/>
        <family val="2"/>
        <scheme val="minor"/>
      </rPr>
      <t>)/K</t>
    </r>
    <r>
      <rPr>
        <vertAlign val="subscript"/>
        <sz val="11"/>
        <color theme="1"/>
        <rFont val="Calibri"/>
        <family val="2"/>
        <scheme val="minor"/>
      </rPr>
      <t>sp,Vivi</t>
    </r>
    <r>
      <rPr>
        <vertAlign val="superscript"/>
        <sz val="11"/>
        <color theme="1"/>
        <rFont val="Calibri"/>
        <family val="2"/>
        <scheme val="minor"/>
      </rPr>
      <t>^(1/5)</t>
    </r>
    <r>
      <rPr>
        <sz val="11"/>
        <color theme="1"/>
        <rFont val="Calibri"/>
        <family val="2"/>
        <scheme val="minor"/>
      </rPr>
      <t>)</t>
    </r>
  </si>
  <si>
    <r>
      <t>g N.m</t>
    </r>
    <r>
      <rPr>
        <vertAlign val="superscript"/>
        <sz val="11"/>
        <rFont val="Calibri"/>
        <family val="2"/>
        <scheme val="minor"/>
      </rPr>
      <t>-3</t>
    </r>
    <r>
      <rPr>
        <sz val="11"/>
        <rFont val="Calibri"/>
        <family val="2"/>
        <scheme val="minor"/>
      </rPr>
      <t>.d</t>
    </r>
    <r>
      <rPr>
        <vertAlign val="superscript"/>
        <sz val="11"/>
        <rFont val="Calibri"/>
        <family val="2"/>
        <scheme val="minor"/>
      </rPr>
      <t>-1</t>
    </r>
  </si>
  <si>
    <r>
      <t>K</t>
    </r>
    <r>
      <rPr>
        <vertAlign val="subscript"/>
        <sz val="11"/>
        <rFont val="Calibri"/>
        <family val="2"/>
        <scheme val="minor"/>
      </rPr>
      <t>SB</t>
    </r>
  </si>
  <si>
    <r>
      <t>K</t>
    </r>
    <r>
      <rPr>
        <vertAlign val="subscript"/>
        <sz val="11"/>
        <rFont val="Calibri"/>
        <family val="2"/>
        <scheme val="minor"/>
      </rPr>
      <t>VFA</t>
    </r>
  </si>
  <si>
    <r>
      <t>g COD.m</t>
    </r>
    <r>
      <rPr>
        <vertAlign val="superscript"/>
        <sz val="11"/>
        <rFont val="Calibri"/>
        <family val="2"/>
        <scheme val="minor"/>
      </rPr>
      <t>-3</t>
    </r>
    <r>
      <rPr>
        <sz val="11"/>
        <color theme="1"/>
        <rFont val="Calibri"/>
        <family val="2"/>
        <scheme val="minor"/>
      </rPr>
      <t/>
    </r>
  </si>
  <si>
    <r>
      <t>K</t>
    </r>
    <r>
      <rPr>
        <vertAlign val="subscript"/>
        <sz val="11"/>
        <rFont val="Calibri"/>
        <family val="2"/>
        <scheme val="minor"/>
      </rPr>
      <t>O2,OHO</t>
    </r>
  </si>
  <si>
    <r>
      <t>K</t>
    </r>
    <r>
      <rPr>
        <vertAlign val="subscript"/>
        <sz val="11"/>
        <rFont val="Calibri"/>
        <family val="2"/>
        <scheme val="minor"/>
      </rPr>
      <t>MEOL,OHO</t>
    </r>
  </si>
  <si>
    <r>
      <t>K</t>
    </r>
    <r>
      <rPr>
        <vertAlign val="subscript"/>
        <sz val="11"/>
        <rFont val="Calibri"/>
        <family val="2"/>
        <scheme val="minor"/>
      </rPr>
      <t>NO3,OHO</t>
    </r>
  </si>
  <si>
    <r>
      <t>K</t>
    </r>
    <r>
      <rPr>
        <vertAlign val="subscript"/>
        <sz val="11"/>
        <rFont val="Calibri"/>
        <family val="2"/>
        <scheme val="minor"/>
      </rPr>
      <t>MEOL</t>
    </r>
  </si>
  <si>
    <r>
      <t>K</t>
    </r>
    <r>
      <rPr>
        <vertAlign val="subscript"/>
        <sz val="11"/>
        <rFont val="Calibri"/>
        <family val="2"/>
        <scheme val="minor"/>
      </rPr>
      <t>NO3,MEOLO</t>
    </r>
  </si>
  <si>
    <r>
      <t>K</t>
    </r>
    <r>
      <rPr>
        <vertAlign val="subscript"/>
        <sz val="11"/>
        <rFont val="Calibri"/>
        <family val="2"/>
        <scheme val="minor"/>
      </rPr>
      <t>PHA</t>
    </r>
  </si>
  <si>
    <r>
      <t>K</t>
    </r>
    <r>
      <rPr>
        <vertAlign val="subscript"/>
        <sz val="11"/>
        <rFont val="Calibri"/>
        <family val="2"/>
        <scheme val="minor"/>
      </rPr>
      <t>VFA,AMETO</t>
    </r>
  </si>
  <si>
    <r>
      <t>K</t>
    </r>
    <r>
      <rPr>
        <vertAlign val="subscript"/>
        <sz val="11"/>
        <rFont val="Calibri"/>
        <family val="2"/>
        <scheme val="minor"/>
      </rPr>
      <t>H2,HMETO</t>
    </r>
  </si>
  <si>
    <r>
      <t>K</t>
    </r>
    <r>
      <rPr>
        <vertAlign val="subscript"/>
        <sz val="11"/>
        <rFont val="Calibri"/>
        <family val="2"/>
        <scheme val="minor"/>
      </rPr>
      <t>CO2,BIO</t>
    </r>
  </si>
  <si>
    <r>
      <t>Msat</t>
    </r>
    <r>
      <rPr>
        <vertAlign val="subscript"/>
        <sz val="11"/>
        <rFont val="Calibri"/>
        <family val="2"/>
        <scheme val="minor"/>
      </rPr>
      <t>SO2,KO2,OHO</t>
    </r>
  </si>
  <si>
    <r>
      <t>Msat(S</t>
    </r>
    <r>
      <rPr>
        <vertAlign val="subscript"/>
        <sz val="11"/>
        <rFont val="Calibri"/>
        <family val="2"/>
        <scheme val="minor"/>
      </rPr>
      <t>O2</t>
    </r>
    <r>
      <rPr>
        <sz val="11"/>
        <rFont val="Calibri"/>
        <family val="2"/>
        <scheme val="minor"/>
      </rPr>
      <t>;K</t>
    </r>
    <r>
      <rPr>
        <vertAlign val="subscript"/>
        <sz val="11"/>
        <rFont val="Calibri"/>
        <family val="2"/>
        <scheme val="minor"/>
      </rPr>
      <t>O2,OHO</t>
    </r>
    <r>
      <rPr>
        <sz val="11"/>
        <rFont val="Calibri"/>
        <family val="2"/>
        <scheme val="minor"/>
      </rPr>
      <t>)</t>
    </r>
  </si>
  <si>
    <r>
      <t>Msat</t>
    </r>
    <r>
      <rPr>
        <vertAlign val="subscript"/>
        <sz val="11"/>
        <rFont val="Calibri"/>
        <family val="2"/>
        <scheme val="minor"/>
      </rPr>
      <t>SMEOL,KMEOL,OHO</t>
    </r>
  </si>
  <si>
    <r>
      <t>Msat(S</t>
    </r>
    <r>
      <rPr>
        <vertAlign val="subscript"/>
        <sz val="11"/>
        <rFont val="Calibri"/>
        <family val="2"/>
        <scheme val="minor"/>
      </rPr>
      <t>MEOL</t>
    </r>
    <r>
      <rPr>
        <sz val="11"/>
        <rFont val="Calibri"/>
        <family val="2"/>
        <scheme val="minor"/>
      </rPr>
      <t>;K</t>
    </r>
    <r>
      <rPr>
        <vertAlign val="subscript"/>
        <sz val="11"/>
        <rFont val="Calibri"/>
        <family val="2"/>
        <scheme val="minor"/>
      </rPr>
      <t>MEOL,OHO</t>
    </r>
    <r>
      <rPr>
        <sz val="11"/>
        <rFont val="Calibri"/>
        <family val="2"/>
        <scheme val="minor"/>
      </rPr>
      <t>)</t>
    </r>
  </si>
  <si>
    <r>
      <t>Msat</t>
    </r>
    <r>
      <rPr>
        <vertAlign val="subscript"/>
        <sz val="11"/>
        <rFont val="Calibri"/>
        <family val="2"/>
        <scheme val="minor"/>
      </rPr>
      <t>SMEOL,KMEOL</t>
    </r>
  </si>
  <si>
    <r>
      <t>Msat(S</t>
    </r>
    <r>
      <rPr>
        <vertAlign val="subscript"/>
        <sz val="11"/>
        <rFont val="Calibri"/>
        <family val="2"/>
        <scheme val="minor"/>
      </rPr>
      <t>MEOL</t>
    </r>
    <r>
      <rPr>
        <sz val="11"/>
        <rFont val="Calibri"/>
        <family val="2"/>
        <scheme val="minor"/>
      </rPr>
      <t>;K</t>
    </r>
    <r>
      <rPr>
        <vertAlign val="subscript"/>
        <sz val="11"/>
        <rFont val="Calibri"/>
        <family val="2"/>
        <scheme val="minor"/>
      </rPr>
      <t>MEOL</t>
    </r>
    <r>
      <rPr>
        <sz val="11"/>
        <rFont val="Calibri"/>
        <family val="2"/>
        <scheme val="minor"/>
      </rPr>
      <t>)</t>
    </r>
  </si>
  <si>
    <r>
      <t>Msat</t>
    </r>
    <r>
      <rPr>
        <vertAlign val="subscript"/>
        <sz val="11"/>
        <rFont val="Calibri"/>
        <family val="2"/>
        <scheme val="minor"/>
      </rPr>
      <t>SNHx,KNHx,BIO</t>
    </r>
  </si>
  <si>
    <r>
      <t>Msat(S</t>
    </r>
    <r>
      <rPr>
        <vertAlign val="subscript"/>
        <sz val="11"/>
        <rFont val="Calibri"/>
        <family val="2"/>
        <scheme val="minor"/>
      </rPr>
      <t>NHx</t>
    </r>
    <r>
      <rPr>
        <sz val="11"/>
        <rFont val="Calibri"/>
        <family val="2"/>
        <scheme val="minor"/>
      </rPr>
      <t>;K</t>
    </r>
    <r>
      <rPr>
        <vertAlign val="subscript"/>
        <sz val="11"/>
        <rFont val="Calibri"/>
        <family val="2"/>
        <scheme val="minor"/>
      </rPr>
      <t>NHx,BIO</t>
    </r>
    <r>
      <rPr>
        <sz val="11"/>
        <rFont val="Calibri"/>
        <family val="2"/>
        <scheme val="minor"/>
      </rPr>
      <t>)</t>
    </r>
  </si>
  <si>
    <r>
      <t>Msat</t>
    </r>
    <r>
      <rPr>
        <vertAlign val="subscript"/>
        <sz val="11"/>
        <rFont val="Calibri"/>
        <family val="2"/>
        <scheme val="minor"/>
      </rPr>
      <t>SPO4,KPO4,BIO</t>
    </r>
  </si>
  <si>
    <r>
      <t>Msat(S</t>
    </r>
    <r>
      <rPr>
        <vertAlign val="subscript"/>
        <sz val="11"/>
        <rFont val="Calibri"/>
        <family val="2"/>
        <scheme val="minor"/>
      </rPr>
      <t>PO4</t>
    </r>
    <r>
      <rPr>
        <sz val="11"/>
        <rFont val="Calibri"/>
        <family val="2"/>
        <scheme val="minor"/>
      </rPr>
      <t>;K</t>
    </r>
    <r>
      <rPr>
        <vertAlign val="subscript"/>
        <sz val="11"/>
        <rFont val="Calibri"/>
        <family val="2"/>
        <scheme val="minor"/>
      </rPr>
      <t>PO4,BIO</t>
    </r>
    <r>
      <rPr>
        <sz val="11"/>
        <rFont val="Calibri"/>
        <family val="2"/>
        <scheme val="minor"/>
      </rPr>
      <t>)</t>
    </r>
  </si>
  <si>
    <r>
      <t>Msat</t>
    </r>
    <r>
      <rPr>
        <vertAlign val="subscript"/>
        <sz val="11"/>
        <rFont val="Calibri"/>
        <family val="2"/>
        <scheme val="minor"/>
      </rPr>
      <t>SCAT,KCAT</t>
    </r>
  </si>
  <si>
    <r>
      <t>Msat(S</t>
    </r>
    <r>
      <rPr>
        <vertAlign val="subscript"/>
        <sz val="11"/>
        <rFont val="Calibri"/>
        <family val="2"/>
        <scheme val="minor"/>
      </rPr>
      <t>CAT</t>
    </r>
    <r>
      <rPr>
        <sz val="11"/>
        <rFont val="Calibri"/>
        <family val="2"/>
        <scheme val="minor"/>
      </rPr>
      <t>;K</t>
    </r>
    <r>
      <rPr>
        <vertAlign val="subscript"/>
        <sz val="11"/>
        <rFont val="Calibri"/>
        <family val="2"/>
        <scheme val="minor"/>
      </rPr>
      <t>CAT</t>
    </r>
    <r>
      <rPr>
        <sz val="11"/>
        <rFont val="Calibri"/>
        <family val="2"/>
        <scheme val="minor"/>
      </rPr>
      <t>)</t>
    </r>
  </si>
  <si>
    <r>
      <t>Msat</t>
    </r>
    <r>
      <rPr>
        <vertAlign val="subscript"/>
        <sz val="11"/>
        <rFont val="Calibri"/>
        <family val="2"/>
        <scheme val="minor"/>
      </rPr>
      <t>SAN,KAN</t>
    </r>
  </si>
  <si>
    <r>
      <t>Msat(S</t>
    </r>
    <r>
      <rPr>
        <vertAlign val="subscript"/>
        <sz val="11"/>
        <rFont val="Calibri"/>
        <family val="2"/>
        <scheme val="minor"/>
      </rPr>
      <t>AN</t>
    </r>
    <r>
      <rPr>
        <sz val="11"/>
        <rFont val="Calibri"/>
        <family val="2"/>
        <scheme val="minor"/>
      </rPr>
      <t>;K</t>
    </r>
    <r>
      <rPr>
        <vertAlign val="subscript"/>
        <sz val="11"/>
        <rFont val="Calibri"/>
        <family val="2"/>
        <scheme val="minor"/>
      </rPr>
      <t>AN</t>
    </r>
    <r>
      <rPr>
        <sz val="11"/>
        <rFont val="Calibri"/>
        <family val="2"/>
        <scheme val="minor"/>
      </rPr>
      <t>)</t>
    </r>
  </si>
  <si>
    <r>
      <t>Msat</t>
    </r>
    <r>
      <rPr>
        <vertAlign val="subscript"/>
        <sz val="11"/>
        <rFont val="Calibri"/>
        <family val="2"/>
        <scheme val="minor"/>
      </rPr>
      <t>SB,KSB</t>
    </r>
  </si>
  <si>
    <r>
      <t>Msat(S</t>
    </r>
    <r>
      <rPr>
        <vertAlign val="subscript"/>
        <sz val="11"/>
        <rFont val="Calibri"/>
        <family val="2"/>
        <scheme val="minor"/>
      </rPr>
      <t>B</t>
    </r>
    <r>
      <rPr>
        <sz val="11"/>
        <rFont val="Calibri"/>
        <family val="2"/>
        <scheme val="minor"/>
      </rPr>
      <t>;K</t>
    </r>
    <r>
      <rPr>
        <vertAlign val="subscript"/>
        <sz val="11"/>
        <rFont val="Calibri"/>
        <family val="2"/>
        <scheme val="minor"/>
      </rPr>
      <t>SB</t>
    </r>
    <r>
      <rPr>
        <sz val="11"/>
        <rFont val="Calibri"/>
        <family val="2"/>
        <scheme val="minor"/>
      </rPr>
      <t>)</t>
    </r>
  </si>
  <si>
    <r>
      <t>Msat</t>
    </r>
    <r>
      <rPr>
        <vertAlign val="subscript"/>
        <sz val="11"/>
        <rFont val="Calibri"/>
        <family val="2"/>
        <scheme val="minor"/>
      </rPr>
      <t>SPO4,KPO4,PAO</t>
    </r>
  </si>
  <si>
    <r>
      <t>Msat(S</t>
    </r>
    <r>
      <rPr>
        <vertAlign val="subscript"/>
        <sz val="11"/>
        <rFont val="Calibri"/>
        <family val="2"/>
        <scheme val="minor"/>
      </rPr>
      <t>PO4</t>
    </r>
    <r>
      <rPr>
        <sz val="11"/>
        <rFont val="Calibri"/>
        <family val="2"/>
        <scheme val="minor"/>
      </rPr>
      <t>;K</t>
    </r>
    <r>
      <rPr>
        <vertAlign val="subscript"/>
        <sz val="11"/>
        <rFont val="Calibri"/>
        <family val="2"/>
        <scheme val="minor"/>
      </rPr>
      <t>PO4,PAO</t>
    </r>
    <r>
      <rPr>
        <sz val="11"/>
        <rFont val="Calibri"/>
        <family val="2"/>
        <scheme val="minor"/>
      </rPr>
      <t>)</t>
    </r>
  </si>
  <si>
    <r>
      <t>Msat</t>
    </r>
    <r>
      <rPr>
        <vertAlign val="subscript"/>
        <sz val="11"/>
        <rFont val="Calibri"/>
        <family val="2"/>
        <scheme val="minor"/>
      </rPr>
      <t>SCa,KCa,PAO</t>
    </r>
  </si>
  <si>
    <r>
      <t>Msat(S</t>
    </r>
    <r>
      <rPr>
        <vertAlign val="subscript"/>
        <sz val="11"/>
        <rFont val="Calibri"/>
        <family val="2"/>
        <scheme val="minor"/>
      </rPr>
      <t>Ca</t>
    </r>
    <r>
      <rPr>
        <sz val="11"/>
        <rFont val="Calibri"/>
        <family val="2"/>
        <scheme val="minor"/>
      </rPr>
      <t>;K</t>
    </r>
    <r>
      <rPr>
        <vertAlign val="subscript"/>
        <sz val="11"/>
        <rFont val="Calibri"/>
        <family val="2"/>
        <scheme val="minor"/>
      </rPr>
      <t>Ca,PAO</t>
    </r>
    <r>
      <rPr>
        <sz val="11"/>
        <rFont val="Calibri"/>
        <family val="2"/>
        <scheme val="minor"/>
      </rPr>
      <t>)</t>
    </r>
  </si>
  <si>
    <r>
      <t>Msat</t>
    </r>
    <r>
      <rPr>
        <vertAlign val="subscript"/>
        <sz val="11"/>
        <rFont val="Calibri"/>
        <family val="2"/>
        <scheme val="minor"/>
      </rPr>
      <t>SMg,KMg,PAO</t>
    </r>
  </si>
  <si>
    <r>
      <t>Msat(S</t>
    </r>
    <r>
      <rPr>
        <vertAlign val="subscript"/>
        <sz val="11"/>
        <rFont val="Calibri"/>
        <family val="2"/>
        <scheme val="minor"/>
      </rPr>
      <t>Mg</t>
    </r>
    <r>
      <rPr>
        <sz val="11"/>
        <rFont val="Calibri"/>
        <family val="2"/>
        <scheme val="minor"/>
      </rPr>
      <t>;K</t>
    </r>
    <r>
      <rPr>
        <vertAlign val="subscript"/>
        <sz val="11"/>
        <rFont val="Calibri"/>
        <family val="2"/>
        <scheme val="minor"/>
      </rPr>
      <t>Mg,PAO</t>
    </r>
    <r>
      <rPr>
        <sz val="11"/>
        <rFont val="Calibri"/>
        <family val="2"/>
        <scheme val="minor"/>
      </rPr>
      <t>)</t>
    </r>
  </si>
  <si>
    <r>
      <t>Msat</t>
    </r>
    <r>
      <rPr>
        <vertAlign val="subscript"/>
        <sz val="11"/>
        <rFont val="Calibri"/>
        <family val="2"/>
        <scheme val="minor"/>
      </rPr>
      <t>SK,KK,PAO</t>
    </r>
  </si>
  <si>
    <r>
      <t>Msat(S</t>
    </r>
    <r>
      <rPr>
        <vertAlign val="subscript"/>
        <sz val="11"/>
        <rFont val="Calibri"/>
        <family val="2"/>
        <scheme val="minor"/>
      </rPr>
      <t>K</t>
    </r>
    <r>
      <rPr>
        <sz val="11"/>
        <rFont val="Calibri"/>
        <family val="2"/>
        <scheme val="minor"/>
      </rPr>
      <t>;K</t>
    </r>
    <r>
      <rPr>
        <vertAlign val="subscript"/>
        <sz val="11"/>
        <rFont val="Calibri"/>
        <family val="2"/>
        <scheme val="minor"/>
      </rPr>
      <t>K,PAO</t>
    </r>
    <r>
      <rPr>
        <sz val="11"/>
        <rFont val="Calibri"/>
        <family val="2"/>
        <scheme val="minor"/>
      </rPr>
      <t>)</t>
    </r>
  </si>
  <si>
    <r>
      <t>Msat</t>
    </r>
    <r>
      <rPr>
        <vertAlign val="subscript"/>
        <sz val="11"/>
        <rFont val="Calibri"/>
        <family val="2"/>
        <scheme val="minor"/>
      </rPr>
      <t>SNOx,KNO3,AMETO</t>
    </r>
  </si>
  <si>
    <r>
      <t>Msat</t>
    </r>
    <r>
      <rPr>
        <vertAlign val="subscript"/>
        <sz val="11"/>
        <rFont val="Calibri"/>
        <family val="2"/>
        <scheme val="minor"/>
      </rPr>
      <t>SNOx,KNO3,HMETO</t>
    </r>
  </si>
  <si>
    <r>
      <t>Msat</t>
    </r>
    <r>
      <rPr>
        <vertAlign val="subscript"/>
        <sz val="11"/>
        <rFont val="Calibri"/>
        <family val="2"/>
        <scheme val="minor"/>
      </rPr>
      <t>SCO2,KCO2,BIO</t>
    </r>
  </si>
  <si>
    <r>
      <t>Msat(S</t>
    </r>
    <r>
      <rPr>
        <vertAlign val="subscript"/>
        <sz val="11"/>
        <rFont val="Calibri"/>
        <family val="2"/>
        <scheme val="minor"/>
      </rPr>
      <t>CO2</t>
    </r>
    <r>
      <rPr>
        <sz val="11"/>
        <rFont val="Calibri"/>
        <family val="2"/>
        <scheme val="minor"/>
      </rPr>
      <t>;K</t>
    </r>
    <r>
      <rPr>
        <vertAlign val="subscript"/>
        <sz val="11"/>
        <rFont val="Calibri"/>
        <family val="2"/>
        <scheme val="minor"/>
      </rPr>
      <t>CO2,BIO</t>
    </r>
    <r>
      <rPr>
        <sz val="11"/>
        <rFont val="Calibri"/>
        <family val="2"/>
        <scheme val="minor"/>
      </rPr>
      <t>)</t>
    </r>
  </si>
  <si>
    <r>
      <t>Msat</t>
    </r>
    <r>
      <rPr>
        <vertAlign val="subscript"/>
        <sz val="11"/>
        <rFont val="Calibri"/>
        <family val="2"/>
        <scheme val="minor"/>
      </rPr>
      <t>SH2,KH2,HMETO</t>
    </r>
  </si>
  <si>
    <r>
      <t>Msat(S</t>
    </r>
    <r>
      <rPr>
        <vertAlign val="subscript"/>
        <sz val="11"/>
        <rFont val="Calibri"/>
        <family val="2"/>
        <scheme val="minor"/>
      </rPr>
      <t>H2</t>
    </r>
    <r>
      <rPr>
        <sz val="11"/>
        <rFont val="Calibri"/>
        <family val="2"/>
        <scheme val="minor"/>
      </rPr>
      <t>;K</t>
    </r>
    <r>
      <rPr>
        <vertAlign val="subscript"/>
        <sz val="11"/>
        <rFont val="Calibri"/>
        <family val="2"/>
        <scheme val="minor"/>
      </rPr>
      <t>H2,HMETO</t>
    </r>
    <r>
      <rPr>
        <sz val="11"/>
        <rFont val="Calibri"/>
        <family val="2"/>
        <scheme val="minor"/>
      </rPr>
      <t>)</t>
    </r>
  </si>
  <si>
    <r>
      <t>MRsat</t>
    </r>
    <r>
      <rPr>
        <vertAlign val="subscript"/>
        <sz val="11"/>
        <rFont val="Calibri"/>
        <family val="2"/>
        <scheme val="minor"/>
      </rPr>
      <t>XPHA,XPAO,KPHA</t>
    </r>
  </si>
  <si>
    <r>
      <t>Minh</t>
    </r>
    <r>
      <rPr>
        <vertAlign val="subscript"/>
        <sz val="11"/>
        <rFont val="Calibri"/>
        <family val="2"/>
        <scheme val="minor"/>
      </rPr>
      <t>SVFA,KVFA</t>
    </r>
  </si>
  <si>
    <r>
      <t>Minh(S</t>
    </r>
    <r>
      <rPr>
        <vertAlign val="subscript"/>
        <sz val="11"/>
        <rFont val="Calibri"/>
        <family val="2"/>
        <scheme val="minor"/>
      </rPr>
      <t>VFA</t>
    </r>
    <r>
      <rPr>
        <sz val="11"/>
        <rFont val="Calibri"/>
        <family val="2"/>
        <scheme val="minor"/>
      </rPr>
      <t>;K</t>
    </r>
    <r>
      <rPr>
        <vertAlign val="subscript"/>
        <sz val="11"/>
        <rFont val="Calibri"/>
        <family val="2"/>
        <scheme val="minor"/>
      </rPr>
      <t>VFA</t>
    </r>
    <r>
      <rPr>
        <sz val="11"/>
        <rFont val="Calibri"/>
        <family val="2"/>
        <scheme val="minor"/>
      </rPr>
      <t>)</t>
    </r>
  </si>
  <si>
    <r>
      <t>Minh</t>
    </r>
    <r>
      <rPr>
        <vertAlign val="subscript"/>
        <sz val="11"/>
        <rFont val="Calibri"/>
        <family val="2"/>
        <scheme val="minor"/>
      </rPr>
      <t>SO2,KO2,OHO</t>
    </r>
  </si>
  <si>
    <r>
      <t>Minh</t>
    </r>
    <r>
      <rPr>
        <vertAlign val="subscript"/>
        <sz val="11"/>
        <rFont val="Calibri"/>
        <family val="2"/>
        <scheme val="minor"/>
      </rPr>
      <t>SNOx,KNO3,AMETO</t>
    </r>
  </si>
  <si>
    <r>
      <t>Minh</t>
    </r>
    <r>
      <rPr>
        <vertAlign val="subscript"/>
        <sz val="11"/>
        <rFont val="Calibri"/>
        <family val="2"/>
        <scheme val="minor"/>
      </rPr>
      <t>SNOx,KNO3,HMETO</t>
    </r>
  </si>
  <si>
    <r>
      <t>Bellinh</t>
    </r>
    <r>
      <rPr>
        <vertAlign val="subscript"/>
        <sz val="11"/>
        <rFont val="Calibri"/>
        <family val="2"/>
        <scheme val="minor"/>
      </rPr>
      <t>pH</t>
    </r>
  </si>
  <si>
    <r>
      <t>Bellinh(pH;pH</t>
    </r>
    <r>
      <rPr>
        <vertAlign val="subscript"/>
        <sz val="11"/>
        <rFont val="Calibri"/>
        <family val="2"/>
        <scheme val="minor"/>
      </rPr>
      <t>low</t>
    </r>
    <r>
      <rPr>
        <sz val="11"/>
        <rFont val="Calibri"/>
        <family val="2"/>
        <scheme val="minor"/>
      </rPr>
      <t>;pH</t>
    </r>
    <r>
      <rPr>
        <vertAlign val="subscript"/>
        <sz val="11"/>
        <rFont val="Calibri"/>
        <family val="2"/>
        <scheme val="minor"/>
      </rPr>
      <t>high</t>
    </r>
    <r>
      <rPr>
        <sz val="11"/>
        <rFont val="Calibri"/>
        <family val="2"/>
        <scheme val="minor"/>
      </rPr>
      <t>)</t>
    </r>
  </si>
  <si>
    <r>
      <t>µ</t>
    </r>
    <r>
      <rPr>
        <vertAlign val="subscript"/>
        <sz val="11"/>
        <color indexed="8"/>
        <rFont val="Calibri"/>
        <family val="2"/>
        <scheme val="minor"/>
      </rPr>
      <t>OHO,T</t>
    </r>
  </si>
  <si>
    <r>
      <t>µ</t>
    </r>
    <r>
      <rPr>
        <vertAlign val="subscript"/>
        <sz val="11"/>
        <color indexed="8"/>
        <rFont val="Calibri"/>
        <family val="2"/>
        <scheme val="minor"/>
      </rPr>
      <t>OHO</t>
    </r>
    <r>
      <rPr>
        <sz val="11"/>
        <color indexed="8"/>
        <rFont val="Calibri"/>
        <family val="2"/>
        <scheme val="minor"/>
      </rPr>
      <t>*Arrh(θ</t>
    </r>
    <r>
      <rPr>
        <vertAlign val="subscript"/>
        <sz val="11"/>
        <color indexed="8"/>
        <rFont val="Calibri"/>
        <family val="2"/>
        <scheme val="minor"/>
      </rPr>
      <t>µ,OHO</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</si>
  <si>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µ</t>
    </r>
    <r>
      <rPr>
        <vertAlign val="subscript"/>
        <sz val="11"/>
        <color indexed="8"/>
        <rFont val="Calibri"/>
        <family val="2"/>
        <scheme val="minor"/>
      </rPr>
      <t>FERM,OHO,T</t>
    </r>
  </si>
  <si>
    <r>
      <t>µ</t>
    </r>
    <r>
      <rPr>
        <vertAlign val="subscript"/>
        <sz val="11"/>
        <color indexed="8"/>
        <rFont val="Calibri"/>
        <family val="2"/>
        <scheme val="minor"/>
      </rPr>
      <t>FERM,OHO</t>
    </r>
    <r>
      <rPr>
        <sz val="11"/>
        <color indexed="8"/>
        <rFont val="Calibri"/>
        <family val="2"/>
        <scheme val="minor"/>
      </rPr>
      <t>*Arrh(θ</t>
    </r>
    <r>
      <rPr>
        <vertAlign val="subscript"/>
        <sz val="11"/>
        <color indexed="8"/>
        <rFont val="Calibri"/>
        <family val="2"/>
        <scheme val="minor"/>
      </rPr>
      <t>FERM,OHO</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</si>
  <si>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b</t>
    </r>
    <r>
      <rPr>
        <vertAlign val="subscript"/>
        <sz val="11"/>
        <color indexed="8"/>
        <rFont val="Calibri"/>
        <family val="2"/>
        <scheme val="minor"/>
      </rPr>
      <t>OHO,T</t>
    </r>
  </si>
  <si>
    <r>
      <t>b</t>
    </r>
    <r>
      <rPr>
        <vertAlign val="subscript"/>
        <sz val="11"/>
        <color indexed="8"/>
        <rFont val="Calibri"/>
        <family val="2"/>
        <scheme val="minor"/>
      </rPr>
      <t>OHO</t>
    </r>
    <r>
      <rPr>
        <sz val="11"/>
        <color indexed="8"/>
        <rFont val="Calibri"/>
        <family val="2"/>
        <scheme val="minor"/>
      </rPr>
      <t>*Arrh(θ</t>
    </r>
    <r>
      <rPr>
        <vertAlign val="subscript"/>
        <sz val="11"/>
        <color indexed="8"/>
        <rFont val="Calibri"/>
        <family val="2"/>
        <scheme val="minor"/>
      </rPr>
      <t>b,OHO</t>
    </r>
    <r>
      <rPr>
        <sz val="11"/>
        <color indexed="8"/>
        <rFont val="Calibri"/>
        <family val="2"/>
        <scheme val="minor"/>
      </rPr>
      <t>;T;T</t>
    </r>
    <r>
      <rPr>
        <vertAlign val="subscript"/>
        <sz val="11"/>
        <color indexed="8"/>
        <rFont val="Calibri"/>
        <family val="2"/>
        <scheme val="minor"/>
      </rPr>
      <t>base</t>
    </r>
    <r>
      <rPr>
        <sz val="11"/>
        <color indexed="8"/>
        <rFont val="Calibri"/>
        <family val="2"/>
        <scheme val="minor"/>
      </rPr>
      <t>)</t>
    </r>
  </si>
  <si>
    <r>
      <t>µ</t>
    </r>
    <r>
      <rPr>
        <vertAlign val="subscript"/>
        <sz val="11"/>
        <color indexed="8"/>
        <rFont val="Calibri"/>
        <family val="2"/>
        <scheme val="minor"/>
      </rPr>
      <t>MEOLO,T</t>
    </r>
  </si>
  <si>
    <r>
      <t>µ</t>
    </r>
    <r>
      <rPr>
        <vertAlign val="subscript"/>
        <sz val="11"/>
        <color indexed="8"/>
        <rFont val="Calibri"/>
        <family val="2"/>
        <scheme val="minor"/>
      </rPr>
      <t>MEOLO</t>
    </r>
    <r>
      <rPr>
        <sz val="11"/>
        <color indexed="8"/>
        <rFont val="Calibri"/>
        <family val="2"/>
        <scheme val="minor"/>
      </rPr>
      <t>*Arrh(θ</t>
    </r>
    <r>
      <rPr>
        <vertAlign val="subscript"/>
        <sz val="11"/>
        <color indexed="8"/>
        <rFont val="Calibri"/>
        <family val="2"/>
        <scheme val="minor"/>
      </rPr>
      <t>µ,MEOLO</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</si>
  <si>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b</t>
    </r>
    <r>
      <rPr>
        <vertAlign val="subscript"/>
        <sz val="11"/>
        <color indexed="8"/>
        <rFont val="Calibri"/>
        <family val="2"/>
        <scheme val="minor"/>
      </rPr>
      <t>MEOLO,T</t>
    </r>
  </si>
  <si>
    <r>
      <t>b</t>
    </r>
    <r>
      <rPr>
        <vertAlign val="subscript"/>
        <sz val="11"/>
        <color indexed="8"/>
        <rFont val="Calibri"/>
        <family val="2"/>
        <scheme val="minor"/>
      </rPr>
      <t>MEOLO</t>
    </r>
    <r>
      <rPr>
        <sz val="11"/>
        <color indexed="8"/>
        <rFont val="Calibri"/>
        <family val="2"/>
        <scheme val="minor"/>
      </rPr>
      <t>*Arrh(θ</t>
    </r>
    <r>
      <rPr>
        <vertAlign val="subscript"/>
        <sz val="11"/>
        <color indexed="8"/>
        <rFont val="Calibri"/>
        <family val="2"/>
        <scheme val="minor"/>
      </rPr>
      <t>b,MEOLO</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</si>
  <si>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q</t>
    </r>
    <r>
      <rPr>
        <vertAlign val="subscript"/>
        <sz val="11"/>
        <color indexed="8"/>
        <rFont val="Calibri"/>
        <family val="2"/>
        <scheme val="minor"/>
      </rPr>
      <t>PAO,PHA,T</t>
    </r>
  </si>
  <si>
    <r>
      <t>q</t>
    </r>
    <r>
      <rPr>
        <vertAlign val="subscript"/>
        <sz val="11"/>
        <color indexed="8"/>
        <rFont val="Calibri"/>
        <family val="2"/>
        <scheme val="minor"/>
      </rPr>
      <t>PAO,PHA</t>
    </r>
    <r>
      <rPr>
        <sz val="11"/>
        <color indexed="8"/>
        <rFont val="Calibri"/>
        <family val="2"/>
        <scheme val="minor"/>
      </rPr>
      <t>*Arrh(θ</t>
    </r>
    <r>
      <rPr>
        <vertAlign val="subscript"/>
        <sz val="11"/>
        <color indexed="8"/>
        <rFont val="Calibri"/>
        <family val="2"/>
        <scheme val="minor"/>
      </rPr>
      <t>q,PAO,PHA</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</si>
  <si>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µ</t>
    </r>
    <r>
      <rPr>
        <vertAlign val="subscript"/>
        <sz val="11"/>
        <color indexed="8"/>
        <rFont val="Calibri"/>
        <family val="2"/>
        <scheme val="minor"/>
      </rPr>
      <t>AMETO,T</t>
    </r>
  </si>
  <si>
    <r>
      <t>µ</t>
    </r>
    <r>
      <rPr>
        <vertAlign val="subscript"/>
        <sz val="11"/>
        <color indexed="8"/>
        <rFont val="Calibri"/>
        <family val="2"/>
        <scheme val="minor"/>
      </rPr>
      <t>AMETO</t>
    </r>
    <r>
      <rPr>
        <sz val="11"/>
        <color indexed="8"/>
        <rFont val="Calibri"/>
        <family val="2"/>
        <scheme val="minor"/>
      </rPr>
      <t>*Arrh(θ</t>
    </r>
    <r>
      <rPr>
        <vertAlign val="subscript"/>
        <sz val="11"/>
        <color indexed="8"/>
        <rFont val="Calibri"/>
        <family val="2"/>
        <scheme val="minor"/>
      </rPr>
      <t>µ,AMETO</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</si>
  <si>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b</t>
    </r>
    <r>
      <rPr>
        <vertAlign val="subscript"/>
        <sz val="11"/>
        <color indexed="8"/>
        <rFont val="Calibri"/>
        <family val="2"/>
        <scheme val="minor"/>
      </rPr>
      <t>AMETO,T</t>
    </r>
  </si>
  <si>
    <r>
      <t>b</t>
    </r>
    <r>
      <rPr>
        <vertAlign val="subscript"/>
        <sz val="11"/>
        <color indexed="8"/>
        <rFont val="Calibri"/>
        <family val="2"/>
        <scheme val="minor"/>
      </rPr>
      <t>AMETO</t>
    </r>
    <r>
      <rPr>
        <sz val="11"/>
        <color indexed="8"/>
        <rFont val="Calibri"/>
        <family val="2"/>
        <scheme val="minor"/>
      </rPr>
      <t>*Arrh(θ</t>
    </r>
    <r>
      <rPr>
        <vertAlign val="subscript"/>
        <sz val="11"/>
        <color indexed="8"/>
        <rFont val="Calibri"/>
        <family val="2"/>
        <scheme val="minor"/>
      </rPr>
      <t>b,AMETO</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</si>
  <si>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µ</t>
    </r>
    <r>
      <rPr>
        <vertAlign val="subscript"/>
        <sz val="11"/>
        <color indexed="8"/>
        <rFont val="Calibri"/>
        <family val="2"/>
        <scheme val="minor"/>
      </rPr>
      <t>HMETO,T</t>
    </r>
  </si>
  <si>
    <r>
      <t>µ</t>
    </r>
    <r>
      <rPr>
        <vertAlign val="subscript"/>
        <sz val="11"/>
        <color indexed="8"/>
        <rFont val="Calibri"/>
        <family val="2"/>
        <scheme val="minor"/>
      </rPr>
      <t>HMETO</t>
    </r>
    <r>
      <rPr>
        <sz val="11"/>
        <color indexed="8"/>
        <rFont val="Calibri"/>
        <family val="2"/>
        <scheme val="minor"/>
      </rPr>
      <t>*Arrh(θ</t>
    </r>
    <r>
      <rPr>
        <vertAlign val="subscript"/>
        <sz val="11"/>
        <color indexed="8"/>
        <rFont val="Calibri"/>
        <family val="2"/>
        <scheme val="minor"/>
      </rPr>
      <t>µ,HMETO</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</si>
  <si>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b</t>
    </r>
    <r>
      <rPr>
        <vertAlign val="subscript"/>
        <sz val="11"/>
        <color indexed="8"/>
        <rFont val="Calibri"/>
        <family val="2"/>
        <scheme val="minor"/>
      </rPr>
      <t>HMETO,T</t>
    </r>
  </si>
  <si>
    <r>
      <t>b</t>
    </r>
    <r>
      <rPr>
        <vertAlign val="subscript"/>
        <sz val="11"/>
        <color indexed="8"/>
        <rFont val="Calibri"/>
        <family val="2"/>
        <scheme val="minor"/>
      </rPr>
      <t>HMETO</t>
    </r>
    <r>
      <rPr>
        <sz val="11"/>
        <color indexed="8"/>
        <rFont val="Calibri"/>
        <family val="2"/>
        <scheme val="minor"/>
      </rPr>
      <t>*Arrh(θ</t>
    </r>
    <r>
      <rPr>
        <vertAlign val="subscript"/>
        <sz val="11"/>
        <color indexed="8"/>
        <rFont val="Calibri"/>
        <family val="2"/>
        <scheme val="minor"/>
      </rPr>
      <t>b,HMETO</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</si>
  <si>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q</t>
    </r>
    <r>
      <rPr>
        <vertAlign val="subscript"/>
        <sz val="11"/>
        <color indexed="8"/>
        <rFont val="Calibri"/>
        <family val="2"/>
        <scheme val="minor"/>
      </rPr>
      <t>FLOC,T</t>
    </r>
  </si>
  <si>
    <r>
      <t>q</t>
    </r>
    <r>
      <rPr>
        <vertAlign val="subscript"/>
        <sz val="11"/>
        <color indexed="8"/>
        <rFont val="Calibri"/>
        <family val="2"/>
        <scheme val="minor"/>
      </rPr>
      <t>FLOC</t>
    </r>
    <r>
      <rPr>
        <sz val="11"/>
        <color indexed="8"/>
        <rFont val="Calibri"/>
        <family val="2"/>
        <scheme val="minor"/>
      </rPr>
      <t>*Arrh(θ</t>
    </r>
    <r>
      <rPr>
        <vertAlign val="subscript"/>
        <sz val="11"/>
        <color indexed="8"/>
        <rFont val="Calibri"/>
        <family val="2"/>
        <scheme val="minor"/>
      </rPr>
      <t>q,FLOC</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</si>
  <si>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q</t>
    </r>
    <r>
      <rPr>
        <vertAlign val="subscript"/>
        <sz val="11"/>
        <color indexed="8"/>
        <rFont val="Calibri"/>
        <family val="2"/>
        <scheme val="minor"/>
      </rPr>
      <t>AMMON,T</t>
    </r>
  </si>
  <si>
    <r>
      <t>q</t>
    </r>
    <r>
      <rPr>
        <vertAlign val="subscript"/>
        <sz val="11"/>
        <color indexed="8"/>
        <rFont val="Calibri"/>
        <family val="2"/>
        <scheme val="minor"/>
      </rPr>
      <t>AMMON</t>
    </r>
    <r>
      <rPr>
        <sz val="11"/>
        <color indexed="8"/>
        <rFont val="Calibri"/>
        <family val="2"/>
        <scheme val="minor"/>
      </rPr>
      <t>*Arrh(θ</t>
    </r>
    <r>
      <rPr>
        <vertAlign val="subscript"/>
        <sz val="11"/>
        <color indexed="8"/>
        <rFont val="Calibri"/>
        <family val="2"/>
        <scheme val="minor"/>
      </rPr>
      <t>q,AMMON</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</si>
  <si>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q</t>
    </r>
    <r>
      <rPr>
        <vertAlign val="subscript"/>
        <sz val="11"/>
        <color indexed="8"/>
        <rFont val="Calibri"/>
        <family val="2"/>
        <scheme val="minor"/>
      </rPr>
      <t>ASSIM,T</t>
    </r>
  </si>
  <si>
    <r>
      <t>q</t>
    </r>
    <r>
      <rPr>
        <vertAlign val="subscript"/>
        <sz val="11"/>
        <color indexed="8"/>
        <rFont val="Calibri"/>
        <family val="2"/>
        <scheme val="minor"/>
      </rPr>
      <t>ASSIM</t>
    </r>
    <r>
      <rPr>
        <sz val="11"/>
        <color indexed="8"/>
        <rFont val="Calibri"/>
        <family val="2"/>
        <scheme val="minor"/>
      </rPr>
      <t>*Arrh(θ</t>
    </r>
    <r>
      <rPr>
        <vertAlign val="subscript"/>
        <sz val="11"/>
        <color indexed="8"/>
        <rFont val="Calibri"/>
        <family val="2"/>
        <scheme val="minor"/>
      </rPr>
      <t>q,ASSIM</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</si>
  <si>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1.82483*10^6*ρ^(0.5)*(ε*T</t>
    </r>
    <r>
      <rPr>
        <vertAlign val="subscript"/>
        <sz val="11"/>
        <rFont val="Calibri"/>
        <family val="2"/>
        <scheme val="minor"/>
      </rPr>
      <t>K</t>
    </r>
    <r>
      <rPr>
        <sz val="11"/>
        <rFont val="Calibri"/>
        <family val="2"/>
        <scheme val="minor"/>
      </rPr>
      <t>)^(-1.5)</t>
    </r>
  </si>
  <si>
    <r>
      <t>10^(-(3404.7/T</t>
    </r>
    <r>
      <rPr>
        <vertAlign val="subscript"/>
        <sz val="11"/>
        <rFont val="Calibri"/>
        <family val="2"/>
        <scheme val="minor"/>
      </rPr>
      <t>K</t>
    </r>
    <r>
      <rPr>
        <sz val="11"/>
        <rFont val="Calibri"/>
        <family val="2"/>
        <scheme val="minor"/>
      </rPr>
      <t>-14.8435+T</t>
    </r>
    <r>
      <rPr>
        <vertAlign val="subscript"/>
        <sz val="11"/>
        <rFont val="Calibri"/>
        <family val="2"/>
        <scheme val="minor"/>
      </rPr>
      <t>K</t>
    </r>
    <r>
      <rPr>
        <sz val="11"/>
        <rFont val="Calibri"/>
        <family val="2"/>
        <scheme val="minor"/>
      </rPr>
      <t>*0.03279))</t>
    </r>
  </si>
  <si>
    <r>
      <t>10^(-(2902.4/T</t>
    </r>
    <r>
      <rPr>
        <vertAlign val="subscript"/>
        <sz val="11"/>
        <rFont val="Calibri"/>
        <family val="2"/>
        <scheme val="minor"/>
      </rPr>
      <t>K</t>
    </r>
    <r>
      <rPr>
        <sz val="11"/>
        <rFont val="Calibri"/>
        <family val="2"/>
        <scheme val="minor"/>
      </rPr>
      <t>-6.498+T</t>
    </r>
    <r>
      <rPr>
        <vertAlign val="subscript"/>
        <sz val="11"/>
        <rFont val="Calibri"/>
        <family val="2"/>
        <scheme val="minor"/>
      </rPr>
      <t>K</t>
    </r>
    <r>
      <rPr>
        <sz val="11"/>
        <rFont val="Calibri"/>
        <family val="2"/>
        <scheme val="minor"/>
      </rPr>
      <t>*0.02379))</t>
    </r>
  </si>
  <si>
    <r>
      <t>10^(-(799.3/T</t>
    </r>
    <r>
      <rPr>
        <vertAlign val="subscript"/>
        <sz val="11"/>
        <rFont val="Calibri"/>
        <family val="2"/>
        <scheme val="minor"/>
      </rPr>
      <t>K</t>
    </r>
    <r>
      <rPr>
        <sz val="11"/>
        <rFont val="Calibri"/>
        <family val="2"/>
        <scheme val="minor"/>
      </rPr>
      <t>-4.5535+T</t>
    </r>
    <r>
      <rPr>
        <vertAlign val="subscript"/>
        <sz val="11"/>
        <rFont val="Calibri"/>
        <family val="2"/>
        <scheme val="minor"/>
      </rPr>
      <t>K</t>
    </r>
    <r>
      <rPr>
        <sz val="11"/>
        <rFont val="Calibri"/>
        <family val="2"/>
        <scheme val="minor"/>
      </rPr>
      <t>*0.01349))</t>
    </r>
  </si>
  <si>
    <r>
      <t>10^(-(1979.5/T</t>
    </r>
    <r>
      <rPr>
        <vertAlign val="subscript"/>
        <sz val="11"/>
        <rFont val="Calibri"/>
        <family val="2"/>
        <scheme val="minor"/>
      </rPr>
      <t>K</t>
    </r>
    <r>
      <rPr>
        <sz val="11"/>
        <rFont val="Calibri"/>
        <family val="2"/>
        <scheme val="minor"/>
      </rPr>
      <t>-5.3541+T</t>
    </r>
    <r>
      <rPr>
        <vertAlign val="subscript"/>
        <sz val="11"/>
        <rFont val="Calibri"/>
        <family val="2"/>
        <scheme val="minor"/>
      </rPr>
      <t>K</t>
    </r>
    <r>
      <rPr>
        <sz val="11"/>
        <rFont val="Calibri"/>
        <family val="2"/>
        <scheme val="minor"/>
      </rPr>
      <t>*0.01984))</t>
    </r>
  </si>
  <si>
    <r>
      <t>10^(-(1170.5/T</t>
    </r>
    <r>
      <rPr>
        <vertAlign val="subscript"/>
        <sz val="11"/>
        <rFont val="Calibri"/>
        <family val="2"/>
        <scheme val="minor"/>
      </rPr>
      <t>K</t>
    </r>
    <r>
      <rPr>
        <sz val="11"/>
        <rFont val="Calibri"/>
        <family val="2"/>
        <scheme val="minor"/>
      </rPr>
      <t>-3.165+T</t>
    </r>
    <r>
      <rPr>
        <vertAlign val="subscript"/>
        <sz val="11"/>
        <rFont val="Calibri"/>
        <family val="2"/>
        <scheme val="minor"/>
      </rPr>
      <t>K</t>
    </r>
    <r>
      <rPr>
        <sz val="11"/>
        <rFont val="Calibri"/>
        <family val="2"/>
        <scheme val="minor"/>
      </rPr>
      <t>*0.0134))</t>
    </r>
  </si>
  <si>
    <r>
      <t>IS -IS</t>
    </r>
    <r>
      <rPr>
        <vertAlign val="subscript"/>
        <sz val="11"/>
        <rFont val="Calibri"/>
        <family val="2"/>
        <scheme val="minor"/>
      </rPr>
      <t>calc</t>
    </r>
  </si>
  <si>
    <r>
      <t>T</t>
    </r>
    <r>
      <rPr>
        <vertAlign val="subscript"/>
        <sz val="11"/>
        <rFont val="Calibri"/>
        <family val="2"/>
        <scheme val="minor"/>
      </rPr>
      <t>K</t>
    </r>
  </si>
  <si>
    <r>
      <t>Msat(S</t>
    </r>
    <r>
      <rPr>
        <vertAlign val="subscript"/>
        <sz val="11"/>
        <rFont val="Calibri"/>
        <family val="2"/>
        <scheme val="minor"/>
      </rPr>
      <t>B</t>
    </r>
    <r>
      <rPr>
        <sz val="11"/>
        <rFont val="Calibri"/>
        <family val="2"/>
        <scheme val="minor"/>
      </rPr>
      <t>;K</t>
    </r>
    <r>
      <rPr>
        <vertAlign val="subscript"/>
        <sz val="11"/>
        <rFont val="Calibri"/>
        <family val="2"/>
        <scheme val="minor"/>
      </rPr>
      <t>SB,ana</t>
    </r>
    <r>
      <rPr>
        <sz val="11"/>
        <rFont val="Calibri"/>
        <family val="2"/>
        <scheme val="minor"/>
      </rPr>
      <t>)</t>
    </r>
  </si>
  <si>
    <r>
      <t>Msat</t>
    </r>
    <r>
      <rPr>
        <vertAlign val="subscript"/>
        <sz val="11"/>
        <rFont val="Calibri"/>
        <family val="2"/>
        <scheme val="minor"/>
      </rPr>
      <t>SB,KSB,ana</t>
    </r>
  </si>
  <si>
    <r>
      <t>µ</t>
    </r>
    <r>
      <rPr>
        <vertAlign val="subscript"/>
        <sz val="11"/>
        <color indexed="8"/>
        <rFont val="Calibri"/>
        <family val="2"/>
        <scheme val="minor"/>
      </rPr>
      <t>PAO,lim,T</t>
    </r>
  </si>
  <si>
    <r>
      <t>q</t>
    </r>
    <r>
      <rPr>
        <vertAlign val="subscript"/>
        <sz val="11"/>
        <color indexed="8"/>
        <rFont val="Calibri"/>
        <family val="2"/>
        <scheme val="minor"/>
      </rPr>
      <t>SPB,T</t>
    </r>
  </si>
  <si>
    <r>
      <t>q</t>
    </r>
    <r>
      <rPr>
        <vertAlign val="subscript"/>
        <sz val="11"/>
        <color indexed="8"/>
        <rFont val="Calibri"/>
        <family val="2"/>
        <scheme val="minor"/>
      </rPr>
      <t>SPB</t>
    </r>
    <r>
      <rPr>
        <sz val="11"/>
        <color indexed="8"/>
        <rFont val="Calibri"/>
        <family val="2"/>
        <scheme val="minor"/>
      </rPr>
      <t>*Arrh(θ</t>
    </r>
    <r>
      <rPr>
        <vertAlign val="subscript"/>
        <sz val="11"/>
        <color indexed="8"/>
        <rFont val="Calibri"/>
        <family val="2"/>
        <scheme val="minor"/>
      </rPr>
      <t>q,SPB</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</si>
  <si>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µ</t>
    </r>
    <r>
      <rPr>
        <vertAlign val="subscript"/>
        <sz val="11"/>
        <color indexed="8"/>
        <rFont val="Calibri"/>
        <family val="2"/>
        <scheme val="minor"/>
      </rPr>
      <t>PAO,lim</t>
    </r>
    <r>
      <rPr>
        <sz val="11"/>
        <color indexed="8"/>
        <rFont val="Calibri"/>
        <family val="2"/>
        <scheme val="minor"/>
      </rPr>
      <t>*Arrh(θ</t>
    </r>
    <r>
      <rPr>
        <vertAlign val="subscript"/>
        <sz val="11"/>
        <color indexed="8"/>
        <rFont val="Calibri"/>
        <family val="2"/>
        <scheme val="minor"/>
      </rPr>
      <t>µ,PAO,lim</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</si>
  <si>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q</t>
    </r>
    <r>
      <rPr>
        <vertAlign val="subscript"/>
        <sz val="11"/>
        <color indexed="8"/>
        <rFont val="Calibri"/>
        <family val="2"/>
        <scheme val="minor"/>
      </rPr>
      <t>XE,T</t>
    </r>
  </si>
  <si>
    <r>
      <t>q</t>
    </r>
    <r>
      <rPr>
        <vertAlign val="subscript"/>
        <sz val="11"/>
        <color indexed="8"/>
        <rFont val="Calibri"/>
        <family val="2"/>
        <scheme val="minor"/>
      </rPr>
      <t>XE</t>
    </r>
    <r>
      <rPr>
        <sz val="11"/>
        <color indexed="8"/>
        <rFont val="Calibri"/>
        <family val="2"/>
        <scheme val="minor"/>
      </rPr>
      <t>*Arrh(θ</t>
    </r>
    <r>
      <rPr>
        <vertAlign val="subscript"/>
        <sz val="11"/>
        <color indexed="8"/>
        <rFont val="Calibri"/>
        <family val="2"/>
        <scheme val="minor"/>
      </rPr>
      <t>q,XE</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</si>
  <si>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q</t>
    </r>
    <r>
      <rPr>
        <vertAlign val="subscript"/>
        <sz val="11"/>
        <color indexed="8"/>
        <rFont val="Calibri"/>
        <family val="2"/>
        <scheme val="minor"/>
      </rPr>
      <t>HFO,RED,T</t>
    </r>
  </si>
  <si>
    <r>
      <t>q</t>
    </r>
    <r>
      <rPr>
        <vertAlign val="subscript"/>
        <sz val="11"/>
        <color indexed="8"/>
        <rFont val="Calibri"/>
        <family val="2"/>
        <scheme val="minor"/>
      </rPr>
      <t>HFO,RED</t>
    </r>
    <r>
      <rPr>
        <sz val="11"/>
        <color indexed="8"/>
        <rFont val="Calibri"/>
        <family val="2"/>
        <scheme val="minor"/>
      </rPr>
      <t>*Arrh(θ</t>
    </r>
    <r>
      <rPr>
        <vertAlign val="subscript"/>
        <sz val="11"/>
        <color indexed="8"/>
        <rFont val="Calibri"/>
        <family val="2"/>
        <scheme val="minor"/>
      </rPr>
      <t>q,HFO,RED</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</si>
  <si>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K</t>
    </r>
    <r>
      <rPr>
        <vertAlign val="subscript"/>
        <sz val="11"/>
        <rFont val="Calibri"/>
        <family val="2"/>
        <scheme val="minor"/>
      </rPr>
      <t>SB,ana</t>
    </r>
  </si>
  <si>
    <t>%v/v</t>
  </si>
  <si>
    <r>
      <t>c</t>
    </r>
    <r>
      <rPr>
        <vertAlign val="subscript"/>
        <sz val="11"/>
        <rFont val="Calibri"/>
        <family val="2"/>
        <scheme val="minor"/>
      </rPr>
      <t>percent,Vconc</t>
    </r>
  </si>
  <si>
    <t>Conversion coefficient between percents and volumetric concentration</t>
  </si>
  <si>
    <r>
      <t>f(X</t>
    </r>
    <r>
      <rPr>
        <vertAlign val="subscript"/>
        <sz val="11"/>
        <rFont val="Calibri"/>
        <family val="2"/>
      </rPr>
      <t>INORG</t>
    </r>
    <r>
      <rPr>
        <sz val="11"/>
        <rFont val="Calibri"/>
        <family val="2"/>
      </rPr>
      <t>)</t>
    </r>
  </si>
  <si>
    <r>
      <t>IS</t>
    </r>
    <r>
      <rPr>
        <vertAlign val="subscript"/>
        <sz val="11"/>
        <rFont val="Calibri"/>
        <family val="2"/>
        <scheme val="minor"/>
      </rPr>
      <t>lim</t>
    </r>
  </si>
  <si>
    <r>
      <t>The f</t>
    </r>
    <r>
      <rPr>
        <vertAlign val="subscript"/>
        <sz val="11"/>
        <rFont val="Calibri"/>
        <family val="2"/>
        <scheme val="minor"/>
      </rPr>
      <t>mono</t>
    </r>
    <r>
      <rPr>
        <sz val="11"/>
        <rFont val="Calibri"/>
        <family val="2"/>
        <scheme val="minor"/>
      </rPr>
      <t>/f</t>
    </r>
    <r>
      <rPr>
        <vertAlign val="subscript"/>
        <sz val="11"/>
        <rFont val="Calibri"/>
        <family val="2"/>
        <scheme val="minor"/>
      </rPr>
      <t>di</t>
    </r>
    <r>
      <rPr>
        <sz val="11"/>
        <rFont val="Calibri"/>
        <family val="2"/>
        <scheme val="minor"/>
      </rPr>
      <t>/f</t>
    </r>
    <r>
      <rPr>
        <vertAlign val="subscript"/>
        <sz val="11"/>
        <rFont val="Calibri"/>
        <family val="2"/>
        <scheme val="minor"/>
      </rPr>
      <t>tri</t>
    </r>
    <r>
      <rPr>
        <sz val="11"/>
        <rFont val="Calibri"/>
        <family val="2"/>
        <scheme val="minor"/>
      </rPr>
      <t xml:space="preserve"> curves have minima at 0.3 and literally couldn't be used above that</t>
    </r>
  </si>
  <si>
    <r>
      <t>-EEQ</t>
    </r>
    <r>
      <rPr>
        <vertAlign val="subscript"/>
        <sz val="11"/>
        <rFont val="Calibri"/>
        <family val="2"/>
      </rPr>
      <t>Fe2</t>
    </r>
    <r>
      <rPr>
        <sz val="11"/>
        <rFont val="Calibri"/>
        <family val="2"/>
      </rPr>
      <t>*S</t>
    </r>
    <r>
      <rPr>
        <vertAlign val="subscript"/>
        <sz val="11"/>
        <rFont val="Calibri"/>
        <family val="2"/>
      </rPr>
      <t>B</t>
    </r>
    <r>
      <rPr>
        <sz val="11"/>
        <rFont val="Calibri"/>
        <family val="2"/>
      </rPr>
      <t>/(S</t>
    </r>
    <r>
      <rPr>
        <vertAlign val="subscript"/>
        <sz val="11"/>
        <rFont val="Calibri"/>
        <family val="2"/>
      </rPr>
      <t>B</t>
    </r>
    <r>
      <rPr>
        <sz val="11"/>
        <rFont val="Calibri"/>
        <family val="2"/>
      </rPr>
      <t>+S</t>
    </r>
    <r>
      <rPr>
        <vertAlign val="subscript"/>
        <sz val="11"/>
        <rFont val="Calibri"/>
        <family val="2"/>
      </rPr>
      <t>VFA</t>
    </r>
    <r>
      <rPr>
        <sz val="11"/>
        <rFont val="Calibri"/>
        <family val="2"/>
      </rPr>
      <t>)</t>
    </r>
  </si>
  <si>
    <r>
      <t>-EEQ</t>
    </r>
    <r>
      <rPr>
        <vertAlign val="subscript"/>
        <sz val="11"/>
        <rFont val="Calibri"/>
        <family val="2"/>
      </rPr>
      <t>Fe2</t>
    </r>
    <r>
      <rPr>
        <sz val="11"/>
        <rFont val="Calibri"/>
        <family val="2"/>
      </rPr>
      <t>*S</t>
    </r>
    <r>
      <rPr>
        <vertAlign val="subscript"/>
        <sz val="11"/>
        <rFont val="Calibri"/>
        <family val="2"/>
      </rPr>
      <t>VFA</t>
    </r>
    <r>
      <rPr>
        <sz val="11"/>
        <rFont val="Calibri"/>
        <family val="2"/>
      </rPr>
      <t>/(S</t>
    </r>
    <r>
      <rPr>
        <vertAlign val="subscript"/>
        <sz val="11"/>
        <rFont val="Calibri"/>
        <family val="2"/>
      </rPr>
      <t>B</t>
    </r>
    <r>
      <rPr>
        <sz val="11"/>
        <rFont val="Calibri"/>
        <family val="2"/>
      </rPr>
      <t>+S</t>
    </r>
    <r>
      <rPr>
        <vertAlign val="subscript"/>
        <sz val="11"/>
        <rFont val="Calibri"/>
        <family val="2"/>
      </rPr>
      <t>VFA</t>
    </r>
    <r>
      <rPr>
        <sz val="11"/>
        <rFont val="Calibri"/>
        <family val="2"/>
      </rPr>
      <t>)</t>
    </r>
  </si>
  <si>
    <r>
      <t>f(X</t>
    </r>
    <r>
      <rPr>
        <vertAlign val="subscript"/>
        <sz val="11"/>
        <rFont val="Calibri"/>
        <family val="2"/>
      </rPr>
      <t>N,B</t>
    </r>
    <r>
      <rPr>
        <sz val="11"/>
        <rFont val="Calibri"/>
        <family val="2"/>
      </rPr>
      <t>);f(X</t>
    </r>
    <r>
      <rPr>
        <vertAlign val="subscript"/>
        <sz val="11"/>
        <rFont val="Calibri"/>
        <family val="2"/>
      </rPr>
      <t>P,B</t>
    </r>
    <r>
      <rPr>
        <sz val="11"/>
        <rFont val="Calibri"/>
        <family val="2"/>
      </rPr>
      <t>)</t>
    </r>
  </si>
  <si>
    <t>Thermal conductivity coefficient</t>
  </si>
  <si>
    <t>Nriagu (1972); Al-Borno and Tomson (1994): 35.755 at 25°C DeltaH°: 5.05 kJ.mol-1 (small temperature dependency)</t>
  </si>
  <si>
    <r>
      <t>c</t>
    </r>
    <r>
      <rPr>
        <vertAlign val="subscript"/>
        <sz val="11"/>
        <rFont val="Calibri"/>
        <family val="2"/>
        <scheme val="minor"/>
      </rPr>
      <t>percent,fraction</t>
    </r>
  </si>
  <si>
    <t>Conversion coefficient between percents and fractions</t>
  </si>
  <si>
    <t>%</t>
  </si>
  <si>
    <r>
      <t>[H</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*K</t>
    </r>
    <r>
      <rPr>
        <vertAlign val="subscript"/>
        <sz val="11"/>
        <rFont val="Calibri"/>
        <family val="2"/>
        <scheme val="minor"/>
      </rPr>
      <t>P2</t>
    </r>
    <r>
      <rPr>
        <sz val="11"/>
        <rFont val="Calibri"/>
        <family val="2"/>
        <scheme val="minor"/>
      </rPr>
      <t>/([H</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^3+[H</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^2*K</t>
    </r>
    <r>
      <rPr>
        <vertAlign val="subscript"/>
        <sz val="11"/>
        <rFont val="Calibri"/>
        <family val="2"/>
        <scheme val="minor"/>
      </rPr>
      <t>P1</t>
    </r>
    <r>
      <rPr>
        <sz val="11"/>
        <rFont val="Calibri"/>
        <family val="2"/>
        <scheme val="minor"/>
      </rPr>
      <t>+K</t>
    </r>
    <r>
      <rPr>
        <vertAlign val="subscript"/>
        <sz val="11"/>
        <rFont val="Calibri"/>
        <family val="2"/>
        <scheme val="minor"/>
      </rPr>
      <t>P2</t>
    </r>
    <r>
      <rPr>
        <sz val="11"/>
        <rFont val="Calibri"/>
        <family val="2"/>
        <scheme val="minor"/>
      </rPr>
      <t>*[H</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*K</t>
    </r>
    <r>
      <rPr>
        <vertAlign val="subscript"/>
        <sz val="11"/>
        <rFont val="Calibri"/>
        <family val="2"/>
        <scheme val="minor"/>
      </rPr>
      <t>P1</t>
    </r>
    <r>
      <rPr>
        <sz val="11"/>
        <rFont val="Calibri"/>
        <family val="2"/>
        <scheme val="minor"/>
      </rPr>
      <t>+K</t>
    </r>
    <r>
      <rPr>
        <vertAlign val="subscript"/>
        <sz val="11"/>
        <rFont val="Calibri"/>
        <family val="2"/>
        <scheme val="minor"/>
      </rPr>
      <t>P2</t>
    </r>
    <r>
      <rPr>
        <sz val="11"/>
        <rFont val="Calibri"/>
        <family val="2"/>
        <scheme val="minor"/>
      </rPr>
      <t>*K</t>
    </r>
    <r>
      <rPr>
        <vertAlign val="subscript"/>
        <sz val="11"/>
        <rFont val="Calibri"/>
        <family val="2"/>
        <scheme val="minor"/>
      </rPr>
      <t>P1</t>
    </r>
    <r>
      <rPr>
        <sz val="11"/>
        <rFont val="Calibri"/>
        <family val="2"/>
        <scheme val="minor"/>
      </rPr>
      <t>*K</t>
    </r>
    <r>
      <rPr>
        <vertAlign val="subscript"/>
        <sz val="11"/>
        <rFont val="Calibri"/>
        <family val="2"/>
        <scheme val="minor"/>
      </rPr>
      <t>P3</t>
    </r>
    <r>
      <rPr>
        <sz val="11"/>
        <rFont val="Calibri"/>
        <family val="2"/>
        <scheme val="minor"/>
      </rPr>
      <t>)*K</t>
    </r>
    <r>
      <rPr>
        <vertAlign val="subscript"/>
        <sz val="11"/>
        <rFont val="Calibri"/>
        <family val="2"/>
        <scheme val="minor"/>
      </rPr>
      <t>P1</t>
    </r>
    <r>
      <rPr>
        <sz val="11"/>
        <rFont val="Calibri"/>
        <family val="2"/>
        <scheme val="minor"/>
      </rPr>
      <t>*S</t>
    </r>
    <r>
      <rPr>
        <vertAlign val="subscript"/>
        <sz val="11"/>
        <rFont val="Calibri"/>
        <family val="2"/>
        <scheme val="minor"/>
      </rPr>
      <t>PO4</t>
    </r>
    <r>
      <rPr>
        <sz val="11"/>
        <rFont val="Calibri"/>
        <family val="2"/>
        <scheme val="minor"/>
      </rPr>
      <t>/(AM</t>
    </r>
    <r>
      <rPr>
        <vertAlign val="subscript"/>
        <sz val="11"/>
        <rFont val="Calibri"/>
        <family val="2"/>
        <scheme val="minor"/>
      </rPr>
      <t>P</t>
    </r>
    <r>
      <rPr>
        <sz val="11"/>
        <rFont val="Calibri"/>
        <family val="2"/>
        <scheme val="minor"/>
      </rPr>
      <t>*1000)</t>
    </r>
  </si>
  <si>
    <r>
      <t>[H</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^2*K</t>
    </r>
    <r>
      <rPr>
        <vertAlign val="subscript"/>
        <sz val="11"/>
        <rFont val="Calibri"/>
        <family val="2"/>
        <scheme val="minor"/>
      </rPr>
      <t>P1</t>
    </r>
    <r>
      <rPr>
        <sz val="11"/>
        <rFont val="Calibri"/>
        <family val="2"/>
        <scheme val="minor"/>
      </rPr>
      <t>*S</t>
    </r>
    <r>
      <rPr>
        <vertAlign val="subscript"/>
        <sz val="11"/>
        <rFont val="Calibri"/>
        <family val="2"/>
        <scheme val="minor"/>
      </rPr>
      <t>PO4</t>
    </r>
    <r>
      <rPr>
        <sz val="11"/>
        <rFont val="Calibri"/>
        <family val="2"/>
        <scheme val="minor"/>
      </rPr>
      <t>/(AM</t>
    </r>
    <r>
      <rPr>
        <vertAlign val="subscript"/>
        <sz val="11"/>
        <rFont val="Calibri"/>
        <family val="2"/>
        <scheme val="minor"/>
      </rPr>
      <t>P</t>
    </r>
    <r>
      <rPr>
        <sz val="11"/>
        <rFont val="Calibri"/>
        <family val="2"/>
        <scheme val="minor"/>
      </rPr>
      <t>*1000)/([H</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^3+[H</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^2*K</t>
    </r>
    <r>
      <rPr>
        <vertAlign val="subscript"/>
        <sz val="11"/>
        <rFont val="Calibri"/>
        <family val="2"/>
        <scheme val="minor"/>
      </rPr>
      <t>P1</t>
    </r>
    <r>
      <rPr>
        <sz val="11"/>
        <rFont val="Calibri"/>
        <family val="2"/>
        <scheme val="minor"/>
      </rPr>
      <t>+K</t>
    </r>
    <r>
      <rPr>
        <vertAlign val="subscript"/>
        <sz val="11"/>
        <rFont val="Calibri"/>
        <family val="2"/>
        <scheme val="minor"/>
      </rPr>
      <t>P2</t>
    </r>
    <r>
      <rPr>
        <sz val="11"/>
        <rFont val="Calibri"/>
        <family val="2"/>
        <scheme val="minor"/>
      </rPr>
      <t>*[H</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*K</t>
    </r>
    <r>
      <rPr>
        <vertAlign val="subscript"/>
        <sz val="11"/>
        <rFont val="Calibri"/>
        <family val="2"/>
        <scheme val="minor"/>
      </rPr>
      <t>P1</t>
    </r>
    <r>
      <rPr>
        <sz val="11"/>
        <rFont val="Calibri"/>
        <family val="2"/>
        <scheme val="minor"/>
      </rPr>
      <t>+K</t>
    </r>
    <r>
      <rPr>
        <vertAlign val="subscript"/>
        <sz val="11"/>
        <rFont val="Calibri"/>
        <family val="2"/>
        <scheme val="minor"/>
      </rPr>
      <t>P2</t>
    </r>
    <r>
      <rPr>
        <sz val="11"/>
        <rFont val="Calibri"/>
        <family val="2"/>
        <scheme val="minor"/>
      </rPr>
      <t>*K</t>
    </r>
    <r>
      <rPr>
        <vertAlign val="subscript"/>
        <sz val="11"/>
        <rFont val="Calibri"/>
        <family val="2"/>
        <scheme val="minor"/>
      </rPr>
      <t>P1</t>
    </r>
    <r>
      <rPr>
        <sz val="11"/>
        <rFont val="Calibri"/>
        <family val="2"/>
        <scheme val="minor"/>
      </rPr>
      <t>*K</t>
    </r>
    <r>
      <rPr>
        <vertAlign val="subscript"/>
        <sz val="11"/>
        <rFont val="Calibri"/>
        <family val="2"/>
        <scheme val="minor"/>
      </rPr>
      <t>P3</t>
    </r>
    <r>
      <rPr>
        <sz val="11"/>
        <rFont val="Calibri"/>
        <family val="2"/>
        <scheme val="minor"/>
      </rPr>
      <t>)</t>
    </r>
  </si>
  <si>
    <r>
      <t>eq ALK.L</t>
    </r>
    <r>
      <rPr>
        <vertAlign val="superscript"/>
        <sz val="11"/>
        <color theme="1"/>
        <rFont val="Calibri"/>
        <family val="2"/>
        <scheme val="minor"/>
      </rPr>
      <t>-1</t>
    </r>
  </si>
  <si>
    <r>
      <t>eq.L</t>
    </r>
    <r>
      <rPr>
        <vertAlign val="superscript"/>
        <sz val="11"/>
        <color theme="1"/>
        <rFont val="Calibri"/>
        <family val="2"/>
        <scheme val="minor"/>
      </rPr>
      <t>-1</t>
    </r>
  </si>
  <si>
    <t>PUR</t>
  </si>
  <si>
    <t>Phosphorus uptake rate (PUR)</t>
  </si>
  <si>
    <r>
      <t>g P.m</t>
    </r>
    <r>
      <rPr>
        <vertAlign val="superscript"/>
        <sz val="11"/>
        <rFont val="Calibri"/>
        <family val="2"/>
        <scheme val="minor"/>
      </rPr>
      <t>-3</t>
    </r>
    <r>
      <rPr>
        <sz val="11"/>
        <rFont val="Calibri"/>
        <family val="2"/>
        <scheme val="minor"/>
      </rPr>
      <t>.d</t>
    </r>
    <r>
      <rPr>
        <vertAlign val="superscript"/>
        <sz val="11"/>
        <rFont val="Calibri"/>
        <family val="2"/>
        <scheme val="minor"/>
      </rPr>
      <t>-1</t>
    </r>
  </si>
  <si>
    <r>
      <t>PUR</t>
    </r>
    <r>
      <rPr>
        <vertAlign val="subscript"/>
        <sz val="11"/>
        <rFont val="Calibri"/>
        <family val="2"/>
        <scheme val="minor"/>
      </rPr>
      <t>BIO</t>
    </r>
  </si>
  <si>
    <r>
      <t>PUR</t>
    </r>
    <r>
      <rPr>
        <vertAlign val="subscript"/>
        <sz val="11"/>
        <rFont val="Calibri"/>
        <family val="2"/>
        <scheme val="minor"/>
      </rPr>
      <t>CHEM</t>
    </r>
  </si>
  <si>
    <t>PRR</t>
  </si>
  <si>
    <t>Phosphorus release rate (PRR)</t>
  </si>
  <si>
    <r>
      <t>g N.g COD</t>
    </r>
    <r>
      <rPr>
        <vertAlign val="superscript"/>
        <sz val="11"/>
        <rFont val="Calibri"/>
        <family val="2"/>
        <scheme val="minor"/>
      </rPr>
      <t>-1</t>
    </r>
  </si>
  <si>
    <r>
      <t>g P.g COD</t>
    </r>
    <r>
      <rPr>
        <vertAlign val="superscript"/>
        <sz val="11"/>
        <rFont val="Calibri"/>
        <family val="2"/>
        <scheme val="minor"/>
      </rPr>
      <t>-1</t>
    </r>
  </si>
  <si>
    <r>
      <t>g COD.g VSS</t>
    </r>
    <r>
      <rPr>
        <vertAlign val="superscript"/>
        <sz val="11"/>
        <rFont val="Calibri"/>
        <family val="2"/>
        <scheme val="minor"/>
      </rPr>
      <t>-1</t>
    </r>
  </si>
  <si>
    <r>
      <t>g COD.g VS</t>
    </r>
    <r>
      <rPr>
        <vertAlign val="superscript"/>
        <sz val="11"/>
        <rFont val="Calibri"/>
        <family val="2"/>
        <scheme val="minor"/>
      </rPr>
      <t>-1</t>
    </r>
  </si>
  <si>
    <r>
      <t>g TIC.g COD</t>
    </r>
    <r>
      <rPr>
        <vertAlign val="superscript"/>
        <sz val="11"/>
        <rFont val="Calibri"/>
        <family val="2"/>
      </rPr>
      <t>-1</t>
    </r>
  </si>
  <si>
    <r>
      <t>g N.g TSS</t>
    </r>
    <r>
      <rPr>
        <vertAlign val="superscript"/>
        <sz val="11"/>
        <rFont val="Calibri"/>
        <family val="2"/>
        <scheme val="minor"/>
      </rPr>
      <t>-1</t>
    </r>
  </si>
  <si>
    <r>
      <t>g P.g TSS</t>
    </r>
    <r>
      <rPr>
        <vertAlign val="superscript"/>
        <sz val="11"/>
        <rFont val="Calibri"/>
        <family val="2"/>
        <scheme val="minor"/>
      </rPr>
      <t>-1</t>
    </r>
  </si>
  <si>
    <r>
      <t>mol Ca.mol P</t>
    </r>
    <r>
      <rPr>
        <vertAlign val="superscript"/>
        <sz val="11"/>
        <rFont val="Calibri"/>
        <family val="2"/>
        <scheme val="minor"/>
      </rPr>
      <t>-1</t>
    </r>
  </si>
  <si>
    <r>
      <t>mol Mg.mol P</t>
    </r>
    <r>
      <rPr>
        <vertAlign val="superscript"/>
        <sz val="11"/>
        <rFont val="Calibri"/>
        <family val="2"/>
        <scheme val="minor"/>
      </rPr>
      <t>-1</t>
    </r>
  </si>
  <si>
    <r>
      <t>mol P.mol Fe</t>
    </r>
    <r>
      <rPr>
        <vertAlign val="superscript"/>
        <sz val="11"/>
        <rFont val="Calibri"/>
        <family val="2"/>
        <scheme val="minor"/>
      </rPr>
      <t>-1</t>
    </r>
  </si>
  <si>
    <t>Check the species does exist in the systemcode.xlsx file</t>
  </si>
  <si>
    <t>On Constants Tab add the required thermodynamic constants and molecular masses</t>
  </si>
  <si>
    <t>In Process code/System files/systemcode.xlsx (if necessary)</t>
  </si>
  <si>
    <t>On Functions Tab add the required custom functions</t>
  </si>
  <si>
    <t>In your Model workbook, unhide the systemcode_constants and systemcode_functions and delete them</t>
  </si>
  <si>
    <t>Copy the Constants and Functions Tab from systemcode.xlsx into your Model workbook and renamed them systemcode_constants and systemcode_functions respectively</t>
  </si>
  <si>
    <t>Steps before starting a new model/modifying an existing one</t>
  </si>
  <si>
    <t>Please check that your macros are at the same version than the Sumo models you are using.</t>
  </si>
  <si>
    <t>Please make sure your systemcode tabs are up-to-date. If not:</t>
  </si>
  <si>
    <t>unhide tabs starting with "systemcode_"</t>
  </si>
  <si>
    <t>delete these tabs</t>
  </si>
  <si>
    <t>open the latest systemcode.xlsx</t>
  </si>
  <si>
    <t>copy functions and constants into your model file to replace the deleted ones</t>
  </si>
  <si>
    <t>rename them to systemcode_&lt;original name&gt;</t>
  </si>
  <si>
    <t> If you add a new chemical species , please verify that it does exist in the systemcode.xlsx Species tab</t>
  </si>
  <si>
    <t>If it does not exist yet, it has to be added</t>
  </si>
  <si>
    <r>
      <t>K</t>
    </r>
    <r>
      <rPr>
        <vertAlign val="subscript"/>
        <sz val="11"/>
        <rFont val="Calibri"/>
        <family val="2"/>
        <scheme val="minor"/>
      </rPr>
      <t>SB,AS</t>
    </r>
  </si>
  <si>
    <r>
      <t>K</t>
    </r>
    <r>
      <rPr>
        <vertAlign val="subscript"/>
        <sz val="11"/>
        <rFont val="Calibri"/>
        <family val="2"/>
        <scheme val="minor"/>
      </rPr>
      <t>VFA,AS</t>
    </r>
  </si>
  <si>
    <r>
      <t>K</t>
    </r>
    <r>
      <rPr>
        <vertAlign val="subscript"/>
        <sz val="11"/>
        <rFont val="Calibri"/>
        <family val="2"/>
        <scheme val="minor"/>
      </rPr>
      <t>MEOL,OHO,AS</t>
    </r>
  </si>
  <si>
    <r>
      <t>K</t>
    </r>
    <r>
      <rPr>
        <vertAlign val="subscript"/>
        <sz val="11"/>
        <rFont val="Calibri"/>
        <family val="2"/>
        <scheme val="minor"/>
      </rPr>
      <t>O2,OHO,AS</t>
    </r>
  </si>
  <si>
    <r>
      <t>K</t>
    </r>
    <r>
      <rPr>
        <vertAlign val="subscript"/>
        <sz val="11"/>
        <rFont val="Calibri"/>
        <family val="2"/>
        <scheme val="minor"/>
      </rPr>
      <t>NO3,OHO,AS</t>
    </r>
  </si>
  <si>
    <r>
      <t>K</t>
    </r>
    <r>
      <rPr>
        <vertAlign val="subscript"/>
        <sz val="11"/>
        <rFont val="Calibri"/>
        <family val="2"/>
        <scheme val="minor"/>
      </rPr>
      <t>SB,ana,AS</t>
    </r>
  </si>
  <si>
    <r>
      <t>K</t>
    </r>
    <r>
      <rPr>
        <vertAlign val="subscript"/>
        <sz val="11"/>
        <rFont val="Calibri"/>
        <family val="2"/>
        <scheme val="minor"/>
      </rPr>
      <t>MEOL,AS</t>
    </r>
  </si>
  <si>
    <r>
      <t>K</t>
    </r>
    <r>
      <rPr>
        <vertAlign val="subscript"/>
        <sz val="11"/>
        <rFont val="Calibri"/>
        <family val="2"/>
        <scheme val="minor"/>
      </rPr>
      <t>NO3,MEOLO,AS</t>
    </r>
  </si>
  <si>
    <r>
      <t>K</t>
    </r>
    <r>
      <rPr>
        <vertAlign val="subscript"/>
        <sz val="11"/>
        <rFont val="Calibri"/>
        <family val="2"/>
        <scheme val="minor"/>
      </rPr>
      <t>PO4,PAO,AS</t>
    </r>
  </si>
  <si>
    <r>
      <t>K</t>
    </r>
    <r>
      <rPr>
        <vertAlign val="subscript"/>
        <sz val="11"/>
        <rFont val="Calibri"/>
        <family val="2"/>
        <scheme val="minor"/>
      </rPr>
      <t>Mg,PAO,AS</t>
    </r>
  </si>
  <si>
    <r>
      <t>K</t>
    </r>
    <r>
      <rPr>
        <vertAlign val="subscript"/>
        <sz val="11"/>
        <rFont val="Calibri"/>
        <family val="2"/>
        <scheme val="minor"/>
      </rPr>
      <t>K,PAO,AS</t>
    </r>
  </si>
  <si>
    <r>
      <t>K</t>
    </r>
    <r>
      <rPr>
        <vertAlign val="subscript"/>
        <sz val="11"/>
        <rFont val="Calibri"/>
        <family val="2"/>
        <scheme val="minor"/>
      </rPr>
      <t>Ca,PAO,AS</t>
    </r>
  </si>
  <si>
    <r>
      <t>K</t>
    </r>
    <r>
      <rPr>
        <vertAlign val="subscript"/>
        <sz val="11"/>
        <rFont val="Calibri"/>
        <family val="2"/>
        <scheme val="minor"/>
      </rPr>
      <t>VFA,AMETO,AS</t>
    </r>
  </si>
  <si>
    <r>
      <t>K</t>
    </r>
    <r>
      <rPr>
        <vertAlign val="subscript"/>
        <sz val="11"/>
        <color indexed="8"/>
        <rFont val="Calibri"/>
        <family val="2"/>
        <scheme val="minor"/>
      </rPr>
      <t>H2,HMETO,AS</t>
    </r>
  </si>
  <si>
    <r>
      <t>K</t>
    </r>
    <r>
      <rPr>
        <vertAlign val="subscript"/>
        <sz val="11"/>
        <rFont val="Calibri"/>
        <family val="2"/>
        <scheme val="minor"/>
      </rPr>
      <t>NHx,BIO,AS</t>
    </r>
  </si>
  <si>
    <r>
      <t>K</t>
    </r>
    <r>
      <rPr>
        <vertAlign val="subscript"/>
        <sz val="11"/>
        <rFont val="Calibri"/>
        <family val="2"/>
        <scheme val="minor"/>
      </rPr>
      <t>PO4,BIO,AS</t>
    </r>
  </si>
  <si>
    <r>
      <t>K</t>
    </r>
    <r>
      <rPr>
        <vertAlign val="subscript"/>
        <sz val="11"/>
        <color indexed="8"/>
        <rFont val="Calibri"/>
        <family val="2"/>
        <scheme val="minor"/>
      </rPr>
      <t>CO2,BIO,AS</t>
    </r>
  </si>
  <si>
    <r>
      <t>K</t>
    </r>
    <r>
      <rPr>
        <vertAlign val="subscript"/>
        <sz val="11"/>
        <rFont val="Calibri"/>
        <family val="2"/>
        <scheme val="minor"/>
      </rPr>
      <t>CAT,AS</t>
    </r>
  </si>
  <si>
    <r>
      <t>K</t>
    </r>
    <r>
      <rPr>
        <vertAlign val="subscript"/>
        <sz val="11"/>
        <rFont val="Calibri"/>
        <family val="2"/>
        <scheme val="minor"/>
      </rPr>
      <t>AN,AS</t>
    </r>
  </si>
  <si>
    <r>
      <t>K</t>
    </r>
    <r>
      <rPr>
        <vertAlign val="subscript"/>
        <sz val="11"/>
        <color indexed="8"/>
        <rFont val="Calibri"/>
        <family val="2"/>
        <scheme val="minor"/>
      </rPr>
      <t>HYD,AS</t>
    </r>
  </si>
  <si>
    <r>
      <t>K</t>
    </r>
    <r>
      <rPr>
        <vertAlign val="subscript"/>
        <sz val="11"/>
        <rFont val="Calibri"/>
        <family val="2"/>
        <scheme val="minor"/>
      </rPr>
      <t>H2,HMETO,AS</t>
    </r>
  </si>
  <si>
    <r>
      <t>K</t>
    </r>
    <r>
      <rPr>
        <vertAlign val="subscript"/>
        <sz val="11"/>
        <rFont val="Calibri"/>
        <family val="2"/>
        <scheme val="minor"/>
      </rPr>
      <t>CO2,BIO,AS</t>
    </r>
  </si>
  <si>
    <r>
      <t>K</t>
    </r>
    <r>
      <rPr>
        <vertAlign val="subscript"/>
        <sz val="11"/>
        <rFont val="Calibri"/>
        <family val="2"/>
        <scheme val="minor"/>
      </rPr>
      <t>HYD,AS</t>
    </r>
  </si>
  <si>
    <r>
      <t>Minh(S</t>
    </r>
    <r>
      <rPr>
        <vertAlign val="subscript"/>
        <sz val="11"/>
        <rFont val="Calibri"/>
        <family val="2"/>
        <scheme val="minor"/>
      </rPr>
      <t>O2</t>
    </r>
    <r>
      <rPr>
        <sz val="11"/>
        <rFont val="Calibri"/>
        <family val="2"/>
        <scheme val="minor"/>
      </rPr>
      <t>;K</t>
    </r>
    <r>
      <rPr>
        <vertAlign val="subscript"/>
        <sz val="11"/>
        <rFont val="Calibri"/>
        <family val="2"/>
        <scheme val="minor"/>
      </rPr>
      <t>O2,OHO</t>
    </r>
    <r>
      <rPr>
        <sz val="11"/>
        <rFont val="Calibri"/>
        <family val="2"/>
        <scheme val="minor"/>
      </rPr>
      <t>)</t>
    </r>
  </si>
  <si>
    <t>pH related inhibiton functions</t>
  </si>
  <si>
    <r>
      <t>g Fe.m</t>
    </r>
    <r>
      <rPr>
        <vertAlign val="superscript"/>
        <sz val="11"/>
        <rFont val="Calibri"/>
        <family val="2"/>
        <scheme val="minor"/>
      </rPr>
      <t>-3</t>
    </r>
  </si>
  <si>
    <r>
      <t>mol [HCO</t>
    </r>
    <r>
      <rPr>
        <vertAlign val="subscript"/>
        <sz val="11"/>
        <rFont val="Calibri"/>
        <family val="2"/>
        <scheme val="minor"/>
      </rPr>
      <t>3</t>
    </r>
    <r>
      <rPr>
        <vertAlign val="superscript"/>
        <sz val="11"/>
        <rFont val="Calibri"/>
        <family val="2"/>
        <scheme val="minor"/>
      </rPr>
      <t>-</t>
    </r>
    <r>
      <rPr>
        <sz val="11"/>
        <rFont val="Calibri"/>
        <family val="2"/>
        <scheme val="minor"/>
      </rPr>
      <t>].L</t>
    </r>
    <r>
      <rPr>
        <vertAlign val="superscript"/>
        <sz val="11"/>
        <rFont val="Calibri"/>
        <family val="2"/>
        <scheme val="minor"/>
      </rPr>
      <t>-1</t>
    </r>
  </si>
  <si>
    <r>
      <t>g P.m</t>
    </r>
    <r>
      <rPr>
        <vertAlign val="superscript"/>
        <sz val="11"/>
        <rFont val="Calibri"/>
        <family val="2"/>
        <scheme val="minor"/>
      </rPr>
      <t>-3</t>
    </r>
    <r>
      <rPr>
        <sz val="11"/>
        <color theme="1"/>
        <rFont val="Calibri"/>
        <family val="2"/>
        <scheme val="minor"/>
      </rPr>
      <t/>
    </r>
  </si>
  <si>
    <r>
      <t>g Na.m</t>
    </r>
    <r>
      <rPr>
        <vertAlign val="superscript"/>
        <sz val="11"/>
        <rFont val="Calibri"/>
        <family val="2"/>
        <scheme val="minor"/>
      </rPr>
      <t>-3</t>
    </r>
    <r>
      <rPr>
        <sz val="11"/>
        <color theme="1"/>
        <rFont val="Calibri"/>
        <family val="2"/>
        <scheme val="minor"/>
      </rPr>
      <t/>
    </r>
  </si>
  <si>
    <r>
      <t>g Cl.m</t>
    </r>
    <r>
      <rPr>
        <vertAlign val="superscript"/>
        <sz val="11"/>
        <rFont val="Calibri"/>
        <family val="2"/>
        <scheme val="minor"/>
      </rPr>
      <t>-3</t>
    </r>
    <r>
      <rPr>
        <sz val="11"/>
        <color theme="1"/>
        <rFont val="Calibri"/>
        <family val="2"/>
        <scheme val="minor"/>
      </rPr>
      <t/>
    </r>
  </si>
  <si>
    <r>
      <t>mol [HCO</t>
    </r>
    <r>
      <rPr>
        <vertAlign val="subscript"/>
        <sz val="11"/>
        <color indexed="8"/>
        <rFont val="Calibri"/>
        <family val="2"/>
        <scheme val="minor"/>
      </rPr>
      <t>3</t>
    </r>
    <r>
      <rPr>
        <vertAlign val="superscript"/>
        <sz val="11"/>
        <color indexed="8"/>
        <rFont val="Calibri"/>
        <family val="2"/>
        <scheme val="minor"/>
      </rPr>
      <t>-</t>
    </r>
    <r>
      <rPr>
        <sz val="11"/>
        <color indexed="8"/>
        <rFont val="Calibri"/>
        <family val="2"/>
        <scheme val="minor"/>
      </rPr>
      <t>].L</t>
    </r>
    <r>
      <rPr>
        <vertAlign val="superscript"/>
        <sz val="11"/>
        <color indexed="8"/>
        <rFont val="Calibri"/>
        <family val="2"/>
        <scheme val="minor"/>
      </rPr>
      <t>-1</t>
    </r>
  </si>
  <si>
    <r>
      <t>mol K.mol P</t>
    </r>
    <r>
      <rPr>
        <vertAlign val="superscript"/>
        <sz val="11"/>
        <rFont val="Calibri"/>
        <family val="2"/>
        <scheme val="minor"/>
      </rPr>
      <t>-1</t>
    </r>
  </si>
  <si>
    <r>
      <t>g Na.g NaCl</t>
    </r>
    <r>
      <rPr>
        <vertAlign val="superscript"/>
        <sz val="11"/>
        <rFont val="Calibri"/>
        <family val="2"/>
        <scheme val="minor"/>
      </rPr>
      <t>-1</t>
    </r>
  </si>
  <si>
    <t>Activated sludge</t>
  </si>
  <si>
    <t>VSS/TSS ratio</t>
  </si>
  <si>
    <r>
      <t>X</t>
    </r>
    <r>
      <rPr>
        <vertAlign val="subscript"/>
        <sz val="11"/>
        <rFont val="Calibri"/>
        <family val="2"/>
        <scheme val="minor"/>
      </rPr>
      <t>VSS</t>
    </r>
    <r>
      <rPr>
        <sz val="11"/>
        <rFont val="Calibri"/>
        <family val="2"/>
        <scheme val="minor"/>
      </rPr>
      <t>/X</t>
    </r>
    <r>
      <rPr>
        <vertAlign val="subscript"/>
        <sz val="11"/>
        <rFont val="Calibri"/>
        <family val="2"/>
        <scheme val="minor"/>
      </rPr>
      <t>TSS</t>
    </r>
  </si>
  <si>
    <r>
      <t>m</t>
    </r>
    <r>
      <rPr>
        <vertAlign val="subscript"/>
        <sz val="11"/>
        <rFont val="Calibri"/>
        <family val="2"/>
        <scheme val="minor"/>
      </rPr>
      <t>tox,anox</t>
    </r>
  </si>
  <si>
    <r>
      <t>m</t>
    </r>
    <r>
      <rPr>
        <vertAlign val="subscript"/>
        <sz val="11"/>
        <rFont val="Calibri"/>
        <family val="2"/>
        <scheme val="minor"/>
      </rPr>
      <t>tox,aer</t>
    </r>
  </si>
  <si>
    <r>
      <t>i</t>
    </r>
    <r>
      <rPr>
        <vertAlign val="subscript"/>
        <sz val="11"/>
        <rFont val="Calibri"/>
        <family val="2"/>
        <scheme val="minor"/>
      </rPr>
      <t>CIT,CH4</t>
    </r>
  </si>
  <si>
    <r>
      <t>i</t>
    </r>
    <r>
      <rPr>
        <vertAlign val="subscript"/>
        <sz val="11"/>
        <rFont val="Calibri"/>
        <family val="2"/>
        <scheme val="minor"/>
      </rPr>
      <t>CIT,VFA</t>
    </r>
  </si>
  <si>
    <r>
      <t>i</t>
    </r>
    <r>
      <rPr>
        <vertAlign val="subscript"/>
        <sz val="11"/>
        <rFont val="Calibri"/>
        <family val="2"/>
        <scheme val="minor"/>
      </rPr>
      <t>CIT,SB</t>
    </r>
  </si>
  <si>
    <r>
      <t>i</t>
    </r>
    <r>
      <rPr>
        <vertAlign val="subscript"/>
        <sz val="11"/>
        <rFont val="Calibri"/>
        <family val="2"/>
        <scheme val="minor"/>
      </rPr>
      <t>CIT,MEOL</t>
    </r>
  </si>
  <si>
    <r>
      <t>CH</t>
    </r>
    <r>
      <rPr>
        <vertAlign val="subscript"/>
        <sz val="11"/>
        <rFont val="Calibri"/>
        <family val="2"/>
        <scheme val="minor"/>
      </rPr>
      <t>4</t>
    </r>
    <r>
      <rPr>
        <sz val="11"/>
        <rFont val="Calibri"/>
        <family val="2"/>
        <scheme val="minor"/>
      </rPr>
      <t>: 64 g COD/mol C</t>
    </r>
  </si>
  <si>
    <r>
      <t>C</t>
    </r>
    <r>
      <rPr>
        <vertAlign val="subscript"/>
        <sz val="11"/>
        <rFont val="Calibri"/>
        <family val="2"/>
        <scheme val="minor"/>
      </rPr>
      <t>2</t>
    </r>
    <r>
      <rPr>
        <sz val="11"/>
        <rFont val="Calibri"/>
        <family val="2"/>
        <scheme val="minor"/>
      </rPr>
      <t>H</t>
    </r>
    <r>
      <rPr>
        <vertAlign val="subscript"/>
        <sz val="11"/>
        <rFont val="Calibri"/>
        <family val="2"/>
        <scheme val="minor"/>
      </rPr>
      <t>4</t>
    </r>
    <r>
      <rPr>
        <sz val="11"/>
        <rFont val="Calibri"/>
        <family val="2"/>
        <scheme val="minor"/>
      </rPr>
      <t>O</t>
    </r>
    <r>
      <rPr>
        <vertAlign val="subscript"/>
        <sz val="11"/>
        <rFont val="Calibri"/>
        <family val="2"/>
        <scheme val="minor"/>
      </rPr>
      <t>2</t>
    </r>
    <r>
      <rPr>
        <sz val="11"/>
        <rFont val="Calibri"/>
        <family val="2"/>
        <scheme val="minor"/>
      </rPr>
      <t>: 32 g COD/mol C</t>
    </r>
  </si>
  <si>
    <r>
      <t>i</t>
    </r>
    <r>
      <rPr>
        <vertAlign val="subscript"/>
        <sz val="11"/>
        <rFont val="Calibri"/>
        <family val="2"/>
        <scheme val="minor"/>
      </rPr>
      <t>CIT,PHA</t>
    </r>
  </si>
  <si>
    <r>
      <t>C</t>
    </r>
    <r>
      <rPr>
        <vertAlign val="subscript"/>
        <sz val="11"/>
        <rFont val="Calibri"/>
        <family val="2"/>
        <scheme val="minor"/>
      </rPr>
      <t>5</t>
    </r>
    <r>
      <rPr>
        <sz val="11"/>
        <rFont val="Calibri"/>
        <family val="2"/>
        <scheme val="minor"/>
      </rPr>
      <t>H</t>
    </r>
    <r>
      <rPr>
        <vertAlign val="subscript"/>
        <sz val="11"/>
        <rFont val="Calibri"/>
        <family val="2"/>
        <scheme val="minor"/>
      </rPr>
      <t>7</t>
    </r>
    <r>
      <rPr>
        <sz val="11"/>
        <rFont val="Calibri"/>
        <family val="2"/>
        <scheme val="minor"/>
      </rPr>
      <t>O</t>
    </r>
    <r>
      <rPr>
        <vertAlign val="subscript"/>
        <sz val="11"/>
        <rFont val="Calibri"/>
        <family val="2"/>
        <scheme val="minor"/>
      </rPr>
      <t>2</t>
    </r>
    <r>
      <rPr>
        <sz val="11"/>
        <rFont val="Calibri"/>
        <family val="2"/>
        <scheme val="minor"/>
      </rPr>
      <t>N: 32 g COD/mol C</t>
    </r>
  </si>
  <si>
    <r>
      <t>H[C</t>
    </r>
    <r>
      <rPr>
        <vertAlign val="subscript"/>
        <sz val="11"/>
        <color indexed="8"/>
        <rFont val="Calibri"/>
        <family val="2"/>
        <scheme val="minor"/>
      </rPr>
      <t>4</t>
    </r>
    <r>
      <rPr>
        <sz val="11"/>
        <color indexed="8"/>
        <rFont val="Calibri"/>
        <family val="2"/>
        <scheme val="minor"/>
      </rPr>
      <t>H</t>
    </r>
    <r>
      <rPr>
        <vertAlign val="subscript"/>
        <sz val="11"/>
        <color indexed="8"/>
        <rFont val="Calibri"/>
        <family val="2"/>
        <scheme val="minor"/>
      </rPr>
      <t>6</t>
    </r>
    <r>
      <rPr>
        <sz val="11"/>
        <color indexed="8"/>
        <rFont val="Calibri"/>
        <family val="2"/>
        <scheme val="minor"/>
      </rPr>
      <t>O</t>
    </r>
    <r>
      <rPr>
        <vertAlign val="subscript"/>
        <sz val="11"/>
        <color indexed="8"/>
        <rFont val="Calibri"/>
        <family val="2"/>
        <scheme val="minor"/>
      </rPr>
      <t>2</t>
    </r>
    <r>
      <rPr>
        <sz val="11"/>
        <color indexed="8"/>
        <rFont val="Calibri"/>
        <family val="2"/>
        <scheme val="minor"/>
      </rPr>
      <t>]</t>
    </r>
    <r>
      <rPr>
        <vertAlign val="subscript"/>
        <sz val="11"/>
        <color indexed="8"/>
        <rFont val="Calibri"/>
        <family val="2"/>
        <scheme val="minor"/>
      </rPr>
      <t>n</t>
    </r>
    <r>
      <rPr>
        <sz val="11"/>
        <color indexed="8"/>
        <rFont val="Calibri"/>
        <family val="2"/>
        <scheme val="minor"/>
      </rPr>
      <t>OH: 36 g COD/mol C</t>
    </r>
  </si>
  <si>
    <r>
      <t>i</t>
    </r>
    <r>
      <rPr>
        <vertAlign val="subscript"/>
        <sz val="11"/>
        <rFont val="Calibri"/>
        <family val="2"/>
      </rPr>
      <t>CIT,VFA</t>
    </r>
    <r>
      <rPr>
        <sz val="11"/>
        <rFont val="Calibri"/>
        <family val="2"/>
      </rPr>
      <t>/Y</t>
    </r>
    <r>
      <rPr>
        <vertAlign val="subscript"/>
        <sz val="11"/>
        <rFont val="Calibri"/>
        <family val="2"/>
      </rPr>
      <t>OHO,VFA,ox</t>
    </r>
    <r>
      <rPr>
        <sz val="11"/>
        <rFont val="Calibri"/>
        <family val="2"/>
      </rPr>
      <t>-i</t>
    </r>
    <r>
      <rPr>
        <vertAlign val="subscript"/>
        <sz val="11"/>
        <rFont val="Calibri"/>
        <family val="2"/>
      </rPr>
      <t>CIT,BIO</t>
    </r>
  </si>
  <si>
    <r>
      <t>i</t>
    </r>
    <r>
      <rPr>
        <vertAlign val="subscript"/>
        <sz val="11"/>
        <rFont val="Calibri"/>
        <family val="2"/>
      </rPr>
      <t>CIT,VFA</t>
    </r>
    <r>
      <rPr>
        <sz val="11"/>
        <rFont val="Calibri"/>
        <family val="2"/>
      </rPr>
      <t>/Y</t>
    </r>
    <r>
      <rPr>
        <vertAlign val="subscript"/>
        <sz val="11"/>
        <rFont val="Calibri"/>
        <family val="2"/>
      </rPr>
      <t>OHO,VFA,anox</t>
    </r>
    <r>
      <rPr>
        <sz val="11"/>
        <rFont val="Calibri"/>
        <family val="2"/>
      </rPr>
      <t>-i</t>
    </r>
    <r>
      <rPr>
        <vertAlign val="subscript"/>
        <sz val="11"/>
        <rFont val="Calibri"/>
        <family val="2"/>
      </rPr>
      <t>CIT,BIO</t>
    </r>
  </si>
  <si>
    <r>
      <t>i</t>
    </r>
    <r>
      <rPr>
        <vertAlign val="subscript"/>
        <sz val="11"/>
        <rFont val="Calibri"/>
        <family val="2"/>
      </rPr>
      <t>CIT,SB</t>
    </r>
    <r>
      <rPr>
        <sz val="11"/>
        <rFont val="Calibri"/>
        <family val="2"/>
      </rPr>
      <t>/Y</t>
    </r>
    <r>
      <rPr>
        <vertAlign val="subscript"/>
        <sz val="11"/>
        <rFont val="Calibri"/>
        <family val="2"/>
      </rPr>
      <t>OHO,SB,ox</t>
    </r>
    <r>
      <rPr>
        <sz val="11"/>
        <rFont val="Calibri"/>
        <family val="2"/>
      </rPr>
      <t>-i</t>
    </r>
    <r>
      <rPr>
        <vertAlign val="subscript"/>
        <sz val="11"/>
        <rFont val="Calibri"/>
        <family val="2"/>
      </rPr>
      <t>CIT,BIO</t>
    </r>
  </si>
  <si>
    <r>
      <t>i</t>
    </r>
    <r>
      <rPr>
        <vertAlign val="subscript"/>
        <sz val="11"/>
        <rFont val="Calibri"/>
        <family val="2"/>
      </rPr>
      <t>CIT,SB</t>
    </r>
    <r>
      <rPr>
        <sz val="11"/>
        <rFont val="Calibri"/>
        <family val="2"/>
      </rPr>
      <t>/Y</t>
    </r>
    <r>
      <rPr>
        <vertAlign val="subscript"/>
        <sz val="11"/>
        <rFont val="Calibri"/>
        <family val="2"/>
      </rPr>
      <t>OHO,SB,anox</t>
    </r>
    <r>
      <rPr>
        <sz val="11"/>
        <rFont val="Calibri"/>
        <family val="2"/>
      </rPr>
      <t>-i</t>
    </r>
    <r>
      <rPr>
        <vertAlign val="subscript"/>
        <sz val="11"/>
        <rFont val="Calibri"/>
        <family val="2"/>
      </rPr>
      <t>CIT,BIO</t>
    </r>
  </si>
  <si>
    <r>
      <t>i</t>
    </r>
    <r>
      <rPr>
        <vertAlign val="subscript"/>
        <sz val="11"/>
        <rFont val="Calibri"/>
        <family val="2"/>
      </rPr>
      <t>CIT,MEOL</t>
    </r>
    <r>
      <rPr>
        <sz val="11"/>
        <rFont val="Calibri"/>
        <family val="2"/>
      </rPr>
      <t>/Y</t>
    </r>
    <r>
      <rPr>
        <vertAlign val="subscript"/>
        <sz val="11"/>
        <rFont val="Calibri"/>
        <family val="2"/>
      </rPr>
      <t>MEOLO</t>
    </r>
    <r>
      <rPr>
        <sz val="11"/>
        <rFont val="Calibri"/>
        <family val="2"/>
      </rPr>
      <t>-i</t>
    </r>
    <r>
      <rPr>
        <vertAlign val="subscript"/>
        <sz val="11"/>
        <rFont val="Calibri"/>
        <family val="2"/>
      </rPr>
      <t>CIT,BIO</t>
    </r>
  </si>
  <si>
    <r>
      <t>i</t>
    </r>
    <r>
      <rPr>
        <vertAlign val="subscript"/>
        <sz val="11"/>
        <rFont val="Calibri"/>
        <family val="2"/>
      </rPr>
      <t>CIT,MEOL</t>
    </r>
    <r>
      <rPr>
        <sz val="11"/>
        <rFont val="Calibri"/>
        <family val="2"/>
      </rPr>
      <t>/Y</t>
    </r>
    <r>
      <rPr>
        <vertAlign val="subscript"/>
        <sz val="11"/>
        <rFont val="Calibri"/>
        <family val="2"/>
      </rPr>
      <t>OHO,SMEOL,ox</t>
    </r>
    <r>
      <rPr>
        <sz val="11"/>
        <rFont val="Calibri"/>
        <family val="2"/>
      </rPr>
      <t>-i</t>
    </r>
    <r>
      <rPr>
        <vertAlign val="subscript"/>
        <sz val="11"/>
        <rFont val="Calibri"/>
        <family val="2"/>
      </rPr>
      <t>CIT,BIO</t>
    </r>
  </si>
  <si>
    <r>
      <t>-i</t>
    </r>
    <r>
      <rPr>
        <vertAlign val="subscript"/>
        <sz val="11"/>
        <rFont val="Calibri"/>
        <family val="2"/>
      </rPr>
      <t>CIT,BIO</t>
    </r>
    <r>
      <rPr>
        <sz val="11"/>
        <rFont val="Calibri"/>
        <family val="2"/>
      </rPr>
      <t>-i</t>
    </r>
    <r>
      <rPr>
        <vertAlign val="subscript"/>
        <sz val="11"/>
        <rFont val="Calibri"/>
        <family val="2"/>
      </rPr>
      <t>CIT,CH4</t>
    </r>
    <r>
      <rPr>
        <sz val="11"/>
        <rFont val="Calibri"/>
        <family val="2"/>
      </rPr>
      <t>*(1-Y</t>
    </r>
    <r>
      <rPr>
        <vertAlign val="subscript"/>
        <sz val="11"/>
        <rFont val="Calibri"/>
        <family val="2"/>
      </rPr>
      <t>HMETO</t>
    </r>
    <r>
      <rPr>
        <sz val="11"/>
        <rFont val="Calibri"/>
        <family val="2"/>
      </rPr>
      <t>)/Y</t>
    </r>
    <r>
      <rPr>
        <vertAlign val="subscript"/>
        <sz val="11"/>
        <rFont val="Calibri"/>
        <family val="2"/>
      </rPr>
      <t>HMETO</t>
    </r>
  </si>
  <si>
    <r>
      <t>i</t>
    </r>
    <r>
      <rPr>
        <vertAlign val="subscript"/>
        <sz val="11"/>
        <rFont val="Calibri"/>
        <family val="2"/>
      </rPr>
      <t>CIT,MEOL</t>
    </r>
    <r>
      <rPr>
        <sz val="11"/>
        <rFont val="Calibri"/>
        <family val="2"/>
      </rPr>
      <t>-i</t>
    </r>
    <r>
      <rPr>
        <vertAlign val="subscript"/>
        <sz val="11"/>
        <rFont val="Calibri"/>
        <family val="2"/>
      </rPr>
      <t>CIT,VFA</t>
    </r>
    <r>
      <rPr>
        <sz val="11"/>
        <rFont val="Calibri"/>
        <family val="2"/>
      </rPr>
      <t>*2/3</t>
    </r>
  </si>
  <si>
    <r>
      <t>i</t>
    </r>
    <r>
      <rPr>
        <vertAlign val="subscript"/>
        <sz val="11"/>
        <rFont val="Calibri"/>
        <family val="2"/>
      </rPr>
      <t>CIT,VFA</t>
    </r>
    <r>
      <rPr>
        <sz val="11"/>
        <rFont val="Calibri"/>
        <family val="2"/>
      </rPr>
      <t>-i</t>
    </r>
    <r>
      <rPr>
        <vertAlign val="subscript"/>
        <sz val="11"/>
        <rFont val="Calibri"/>
        <family val="2"/>
      </rPr>
      <t>CIT,PHA</t>
    </r>
  </si>
  <si>
    <r>
      <t>i</t>
    </r>
    <r>
      <rPr>
        <vertAlign val="subscript"/>
        <sz val="11"/>
        <rFont val="Calibri"/>
        <family val="2"/>
      </rPr>
      <t>CIT,SB</t>
    </r>
    <r>
      <rPr>
        <sz val="11"/>
        <rFont val="Calibri"/>
        <family val="2"/>
      </rPr>
      <t>*EEQ</t>
    </r>
    <r>
      <rPr>
        <vertAlign val="subscript"/>
        <sz val="11"/>
        <rFont val="Calibri"/>
        <family val="2"/>
      </rPr>
      <t>Fe2</t>
    </r>
    <r>
      <rPr>
        <sz val="11"/>
        <rFont val="Calibri"/>
        <family val="2"/>
      </rPr>
      <t>*S</t>
    </r>
    <r>
      <rPr>
        <vertAlign val="subscript"/>
        <sz val="11"/>
        <rFont val="Calibri"/>
        <family val="2"/>
      </rPr>
      <t>B</t>
    </r>
    <r>
      <rPr>
        <sz val="11"/>
        <rFont val="Calibri"/>
        <family val="2"/>
      </rPr>
      <t>/(S</t>
    </r>
    <r>
      <rPr>
        <vertAlign val="subscript"/>
        <sz val="11"/>
        <rFont val="Calibri"/>
        <family val="2"/>
      </rPr>
      <t>B</t>
    </r>
    <r>
      <rPr>
        <sz val="11"/>
        <rFont val="Calibri"/>
        <family val="2"/>
      </rPr>
      <t>+S</t>
    </r>
    <r>
      <rPr>
        <vertAlign val="subscript"/>
        <sz val="11"/>
        <rFont val="Calibri"/>
        <family val="2"/>
      </rPr>
      <t>VFA</t>
    </r>
    <r>
      <rPr>
        <sz val="11"/>
        <rFont val="Calibri"/>
        <family val="2"/>
      </rPr>
      <t>)+i</t>
    </r>
    <r>
      <rPr>
        <vertAlign val="subscript"/>
        <sz val="11"/>
        <rFont val="Calibri"/>
        <family val="2"/>
      </rPr>
      <t>CIT,VFA</t>
    </r>
    <r>
      <rPr>
        <sz val="11"/>
        <rFont val="Calibri"/>
        <family val="2"/>
      </rPr>
      <t>*EEQ</t>
    </r>
    <r>
      <rPr>
        <vertAlign val="subscript"/>
        <sz val="11"/>
        <rFont val="Calibri"/>
        <family val="2"/>
      </rPr>
      <t>Fe2</t>
    </r>
    <r>
      <rPr>
        <sz val="11"/>
        <rFont val="Calibri"/>
        <family val="2"/>
      </rPr>
      <t>*S</t>
    </r>
    <r>
      <rPr>
        <vertAlign val="subscript"/>
        <sz val="11"/>
        <rFont val="Calibri"/>
        <family val="2"/>
      </rPr>
      <t>VFA</t>
    </r>
    <r>
      <rPr>
        <sz val="11"/>
        <rFont val="Calibri"/>
        <family val="2"/>
      </rPr>
      <t>/(S</t>
    </r>
    <r>
      <rPr>
        <vertAlign val="subscript"/>
        <sz val="11"/>
        <rFont val="Calibri"/>
        <family val="2"/>
      </rPr>
      <t>B</t>
    </r>
    <r>
      <rPr>
        <sz val="11"/>
        <rFont val="Calibri"/>
        <family val="2"/>
      </rPr>
      <t>+S</t>
    </r>
    <r>
      <rPr>
        <vertAlign val="subscript"/>
        <sz val="11"/>
        <rFont val="Calibri"/>
        <family val="2"/>
      </rPr>
      <t>VFA</t>
    </r>
    <r>
      <rPr>
        <sz val="11"/>
        <rFont val="Calibri"/>
        <family val="2"/>
      </rPr>
      <t>)</t>
    </r>
  </si>
  <si>
    <r>
      <t>pH</t>
    </r>
    <r>
      <rPr>
        <vertAlign val="subscript"/>
        <sz val="11"/>
        <rFont val="Calibri"/>
        <family val="2"/>
        <scheme val="minor"/>
      </rPr>
      <t>low,AMETO</t>
    </r>
  </si>
  <si>
    <r>
      <t>pH</t>
    </r>
    <r>
      <rPr>
        <vertAlign val="subscript"/>
        <sz val="11"/>
        <rFont val="Calibri"/>
        <family val="2"/>
        <scheme val="minor"/>
      </rPr>
      <t>high,AMETO</t>
    </r>
  </si>
  <si>
    <r>
      <t>pH</t>
    </r>
    <r>
      <rPr>
        <vertAlign val="subscript"/>
        <sz val="11"/>
        <rFont val="Calibri"/>
        <family val="2"/>
        <scheme val="minor"/>
      </rPr>
      <t>low,HMETO</t>
    </r>
  </si>
  <si>
    <r>
      <t>pH</t>
    </r>
    <r>
      <rPr>
        <vertAlign val="subscript"/>
        <sz val="11"/>
        <rFont val="Calibri"/>
        <family val="2"/>
        <scheme val="minor"/>
      </rPr>
      <t>high,HMETO</t>
    </r>
  </si>
  <si>
    <r>
      <t>Bellinh</t>
    </r>
    <r>
      <rPr>
        <vertAlign val="subscript"/>
        <sz val="11"/>
        <rFont val="Calibri"/>
        <family val="2"/>
        <scheme val="minor"/>
      </rPr>
      <t>pH,AMETO</t>
    </r>
  </si>
  <si>
    <r>
      <t>Bellinh</t>
    </r>
    <r>
      <rPr>
        <vertAlign val="subscript"/>
        <sz val="11"/>
        <rFont val="Calibri"/>
        <family val="2"/>
        <scheme val="minor"/>
      </rPr>
      <t>pH,HMETO</t>
    </r>
  </si>
  <si>
    <r>
      <t>Bellinh(pH;pH</t>
    </r>
    <r>
      <rPr>
        <vertAlign val="subscript"/>
        <sz val="11"/>
        <rFont val="Calibri"/>
        <family val="2"/>
        <scheme val="minor"/>
      </rPr>
      <t>low,AMETO</t>
    </r>
    <r>
      <rPr>
        <sz val="11"/>
        <rFont val="Calibri"/>
        <family val="2"/>
        <scheme val="minor"/>
      </rPr>
      <t>;pH</t>
    </r>
    <r>
      <rPr>
        <vertAlign val="subscript"/>
        <sz val="11"/>
        <rFont val="Calibri"/>
        <family val="2"/>
        <scheme val="minor"/>
      </rPr>
      <t>high,AMETO</t>
    </r>
    <r>
      <rPr>
        <sz val="11"/>
        <rFont val="Calibri"/>
        <family val="2"/>
        <scheme val="minor"/>
      </rPr>
      <t>)</t>
    </r>
  </si>
  <si>
    <r>
      <t>Bellinh(pH;pH</t>
    </r>
    <r>
      <rPr>
        <vertAlign val="subscript"/>
        <sz val="11"/>
        <rFont val="Calibri"/>
        <family val="2"/>
        <scheme val="minor"/>
      </rPr>
      <t>low,HMETO</t>
    </r>
    <r>
      <rPr>
        <sz val="11"/>
        <rFont val="Calibri"/>
        <family val="2"/>
        <scheme val="minor"/>
      </rPr>
      <t>;pH</t>
    </r>
    <r>
      <rPr>
        <vertAlign val="subscript"/>
        <sz val="11"/>
        <rFont val="Calibri"/>
        <family val="2"/>
        <scheme val="minor"/>
      </rPr>
      <t>high,HMETO</t>
    </r>
    <r>
      <rPr>
        <sz val="11"/>
        <rFont val="Calibri"/>
        <family val="2"/>
        <scheme val="minor"/>
      </rPr>
      <t>)</t>
    </r>
  </si>
  <si>
    <r>
      <t>i</t>
    </r>
    <r>
      <rPr>
        <vertAlign val="subscript"/>
        <sz val="11"/>
        <rFont val="Calibri"/>
        <family val="2"/>
      </rPr>
      <t>CIT,BIO</t>
    </r>
    <r>
      <rPr>
        <sz val="11"/>
        <rFont val="Calibri"/>
        <family val="2"/>
      </rPr>
      <t>-i</t>
    </r>
    <r>
      <rPr>
        <vertAlign val="subscript"/>
        <sz val="11"/>
        <rFont val="Calibri"/>
        <family val="2"/>
      </rPr>
      <t>CIT,SB</t>
    </r>
  </si>
  <si>
    <r>
      <t>Hsat</t>
    </r>
    <r>
      <rPr>
        <vertAlign val="subscript"/>
        <sz val="11"/>
        <rFont val="Calibri"/>
        <family val="2"/>
        <scheme val="minor"/>
      </rPr>
      <t>SVFA,AMETO</t>
    </r>
  </si>
  <si>
    <t>HFO kinetics</t>
  </si>
  <si>
    <t>A_MN/M_MSTR</t>
  </si>
  <si>
    <t>A_MP/M_MSTR</t>
  </si>
  <si>
    <t>2*A_MP/M_MACP</t>
  </si>
  <si>
    <t>2*A_MP/M_MVivi</t>
  </si>
  <si>
    <t>HFO stoichiometry</t>
  </si>
  <si>
    <t>Ferrous ions fully dissociated</t>
  </si>
  <si>
    <r>
      <t>m</t>
    </r>
    <r>
      <rPr>
        <vertAlign val="subscript"/>
        <sz val="11"/>
        <rFont val="Calibri"/>
        <family val="2"/>
        <scheme val="minor"/>
      </rPr>
      <t>tox,ana</t>
    </r>
  </si>
  <si>
    <t>unitless</t>
  </si>
  <si>
    <r>
      <t>10^(-A</t>
    </r>
    <r>
      <rPr>
        <vertAlign val="subscript"/>
        <sz val="11"/>
        <rFont val="Calibri"/>
        <family val="2"/>
        <scheme val="minor"/>
      </rPr>
      <t>Davies</t>
    </r>
    <r>
      <rPr>
        <sz val="11"/>
        <rFont val="Calibri"/>
        <family val="2"/>
        <scheme val="minor"/>
      </rPr>
      <t>*1^(2)*(IS</t>
    </r>
    <r>
      <rPr>
        <vertAlign val="subscript"/>
        <sz val="11"/>
        <rFont val="Calibri"/>
        <family val="2"/>
        <scheme val="minor"/>
      </rPr>
      <t>lim</t>
    </r>
    <r>
      <rPr>
        <sz val="11"/>
        <rFont val="Calibri"/>
        <family val="2"/>
        <scheme val="minor"/>
      </rPr>
      <t>^(0.5)/(1+1.5*IS</t>
    </r>
    <r>
      <rPr>
        <vertAlign val="subscript"/>
        <sz val="11"/>
        <rFont val="Calibri"/>
        <family val="2"/>
        <scheme val="minor"/>
      </rPr>
      <t>lim</t>
    </r>
    <r>
      <rPr>
        <sz val="11"/>
        <rFont val="Calibri"/>
        <family val="2"/>
        <scheme val="minor"/>
      </rPr>
      <t>^(0.5))-0.3*IS</t>
    </r>
    <r>
      <rPr>
        <vertAlign val="subscript"/>
        <sz val="11"/>
        <rFont val="Calibri"/>
        <family val="2"/>
        <scheme val="minor"/>
      </rPr>
      <t>lim</t>
    </r>
    <r>
      <rPr>
        <sz val="11"/>
        <rFont val="Calibri"/>
        <family val="2"/>
        <scheme val="minor"/>
      </rPr>
      <t>))</t>
    </r>
  </si>
  <si>
    <r>
      <t>10^(-A</t>
    </r>
    <r>
      <rPr>
        <vertAlign val="subscript"/>
        <sz val="11"/>
        <rFont val="Calibri"/>
        <family val="2"/>
        <scheme val="minor"/>
      </rPr>
      <t>Davies</t>
    </r>
    <r>
      <rPr>
        <sz val="11"/>
        <rFont val="Calibri"/>
        <family val="2"/>
        <scheme val="minor"/>
      </rPr>
      <t>*2^(2)*(IS</t>
    </r>
    <r>
      <rPr>
        <vertAlign val="subscript"/>
        <sz val="11"/>
        <rFont val="Calibri"/>
        <family val="2"/>
        <scheme val="minor"/>
      </rPr>
      <t>lim</t>
    </r>
    <r>
      <rPr>
        <sz val="11"/>
        <rFont val="Calibri"/>
        <family val="2"/>
        <scheme val="minor"/>
      </rPr>
      <t>^(0.5)/(1+1.5*IS</t>
    </r>
    <r>
      <rPr>
        <vertAlign val="subscript"/>
        <sz val="11"/>
        <rFont val="Calibri"/>
        <family val="2"/>
        <scheme val="minor"/>
      </rPr>
      <t>lim</t>
    </r>
    <r>
      <rPr>
        <sz val="11"/>
        <rFont val="Calibri"/>
        <family val="2"/>
        <scheme val="minor"/>
      </rPr>
      <t>^(0.5))-0.3*IS</t>
    </r>
    <r>
      <rPr>
        <vertAlign val="subscript"/>
        <sz val="11"/>
        <rFont val="Calibri"/>
        <family val="2"/>
        <scheme val="minor"/>
      </rPr>
      <t>lim</t>
    </r>
    <r>
      <rPr>
        <sz val="11"/>
        <rFont val="Calibri"/>
        <family val="2"/>
        <scheme val="minor"/>
      </rPr>
      <t>))</t>
    </r>
  </si>
  <si>
    <r>
      <t>10^(-A</t>
    </r>
    <r>
      <rPr>
        <vertAlign val="subscript"/>
        <sz val="11"/>
        <rFont val="Calibri"/>
        <family val="2"/>
        <scheme val="minor"/>
      </rPr>
      <t>Davies</t>
    </r>
    <r>
      <rPr>
        <sz val="11"/>
        <rFont val="Calibri"/>
        <family val="2"/>
        <scheme val="minor"/>
      </rPr>
      <t>*3^(2)*(IS</t>
    </r>
    <r>
      <rPr>
        <vertAlign val="subscript"/>
        <sz val="11"/>
        <rFont val="Calibri"/>
        <family val="2"/>
        <scheme val="minor"/>
      </rPr>
      <t>lim</t>
    </r>
    <r>
      <rPr>
        <sz val="11"/>
        <rFont val="Calibri"/>
        <family val="2"/>
        <scheme val="minor"/>
      </rPr>
      <t>^(0.5)/(1+1.5*IS</t>
    </r>
    <r>
      <rPr>
        <vertAlign val="subscript"/>
        <sz val="11"/>
        <rFont val="Calibri"/>
        <family val="2"/>
        <scheme val="minor"/>
      </rPr>
      <t>lim</t>
    </r>
    <r>
      <rPr>
        <sz val="11"/>
        <rFont val="Calibri"/>
        <family val="2"/>
        <scheme val="minor"/>
      </rPr>
      <t>^(0.5))-0.3*IS</t>
    </r>
    <r>
      <rPr>
        <vertAlign val="subscript"/>
        <sz val="11"/>
        <rFont val="Calibri"/>
        <family val="2"/>
        <scheme val="minor"/>
      </rPr>
      <t>lim</t>
    </r>
    <r>
      <rPr>
        <sz val="11"/>
        <rFont val="Calibri"/>
        <family val="2"/>
        <scheme val="minor"/>
      </rPr>
      <t>))</t>
    </r>
  </si>
  <si>
    <t>Key(940)</t>
  </si>
  <si>
    <t>Key(950)</t>
  </si>
  <si>
    <t>Key(960)</t>
  </si>
  <si>
    <t>Key(970)</t>
  </si>
  <si>
    <t>Key(980)</t>
  </si>
  <si>
    <t>Key(1000)</t>
  </si>
  <si>
    <t>Key(990)</t>
  </si>
  <si>
    <r>
      <t>X</t>
    </r>
    <r>
      <rPr>
        <vertAlign val="subscript"/>
        <sz val="11"/>
        <rFont val="Calibri"/>
        <family val="2"/>
        <scheme val="minor"/>
      </rPr>
      <t>ISS</t>
    </r>
  </si>
  <si>
    <r>
      <t>X</t>
    </r>
    <r>
      <rPr>
        <vertAlign val="subscript"/>
        <sz val="11"/>
        <rFont val="Calibri"/>
        <family val="2"/>
        <scheme val="minor"/>
      </rPr>
      <t>precip</t>
    </r>
  </si>
  <si>
    <r>
      <t>X</t>
    </r>
    <r>
      <rPr>
        <vertAlign val="subscript"/>
        <sz val="11"/>
        <rFont val="Calibri"/>
        <family val="2"/>
        <scheme val="minor"/>
      </rPr>
      <t>HFO,TSS</t>
    </r>
  </si>
  <si>
    <t>Total HFOs in TSS unit</t>
  </si>
  <si>
    <t>Dry matter</t>
  </si>
  <si>
    <r>
      <t>X</t>
    </r>
    <r>
      <rPr>
        <vertAlign val="subscript"/>
        <sz val="11"/>
        <rFont val="Calibri"/>
        <family val="2"/>
        <scheme val="minor"/>
      </rPr>
      <t>DM</t>
    </r>
  </si>
  <si>
    <r>
      <t>g.m</t>
    </r>
    <r>
      <rPr>
        <vertAlign val="superscript"/>
        <sz val="11"/>
        <rFont val="Calibri"/>
        <family val="2"/>
      </rPr>
      <t>-3</t>
    </r>
    <r>
      <rPr>
        <sz val="11"/>
        <rFont val="Calibri"/>
        <family val="2"/>
      </rPr>
      <t>.d</t>
    </r>
    <r>
      <rPr>
        <vertAlign val="superscript"/>
        <sz val="11"/>
        <rFont val="Calibri"/>
        <family val="2"/>
      </rPr>
      <t>-1</t>
    </r>
  </si>
  <si>
    <r>
      <t>MM</t>
    </r>
    <r>
      <rPr>
        <vertAlign val="subscript"/>
        <sz val="11"/>
        <rFont val="Calibri"/>
        <family val="2"/>
        <scheme val="minor"/>
      </rPr>
      <t>air</t>
    </r>
  </si>
  <si>
    <t>Molar mass of air</t>
  </si>
  <si>
    <r>
      <t>MM</t>
    </r>
    <r>
      <rPr>
        <vertAlign val="subscript"/>
        <sz val="11"/>
        <rFont val="Calibri"/>
        <family val="2"/>
        <scheme val="minor"/>
      </rPr>
      <t>NaCl</t>
    </r>
  </si>
  <si>
    <t>Molecular mass of NaCl</t>
  </si>
  <si>
    <r>
      <t>MM</t>
    </r>
    <r>
      <rPr>
        <vertAlign val="subscript"/>
        <sz val="11"/>
        <rFont val="Calibri"/>
        <family val="2"/>
        <scheme val="minor"/>
      </rPr>
      <t>NaOH</t>
    </r>
  </si>
  <si>
    <t>Molecular mass of NaOH</t>
  </si>
  <si>
    <r>
      <t>MM</t>
    </r>
    <r>
      <rPr>
        <vertAlign val="subscript"/>
        <sz val="11"/>
        <rFont val="Calibri"/>
        <family val="2"/>
        <scheme val="minor"/>
      </rPr>
      <t>MMC</t>
    </r>
  </si>
  <si>
    <t>Molecular mass of methyl mercaptan</t>
  </si>
  <si>
    <r>
      <t>g N.mol</t>
    </r>
    <r>
      <rPr>
        <vertAlign val="superscript"/>
        <sz val="11"/>
        <rFont val="Calibri"/>
        <family val="2"/>
        <scheme val="minor"/>
      </rPr>
      <t>-1</t>
    </r>
  </si>
  <si>
    <r>
      <t>g COD.mol</t>
    </r>
    <r>
      <rPr>
        <vertAlign val="superscript"/>
        <sz val="11"/>
        <rFont val="Calibri"/>
        <family val="2"/>
        <scheme val="minor"/>
      </rPr>
      <t>-1</t>
    </r>
  </si>
  <si>
    <r>
      <t>g S.mol</t>
    </r>
    <r>
      <rPr>
        <vertAlign val="superscript"/>
        <sz val="11"/>
        <rFont val="Calibri"/>
        <family val="2"/>
        <scheme val="minor"/>
      </rPr>
      <t>-1</t>
    </r>
  </si>
  <si>
    <r>
      <t>g COD.g N</t>
    </r>
    <r>
      <rPr>
        <vertAlign val="superscript"/>
        <sz val="11"/>
        <rFont val="Calibri"/>
        <family val="2"/>
      </rPr>
      <t>-1</t>
    </r>
  </si>
  <si>
    <r>
      <t>g COD.g Fe</t>
    </r>
    <r>
      <rPr>
        <vertAlign val="superscript"/>
        <sz val="11"/>
        <rFont val="Calibri"/>
        <family val="2"/>
      </rPr>
      <t>-1</t>
    </r>
  </si>
  <si>
    <r>
      <t>g COD.g S</t>
    </r>
    <r>
      <rPr>
        <vertAlign val="superscript"/>
        <sz val="11"/>
        <rFont val="Calibri"/>
        <family val="2"/>
      </rPr>
      <t>-1</t>
    </r>
  </si>
  <si>
    <r>
      <t>g COD.g S</t>
    </r>
    <r>
      <rPr>
        <vertAlign val="superscript"/>
        <sz val="11"/>
        <rFont val="Calibri"/>
        <family val="2"/>
        <scheme val="minor"/>
      </rPr>
      <t>-1</t>
    </r>
  </si>
  <si>
    <r>
      <t>ppm.m</t>
    </r>
    <r>
      <rPr>
        <vertAlign val="superscript"/>
        <sz val="11"/>
        <rFont val="Calibri"/>
        <family val="2"/>
        <scheme val="minor"/>
      </rPr>
      <t>-3</t>
    </r>
    <r>
      <rPr>
        <sz val="11"/>
        <rFont val="Calibri"/>
        <family val="2"/>
        <scheme val="minor"/>
      </rPr>
      <t>.m</t>
    </r>
    <r>
      <rPr>
        <vertAlign val="superscript"/>
        <sz val="11"/>
        <rFont val="Calibri"/>
        <family val="2"/>
        <scheme val="minor"/>
      </rPr>
      <t>3</t>
    </r>
  </si>
  <si>
    <r>
      <t>%.v.v</t>
    </r>
    <r>
      <rPr>
        <vertAlign val="superscript"/>
        <sz val="11"/>
        <rFont val="Calibri"/>
        <family val="2"/>
        <scheme val="minor"/>
      </rPr>
      <t>-1</t>
    </r>
  </si>
  <si>
    <t>Conversion coefficient between pascal and Hgmm</t>
  </si>
  <si>
    <t>Conversion coefficient between pascal and bar</t>
  </si>
  <si>
    <t>Conversion coefficient between square centimeters and square meters</t>
  </si>
  <si>
    <r>
      <t>c</t>
    </r>
    <r>
      <rPr>
        <vertAlign val="subscript"/>
        <sz val="11"/>
        <rFont val="Calibri"/>
        <family val="2"/>
        <scheme val="minor"/>
      </rPr>
      <t>cm3,m3</t>
    </r>
  </si>
  <si>
    <t>Conversion coefficient between cubic centimeters and cubic meters</t>
  </si>
  <si>
    <r>
      <t>cm</t>
    </r>
    <r>
      <rPr>
        <vertAlign val="superscript"/>
        <sz val="11"/>
        <rFont val="Calibri"/>
        <family val="2"/>
        <scheme val="minor"/>
      </rPr>
      <t>3</t>
    </r>
    <r>
      <rPr>
        <sz val="11"/>
        <rFont val="Calibri"/>
        <family val="2"/>
        <scheme val="minor"/>
      </rPr>
      <t>.m</t>
    </r>
    <r>
      <rPr>
        <vertAlign val="superscript"/>
        <sz val="11"/>
        <rFont val="Calibri"/>
        <family val="2"/>
        <scheme val="minor"/>
      </rPr>
      <t>-3</t>
    </r>
  </si>
  <si>
    <t>Standard enthalpy change of reactions</t>
  </si>
  <si>
    <t>Formula</t>
  </si>
  <si>
    <r>
      <t>dH</t>
    </r>
    <r>
      <rPr>
        <vertAlign val="subscript"/>
        <sz val="11"/>
        <rFont val="Calibri"/>
        <family val="2"/>
        <scheme val="minor"/>
      </rPr>
      <t>diss,H2O</t>
    </r>
  </si>
  <si>
    <t>Standard enthalpy change of dissociation of water</t>
  </si>
  <si>
    <r>
      <t>(H</t>
    </r>
    <r>
      <rPr>
        <vertAlign val="subscript"/>
        <sz val="11"/>
        <rFont val="Calibri"/>
        <family val="2"/>
        <scheme val="minor"/>
      </rPr>
      <t>OHm</t>
    </r>
    <r>
      <rPr>
        <sz val="11"/>
        <rFont val="Calibri"/>
        <family val="2"/>
        <scheme val="minor"/>
      </rPr>
      <t xml:space="preserve"> + H</t>
    </r>
    <r>
      <rPr>
        <vertAlign val="subscript"/>
        <sz val="11"/>
        <rFont val="Calibri"/>
        <family val="2"/>
        <scheme val="minor"/>
      </rPr>
      <t>Hp</t>
    </r>
    <r>
      <rPr>
        <sz val="11"/>
        <rFont val="Calibri"/>
        <family val="2"/>
        <scheme val="minor"/>
      </rPr>
      <t>) - H</t>
    </r>
    <r>
      <rPr>
        <vertAlign val="subscript"/>
        <sz val="11"/>
        <rFont val="Calibri"/>
        <family val="2"/>
        <scheme val="minor"/>
      </rPr>
      <t>H2O</t>
    </r>
  </si>
  <si>
    <r>
      <t>dH</t>
    </r>
    <r>
      <rPr>
        <vertAlign val="subscript"/>
        <sz val="11"/>
        <rFont val="Calibri"/>
        <family val="2"/>
        <scheme val="minor"/>
      </rPr>
      <t>ion,amm</t>
    </r>
  </si>
  <si>
    <t>Standard enthalpy change of ammonia ionization</t>
  </si>
  <si>
    <r>
      <t>dH</t>
    </r>
    <r>
      <rPr>
        <vertAlign val="subscript"/>
        <sz val="11"/>
        <rFont val="Calibri"/>
        <family val="2"/>
        <scheme val="minor"/>
      </rPr>
      <t>diss,CO2,1</t>
    </r>
  </si>
  <si>
    <t>Standard enthalpy change of carbonate dissociation, first step</t>
  </si>
  <si>
    <r>
      <t>(H</t>
    </r>
    <r>
      <rPr>
        <vertAlign val="subscript"/>
        <sz val="11"/>
        <rFont val="Calibri"/>
        <family val="2"/>
        <scheme val="minor"/>
      </rPr>
      <t>HCO3m</t>
    </r>
    <r>
      <rPr>
        <sz val="11"/>
        <rFont val="Calibri"/>
        <family val="2"/>
        <scheme val="minor"/>
      </rPr>
      <t xml:space="preserve"> + H</t>
    </r>
    <r>
      <rPr>
        <vertAlign val="subscript"/>
        <sz val="11"/>
        <rFont val="Calibri"/>
        <family val="2"/>
        <scheme val="minor"/>
      </rPr>
      <t>Hp</t>
    </r>
    <r>
      <rPr>
        <sz val="11"/>
        <rFont val="Calibri"/>
        <family val="2"/>
        <scheme val="minor"/>
      </rPr>
      <t>) - H</t>
    </r>
    <r>
      <rPr>
        <vertAlign val="subscript"/>
        <sz val="11"/>
        <rFont val="Calibri"/>
        <family val="2"/>
        <scheme val="minor"/>
      </rPr>
      <t>H2CO3</t>
    </r>
  </si>
  <si>
    <r>
      <t>dH</t>
    </r>
    <r>
      <rPr>
        <vertAlign val="subscript"/>
        <sz val="11"/>
        <rFont val="Calibri"/>
        <family val="2"/>
        <scheme val="minor"/>
      </rPr>
      <t>diss,CO2,2</t>
    </r>
  </si>
  <si>
    <t>Standard enthalpy change of carbonate dissociation, second step</t>
  </si>
  <si>
    <r>
      <t>(H</t>
    </r>
    <r>
      <rPr>
        <vertAlign val="subscript"/>
        <sz val="11"/>
        <rFont val="Calibri"/>
        <family val="2"/>
        <scheme val="minor"/>
      </rPr>
      <t>Hp</t>
    </r>
    <r>
      <rPr>
        <sz val="11"/>
        <rFont val="Calibri"/>
        <family val="2"/>
        <scheme val="minor"/>
      </rPr>
      <t xml:space="preserve"> + H</t>
    </r>
    <r>
      <rPr>
        <vertAlign val="subscript"/>
        <sz val="11"/>
        <rFont val="Calibri"/>
        <family val="2"/>
        <scheme val="minor"/>
      </rPr>
      <t>CO32m</t>
    </r>
    <r>
      <rPr>
        <sz val="11"/>
        <rFont val="Calibri"/>
        <family val="2"/>
        <scheme val="minor"/>
      </rPr>
      <t>) - (H</t>
    </r>
    <r>
      <rPr>
        <vertAlign val="subscript"/>
        <sz val="11"/>
        <rFont val="Calibri"/>
        <family val="2"/>
        <scheme val="minor"/>
      </rPr>
      <t>HCO3m</t>
    </r>
    <r>
      <rPr>
        <sz val="11"/>
        <rFont val="Calibri"/>
        <family val="2"/>
        <scheme val="minor"/>
      </rPr>
      <t>)</t>
    </r>
  </si>
  <si>
    <r>
      <t>dH</t>
    </r>
    <r>
      <rPr>
        <vertAlign val="subscript"/>
        <sz val="11"/>
        <rFont val="Calibri"/>
        <family val="2"/>
        <scheme val="minor"/>
      </rPr>
      <t>diss,PO4,1</t>
    </r>
  </si>
  <si>
    <t>Standard enthalpy change of phosphate dissociation, first step</t>
  </si>
  <si>
    <r>
      <t>(H</t>
    </r>
    <r>
      <rPr>
        <vertAlign val="subscript"/>
        <sz val="11"/>
        <rFont val="Calibri"/>
        <family val="2"/>
        <scheme val="minor"/>
      </rPr>
      <t>Hp</t>
    </r>
    <r>
      <rPr>
        <sz val="11"/>
        <rFont val="Calibri"/>
        <family val="2"/>
        <scheme val="minor"/>
      </rPr>
      <t xml:space="preserve"> + H</t>
    </r>
    <r>
      <rPr>
        <vertAlign val="subscript"/>
        <sz val="11"/>
        <rFont val="Calibri"/>
        <family val="2"/>
        <scheme val="minor"/>
      </rPr>
      <t>H2PO4m</t>
    </r>
    <r>
      <rPr>
        <sz val="11"/>
        <rFont val="Calibri"/>
        <family val="2"/>
        <scheme val="minor"/>
      </rPr>
      <t>) - (H</t>
    </r>
    <r>
      <rPr>
        <vertAlign val="subscript"/>
        <sz val="11"/>
        <rFont val="Calibri"/>
        <family val="2"/>
        <scheme val="minor"/>
      </rPr>
      <t>H3PO4</t>
    </r>
    <r>
      <rPr>
        <sz val="11"/>
        <rFont val="Calibri"/>
        <family val="2"/>
        <scheme val="minor"/>
      </rPr>
      <t>)</t>
    </r>
  </si>
  <si>
    <r>
      <t>dH</t>
    </r>
    <r>
      <rPr>
        <vertAlign val="subscript"/>
        <sz val="11"/>
        <rFont val="Calibri"/>
        <family val="2"/>
        <scheme val="minor"/>
      </rPr>
      <t>diss,PO4,2</t>
    </r>
  </si>
  <si>
    <t>Standard enthalpy change of phosphate dissociation, second step</t>
  </si>
  <si>
    <r>
      <t>(H</t>
    </r>
    <r>
      <rPr>
        <vertAlign val="subscript"/>
        <sz val="11"/>
        <rFont val="Calibri"/>
        <family val="2"/>
        <scheme val="minor"/>
      </rPr>
      <t>Hp</t>
    </r>
    <r>
      <rPr>
        <sz val="11"/>
        <rFont val="Calibri"/>
        <family val="2"/>
        <scheme val="minor"/>
      </rPr>
      <t xml:space="preserve"> + H</t>
    </r>
    <r>
      <rPr>
        <vertAlign val="subscript"/>
        <sz val="11"/>
        <rFont val="Calibri"/>
        <family val="2"/>
        <scheme val="minor"/>
      </rPr>
      <t>HPO42m</t>
    </r>
    <r>
      <rPr>
        <sz val="11"/>
        <rFont val="Calibri"/>
        <family val="2"/>
        <scheme val="minor"/>
      </rPr>
      <t>) - (H</t>
    </r>
    <r>
      <rPr>
        <vertAlign val="subscript"/>
        <sz val="11"/>
        <rFont val="Calibri"/>
        <family val="2"/>
        <scheme val="minor"/>
      </rPr>
      <t>H2PO4m</t>
    </r>
    <r>
      <rPr>
        <sz val="11"/>
        <rFont val="Calibri"/>
        <family val="2"/>
        <scheme val="minor"/>
      </rPr>
      <t>)</t>
    </r>
  </si>
  <si>
    <r>
      <t>dH</t>
    </r>
    <r>
      <rPr>
        <vertAlign val="subscript"/>
        <sz val="11"/>
        <rFont val="Calibri"/>
        <family val="2"/>
        <scheme val="minor"/>
      </rPr>
      <t>diss,PO4,3</t>
    </r>
  </si>
  <si>
    <t>Standard enthalpy change of phosphate dissociation, third step</t>
  </si>
  <si>
    <r>
      <t>(H</t>
    </r>
    <r>
      <rPr>
        <vertAlign val="subscript"/>
        <sz val="11"/>
        <rFont val="Calibri"/>
        <family val="2"/>
        <scheme val="minor"/>
      </rPr>
      <t>Hp</t>
    </r>
    <r>
      <rPr>
        <sz val="11"/>
        <rFont val="Calibri"/>
        <family val="2"/>
        <scheme val="minor"/>
      </rPr>
      <t xml:space="preserve"> + H</t>
    </r>
    <r>
      <rPr>
        <vertAlign val="subscript"/>
        <sz val="11"/>
        <rFont val="Calibri"/>
        <family val="2"/>
        <scheme val="minor"/>
      </rPr>
      <t>PO43m</t>
    </r>
    <r>
      <rPr>
        <sz val="11"/>
        <rFont val="Calibri"/>
        <family val="2"/>
        <scheme val="minor"/>
      </rPr>
      <t>) - (H</t>
    </r>
    <r>
      <rPr>
        <vertAlign val="subscript"/>
        <sz val="11"/>
        <rFont val="Calibri"/>
        <family val="2"/>
        <scheme val="minor"/>
      </rPr>
      <t>HPO42m</t>
    </r>
    <r>
      <rPr>
        <sz val="11"/>
        <rFont val="Calibri"/>
        <family val="2"/>
        <scheme val="minor"/>
      </rPr>
      <t>)</t>
    </r>
  </si>
  <si>
    <r>
      <t>dH</t>
    </r>
    <r>
      <rPr>
        <vertAlign val="subscript"/>
        <sz val="11"/>
        <rFont val="Calibri"/>
        <family val="2"/>
        <scheme val="minor"/>
      </rPr>
      <t>diss,VFA</t>
    </r>
  </si>
  <si>
    <t>Standard enthalpy change of VFA dissociation</t>
  </si>
  <si>
    <r>
      <t>(H</t>
    </r>
    <r>
      <rPr>
        <vertAlign val="subscript"/>
        <sz val="11"/>
        <rFont val="Calibri"/>
        <family val="2"/>
        <scheme val="minor"/>
      </rPr>
      <t>Hp</t>
    </r>
    <r>
      <rPr>
        <sz val="11"/>
        <rFont val="Calibri"/>
        <family val="2"/>
        <scheme val="minor"/>
      </rPr>
      <t xml:space="preserve"> + H</t>
    </r>
    <r>
      <rPr>
        <vertAlign val="subscript"/>
        <sz val="11"/>
        <rFont val="Calibri"/>
        <family val="2"/>
        <scheme val="minor"/>
      </rPr>
      <t>Acm</t>
    </r>
    <r>
      <rPr>
        <sz val="11"/>
        <rFont val="Calibri"/>
        <family val="2"/>
        <scheme val="minor"/>
      </rPr>
      <t>) - (H</t>
    </r>
    <r>
      <rPr>
        <vertAlign val="subscript"/>
        <sz val="11"/>
        <rFont val="Calibri"/>
        <family val="2"/>
        <scheme val="minor"/>
      </rPr>
      <t>HAc</t>
    </r>
    <r>
      <rPr>
        <sz val="11"/>
        <rFont val="Calibri"/>
        <family val="2"/>
        <scheme val="minor"/>
      </rPr>
      <t>)</t>
    </r>
  </si>
  <si>
    <r>
      <t>dH</t>
    </r>
    <r>
      <rPr>
        <vertAlign val="subscript"/>
        <sz val="11"/>
        <rFont val="Calibri"/>
        <family val="2"/>
        <scheme val="minor"/>
      </rPr>
      <t>diss,S,1</t>
    </r>
  </si>
  <si>
    <t>Standard enthalpy change of sulfide dissociation, first step</t>
  </si>
  <si>
    <r>
      <t>(H</t>
    </r>
    <r>
      <rPr>
        <vertAlign val="subscript"/>
        <sz val="11"/>
        <rFont val="Calibri"/>
        <family val="2"/>
        <scheme val="minor"/>
      </rPr>
      <t>HSm</t>
    </r>
    <r>
      <rPr>
        <sz val="11"/>
        <rFont val="Calibri"/>
        <family val="2"/>
        <scheme val="minor"/>
      </rPr>
      <t xml:space="preserve"> + H</t>
    </r>
    <r>
      <rPr>
        <vertAlign val="subscript"/>
        <sz val="11"/>
        <rFont val="Calibri"/>
        <family val="2"/>
        <scheme val="minor"/>
      </rPr>
      <t>H3Op</t>
    </r>
    <r>
      <rPr>
        <sz val="11"/>
        <rFont val="Calibri"/>
        <family val="2"/>
        <scheme val="minor"/>
      </rPr>
      <t>) - (H</t>
    </r>
    <r>
      <rPr>
        <vertAlign val="subscript"/>
        <sz val="11"/>
        <rFont val="Calibri"/>
        <family val="2"/>
        <scheme val="minor"/>
      </rPr>
      <t>H2S</t>
    </r>
    <r>
      <rPr>
        <sz val="11"/>
        <rFont val="Calibri"/>
        <family val="2"/>
        <scheme val="minor"/>
      </rPr>
      <t xml:space="preserve"> + H</t>
    </r>
    <r>
      <rPr>
        <vertAlign val="subscript"/>
        <sz val="11"/>
        <rFont val="Calibri"/>
        <family val="2"/>
        <scheme val="minor"/>
      </rPr>
      <t>H2O</t>
    </r>
    <r>
      <rPr>
        <sz val="11"/>
        <rFont val="Calibri"/>
        <family val="2"/>
        <scheme val="minor"/>
      </rPr>
      <t>)</t>
    </r>
  </si>
  <si>
    <r>
      <t>dH</t>
    </r>
    <r>
      <rPr>
        <vertAlign val="subscript"/>
        <sz val="11"/>
        <rFont val="Calibri"/>
        <family val="2"/>
        <scheme val="minor"/>
      </rPr>
      <t>diss,S,2</t>
    </r>
  </si>
  <si>
    <t>Standard enthalpy change of sulfide dissociation, second step</t>
  </si>
  <si>
    <r>
      <t>(H</t>
    </r>
    <r>
      <rPr>
        <vertAlign val="subscript"/>
        <sz val="11"/>
        <rFont val="Calibri"/>
        <family val="2"/>
        <scheme val="minor"/>
      </rPr>
      <t>H3Op</t>
    </r>
    <r>
      <rPr>
        <sz val="11"/>
        <rFont val="Calibri"/>
        <family val="2"/>
        <scheme val="minor"/>
      </rPr>
      <t xml:space="preserve"> + H</t>
    </r>
    <r>
      <rPr>
        <vertAlign val="subscript"/>
        <sz val="11"/>
        <rFont val="Calibri"/>
        <family val="2"/>
        <scheme val="minor"/>
      </rPr>
      <t>S2m</t>
    </r>
    <r>
      <rPr>
        <sz val="11"/>
        <rFont val="Calibri"/>
        <family val="2"/>
        <scheme val="minor"/>
      </rPr>
      <t>) - (H</t>
    </r>
    <r>
      <rPr>
        <vertAlign val="subscript"/>
        <sz val="11"/>
        <rFont val="Calibri"/>
        <family val="2"/>
        <scheme val="minor"/>
      </rPr>
      <t>HSm</t>
    </r>
    <r>
      <rPr>
        <sz val="11"/>
        <rFont val="Calibri"/>
        <family val="2"/>
        <scheme val="minor"/>
      </rPr>
      <t xml:space="preserve"> + H</t>
    </r>
    <r>
      <rPr>
        <vertAlign val="subscript"/>
        <sz val="11"/>
        <rFont val="Calibri"/>
        <family val="2"/>
        <scheme val="minor"/>
      </rPr>
      <t>H2O</t>
    </r>
    <r>
      <rPr>
        <sz val="11"/>
        <rFont val="Calibri"/>
        <family val="2"/>
        <scheme val="minor"/>
      </rPr>
      <t>)</t>
    </r>
  </si>
  <si>
    <r>
      <t>dH</t>
    </r>
    <r>
      <rPr>
        <vertAlign val="subscript"/>
        <sz val="11"/>
        <rFont val="Calibri"/>
        <family val="2"/>
        <scheme val="minor"/>
      </rPr>
      <t>diss,SO4,1</t>
    </r>
  </si>
  <si>
    <t>Standard enthalpy change of sulfate dissociation, first step</t>
  </si>
  <si>
    <r>
      <t>(H</t>
    </r>
    <r>
      <rPr>
        <vertAlign val="subscript"/>
        <sz val="11"/>
        <rFont val="Calibri"/>
        <family val="2"/>
        <scheme val="minor"/>
      </rPr>
      <t>HSO4m</t>
    </r>
    <r>
      <rPr>
        <sz val="11"/>
        <rFont val="Calibri"/>
        <family val="2"/>
        <scheme val="minor"/>
      </rPr>
      <t xml:space="preserve"> + H</t>
    </r>
    <r>
      <rPr>
        <vertAlign val="subscript"/>
        <sz val="11"/>
        <rFont val="Calibri"/>
        <family val="2"/>
        <scheme val="minor"/>
      </rPr>
      <t>H3Op</t>
    </r>
    <r>
      <rPr>
        <sz val="11"/>
        <rFont val="Calibri"/>
        <family val="2"/>
        <scheme val="minor"/>
      </rPr>
      <t>) - (H</t>
    </r>
    <r>
      <rPr>
        <vertAlign val="subscript"/>
        <sz val="11"/>
        <rFont val="Calibri"/>
        <family val="2"/>
        <scheme val="minor"/>
      </rPr>
      <t>H2SO4</t>
    </r>
    <r>
      <rPr>
        <sz val="11"/>
        <rFont val="Calibri"/>
        <family val="2"/>
        <scheme val="minor"/>
      </rPr>
      <t xml:space="preserve"> + H</t>
    </r>
    <r>
      <rPr>
        <vertAlign val="subscript"/>
        <sz val="11"/>
        <rFont val="Calibri"/>
        <family val="2"/>
        <scheme val="minor"/>
      </rPr>
      <t>H2O</t>
    </r>
    <r>
      <rPr>
        <sz val="11"/>
        <rFont val="Calibri"/>
        <family val="2"/>
        <scheme val="minor"/>
      </rPr>
      <t>)</t>
    </r>
  </si>
  <si>
    <r>
      <t>dH</t>
    </r>
    <r>
      <rPr>
        <vertAlign val="subscript"/>
        <sz val="11"/>
        <rFont val="Calibri"/>
        <family val="2"/>
        <scheme val="minor"/>
      </rPr>
      <t>diss,SO4,2</t>
    </r>
  </si>
  <si>
    <t>Standard enthalpy change of sulfate dissociation, second step</t>
  </si>
  <si>
    <r>
      <t>(H</t>
    </r>
    <r>
      <rPr>
        <vertAlign val="subscript"/>
        <sz val="11"/>
        <rFont val="Calibri"/>
        <family val="2"/>
        <scheme val="minor"/>
      </rPr>
      <t>H3Op</t>
    </r>
    <r>
      <rPr>
        <sz val="11"/>
        <rFont val="Calibri"/>
        <family val="2"/>
        <scheme val="minor"/>
      </rPr>
      <t xml:space="preserve"> + H</t>
    </r>
    <r>
      <rPr>
        <vertAlign val="subscript"/>
        <sz val="11"/>
        <rFont val="Calibri"/>
        <family val="2"/>
        <scheme val="minor"/>
      </rPr>
      <t>SO42m</t>
    </r>
    <r>
      <rPr>
        <sz val="11"/>
        <rFont val="Calibri"/>
        <family val="2"/>
        <scheme val="minor"/>
      </rPr>
      <t>) - (H</t>
    </r>
    <r>
      <rPr>
        <vertAlign val="subscript"/>
        <sz val="11"/>
        <rFont val="Calibri"/>
        <family val="2"/>
        <scheme val="minor"/>
      </rPr>
      <t>HSO4m</t>
    </r>
    <r>
      <rPr>
        <sz val="11"/>
        <rFont val="Calibri"/>
        <family val="2"/>
        <scheme val="minor"/>
      </rPr>
      <t xml:space="preserve"> + H</t>
    </r>
    <r>
      <rPr>
        <vertAlign val="subscript"/>
        <sz val="11"/>
        <rFont val="Calibri"/>
        <family val="2"/>
        <scheme val="minor"/>
      </rPr>
      <t>H2O</t>
    </r>
    <r>
      <rPr>
        <sz val="11"/>
        <rFont val="Calibri"/>
        <family val="2"/>
        <scheme val="minor"/>
      </rPr>
      <t>)</t>
    </r>
  </si>
  <si>
    <r>
      <t>dH</t>
    </r>
    <r>
      <rPr>
        <vertAlign val="subscript"/>
        <sz val="11"/>
        <rFont val="Calibri"/>
        <family val="2"/>
        <scheme val="minor"/>
      </rPr>
      <t>CaOHp</t>
    </r>
  </si>
  <si>
    <r>
      <t>Standard enthalpy change for ion pairing of CaOH</t>
    </r>
    <r>
      <rPr>
        <vertAlign val="superscript"/>
        <sz val="11"/>
        <rFont val="Calibri"/>
        <family val="2"/>
        <scheme val="minor"/>
      </rPr>
      <t>+</t>
    </r>
  </si>
  <si>
    <r>
      <t>dH</t>
    </r>
    <r>
      <rPr>
        <vertAlign val="subscript"/>
        <sz val="11"/>
        <rFont val="Calibri"/>
        <family val="2"/>
        <scheme val="minor"/>
      </rPr>
      <t>CaCO3</t>
    </r>
  </si>
  <si>
    <r>
      <t>Standard enthalpy change for ion pairing of CaCO</t>
    </r>
    <r>
      <rPr>
        <vertAlign val="subscript"/>
        <sz val="11"/>
        <rFont val="Calibri"/>
        <family val="2"/>
        <scheme val="minor"/>
      </rPr>
      <t>3</t>
    </r>
  </si>
  <si>
    <r>
      <t>dH</t>
    </r>
    <r>
      <rPr>
        <vertAlign val="subscript"/>
        <sz val="11"/>
        <rFont val="Calibri"/>
        <family val="2"/>
        <scheme val="minor"/>
      </rPr>
      <t>CaHCO3p</t>
    </r>
  </si>
  <si>
    <r>
      <t>Standard enthalpy change for ion pairing of CaHCO</t>
    </r>
    <r>
      <rPr>
        <vertAlign val="subscript"/>
        <sz val="11"/>
        <rFont val="Calibri"/>
        <family val="2"/>
        <scheme val="minor"/>
      </rPr>
      <t>3</t>
    </r>
    <r>
      <rPr>
        <vertAlign val="superscript"/>
        <sz val="11"/>
        <rFont val="Calibri"/>
        <family val="2"/>
        <scheme val="minor"/>
      </rPr>
      <t>+</t>
    </r>
  </si>
  <si>
    <r>
      <t>dH</t>
    </r>
    <r>
      <rPr>
        <vertAlign val="subscript"/>
        <sz val="11"/>
        <rFont val="Calibri"/>
        <family val="2"/>
        <scheme val="minor"/>
      </rPr>
      <t>CaPO4m</t>
    </r>
  </si>
  <si>
    <r>
      <t>Standard enthalpy change for ion pairing of CaPO</t>
    </r>
    <r>
      <rPr>
        <vertAlign val="subscript"/>
        <sz val="11"/>
        <rFont val="Calibri"/>
        <family val="2"/>
        <scheme val="minor"/>
      </rPr>
      <t>4</t>
    </r>
    <r>
      <rPr>
        <vertAlign val="superscript"/>
        <sz val="11"/>
        <rFont val="Calibri"/>
        <family val="2"/>
        <scheme val="minor"/>
      </rPr>
      <t>-</t>
    </r>
  </si>
  <si>
    <r>
      <t>dH</t>
    </r>
    <r>
      <rPr>
        <vertAlign val="subscript"/>
        <sz val="11"/>
        <rFont val="Calibri"/>
        <family val="2"/>
        <scheme val="minor"/>
      </rPr>
      <t>CaHPO4</t>
    </r>
  </si>
  <si>
    <r>
      <t>Standard enthalpy change for ion pairing of CaHPO</t>
    </r>
    <r>
      <rPr>
        <vertAlign val="subscript"/>
        <sz val="11"/>
        <rFont val="Calibri"/>
        <family val="2"/>
        <scheme val="minor"/>
      </rPr>
      <t>4</t>
    </r>
  </si>
  <si>
    <r>
      <t>dH</t>
    </r>
    <r>
      <rPr>
        <vertAlign val="subscript"/>
        <sz val="11"/>
        <rFont val="Calibri"/>
        <family val="2"/>
        <scheme val="minor"/>
      </rPr>
      <t>CaH2PO4p</t>
    </r>
  </si>
  <si>
    <r>
      <t>Standard enthalpy change for ion pairing of CaH</t>
    </r>
    <r>
      <rPr>
        <vertAlign val="subscript"/>
        <sz val="11"/>
        <rFont val="Calibri"/>
        <family val="2"/>
        <scheme val="minor"/>
      </rPr>
      <t>2</t>
    </r>
    <r>
      <rPr>
        <sz val="11"/>
        <rFont val="Calibri"/>
        <family val="2"/>
        <scheme val="minor"/>
      </rPr>
      <t>PO</t>
    </r>
    <r>
      <rPr>
        <vertAlign val="subscript"/>
        <sz val="11"/>
        <rFont val="Calibri"/>
        <family val="2"/>
        <scheme val="minor"/>
      </rPr>
      <t>4</t>
    </r>
    <r>
      <rPr>
        <vertAlign val="superscript"/>
        <sz val="11"/>
        <rFont val="Calibri"/>
        <family val="2"/>
        <scheme val="minor"/>
      </rPr>
      <t>+</t>
    </r>
  </si>
  <si>
    <r>
      <t>dH</t>
    </r>
    <r>
      <rPr>
        <vertAlign val="subscript"/>
        <sz val="11"/>
        <rFont val="Calibri"/>
        <family val="2"/>
        <scheme val="minor"/>
      </rPr>
      <t>MgOHp</t>
    </r>
  </si>
  <si>
    <r>
      <t>Standard enthalpy change for ion pairing of MgOH</t>
    </r>
    <r>
      <rPr>
        <vertAlign val="superscript"/>
        <sz val="11"/>
        <rFont val="Calibri"/>
        <family val="2"/>
        <scheme val="minor"/>
      </rPr>
      <t>+</t>
    </r>
  </si>
  <si>
    <r>
      <t>dH</t>
    </r>
    <r>
      <rPr>
        <vertAlign val="subscript"/>
        <sz val="11"/>
        <rFont val="Calibri"/>
        <family val="2"/>
        <scheme val="minor"/>
      </rPr>
      <t>MgCO3</t>
    </r>
  </si>
  <si>
    <r>
      <t>Standard enthalpy change for ion pairing of MgCO</t>
    </r>
    <r>
      <rPr>
        <vertAlign val="subscript"/>
        <sz val="11"/>
        <rFont val="Calibri"/>
        <family val="2"/>
        <scheme val="minor"/>
      </rPr>
      <t>3</t>
    </r>
  </si>
  <si>
    <r>
      <t>dH</t>
    </r>
    <r>
      <rPr>
        <vertAlign val="subscript"/>
        <sz val="11"/>
        <rFont val="Calibri"/>
        <family val="2"/>
        <scheme val="minor"/>
      </rPr>
      <t>MgHCO3p</t>
    </r>
  </si>
  <si>
    <r>
      <t>Standard enthalpy change for ion pairing of MgHCO</t>
    </r>
    <r>
      <rPr>
        <vertAlign val="subscript"/>
        <sz val="11"/>
        <rFont val="Calibri"/>
        <family val="2"/>
        <scheme val="minor"/>
      </rPr>
      <t>3</t>
    </r>
    <r>
      <rPr>
        <vertAlign val="superscript"/>
        <sz val="11"/>
        <rFont val="Calibri"/>
        <family val="2"/>
        <scheme val="minor"/>
      </rPr>
      <t>+</t>
    </r>
  </si>
  <si>
    <r>
      <t>dH</t>
    </r>
    <r>
      <rPr>
        <vertAlign val="subscript"/>
        <sz val="11"/>
        <rFont val="Calibri"/>
        <family val="2"/>
        <scheme val="minor"/>
      </rPr>
      <t>MgHPO4</t>
    </r>
  </si>
  <si>
    <r>
      <t>Standard enthalpy change for ion pairing of MgHPO</t>
    </r>
    <r>
      <rPr>
        <vertAlign val="subscript"/>
        <sz val="11"/>
        <rFont val="Calibri"/>
        <family val="2"/>
        <scheme val="minor"/>
      </rPr>
      <t>4</t>
    </r>
  </si>
  <si>
    <r>
      <t>dH</t>
    </r>
    <r>
      <rPr>
        <vertAlign val="subscript"/>
        <sz val="11"/>
        <rFont val="Calibri"/>
        <family val="2"/>
        <scheme val="minor"/>
      </rPr>
      <t>MgPO4m</t>
    </r>
  </si>
  <si>
    <r>
      <t>Standard enthalpy change for ion pairing of MgPO</t>
    </r>
    <r>
      <rPr>
        <vertAlign val="subscript"/>
        <sz val="11"/>
        <rFont val="Calibri"/>
        <family val="2"/>
        <scheme val="minor"/>
      </rPr>
      <t>4</t>
    </r>
    <r>
      <rPr>
        <vertAlign val="superscript"/>
        <sz val="11"/>
        <rFont val="Calibri"/>
        <family val="2"/>
        <scheme val="minor"/>
      </rPr>
      <t>-</t>
    </r>
  </si>
  <si>
    <r>
      <t>dH</t>
    </r>
    <r>
      <rPr>
        <vertAlign val="subscript"/>
        <sz val="11"/>
        <rFont val="Calibri"/>
        <family val="2"/>
        <scheme val="minor"/>
      </rPr>
      <t>MgH2PO4p</t>
    </r>
  </si>
  <si>
    <r>
      <t>Standard enthalpy change for ion pairing of MgH</t>
    </r>
    <r>
      <rPr>
        <vertAlign val="subscript"/>
        <sz val="11"/>
        <rFont val="Calibri"/>
        <family val="2"/>
        <scheme val="minor"/>
      </rPr>
      <t>2</t>
    </r>
    <r>
      <rPr>
        <sz val="11"/>
        <rFont val="Calibri"/>
        <family val="2"/>
        <scheme val="minor"/>
      </rPr>
      <t>PO</t>
    </r>
    <r>
      <rPr>
        <vertAlign val="subscript"/>
        <sz val="11"/>
        <rFont val="Calibri"/>
        <family val="2"/>
        <scheme val="minor"/>
      </rPr>
      <t>4</t>
    </r>
    <r>
      <rPr>
        <vertAlign val="superscript"/>
        <sz val="11"/>
        <rFont val="Calibri"/>
        <family val="2"/>
        <scheme val="minor"/>
      </rPr>
      <t>+</t>
    </r>
  </si>
  <si>
    <r>
      <t>dH</t>
    </r>
    <r>
      <rPr>
        <vertAlign val="subscript"/>
        <sz val="11"/>
        <rFont val="Calibri"/>
        <family val="2"/>
        <scheme val="minor"/>
      </rPr>
      <t>NaHPO4m</t>
    </r>
  </si>
  <si>
    <r>
      <t>Standard enthalpy change for ion pairing of NaHPO</t>
    </r>
    <r>
      <rPr>
        <vertAlign val="subscript"/>
        <sz val="11"/>
        <rFont val="Calibri"/>
        <family val="2"/>
        <scheme val="minor"/>
      </rPr>
      <t>4</t>
    </r>
    <r>
      <rPr>
        <vertAlign val="superscript"/>
        <sz val="11"/>
        <rFont val="Calibri"/>
        <family val="2"/>
        <scheme val="minor"/>
      </rPr>
      <t>-</t>
    </r>
  </si>
  <si>
    <t>Volatile solids (VS)</t>
  </si>
  <si>
    <t>Volatile suspended solids (VSS)</t>
  </si>
  <si>
    <r>
      <t>X</t>
    </r>
    <r>
      <rPr>
        <vertAlign val="subscript"/>
        <sz val="11"/>
        <rFont val="Calibri"/>
        <family val="2"/>
        <scheme val="minor"/>
      </rPr>
      <t>VS,ult</t>
    </r>
  </si>
  <si>
    <r>
      <t>Y</t>
    </r>
    <r>
      <rPr>
        <vertAlign val="subscript"/>
        <sz val="11"/>
        <rFont val="Calibri"/>
        <family val="2"/>
        <scheme val="minor"/>
      </rPr>
      <t>BOD,ult</t>
    </r>
  </si>
  <si>
    <r>
      <t>S</t>
    </r>
    <r>
      <rPr>
        <vertAlign val="subscript"/>
        <sz val="11"/>
        <rFont val="Calibri"/>
        <family val="2"/>
        <scheme val="minor"/>
      </rPr>
      <t>BOD,ult</t>
    </r>
  </si>
  <si>
    <r>
      <t>X</t>
    </r>
    <r>
      <rPr>
        <vertAlign val="subscript"/>
        <sz val="11"/>
        <rFont val="Calibri"/>
        <family val="2"/>
        <scheme val="minor"/>
      </rPr>
      <t>BOD,ult</t>
    </r>
  </si>
  <si>
    <r>
      <t>T</t>
    </r>
    <r>
      <rPr>
        <vertAlign val="subscript"/>
        <sz val="11"/>
        <rFont val="Calibri"/>
        <family val="2"/>
        <scheme val="minor"/>
      </rPr>
      <t>BOD,ult</t>
    </r>
  </si>
  <si>
    <r>
      <t>Y</t>
    </r>
    <r>
      <rPr>
        <vertAlign val="subscript"/>
        <sz val="11"/>
        <rFont val="Calibri"/>
        <family val="2"/>
        <scheme val="minor"/>
      </rPr>
      <t>BOD,ult</t>
    </r>
    <r>
      <rPr>
        <sz val="11"/>
        <rFont val="Calibri"/>
        <family val="2"/>
        <scheme val="minor"/>
      </rPr>
      <t>*(S</t>
    </r>
    <r>
      <rPr>
        <vertAlign val="subscript"/>
        <sz val="11"/>
        <rFont val="Calibri"/>
        <family val="2"/>
        <scheme val="minor"/>
      </rPr>
      <t>VFA</t>
    </r>
    <r>
      <rPr>
        <sz val="11"/>
        <rFont val="Calibri"/>
        <family val="2"/>
        <scheme val="minor"/>
      </rPr>
      <t>+S</t>
    </r>
    <r>
      <rPr>
        <vertAlign val="subscript"/>
        <sz val="11"/>
        <rFont val="Calibri"/>
        <family val="2"/>
        <scheme val="minor"/>
      </rPr>
      <t>B</t>
    </r>
    <r>
      <rPr>
        <sz val="11"/>
        <rFont val="Calibri"/>
        <family val="2"/>
        <scheme val="minor"/>
      </rPr>
      <t>+S</t>
    </r>
    <r>
      <rPr>
        <vertAlign val="subscript"/>
        <sz val="11"/>
        <rFont val="Calibri"/>
        <family val="2"/>
        <scheme val="minor"/>
      </rPr>
      <t>MEOL</t>
    </r>
    <r>
      <rPr>
        <sz val="11"/>
        <rFont val="Calibri"/>
        <family val="2"/>
        <scheme val="minor"/>
      </rPr>
      <t>+C</t>
    </r>
    <r>
      <rPr>
        <vertAlign val="subscript"/>
        <sz val="11"/>
        <rFont val="Calibri"/>
        <family val="2"/>
        <scheme val="minor"/>
      </rPr>
      <t>B</t>
    </r>
    <r>
      <rPr>
        <sz val="11"/>
        <rFont val="Calibri"/>
        <family val="2"/>
        <scheme val="minor"/>
      </rPr>
      <t>)</t>
    </r>
  </si>
  <si>
    <r>
      <t>S</t>
    </r>
    <r>
      <rPr>
        <vertAlign val="subscript"/>
        <sz val="11"/>
        <rFont val="Calibri"/>
        <family val="2"/>
        <scheme val="minor"/>
      </rPr>
      <t>BOD,ult</t>
    </r>
    <r>
      <rPr>
        <sz val="11"/>
        <rFont val="Calibri"/>
        <family val="2"/>
        <scheme val="minor"/>
      </rPr>
      <t xml:space="preserve"> +X</t>
    </r>
    <r>
      <rPr>
        <vertAlign val="subscript"/>
        <sz val="11"/>
        <rFont val="Calibri"/>
        <family val="2"/>
        <scheme val="minor"/>
      </rPr>
      <t>BOD,ult</t>
    </r>
  </si>
  <si>
    <t>COUR</t>
  </si>
  <si>
    <t>NOUR</t>
  </si>
  <si>
    <t>Metal</t>
  </si>
  <si>
    <r>
      <t>m</t>
    </r>
    <r>
      <rPr>
        <vertAlign val="subscript"/>
        <sz val="11"/>
        <rFont val="Calibri"/>
        <family val="2"/>
        <scheme val="minor"/>
      </rPr>
      <t>tox,ana,max</t>
    </r>
  </si>
  <si>
    <t>Non-Digester</t>
  </si>
  <si>
    <r>
      <t>X</t>
    </r>
    <r>
      <rPr>
        <b/>
        <vertAlign val="subscript"/>
        <sz val="11"/>
        <rFont val="Calibri"/>
        <family val="2"/>
        <scheme val="minor"/>
      </rPr>
      <t>PP</t>
    </r>
  </si>
  <si>
    <t>Glycogen accumulating organisms</t>
  </si>
  <si>
    <r>
      <t>b</t>
    </r>
    <r>
      <rPr>
        <vertAlign val="subscript"/>
        <sz val="11"/>
        <rFont val="Calibri"/>
        <family val="2"/>
        <scheme val="minor"/>
      </rPr>
      <t>PP,ana</t>
    </r>
  </si>
  <si>
    <r>
      <t>K</t>
    </r>
    <r>
      <rPr>
        <vertAlign val="subscript"/>
        <sz val="11"/>
        <rFont val="Calibri"/>
        <family val="2"/>
        <scheme val="minor"/>
      </rPr>
      <t>PP</t>
    </r>
  </si>
  <si>
    <r>
      <t>MRsat(X</t>
    </r>
    <r>
      <rPr>
        <vertAlign val="subscript"/>
        <sz val="11"/>
        <rFont val="Calibri"/>
        <family val="2"/>
        <scheme val="minor"/>
      </rPr>
      <t>PP</t>
    </r>
    <r>
      <rPr>
        <sz val="11"/>
        <rFont val="Calibri"/>
        <family val="2"/>
        <scheme val="minor"/>
      </rPr>
      <t>;X</t>
    </r>
    <r>
      <rPr>
        <vertAlign val="subscript"/>
        <sz val="11"/>
        <rFont val="Calibri"/>
        <family val="2"/>
        <scheme val="minor"/>
      </rPr>
      <t>PAO</t>
    </r>
    <r>
      <rPr>
        <sz val="11"/>
        <rFont val="Calibri"/>
        <family val="2"/>
        <scheme val="minor"/>
      </rPr>
      <t>;K</t>
    </r>
    <r>
      <rPr>
        <vertAlign val="subscript"/>
        <sz val="11"/>
        <rFont val="Calibri"/>
        <family val="2"/>
        <scheme val="minor"/>
      </rPr>
      <t>PP</t>
    </r>
    <r>
      <rPr>
        <sz val="11"/>
        <rFont val="Calibri"/>
        <family val="2"/>
        <scheme val="minor"/>
      </rPr>
      <t>)</t>
    </r>
  </si>
  <si>
    <r>
      <t>Msat</t>
    </r>
    <r>
      <rPr>
        <vertAlign val="subscript"/>
        <sz val="11"/>
        <rFont val="Calibri"/>
        <family val="2"/>
        <scheme val="minor"/>
      </rPr>
      <t>XPP,KPP,lim</t>
    </r>
  </si>
  <si>
    <r>
      <t>Msat(X</t>
    </r>
    <r>
      <rPr>
        <vertAlign val="subscript"/>
        <sz val="11"/>
        <rFont val="Calibri"/>
        <family val="2"/>
        <scheme val="minor"/>
      </rPr>
      <t>PP</t>
    </r>
    <r>
      <rPr>
        <sz val="11"/>
        <rFont val="Calibri"/>
        <family val="2"/>
        <scheme val="minor"/>
      </rPr>
      <t>;K</t>
    </r>
    <r>
      <rPr>
        <vertAlign val="subscript"/>
        <sz val="11"/>
        <rFont val="Calibri"/>
        <family val="2"/>
        <scheme val="minor"/>
      </rPr>
      <t>PP,lim</t>
    </r>
    <r>
      <rPr>
        <sz val="11"/>
        <rFont val="Calibri"/>
        <family val="2"/>
        <scheme val="minor"/>
      </rPr>
      <t>)</t>
    </r>
  </si>
  <si>
    <r>
      <t>b</t>
    </r>
    <r>
      <rPr>
        <vertAlign val="subscript"/>
        <sz val="11"/>
        <color indexed="8"/>
        <rFont val="Calibri"/>
        <family val="2"/>
        <scheme val="minor"/>
      </rPr>
      <t>PP,ana,T</t>
    </r>
  </si>
  <si>
    <r>
      <t>b</t>
    </r>
    <r>
      <rPr>
        <vertAlign val="subscript"/>
        <sz val="11"/>
        <color indexed="8"/>
        <rFont val="Calibri"/>
        <family val="2"/>
        <scheme val="minor"/>
      </rPr>
      <t>PP,ana</t>
    </r>
    <r>
      <rPr>
        <sz val="11"/>
        <color indexed="8"/>
        <rFont val="Calibri"/>
        <family val="2"/>
        <scheme val="minor"/>
      </rPr>
      <t>*Arrh(θ</t>
    </r>
    <r>
      <rPr>
        <vertAlign val="subscript"/>
        <sz val="11"/>
        <color indexed="8"/>
        <rFont val="Calibri"/>
        <family val="2"/>
        <scheme val="minor"/>
      </rPr>
      <t>b,PP,ana</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</si>
  <si>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θ</t>
    </r>
    <r>
      <rPr>
        <vertAlign val="subscript"/>
        <sz val="11"/>
        <color indexed="8"/>
        <rFont val="Calibri"/>
        <family val="2"/>
        <scheme val="minor"/>
      </rPr>
      <t>b,PP,ana</t>
    </r>
  </si>
  <si>
    <r>
      <t>MRsat</t>
    </r>
    <r>
      <rPr>
        <vertAlign val="subscript"/>
        <sz val="11"/>
        <rFont val="Calibri"/>
        <family val="2"/>
        <scheme val="minor"/>
      </rPr>
      <t>XPP,XPAO,KPP</t>
    </r>
  </si>
  <si>
    <t>r50</t>
  </si>
  <si>
    <t>r51</t>
  </si>
  <si>
    <t>r52</t>
  </si>
  <si>
    <t>r53</t>
  </si>
  <si>
    <t>r54</t>
  </si>
  <si>
    <t>r55</t>
  </si>
  <si>
    <t>r56</t>
  </si>
  <si>
    <t>r57</t>
  </si>
  <si>
    <t>Lopez Vazquez et al., 2009</t>
  </si>
  <si>
    <r>
      <t>g COD.g COD</t>
    </r>
    <r>
      <rPr>
        <vertAlign val="superscript"/>
        <sz val="11"/>
        <rFont val="Calibri"/>
        <family val="2"/>
        <scheme val="minor"/>
      </rPr>
      <t>-1</t>
    </r>
  </si>
  <si>
    <r>
      <t>Loginh</t>
    </r>
    <r>
      <rPr>
        <vertAlign val="subscript"/>
        <sz val="11"/>
        <rFont val="Calibri"/>
        <family val="2"/>
        <scheme val="minor"/>
      </rPr>
      <t>XPHA,XPAO,max</t>
    </r>
  </si>
  <si>
    <r>
      <t>Loginh</t>
    </r>
    <r>
      <rPr>
        <vertAlign val="subscript"/>
        <sz val="11"/>
        <rFont val="Calibri"/>
        <family val="2"/>
        <scheme val="minor"/>
      </rPr>
      <t>XPP,XPAO,max</t>
    </r>
  </si>
  <si>
    <r>
      <t>CH</t>
    </r>
    <r>
      <rPr>
        <vertAlign val="subscript"/>
        <sz val="11"/>
        <rFont val="Calibri"/>
        <family val="2"/>
        <scheme val="minor"/>
      </rPr>
      <t>4</t>
    </r>
    <r>
      <rPr>
        <sz val="11"/>
        <rFont val="Calibri"/>
        <family val="2"/>
        <scheme val="minor"/>
      </rPr>
      <t>O: 48 g COD/mol C</t>
    </r>
  </si>
  <si>
    <r>
      <t>i</t>
    </r>
    <r>
      <rPr>
        <vertAlign val="subscript"/>
        <sz val="11"/>
        <rFont val="Calibri"/>
        <family val="2"/>
        <scheme val="minor"/>
      </rPr>
      <t>N,XE</t>
    </r>
  </si>
  <si>
    <t>N content of endogenous products</t>
  </si>
  <si>
    <r>
      <t>i</t>
    </r>
    <r>
      <rPr>
        <vertAlign val="subscript"/>
        <sz val="11"/>
        <rFont val="Calibri"/>
        <family val="2"/>
      </rPr>
      <t>N,XE</t>
    </r>
  </si>
  <si>
    <r>
      <t>-f</t>
    </r>
    <r>
      <rPr>
        <vertAlign val="subscript"/>
        <sz val="11"/>
        <rFont val="Calibri"/>
        <family val="2"/>
      </rPr>
      <t>E</t>
    </r>
    <r>
      <rPr>
        <sz val="11"/>
        <rFont val="Calibri"/>
        <family val="2"/>
      </rPr>
      <t>*(i</t>
    </r>
    <r>
      <rPr>
        <vertAlign val="subscript"/>
        <sz val="11"/>
        <rFont val="Calibri"/>
        <family val="2"/>
      </rPr>
      <t>N,XE</t>
    </r>
    <r>
      <rPr>
        <sz val="11"/>
        <rFont val="Calibri"/>
        <family val="2"/>
      </rPr>
      <t>-i</t>
    </r>
    <r>
      <rPr>
        <vertAlign val="subscript"/>
        <sz val="11"/>
        <rFont val="Calibri"/>
        <family val="2"/>
      </rPr>
      <t>N,BIO</t>
    </r>
    <r>
      <rPr>
        <sz val="11"/>
        <rFont val="Calibri"/>
        <family val="2"/>
      </rPr>
      <t>)</t>
    </r>
  </si>
  <si>
    <t>Precipitated solids</t>
  </si>
  <si>
    <t>pH calculation - pH specified, for influents (pHSet, Input)</t>
  </si>
  <si>
    <t>pH calculation - pH not specified (Non pHSet)</t>
  </si>
  <si>
    <t>Temperature dependency correction</t>
  </si>
  <si>
    <t>Anaerobic toxicity factor</t>
  </si>
  <si>
    <t>Anoxic methanol utilizer kinetics (MEOLO)</t>
  </si>
  <si>
    <t>Oxidation-reduction potential constants</t>
  </si>
  <si>
    <r>
      <t>ORP</t>
    </r>
    <r>
      <rPr>
        <vertAlign val="subscript"/>
        <sz val="11"/>
        <rFont val="Calibri"/>
        <family val="2"/>
        <scheme val="minor"/>
      </rPr>
      <t>base</t>
    </r>
  </si>
  <si>
    <t>Base ORP value</t>
  </si>
  <si>
    <t>mV</t>
  </si>
  <si>
    <r>
      <t>K</t>
    </r>
    <r>
      <rPr>
        <vertAlign val="subscript"/>
        <sz val="11"/>
        <rFont val="Calibri"/>
        <family val="2"/>
        <scheme val="minor"/>
      </rPr>
      <t>ORP,SO2</t>
    </r>
  </si>
  <si>
    <t>Half-saturation of dissolved oxygen for ORP</t>
  </si>
  <si>
    <r>
      <t>K</t>
    </r>
    <r>
      <rPr>
        <vertAlign val="subscript"/>
        <sz val="11"/>
        <rFont val="Calibri"/>
        <family val="2"/>
        <scheme val="minor"/>
      </rPr>
      <t>ORP,SNOx</t>
    </r>
  </si>
  <si>
    <r>
      <t>Half-saturation of NO</t>
    </r>
    <r>
      <rPr>
        <vertAlign val="subscript"/>
        <sz val="11"/>
        <color rgb="FF000000"/>
        <rFont val="Calibri"/>
        <family val="2"/>
        <scheme val="minor"/>
      </rPr>
      <t>x</t>
    </r>
    <r>
      <rPr>
        <sz val="11"/>
        <color rgb="FF000000"/>
        <rFont val="Calibri"/>
        <family val="2"/>
        <charset val="238"/>
        <scheme val="minor"/>
      </rPr>
      <t xml:space="preserve"> for ORP</t>
    </r>
  </si>
  <si>
    <t>Oxidation-reduction potential</t>
  </si>
  <si>
    <r>
      <t>ORP</t>
    </r>
    <r>
      <rPr>
        <vertAlign val="subscript"/>
        <sz val="11"/>
        <rFont val="Calibri"/>
        <family val="2"/>
        <scheme val="minor"/>
      </rPr>
      <t>O2</t>
    </r>
  </si>
  <si>
    <r>
      <t>ORP</t>
    </r>
    <r>
      <rPr>
        <vertAlign val="subscript"/>
        <sz val="11"/>
        <rFont val="Calibri"/>
        <family val="2"/>
      </rPr>
      <t>NOx</t>
    </r>
  </si>
  <si>
    <t>ORP</t>
  </si>
  <si>
    <r>
      <t>Y</t>
    </r>
    <r>
      <rPr>
        <vertAlign val="subscript"/>
        <sz val="11"/>
        <rFont val="Calibri"/>
        <family val="2"/>
        <scheme val="minor"/>
      </rPr>
      <t>OHO,H2,ana,high</t>
    </r>
  </si>
  <si>
    <r>
      <t>Y</t>
    </r>
    <r>
      <rPr>
        <vertAlign val="subscript"/>
        <sz val="11"/>
        <rFont val="Calibri"/>
        <family val="2"/>
        <scheme val="minor"/>
      </rPr>
      <t>OHO,H2,ana,low</t>
    </r>
  </si>
  <si>
    <r>
      <t>K</t>
    </r>
    <r>
      <rPr>
        <vertAlign val="subscript"/>
        <sz val="11"/>
        <rFont val="Calibri"/>
        <family val="2"/>
        <scheme val="minor"/>
      </rPr>
      <t>VFA,FERM,AS</t>
    </r>
  </si>
  <si>
    <r>
      <t>(1-Y</t>
    </r>
    <r>
      <rPr>
        <vertAlign val="subscript"/>
        <sz val="11"/>
        <rFont val="Calibri"/>
        <family val="2"/>
      </rPr>
      <t>OHO,SB,ana</t>
    </r>
    <r>
      <rPr>
        <sz val="11"/>
        <rFont val="Calibri"/>
        <family val="2"/>
      </rPr>
      <t>-Y</t>
    </r>
    <r>
      <rPr>
        <vertAlign val="subscript"/>
        <sz val="11"/>
        <rFont val="Calibri"/>
        <family val="2"/>
      </rPr>
      <t>OHO,H2,ana,high</t>
    </r>
    <r>
      <rPr>
        <sz val="11"/>
        <rFont val="Calibri"/>
        <family val="2"/>
      </rPr>
      <t>)/Y</t>
    </r>
    <r>
      <rPr>
        <vertAlign val="subscript"/>
        <sz val="11"/>
        <rFont val="Calibri"/>
        <family val="2"/>
      </rPr>
      <t>OHO,SB,ana</t>
    </r>
  </si>
  <si>
    <r>
      <t>(1-Y</t>
    </r>
    <r>
      <rPr>
        <vertAlign val="subscript"/>
        <sz val="11"/>
        <rFont val="Calibri"/>
        <family val="2"/>
      </rPr>
      <t>OHO,SB,ana</t>
    </r>
    <r>
      <rPr>
        <sz val="11"/>
        <rFont val="Calibri"/>
        <family val="2"/>
      </rPr>
      <t>-Y</t>
    </r>
    <r>
      <rPr>
        <vertAlign val="subscript"/>
        <sz val="11"/>
        <rFont val="Calibri"/>
        <family val="2"/>
      </rPr>
      <t>OHO,H2,ana,low</t>
    </r>
    <r>
      <rPr>
        <sz val="11"/>
        <rFont val="Calibri"/>
        <family val="2"/>
      </rPr>
      <t>)/Y</t>
    </r>
    <r>
      <rPr>
        <vertAlign val="subscript"/>
        <sz val="11"/>
        <rFont val="Calibri"/>
        <family val="2"/>
      </rPr>
      <t>OHO,SB,ana</t>
    </r>
  </si>
  <si>
    <r>
      <t>S</t>
    </r>
    <r>
      <rPr>
        <vertAlign val="subscript"/>
        <sz val="11"/>
        <rFont val="Calibri"/>
        <family val="2"/>
      </rPr>
      <t>B</t>
    </r>
    <r>
      <rPr>
        <sz val="11"/>
        <rFont val="Calibri"/>
        <family val="2"/>
      </rPr>
      <t xml:space="preserve"> fermentation with high VFA (OHO growth, anaerobic)</t>
    </r>
  </si>
  <si>
    <t>r58</t>
  </si>
  <si>
    <r>
      <t>Y</t>
    </r>
    <r>
      <rPr>
        <vertAlign val="subscript"/>
        <sz val="11"/>
        <rFont val="Calibri"/>
        <family val="2"/>
      </rPr>
      <t>OHO,H2,ana,high</t>
    </r>
    <r>
      <rPr>
        <sz val="11"/>
        <rFont val="Calibri"/>
        <family val="2"/>
      </rPr>
      <t>/Y</t>
    </r>
    <r>
      <rPr>
        <vertAlign val="subscript"/>
        <sz val="11"/>
        <rFont val="Calibri"/>
        <family val="2"/>
      </rPr>
      <t>OHO,SB,ana</t>
    </r>
  </si>
  <si>
    <r>
      <t>Y</t>
    </r>
    <r>
      <rPr>
        <vertAlign val="subscript"/>
        <sz val="11"/>
        <rFont val="Calibri"/>
        <family val="2"/>
      </rPr>
      <t>OHO,H2,ana,low</t>
    </r>
    <r>
      <rPr>
        <sz val="11"/>
        <rFont val="Calibri"/>
        <family val="2"/>
      </rPr>
      <t>/Y</t>
    </r>
    <r>
      <rPr>
        <vertAlign val="subscript"/>
        <sz val="11"/>
        <rFont val="Calibri"/>
        <family val="2"/>
      </rPr>
      <t>OHO,SB,ana</t>
    </r>
  </si>
  <si>
    <r>
      <t>(i</t>
    </r>
    <r>
      <rPr>
        <vertAlign val="subscript"/>
        <sz val="11"/>
        <rFont val="Calibri"/>
        <family val="2"/>
      </rPr>
      <t>CIT,SB</t>
    </r>
    <r>
      <rPr>
        <sz val="11"/>
        <rFont val="Calibri"/>
        <family val="2"/>
      </rPr>
      <t>-i</t>
    </r>
    <r>
      <rPr>
        <vertAlign val="subscript"/>
        <sz val="11"/>
        <rFont val="Calibri"/>
        <family val="2"/>
      </rPr>
      <t>CIT,VFA</t>
    </r>
    <r>
      <rPr>
        <sz val="11"/>
        <rFont val="Calibri"/>
        <family val="2"/>
      </rPr>
      <t>*(1-Y</t>
    </r>
    <r>
      <rPr>
        <vertAlign val="subscript"/>
        <sz val="11"/>
        <rFont val="Calibri"/>
        <family val="2"/>
      </rPr>
      <t>OHO,SB,ana</t>
    </r>
    <r>
      <rPr>
        <sz val="11"/>
        <rFont val="Calibri"/>
        <family val="2"/>
      </rPr>
      <t>-Y</t>
    </r>
    <r>
      <rPr>
        <vertAlign val="subscript"/>
        <sz val="11"/>
        <rFont val="Calibri"/>
        <family val="2"/>
      </rPr>
      <t>OHO,H2,ana,high</t>
    </r>
    <r>
      <rPr>
        <sz val="11"/>
        <rFont val="Calibri"/>
        <family val="2"/>
      </rPr>
      <t>)-i</t>
    </r>
    <r>
      <rPr>
        <vertAlign val="subscript"/>
        <sz val="11"/>
        <rFont val="Calibri"/>
        <family val="2"/>
      </rPr>
      <t>CIT,BIO</t>
    </r>
    <r>
      <rPr>
        <sz val="11"/>
        <rFont val="Calibri"/>
        <family val="2"/>
      </rPr>
      <t>*Y</t>
    </r>
    <r>
      <rPr>
        <vertAlign val="subscript"/>
        <sz val="11"/>
        <rFont val="Calibri"/>
        <family val="2"/>
      </rPr>
      <t>OHO,SB,ana</t>
    </r>
    <r>
      <rPr>
        <sz val="11"/>
        <rFont val="Calibri"/>
        <family val="2"/>
      </rPr>
      <t>)/Y</t>
    </r>
    <r>
      <rPr>
        <vertAlign val="subscript"/>
        <sz val="11"/>
        <rFont val="Calibri"/>
        <family val="2"/>
      </rPr>
      <t>OHO,SB,ana</t>
    </r>
  </si>
  <si>
    <r>
      <t>(i</t>
    </r>
    <r>
      <rPr>
        <vertAlign val="subscript"/>
        <sz val="11"/>
        <rFont val="Calibri"/>
        <family val="2"/>
      </rPr>
      <t>CIT,SB</t>
    </r>
    <r>
      <rPr>
        <sz val="11"/>
        <rFont val="Calibri"/>
        <family val="2"/>
      </rPr>
      <t>-i</t>
    </r>
    <r>
      <rPr>
        <vertAlign val="subscript"/>
        <sz val="11"/>
        <rFont val="Calibri"/>
        <family val="2"/>
      </rPr>
      <t>CIT,VFA</t>
    </r>
    <r>
      <rPr>
        <sz val="11"/>
        <rFont val="Calibri"/>
        <family val="2"/>
      </rPr>
      <t>*(1-Y</t>
    </r>
    <r>
      <rPr>
        <vertAlign val="subscript"/>
        <sz val="11"/>
        <rFont val="Calibri"/>
        <family val="2"/>
      </rPr>
      <t>OHO,SB,ana</t>
    </r>
    <r>
      <rPr>
        <sz val="11"/>
        <rFont val="Calibri"/>
        <family val="2"/>
      </rPr>
      <t>-Y</t>
    </r>
    <r>
      <rPr>
        <vertAlign val="subscript"/>
        <sz val="11"/>
        <rFont val="Calibri"/>
        <family val="2"/>
      </rPr>
      <t>OHO,H2,ana,low</t>
    </r>
    <r>
      <rPr>
        <sz val="11"/>
        <rFont val="Calibri"/>
        <family val="2"/>
      </rPr>
      <t>)-i</t>
    </r>
    <r>
      <rPr>
        <vertAlign val="subscript"/>
        <sz val="11"/>
        <rFont val="Calibri"/>
        <family val="2"/>
      </rPr>
      <t>CIT,BIO</t>
    </r>
    <r>
      <rPr>
        <sz val="11"/>
        <rFont val="Calibri"/>
        <family val="2"/>
      </rPr>
      <t>*Y</t>
    </r>
    <r>
      <rPr>
        <vertAlign val="subscript"/>
        <sz val="11"/>
        <rFont val="Calibri"/>
        <family val="2"/>
      </rPr>
      <t>OHO,SB,ana</t>
    </r>
    <r>
      <rPr>
        <sz val="11"/>
        <rFont val="Calibri"/>
        <family val="2"/>
      </rPr>
      <t>)/Y</t>
    </r>
    <r>
      <rPr>
        <vertAlign val="subscript"/>
        <sz val="11"/>
        <rFont val="Calibri"/>
        <family val="2"/>
      </rPr>
      <t>OHO,SB,ana</t>
    </r>
  </si>
  <si>
    <r>
      <t>K</t>
    </r>
    <r>
      <rPr>
        <vertAlign val="subscript"/>
        <sz val="11"/>
        <rFont val="Calibri"/>
        <family val="2"/>
        <scheme val="minor"/>
      </rPr>
      <t>VFA,FERM</t>
    </r>
  </si>
  <si>
    <t>Saturation term for VFAs in fermentation</t>
  </si>
  <si>
    <r>
      <t>Logsat</t>
    </r>
    <r>
      <rPr>
        <vertAlign val="subscript"/>
        <sz val="11"/>
        <rFont val="Calibri"/>
        <family val="2"/>
        <scheme val="minor"/>
      </rPr>
      <t>SVFA,KVFA,FERM</t>
    </r>
  </si>
  <si>
    <r>
      <t>Loginh</t>
    </r>
    <r>
      <rPr>
        <vertAlign val="subscript"/>
        <sz val="11"/>
        <rFont val="Calibri"/>
        <family val="2"/>
        <scheme val="minor"/>
      </rPr>
      <t>SVFA,KVFA,FERM</t>
    </r>
  </si>
  <si>
    <t>Acidoclastic methanogen kinetics (AMETO)</t>
  </si>
  <si>
    <t>Hydrogenotrophic methanogen kinetics (HMETO)</t>
  </si>
  <si>
    <t>Key(1200)</t>
  </si>
  <si>
    <r>
      <t>i</t>
    </r>
    <r>
      <rPr>
        <vertAlign val="subscript"/>
        <sz val="11"/>
        <rFont val="Calibri"/>
        <family val="2"/>
      </rPr>
      <t>CIT,VFA</t>
    </r>
    <r>
      <rPr>
        <sz val="11"/>
        <rFont val="Calibri"/>
        <family val="2"/>
      </rPr>
      <t>*1/Y</t>
    </r>
    <r>
      <rPr>
        <vertAlign val="subscript"/>
        <sz val="11"/>
        <rFont val="Calibri"/>
        <family val="2"/>
      </rPr>
      <t>AMETO</t>
    </r>
    <r>
      <rPr>
        <sz val="11"/>
        <rFont val="Calibri"/>
        <family val="2"/>
      </rPr>
      <t>-i</t>
    </r>
    <r>
      <rPr>
        <vertAlign val="subscript"/>
        <sz val="11"/>
        <rFont val="Calibri"/>
        <family val="2"/>
      </rPr>
      <t>CIT,BIO</t>
    </r>
    <r>
      <rPr>
        <sz val="11"/>
        <rFont val="Calibri"/>
        <family val="2"/>
      </rPr>
      <t>-i</t>
    </r>
    <r>
      <rPr>
        <vertAlign val="subscript"/>
        <sz val="11"/>
        <rFont val="Calibri"/>
        <family val="2"/>
      </rPr>
      <t>CIT,CH4</t>
    </r>
    <r>
      <rPr>
        <sz val="11"/>
        <rFont val="Calibri"/>
        <family val="2"/>
      </rPr>
      <t>*(1-Y</t>
    </r>
    <r>
      <rPr>
        <vertAlign val="subscript"/>
        <sz val="11"/>
        <rFont val="Calibri"/>
        <family val="2"/>
      </rPr>
      <t>AMETO</t>
    </r>
    <r>
      <rPr>
        <sz val="11"/>
        <rFont val="Calibri"/>
        <family val="2"/>
      </rPr>
      <t>)/Y</t>
    </r>
    <r>
      <rPr>
        <vertAlign val="subscript"/>
        <sz val="11"/>
        <rFont val="Calibri"/>
        <family val="2"/>
      </rPr>
      <t>AMETO</t>
    </r>
  </si>
  <si>
    <r>
      <t>g O2.m</t>
    </r>
    <r>
      <rPr>
        <vertAlign val="superscript"/>
        <sz val="11"/>
        <rFont val="Calibri"/>
        <family val="2"/>
        <scheme val="minor"/>
      </rPr>
      <t>-3</t>
    </r>
  </si>
  <si>
    <t>Ordinary heterotrophic organism kinetics (OHO)</t>
  </si>
  <si>
    <r>
      <t>mol [NH</t>
    </r>
    <r>
      <rPr>
        <vertAlign val="subscript"/>
        <sz val="11"/>
        <color indexed="8"/>
        <rFont val="Calibri"/>
        <family val="2"/>
        <scheme val="minor"/>
      </rPr>
      <t>3</t>
    </r>
    <r>
      <rPr>
        <sz val="11"/>
        <color indexed="8"/>
        <rFont val="Calibri"/>
        <family val="2"/>
        <scheme val="minor"/>
      </rPr>
      <t>].L</t>
    </r>
    <r>
      <rPr>
        <vertAlign val="superscript"/>
        <sz val="11"/>
        <color indexed="8"/>
        <rFont val="Calibri"/>
        <family val="2"/>
        <scheme val="minor"/>
      </rPr>
      <t>-1</t>
    </r>
  </si>
  <si>
    <r>
      <t>g COD.g COD</t>
    </r>
    <r>
      <rPr>
        <vertAlign val="superscript"/>
        <sz val="11"/>
        <color indexed="8"/>
        <rFont val="Calibri"/>
        <family val="2"/>
        <scheme val="minor"/>
      </rPr>
      <t>-1</t>
    </r>
  </si>
  <si>
    <r>
      <t>g TSS.g COD</t>
    </r>
    <r>
      <rPr>
        <vertAlign val="superscript"/>
        <sz val="11"/>
        <rFont val="Calibri"/>
        <family val="2"/>
        <scheme val="minor"/>
      </rPr>
      <t>-1</t>
    </r>
  </si>
  <si>
    <r>
      <t>ORP</t>
    </r>
    <r>
      <rPr>
        <vertAlign val="subscript"/>
        <sz val="11"/>
        <rFont val="Calibri"/>
        <family val="2"/>
        <scheme val="minor"/>
      </rPr>
      <t>max,SO2</t>
    </r>
  </si>
  <si>
    <t>ORP max for dissolved oxygen</t>
  </si>
  <si>
    <r>
      <t>ORP</t>
    </r>
    <r>
      <rPr>
        <vertAlign val="subscript"/>
        <sz val="11"/>
        <rFont val="Calibri"/>
        <family val="2"/>
        <scheme val="minor"/>
      </rPr>
      <t>max,SNOx</t>
    </r>
  </si>
  <si>
    <t>ORP max for dissolved nitrate</t>
  </si>
  <si>
    <r>
      <t>ORP</t>
    </r>
    <r>
      <rPr>
        <vertAlign val="subscript"/>
        <sz val="11"/>
        <rFont val="Calibri"/>
        <family val="2"/>
        <scheme val="minor"/>
      </rPr>
      <t>base</t>
    </r>
    <r>
      <rPr>
        <sz val="11"/>
        <rFont val="Calibri"/>
        <family val="2"/>
        <scheme val="minor"/>
      </rPr>
      <t>+(ORP</t>
    </r>
    <r>
      <rPr>
        <vertAlign val="subscript"/>
        <sz val="11"/>
        <rFont val="Calibri"/>
        <family val="2"/>
        <scheme val="minor"/>
      </rPr>
      <t>max,SO2</t>
    </r>
    <r>
      <rPr>
        <sz val="11"/>
        <rFont val="Calibri"/>
        <family val="2"/>
        <scheme val="minor"/>
      </rPr>
      <t>-ORP</t>
    </r>
    <r>
      <rPr>
        <vertAlign val="subscript"/>
        <sz val="11"/>
        <rFont val="Calibri"/>
        <family val="2"/>
        <scheme val="minor"/>
      </rPr>
      <t>base)</t>
    </r>
    <r>
      <rPr>
        <sz val="11"/>
        <rFont val="Calibri"/>
        <family val="2"/>
        <scheme val="minor"/>
      </rPr>
      <t>*S</t>
    </r>
    <r>
      <rPr>
        <vertAlign val="subscript"/>
        <sz val="11"/>
        <rFont val="Calibri"/>
        <family val="2"/>
        <scheme val="minor"/>
      </rPr>
      <t>O2</t>
    </r>
    <r>
      <rPr>
        <sz val="11"/>
        <rFont val="Calibri"/>
        <family val="2"/>
        <scheme val="minor"/>
      </rPr>
      <t>/(K</t>
    </r>
    <r>
      <rPr>
        <vertAlign val="subscript"/>
        <sz val="11"/>
        <rFont val="Calibri"/>
        <family val="2"/>
        <scheme val="minor"/>
      </rPr>
      <t>ORP,SO2</t>
    </r>
    <r>
      <rPr>
        <sz val="11"/>
        <rFont val="Calibri"/>
        <family val="2"/>
        <scheme val="minor"/>
      </rPr>
      <t>+S</t>
    </r>
    <r>
      <rPr>
        <vertAlign val="subscript"/>
        <sz val="11"/>
        <rFont val="Calibri"/>
        <family val="2"/>
        <scheme val="minor"/>
      </rPr>
      <t>O2</t>
    </r>
    <r>
      <rPr>
        <sz val="11"/>
        <rFont val="Calibri"/>
        <family val="2"/>
        <scheme val="minor"/>
      </rPr>
      <t>)</t>
    </r>
  </si>
  <si>
    <r>
      <t>ORP</t>
    </r>
    <r>
      <rPr>
        <vertAlign val="subscript"/>
        <sz val="11"/>
        <rFont val="Calibri"/>
        <family val="2"/>
        <scheme val="minor"/>
      </rPr>
      <t>base</t>
    </r>
    <r>
      <rPr>
        <sz val="11"/>
        <rFont val="Calibri"/>
        <family val="2"/>
        <scheme val="minor"/>
      </rPr>
      <t>+(ORP</t>
    </r>
    <r>
      <rPr>
        <vertAlign val="subscript"/>
        <sz val="11"/>
        <rFont val="Calibri"/>
        <family val="2"/>
        <scheme val="minor"/>
      </rPr>
      <t>max,SNOx</t>
    </r>
    <r>
      <rPr>
        <sz val="11"/>
        <rFont val="Calibri"/>
        <family val="2"/>
        <scheme val="minor"/>
      </rPr>
      <t>-ORP</t>
    </r>
    <r>
      <rPr>
        <vertAlign val="subscript"/>
        <sz val="11"/>
        <rFont val="Calibri"/>
        <family val="2"/>
        <scheme val="minor"/>
      </rPr>
      <t>base)</t>
    </r>
    <r>
      <rPr>
        <sz val="11"/>
        <rFont val="Calibri"/>
        <family val="2"/>
        <scheme val="minor"/>
      </rPr>
      <t>*S</t>
    </r>
    <r>
      <rPr>
        <vertAlign val="subscript"/>
        <sz val="11"/>
        <rFont val="Calibri"/>
        <family val="2"/>
        <scheme val="minor"/>
      </rPr>
      <t>NOx</t>
    </r>
    <r>
      <rPr>
        <sz val="11"/>
        <rFont val="Calibri"/>
        <family val="2"/>
        <scheme val="minor"/>
      </rPr>
      <t>/(K</t>
    </r>
    <r>
      <rPr>
        <vertAlign val="subscript"/>
        <sz val="11"/>
        <rFont val="Calibri"/>
        <family val="2"/>
        <scheme val="minor"/>
      </rPr>
      <t>ORP,SNOx</t>
    </r>
    <r>
      <rPr>
        <sz val="11"/>
        <rFont val="Calibri"/>
        <family val="2"/>
        <scheme val="minor"/>
      </rPr>
      <t>+S</t>
    </r>
    <r>
      <rPr>
        <vertAlign val="subscript"/>
        <sz val="11"/>
        <rFont val="Calibri"/>
        <family val="2"/>
        <scheme val="minor"/>
      </rPr>
      <t>NOx</t>
    </r>
    <r>
      <rPr>
        <sz val="11"/>
        <rFont val="Calibri"/>
        <family val="2"/>
        <scheme val="minor"/>
      </rPr>
      <t>)</t>
    </r>
  </si>
  <si>
    <t>Oxidation-reduction potential due to dissolved oxygen</t>
  </si>
  <si>
    <t>Oxidation-reduction potential due to dissolved nitrate</t>
  </si>
  <si>
    <t>GAO anaerobic maintenance</t>
  </si>
  <si>
    <t>r59</t>
  </si>
  <si>
    <t>-BigNumber</t>
  </si>
  <si>
    <t>PP cleavage for maintenance</t>
  </si>
  <si>
    <r>
      <t>η</t>
    </r>
    <r>
      <rPr>
        <vertAlign val="subscript"/>
        <sz val="11"/>
        <rFont val="Calibri"/>
        <family val="2"/>
        <scheme val="minor"/>
      </rPr>
      <t>bPP,aer</t>
    </r>
  </si>
  <si>
    <r>
      <t>η</t>
    </r>
    <r>
      <rPr>
        <vertAlign val="subscript"/>
        <sz val="11"/>
        <rFont val="Calibri"/>
        <family val="2"/>
        <scheme val="minor"/>
      </rPr>
      <t>bPP,anox</t>
    </r>
  </si>
  <si>
    <r>
      <t>MRinh</t>
    </r>
    <r>
      <rPr>
        <vertAlign val="subscript"/>
        <sz val="11"/>
        <rFont val="Calibri"/>
        <family val="2"/>
        <scheme val="minor"/>
      </rPr>
      <t>XPP,XPAO,KPP</t>
    </r>
  </si>
  <si>
    <r>
      <t>MRinh(X</t>
    </r>
    <r>
      <rPr>
        <vertAlign val="subscript"/>
        <sz val="11"/>
        <rFont val="Calibri"/>
        <family val="2"/>
        <scheme val="minor"/>
      </rPr>
      <t>PP</t>
    </r>
    <r>
      <rPr>
        <sz val="11"/>
        <rFont val="Calibri"/>
        <family val="2"/>
        <scheme val="minor"/>
      </rPr>
      <t>;X</t>
    </r>
    <r>
      <rPr>
        <vertAlign val="subscript"/>
        <sz val="11"/>
        <rFont val="Calibri"/>
        <family val="2"/>
        <scheme val="minor"/>
      </rPr>
      <t>PAO</t>
    </r>
    <r>
      <rPr>
        <sz val="11"/>
        <rFont val="Calibri"/>
        <family val="2"/>
        <scheme val="minor"/>
      </rPr>
      <t>;K</t>
    </r>
    <r>
      <rPr>
        <vertAlign val="subscript"/>
        <sz val="11"/>
        <rFont val="Calibri"/>
        <family val="2"/>
        <scheme val="minor"/>
      </rPr>
      <t>PP</t>
    </r>
    <r>
      <rPr>
        <sz val="11"/>
        <rFont val="Calibri"/>
        <family val="2"/>
        <scheme val="minor"/>
      </rPr>
      <t>)</t>
    </r>
  </si>
  <si>
    <r>
      <t>S</t>
    </r>
    <r>
      <rPr>
        <b/>
        <vertAlign val="subscript"/>
        <sz val="11"/>
        <rFont val="Calibri"/>
        <family val="2"/>
        <charset val="238"/>
        <scheme val="minor"/>
      </rPr>
      <t>NO2</t>
    </r>
  </si>
  <si>
    <t>Damping</t>
  </si>
  <si>
    <r>
      <t>S</t>
    </r>
    <r>
      <rPr>
        <b/>
        <vertAlign val="subscript"/>
        <sz val="11"/>
        <rFont val="Calibri"/>
        <family val="2"/>
        <charset val="238"/>
        <scheme val="minor"/>
      </rPr>
      <t>NO3</t>
    </r>
  </si>
  <si>
    <r>
      <t>X</t>
    </r>
    <r>
      <rPr>
        <b/>
        <vertAlign val="subscript"/>
        <sz val="11"/>
        <rFont val="Calibri"/>
        <family val="2"/>
        <charset val="238"/>
        <scheme val="minor"/>
      </rPr>
      <t>AOB</t>
    </r>
  </si>
  <si>
    <r>
      <t>X</t>
    </r>
    <r>
      <rPr>
        <b/>
        <vertAlign val="subscript"/>
        <sz val="11"/>
        <rFont val="Calibri"/>
        <family val="2"/>
        <charset val="238"/>
        <scheme val="minor"/>
      </rPr>
      <t>NOB</t>
    </r>
  </si>
  <si>
    <r>
      <t>S</t>
    </r>
    <r>
      <rPr>
        <b/>
        <vertAlign val="subscript"/>
        <sz val="11"/>
        <rFont val="Calibri"/>
        <family val="2"/>
        <scheme val="minor"/>
      </rPr>
      <t>NO2</t>
    </r>
  </si>
  <si>
    <r>
      <t>S</t>
    </r>
    <r>
      <rPr>
        <b/>
        <vertAlign val="subscript"/>
        <sz val="11"/>
        <rFont val="Calibri"/>
        <family val="2"/>
        <scheme val="minor"/>
      </rPr>
      <t>NO3</t>
    </r>
  </si>
  <si>
    <r>
      <t>X</t>
    </r>
    <r>
      <rPr>
        <b/>
        <vertAlign val="subscript"/>
        <sz val="11"/>
        <rFont val="Calibri"/>
        <family val="2"/>
        <scheme val="minor"/>
      </rPr>
      <t>NOB</t>
    </r>
  </si>
  <si>
    <r>
      <t>X</t>
    </r>
    <r>
      <rPr>
        <b/>
        <vertAlign val="subscript"/>
        <sz val="11"/>
        <rFont val="Calibri"/>
        <family val="2"/>
        <scheme val="minor"/>
      </rPr>
      <t>AOB</t>
    </r>
  </si>
  <si>
    <r>
      <t>[HNO</t>
    </r>
    <r>
      <rPr>
        <b/>
        <vertAlign val="subscript"/>
        <sz val="11"/>
        <rFont val="Calibri"/>
        <family val="2"/>
      </rPr>
      <t>2</t>
    </r>
    <r>
      <rPr>
        <b/>
        <sz val="11"/>
        <rFont val="Calibri"/>
        <family val="2"/>
      </rPr>
      <t>]</t>
    </r>
  </si>
  <si>
    <t>Nitrous acid</t>
  </si>
  <si>
    <r>
      <t>[NO</t>
    </r>
    <r>
      <rPr>
        <b/>
        <vertAlign val="subscript"/>
        <sz val="11"/>
        <rFont val="Calibri"/>
        <family val="2"/>
      </rPr>
      <t>2</t>
    </r>
    <r>
      <rPr>
        <b/>
        <vertAlign val="superscript"/>
        <sz val="11"/>
        <rFont val="Calibri"/>
        <family val="2"/>
      </rPr>
      <t>-</t>
    </r>
    <r>
      <rPr>
        <b/>
        <sz val="11"/>
        <rFont val="Calibri"/>
        <family val="2"/>
      </rPr>
      <t>]</t>
    </r>
  </si>
  <si>
    <t>Nitrite ion</t>
  </si>
  <si>
    <r>
      <t>diss</t>
    </r>
    <r>
      <rPr>
        <vertAlign val="subscript"/>
        <sz val="11"/>
        <rFont val="Calibri"/>
        <family val="2"/>
      </rPr>
      <t>NO2</t>
    </r>
  </si>
  <si>
    <r>
      <t>-(EEQ</t>
    </r>
    <r>
      <rPr>
        <vertAlign val="subscript"/>
        <sz val="11"/>
        <rFont val="Calibri"/>
        <family val="2"/>
      </rPr>
      <t>NO2</t>
    </r>
    <r>
      <rPr>
        <sz val="11"/>
        <rFont val="Calibri"/>
        <family val="2"/>
      </rPr>
      <t>-Y</t>
    </r>
    <r>
      <rPr>
        <vertAlign val="subscript"/>
        <sz val="11"/>
        <rFont val="Calibri"/>
        <family val="2"/>
      </rPr>
      <t>AOB</t>
    </r>
    <r>
      <rPr>
        <sz val="11"/>
        <rFont val="Calibri"/>
        <family val="2"/>
      </rPr>
      <t>)/Y</t>
    </r>
    <r>
      <rPr>
        <vertAlign val="subscript"/>
        <sz val="11"/>
        <rFont val="Calibri"/>
        <family val="2"/>
      </rPr>
      <t>AOB</t>
    </r>
  </si>
  <si>
    <r>
      <t>-(EEQ</t>
    </r>
    <r>
      <rPr>
        <vertAlign val="subscript"/>
        <sz val="11"/>
        <rFont val="Calibri"/>
        <family val="2"/>
      </rPr>
      <t>NO2,NO3</t>
    </r>
    <r>
      <rPr>
        <sz val="11"/>
        <rFont val="Calibri"/>
        <family val="2"/>
      </rPr>
      <t>-Y</t>
    </r>
    <r>
      <rPr>
        <vertAlign val="subscript"/>
        <sz val="11"/>
        <rFont val="Calibri"/>
        <family val="2"/>
      </rPr>
      <t>NOB</t>
    </r>
    <r>
      <rPr>
        <sz val="11"/>
        <rFont val="Calibri"/>
        <family val="2"/>
      </rPr>
      <t>)/Y</t>
    </r>
    <r>
      <rPr>
        <vertAlign val="subscript"/>
        <sz val="11"/>
        <rFont val="Calibri"/>
        <family val="2"/>
      </rPr>
      <t>NOB</t>
    </r>
  </si>
  <si>
    <r>
      <t>-1/Y</t>
    </r>
    <r>
      <rPr>
        <vertAlign val="subscript"/>
        <sz val="11"/>
        <rFont val="Calibri"/>
        <family val="2"/>
      </rPr>
      <t>AOB</t>
    </r>
    <r>
      <rPr>
        <sz val="11"/>
        <rFont val="Calibri"/>
        <family val="2"/>
      </rPr>
      <t>-i</t>
    </r>
    <r>
      <rPr>
        <vertAlign val="subscript"/>
        <sz val="11"/>
        <rFont val="Calibri"/>
        <family val="2"/>
      </rPr>
      <t>N,BIO</t>
    </r>
  </si>
  <si>
    <r>
      <t>1/Y</t>
    </r>
    <r>
      <rPr>
        <vertAlign val="subscript"/>
        <sz val="11"/>
        <rFont val="Calibri"/>
        <family val="2"/>
      </rPr>
      <t>AOB</t>
    </r>
  </si>
  <si>
    <r>
      <rPr>
        <sz val="11"/>
        <rFont val="Calibri"/>
        <family val="2"/>
      </rPr>
      <t>-i</t>
    </r>
    <r>
      <rPr>
        <vertAlign val="subscript"/>
        <sz val="11"/>
        <rFont val="Calibri"/>
        <family val="2"/>
      </rPr>
      <t>N,BIO</t>
    </r>
  </si>
  <si>
    <r>
      <t>-1/Y</t>
    </r>
    <r>
      <rPr>
        <vertAlign val="subscript"/>
        <sz val="11"/>
        <rFont val="Calibri"/>
        <family val="2"/>
      </rPr>
      <t>NOB</t>
    </r>
  </si>
  <si>
    <r>
      <t>1/Y</t>
    </r>
    <r>
      <rPr>
        <vertAlign val="subscript"/>
        <sz val="11"/>
        <rFont val="Calibri"/>
        <family val="2"/>
      </rPr>
      <t>NOB</t>
    </r>
  </si>
  <si>
    <t>AOB growth</t>
  </si>
  <si>
    <t>AOB decay</t>
  </si>
  <si>
    <t>NOB growth</t>
  </si>
  <si>
    <t>NOB decay</t>
  </si>
  <si>
    <t>Anammox growth</t>
  </si>
  <si>
    <t>Anammox decay</t>
  </si>
  <si>
    <r>
      <t>X</t>
    </r>
    <r>
      <rPr>
        <b/>
        <vertAlign val="subscript"/>
        <sz val="11"/>
        <rFont val="Calibri"/>
        <family val="2"/>
        <charset val="238"/>
        <scheme val="minor"/>
      </rPr>
      <t>AMX</t>
    </r>
  </si>
  <si>
    <r>
      <t>-(3*i</t>
    </r>
    <r>
      <rPr>
        <vertAlign val="subscript"/>
        <sz val="11"/>
        <color indexed="8"/>
        <rFont val="Calibri"/>
        <family val="2"/>
        <scheme val="minor"/>
      </rPr>
      <t>N,BIO</t>
    </r>
    <r>
      <rPr>
        <sz val="11"/>
        <color indexed="8"/>
        <rFont val="Calibri"/>
        <family val="2"/>
        <scheme val="minor"/>
      </rPr>
      <t>*AM</t>
    </r>
    <r>
      <rPr>
        <vertAlign val="subscript"/>
        <sz val="11"/>
        <color indexed="8"/>
        <rFont val="Calibri"/>
        <family val="2"/>
        <scheme val="minor"/>
      </rPr>
      <t>O</t>
    </r>
    <r>
      <rPr>
        <sz val="11"/>
        <color indexed="8"/>
        <rFont val="Calibri"/>
        <family val="2"/>
        <scheme val="minor"/>
      </rPr>
      <t>+2*AM</t>
    </r>
    <r>
      <rPr>
        <vertAlign val="subscript"/>
        <sz val="11"/>
        <color indexed="8"/>
        <rFont val="Calibri"/>
        <family val="2"/>
        <scheme val="minor"/>
      </rPr>
      <t>N</t>
    </r>
    <r>
      <rPr>
        <sz val="11"/>
        <color indexed="8"/>
        <rFont val="Calibri"/>
        <family val="2"/>
        <scheme val="minor"/>
      </rPr>
      <t>)/(5*Y</t>
    </r>
    <r>
      <rPr>
        <vertAlign val="subscript"/>
        <sz val="11"/>
        <color indexed="8"/>
        <rFont val="Calibri"/>
        <family val="2"/>
        <scheme val="minor"/>
      </rPr>
      <t>AMX,NO3</t>
    </r>
    <r>
      <rPr>
        <sz val="11"/>
        <color indexed="8"/>
        <rFont val="Calibri"/>
        <family val="2"/>
        <scheme val="minor"/>
      </rPr>
      <t>+3-3*Y</t>
    </r>
    <r>
      <rPr>
        <vertAlign val="subscript"/>
        <sz val="11"/>
        <color indexed="8"/>
        <rFont val="Calibri"/>
        <family val="2"/>
        <scheme val="minor"/>
      </rPr>
      <t>AMX,NO2</t>
    </r>
    <r>
      <rPr>
        <sz val="11"/>
        <color indexed="8"/>
        <rFont val="Calibri"/>
        <family val="2"/>
        <scheme val="minor"/>
      </rPr>
      <t>)/AM</t>
    </r>
    <r>
      <rPr>
        <vertAlign val="subscript"/>
        <sz val="11"/>
        <color indexed="8"/>
        <rFont val="Calibri"/>
        <family val="2"/>
        <scheme val="minor"/>
      </rPr>
      <t>O</t>
    </r>
  </si>
  <si>
    <r>
      <t xml:space="preserve"> -Y</t>
    </r>
    <r>
      <rPr>
        <vertAlign val="subscript"/>
        <sz val="11"/>
        <color indexed="8"/>
        <rFont val="Calibri"/>
        <family val="2"/>
        <charset val="238"/>
      </rPr>
      <t>AMX,NO2</t>
    </r>
    <r>
      <rPr>
        <sz val="11"/>
        <color indexed="8"/>
        <rFont val="Calibri"/>
        <family val="2"/>
      </rPr>
      <t>/(5*Y</t>
    </r>
    <r>
      <rPr>
        <vertAlign val="subscript"/>
        <sz val="11"/>
        <color indexed="8"/>
        <rFont val="Calibri"/>
        <family val="2"/>
        <charset val="238"/>
      </rPr>
      <t>AMX,NO3</t>
    </r>
    <r>
      <rPr>
        <sz val="11"/>
        <color indexed="8"/>
        <rFont val="Calibri"/>
        <family val="2"/>
      </rPr>
      <t>+3-3*Y</t>
    </r>
    <r>
      <rPr>
        <vertAlign val="subscript"/>
        <sz val="11"/>
        <color indexed="8"/>
        <rFont val="Calibri"/>
        <family val="2"/>
        <charset val="238"/>
      </rPr>
      <t>AMX,NO2</t>
    </r>
    <r>
      <rPr>
        <sz val="11"/>
        <color indexed="8"/>
        <rFont val="Calibri"/>
        <family val="2"/>
      </rPr>
      <t>)*(3*i</t>
    </r>
    <r>
      <rPr>
        <vertAlign val="subscript"/>
        <sz val="11"/>
        <color indexed="8"/>
        <rFont val="Calibri"/>
        <family val="2"/>
        <charset val="238"/>
      </rPr>
      <t>N,BIO</t>
    </r>
    <r>
      <rPr>
        <sz val="11"/>
        <color indexed="8"/>
        <rFont val="Calibri"/>
        <family val="2"/>
      </rPr>
      <t>*AM</t>
    </r>
    <r>
      <rPr>
        <vertAlign val="subscript"/>
        <sz val="11"/>
        <color indexed="8"/>
        <rFont val="Calibri"/>
        <family val="2"/>
        <charset val="238"/>
      </rPr>
      <t>O</t>
    </r>
    <r>
      <rPr>
        <sz val="11"/>
        <color indexed="8"/>
        <rFont val="Calibri"/>
        <family val="2"/>
      </rPr>
      <t>+2*AM</t>
    </r>
    <r>
      <rPr>
        <vertAlign val="subscript"/>
        <sz val="11"/>
        <color indexed="8"/>
        <rFont val="Calibri"/>
        <family val="2"/>
        <charset val="238"/>
      </rPr>
      <t>N</t>
    </r>
    <r>
      <rPr>
        <sz val="11"/>
        <color indexed="8"/>
        <rFont val="Calibri"/>
        <family val="2"/>
      </rPr>
      <t>)/AM</t>
    </r>
    <r>
      <rPr>
        <vertAlign val="subscript"/>
        <sz val="11"/>
        <color indexed="8"/>
        <rFont val="Calibri"/>
        <family val="2"/>
        <charset val="238"/>
      </rPr>
      <t>O</t>
    </r>
  </si>
  <si>
    <r>
      <t>Y</t>
    </r>
    <r>
      <rPr>
        <vertAlign val="subscript"/>
        <sz val="11"/>
        <color indexed="8"/>
        <rFont val="Calibri"/>
        <family val="2"/>
        <scheme val="minor"/>
      </rPr>
      <t>AMX,NO3</t>
    </r>
    <r>
      <rPr>
        <sz val="11"/>
        <color indexed="8"/>
        <rFont val="Calibri"/>
        <family val="2"/>
        <scheme val="minor"/>
      </rPr>
      <t>/(5*Y</t>
    </r>
    <r>
      <rPr>
        <vertAlign val="subscript"/>
        <sz val="11"/>
        <color indexed="8"/>
        <rFont val="Calibri"/>
        <family val="2"/>
        <scheme val="minor"/>
      </rPr>
      <t>AMX,NO3</t>
    </r>
    <r>
      <rPr>
        <sz val="11"/>
        <color indexed="8"/>
        <rFont val="Calibri"/>
        <family val="2"/>
        <scheme val="minor"/>
      </rPr>
      <t>+3-3*Y</t>
    </r>
    <r>
      <rPr>
        <vertAlign val="subscript"/>
        <sz val="11"/>
        <color indexed="8"/>
        <rFont val="Calibri"/>
        <family val="2"/>
        <scheme val="minor"/>
      </rPr>
      <t>AMX,NO2</t>
    </r>
    <r>
      <rPr>
        <sz val="11"/>
        <color indexed="8"/>
        <rFont val="Calibri"/>
        <family val="2"/>
        <scheme val="minor"/>
      </rPr>
      <t>)*(3*i</t>
    </r>
    <r>
      <rPr>
        <vertAlign val="subscript"/>
        <sz val="11"/>
        <color indexed="8"/>
        <rFont val="Calibri"/>
        <family val="2"/>
        <scheme val="minor"/>
      </rPr>
      <t>N,BIO</t>
    </r>
    <r>
      <rPr>
        <sz val="11"/>
        <color indexed="8"/>
        <rFont val="Calibri"/>
        <family val="2"/>
        <scheme val="minor"/>
      </rPr>
      <t>*AM</t>
    </r>
    <r>
      <rPr>
        <vertAlign val="subscript"/>
        <sz val="11"/>
        <color indexed="8"/>
        <rFont val="Calibri"/>
        <family val="2"/>
        <scheme val="minor"/>
      </rPr>
      <t>O</t>
    </r>
    <r>
      <rPr>
        <sz val="11"/>
        <color indexed="8"/>
        <rFont val="Calibri"/>
        <family val="2"/>
        <scheme val="minor"/>
      </rPr>
      <t>+2*AM</t>
    </r>
    <r>
      <rPr>
        <vertAlign val="subscript"/>
        <sz val="11"/>
        <color indexed="8"/>
        <rFont val="Calibri"/>
        <family val="2"/>
        <scheme val="minor"/>
      </rPr>
      <t>N</t>
    </r>
    <r>
      <rPr>
        <sz val="11"/>
        <color indexed="8"/>
        <rFont val="Calibri"/>
        <family val="2"/>
        <scheme val="minor"/>
      </rPr>
      <t>)/AM</t>
    </r>
    <r>
      <rPr>
        <vertAlign val="subscript"/>
        <sz val="11"/>
        <color indexed="8"/>
        <rFont val="Calibri"/>
        <family val="2"/>
        <scheme val="minor"/>
      </rPr>
      <t>O</t>
    </r>
  </si>
  <si>
    <r>
      <t>2*(Y</t>
    </r>
    <r>
      <rPr>
        <vertAlign val="subscript"/>
        <sz val="11"/>
        <color indexed="8"/>
        <rFont val="Calibri"/>
        <family val="2"/>
        <scheme val="minor"/>
      </rPr>
      <t>AMX,NO3</t>
    </r>
    <r>
      <rPr>
        <sz val="11"/>
        <color indexed="8"/>
        <rFont val="Calibri"/>
        <family val="2"/>
        <scheme val="minor"/>
      </rPr>
      <t>*AM</t>
    </r>
    <r>
      <rPr>
        <vertAlign val="subscript"/>
        <sz val="11"/>
        <color indexed="8"/>
        <rFont val="Calibri"/>
        <family val="2"/>
        <scheme val="minor"/>
      </rPr>
      <t>N</t>
    </r>
    <r>
      <rPr>
        <sz val="11"/>
        <color indexed="8"/>
        <rFont val="Calibri"/>
        <family val="2"/>
        <scheme val="minor"/>
      </rPr>
      <t>-1*AM</t>
    </r>
    <r>
      <rPr>
        <vertAlign val="subscript"/>
        <sz val="11"/>
        <color indexed="8"/>
        <rFont val="Calibri"/>
        <family val="2"/>
        <scheme val="minor"/>
      </rPr>
      <t>N</t>
    </r>
    <r>
      <rPr>
        <sz val="11"/>
        <color indexed="8"/>
        <rFont val="Calibri"/>
        <family val="2"/>
        <scheme val="minor"/>
      </rPr>
      <t>-1*Y</t>
    </r>
    <r>
      <rPr>
        <vertAlign val="subscript"/>
        <sz val="11"/>
        <color indexed="8"/>
        <rFont val="Calibri"/>
        <family val="2"/>
        <scheme val="minor"/>
      </rPr>
      <t>AMX,NO2</t>
    </r>
    <r>
      <rPr>
        <sz val="11"/>
        <color indexed="8"/>
        <rFont val="Calibri"/>
        <family val="2"/>
        <scheme val="minor"/>
      </rPr>
      <t>*AM</t>
    </r>
    <r>
      <rPr>
        <vertAlign val="subscript"/>
        <sz val="11"/>
        <color indexed="8"/>
        <rFont val="Calibri"/>
        <family val="2"/>
        <scheme val="minor"/>
      </rPr>
      <t>N</t>
    </r>
    <r>
      <rPr>
        <sz val="11"/>
        <color indexed="8"/>
        <rFont val="Calibri"/>
        <family val="2"/>
        <scheme val="minor"/>
      </rPr>
      <t>+4*Y</t>
    </r>
    <r>
      <rPr>
        <vertAlign val="subscript"/>
        <sz val="11"/>
        <color indexed="8"/>
        <rFont val="Calibri"/>
        <family val="2"/>
        <scheme val="minor"/>
      </rPr>
      <t>AMX,NO3</t>
    </r>
    <r>
      <rPr>
        <sz val="11"/>
        <color indexed="8"/>
        <rFont val="Calibri"/>
        <family val="2"/>
        <scheme val="minor"/>
      </rPr>
      <t>*i</t>
    </r>
    <r>
      <rPr>
        <vertAlign val="subscript"/>
        <sz val="11"/>
        <color indexed="8"/>
        <rFont val="Calibri"/>
        <family val="2"/>
        <scheme val="minor"/>
      </rPr>
      <t>N,BIO</t>
    </r>
    <r>
      <rPr>
        <sz val="11"/>
        <color indexed="8"/>
        <rFont val="Calibri"/>
        <family val="2"/>
        <scheme val="minor"/>
      </rPr>
      <t>*AM</t>
    </r>
    <r>
      <rPr>
        <vertAlign val="subscript"/>
        <sz val="11"/>
        <color indexed="8"/>
        <rFont val="Calibri"/>
        <family val="2"/>
        <scheme val="minor"/>
      </rPr>
      <t>O</t>
    </r>
    <r>
      <rPr>
        <sz val="11"/>
        <color indexed="8"/>
        <rFont val="Calibri"/>
        <family val="2"/>
        <scheme val="minor"/>
      </rPr>
      <t>-3*Y</t>
    </r>
    <r>
      <rPr>
        <vertAlign val="subscript"/>
        <sz val="11"/>
        <color indexed="8"/>
        <rFont val="Calibri"/>
        <family val="2"/>
        <scheme val="minor"/>
      </rPr>
      <t>AMX,NO2</t>
    </r>
    <r>
      <rPr>
        <sz val="11"/>
        <color indexed="8"/>
        <rFont val="Calibri"/>
        <family val="2"/>
        <scheme val="minor"/>
      </rPr>
      <t>*i</t>
    </r>
    <r>
      <rPr>
        <vertAlign val="subscript"/>
        <sz val="11"/>
        <color indexed="8"/>
        <rFont val="Calibri"/>
        <family val="2"/>
        <scheme val="minor"/>
      </rPr>
      <t>N,BIO</t>
    </r>
    <r>
      <rPr>
        <sz val="11"/>
        <color indexed="8"/>
        <rFont val="Calibri"/>
        <family val="2"/>
        <scheme val="minor"/>
      </rPr>
      <t>*AM</t>
    </r>
    <r>
      <rPr>
        <vertAlign val="subscript"/>
        <sz val="11"/>
        <color indexed="8"/>
        <rFont val="Calibri"/>
        <family val="2"/>
        <scheme val="minor"/>
      </rPr>
      <t>O</t>
    </r>
    <r>
      <rPr>
        <sz val="11"/>
        <color indexed="8"/>
        <rFont val="Calibri"/>
        <family val="2"/>
        <scheme val="minor"/>
      </rPr>
      <t>)/AM</t>
    </r>
    <r>
      <rPr>
        <vertAlign val="subscript"/>
        <sz val="11"/>
        <color indexed="8"/>
        <rFont val="Calibri"/>
        <family val="2"/>
        <scheme val="minor"/>
      </rPr>
      <t>O</t>
    </r>
    <r>
      <rPr>
        <sz val="11"/>
        <color indexed="8"/>
        <rFont val="Calibri"/>
        <family val="2"/>
        <scheme val="minor"/>
      </rPr>
      <t>/(3*Y</t>
    </r>
    <r>
      <rPr>
        <vertAlign val="subscript"/>
        <sz val="11"/>
        <color indexed="8"/>
        <rFont val="Calibri"/>
        <family val="2"/>
        <scheme val="minor"/>
      </rPr>
      <t>AMX,NO2</t>
    </r>
    <r>
      <rPr>
        <sz val="11"/>
        <color indexed="8"/>
        <rFont val="Calibri"/>
        <family val="2"/>
        <scheme val="minor"/>
      </rPr>
      <t>-5*Y</t>
    </r>
    <r>
      <rPr>
        <vertAlign val="subscript"/>
        <sz val="11"/>
        <color indexed="8"/>
        <rFont val="Calibri"/>
        <family val="2"/>
        <scheme val="minor"/>
      </rPr>
      <t>AMX,NO3</t>
    </r>
    <r>
      <rPr>
        <sz val="11"/>
        <color indexed="8"/>
        <rFont val="Calibri"/>
        <family val="2"/>
        <scheme val="minor"/>
      </rPr>
      <t>-3)</t>
    </r>
  </si>
  <si>
    <r>
      <t>OHO growth on VFAs, NO</t>
    </r>
    <r>
      <rPr>
        <vertAlign val="subscript"/>
        <sz val="11"/>
        <color rgb="FF000000"/>
        <rFont val="Calibri"/>
        <family val="2"/>
        <scheme val="minor"/>
      </rPr>
      <t>2</t>
    </r>
  </si>
  <si>
    <r>
      <t>OHO growth on S</t>
    </r>
    <r>
      <rPr>
        <vertAlign val="subscript"/>
        <sz val="11"/>
        <color rgb="FF000000"/>
        <rFont val="Calibri"/>
        <family val="2"/>
        <scheme val="minor"/>
      </rPr>
      <t>B</t>
    </r>
    <r>
      <rPr>
        <sz val="11"/>
        <color rgb="FF000000"/>
        <rFont val="Calibri"/>
        <family val="2"/>
        <charset val="238"/>
        <scheme val="minor"/>
      </rPr>
      <t>, NO</t>
    </r>
    <r>
      <rPr>
        <vertAlign val="subscript"/>
        <sz val="11"/>
        <color rgb="FF000000"/>
        <rFont val="Calibri"/>
        <family val="2"/>
        <scheme val="minor"/>
      </rPr>
      <t>2</t>
    </r>
  </si>
  <si>
    <r>
      <t>MEOLO growth, NO</t>
    </r>
    <r>
      <rPr>
        <vertAlign val="subscript"/>
        <sz val="11"/>
        <color rgb="FF000000"/>
        <rFont val="Calibri"/>
        <family val="2"/>
        <scheme val="minor"/>
      </rPr>
      <t>2</t>
    </r>
  </si>
  <si>
    <r>
      <t>PAO growth on PHA, NO</t>
    </r>
    <r>
      <rPr>
        <vertAlign val="subscript"/>
        <sz val="11"/>
        <color rgb="FF000000"/>
        <rFont val="Calibri"/>
        <family val="2"/>
        <scheme val="minor"/>
      </rPr>
      <t>2</t>
    </r>
    <r>
      <rPr>
        <sz val="11"/>
        <color rgb="FF000000"/>
        <rFont val="Calibri"/>
        <family val="2"/>
        <charset val="238"/>
        <scheme val="minor"/>
      </rPr>
      <t>; PO</t>
    </r>
    <r>
      <rPr>
        <vertAlign val="subscript"/>
        <sz val="11"/>
        <color rgb="FF000000"/>
        <rFont val="Calibri"/>
        <family val="2"/>
        <scheme val="minor"/>
      </rPr>
      <t>4</t>
    </r>
    <r>
      <rPr>
        <sz val="11"/>
        <color rgb="FF000000"/>
        <rFont val="Calibri"/>
        <family val="2"/>
        <charset val="238"/>
        <scheme val="minor"/>
      </rPr>
      <t xml:space="preserve"> limited</t>
    </r>
  </si>
  <si>
    <r>
      <t>-(1-Y</t>
    </r>
    <r>
      <rPr>
        <vertAlign val="subscript"/>
        <sz val="11"/>
        <rFont val="Calibri"/>
        <family val="2"/>
      </rPr>
      <t>OHO,VFA,anox</t>
    </r>
    <r>
      <rPr>
        <sz val="11"/>
        <rFont val="Calibri"/>
        <family val="2"/>
      </rPr>
      <t>)/(EEQ</t>
    </r>
    <r>
      <rPr>
        <vertAlign val="subscript"/>
        <sz val="11"/>
        <rFont val="Calibri"/>
        <family val="2"/>
      </rPr>
      <t>N2,NO2</t>
    </r>
    <r>
      <rPr>
        <sz val="11"/>
        <rFont val="Calibri"/>
        <family val="2"/>
      </rPr>
      <t>*Y</t>
    </r>
    <r>
      <rPr>
        <vertAlign val="subscript"/>
        <sz val="11"/>
        <rFont val="Calibri"/>
        <family val="2"/>
      </rPr>
      <t>OHO,VFA,anox</t>
    </r>
    <r>
      <rPr>
        <sz val="11"/>
        <rFont val="Calibri"/>
        <family val="2"/>
      </rPr>
      <t>)</t>
    </r>
  </si>
  <si>
    <r>
      <t>(1-Y</t>
    </r>
    <r>
      <rPr>
        <vertAlign val="subscript"/>
        <sz val="11"/>
        <rFont val="Calibri"/>
        <family val="2"/>
      </rPr>
      <t>OHO,VFA,anox</t>
    </r>
    <r>
      <rPr>
        <sz val="11"/>
        <rFont val="Calibri"/>
        <family val="2"/>
      </rPr>
      <t>)/(EEQ</t>
    </r>
    <r>
      <rPr>
        <vertAlign val="subscript"/>
        <sz val="11"/>
        <rFont val="Calibri"/>
        <family val="2"/>
      </rPr>
      <t>N2,NO2</t>
    </r>
    <r>
      <rPr>
        <sz val="11"/>
        <rFont val="Calibri"/>
        <family val="2"/>
      </rPr>
      <t>*Y</t>
    </r>
    <r>
      <rPr>
        <vertAlign val="subscript"/>
        <sz val="11"/>
        <rFont val="Calibri"/>
        <family val="2"/>
      </rPr>
      <t>OHO,VFA,anox</t>
    </r>
    <r>
      <rPr>
        <sz val="11"/>
        <rFont val="Calibri"/>
        <family val="2"/>
      </rPr>
      <t>)</t>
    </r>
  </si>
  <si>
    <r>
      <t>(1-Y</t>
    </r>
    <r>
      <rPr>
        <vertAlign val="subscript"/>
        <sz val="11"/>
        <rFont val="Calibri"/>
        <family val="2"/>
      </rPr>
      <t>OHO,VFA,anox</t>
    </r>
    <r>
      <rPr>
        <sz val="11"/>
        <rFont val="Calibri"/>
        <family val="2"/>
      </rPr>
      <t>)/(EEQ</t>
    </r>
    <r>
      <rPr>
        <vertAlign val="subscript"/>
        <sz val="11"/>
        <rFont val="Calibri"/>
        <family val="2"/>
      </rPr>
      <t>NO2,NO3</t>
    </r>
    <r>
      <rPr>
        <sz val="11"/>
        <rFont val="Calibri"/>
        <family val="2"/>
      </rPr>
      <t>*Y</t>
    </r>
    <r>
      <rPr>
        <vertAlign val="subscript"/>
        <sz val="11"/>
        <rFont val="Calibri"/>
        <family val="2"/>
      </rPr>
      <t>OHO,VFA,anox</t>
    </r>
    <r>
      <rPr>
        <sz val="11"/>
        <rFont val="Calibri"/>
        <family val="2"/>
      </rPr>
      <t>)</t>
    </r>
  </si>
  <si>
    <r>
      <t>-(1-Y</t>
    </r>
    <r>
      <rPr>
        <vertAlign val="subscript"/>
        <sz val="11"/>
        <rFont val="Calibri"/>
        <family val="2"/>
      </rPr>
      <t>OHO,VFA,anox</t>
    </r>
    <r>
      <rPr>
        <sz val="11"/>
        <rFont val="Calibri"/>
        <family val="2"/>
      </rPr>
      <t>)/(EEQ</t>
    </r>
    <r>
      <rPr>
        <vertAlign val="subscript"/>
        <sz val="11"/>
        <rFont val="Calibri"/>
        <family val="2"/>
      </rPr>
      <t>NO2,NO3</t>
    </r>
    <r>
      <rPr>
        <sz val="11"/>
        <rFont val="Calibri"/>
        <family val="2"/>
      </rPr>
      <t>*Y</t>
    </r>
    <r>
      <rPr>
        <vertAlign val="subscript"/>
        <sz val="11"/>
        <rFont val="Calibri"/>
        <family val="2"/>
      </rPr>
      <t>OHO,VFA,anox</t>
    </r>
    <r>
      <rPr>
        <sz val="11"/>
        <rFont val="Calibri"/>
        <family val="2"/>
      </rPr>
      <t>)</t>
    </r>
  </si>
  <si>
    <r>
      <t>-(1-Y</t>
    </r>
    <r>
      <rPr>
        <vertAlign val="subscript"/>
        <sz val="11"/>
        <rFont val="Calibri"/>
        <family val="2"/>
      </rPr>
      <t>OHO,SB,anox</t>
    </r>
    <r>
      <rPr>
        <sz val="11"/>
        <rFont val="Calibri"/>
        <family val="2"/>
      </rPr>
      <t>)/(EEQ</t>
    </r>
    <r>
      <rPr>
        <vertAlign val="subscript"/>
        <sz val="11"/>
        <rFont val="Calibri"/>
        <family val="2"/>
      </rPr>
      <t>N2,NO2</t>
    </r>
    <r>
      <rPr>
        <sz val="11"/>
        <rFont val="Calibri"/>
        <family val="2"/>
      </rPr>
      <t>*Y</t>
    </r>
    <r>
      <rPr>
        <vertAlign val="subscript"/>
        <sz val="11"/>
        <rFont val="Calibri"/>
        <family val="2"/>
      </rPr>
      <t>OHO,SB,anox</t>
    </r>
    <r>
      <rPr>
        <sz val="11"/>
        <rFont val="Calibri"/>
        <family val="2"/>
      </rPr>
      <t>)</t>
    </r>
  </si>
  <si>
    <r>
      <t>(1-Y</t>
    </r>
    <r>
      <rPr>
        <vertAlign val="subscript"/>
        <sz val="11"/>
        <rFont val="Calibri"/>
        <family val="2"/>
      </rPr>
      <t>OHO,SB,anox</t>
    </r>
    <r>
      <rPr>
        <sz val="11"/>
        <rFont val="Calibri"/>
        <family val="2"/>
      </rPr>
      <t>)/(EEQ</t>
    </r>
    <r>
      <rPr>
        <vertAlign val="subscript"/>
        <sz val="11"/>
        <rFont val="Calibri"/>
        <family val="2"/>
      </rPr>
      <t>N2,NO2</t>
    </r>
    <r>
      <rPr>
        <sz val="11"/>
        <rFont val="Calibri"/>
        <family val="2"/>
      </rPr>
      <t>*Y</t>
    </r>
    <r>
      <rPr>
        <vertAlign val="subscript"/>
        <sz val="11"/>
        <rFont val="Calibri"/>
        <family val="2"/>
      </rPr>
      <t>OHO,SB,anox</t>
    </r>
    <r>
      <rPr>
        <sz val="11"/>
        <rFont val="Calibri"/>
        <family val="2"/>
      </rPr>
      <t>)</t>
    </r>
  </si>
  <si>
    <r>
      <t>(1-Y</t>
    </r>
    <r>
      <rPr>
        <vertAlign val="subscript"/>
        <sz val="11"/>
        <rFont val="Calibri"/>
        <family val="2"/>
      </rPr>
      <t>OHO,SB,anox</t>
    </r>
    <r>
      <rPr>
        <sz val="11"/>
        <rFont val="Calibri"/>
        <family val="2"/>
      </rPr>
      <t>)/(EEQ</t>
    </r>
    <r>
      <rPr>
        <vertAlign val="subscript"/>
        <sz val="11"/>
        <rFont val="Calibri"/>
        <family val="2"/>
      </rPr>
      <t>NO2,NO3</t>
    </r>
    <r>
      <rPr>
        <sz val="11"/>
        <rFont val="Calibri"/>
        <family val="2"/>
      </rPr>
      <t>*Y</t>
    </r>
    <r>
      <rPr>
        <vertAlign val="subscript"/>
        <sz val="11"/>
        <rFont val="Calibri"/>
        <family val="2"/>
      </rPr>
      <t>OHO,SB,anox</t>
    </r>
    <r>
      <rPr>
        <sz val="11"/>
        <rFont val="Calibri"/>
        <family val="2"/>
      </rPr>
      <t>)</t>
    </r>
  </si>
  <si>
    <r>
      <t>-(1-Y</t>
    </r>
    <r>
      <rPr>
        <vertAlign val="subscript"/>
        <sz val="11"/>
        <rFont val="Calibri"/>
        <family val="2"/>
      </rPr>
      <t>OHO,SB,anox</t>
    </r>
    <r>
      <rPr>
        <sz val="11"/>
        <rFont val="Calibri"/>
        <family val="2"/>
      </rPr>
      <t>)/(EEQ</t>
    </r>
    <r>
      <rPr>
        <vertAlign val="subscript"/>
        <sz val="11"/>
        <rFont val="Calibri"/>
        <family val="2"/>
      </rPr>
      <t>NO2,NO3</t>
    </r>
    <r>
      <rPr>
        <sz val="11"/>
        <rFont val="Calibri"/>
        <family val="2"/>
      </rPr>
      <t>*Y</t>
    </r>
    <r>
      <rPr>
        <vertAlign val="subscript"/>
        <sz val="11"/>
        <rFont val="Calibri"/>
        <family val="2"/>
      </rPr>
      <t>OHO,SB,anox</t>
    </r>
    <r>
      <rPr>
        <sz val="11"/>
        <rFont val="Calibri"/>
        <family val="2"/>
      </rPr>
      <t>)</t>
    </r>
  </si>
  <si>
    <r>
      <t>-(1-Y</t>
    </r>
    <r>
      <rPr>
        <vertAlign val="subscript"/>
        <sz val="11"/>
        <rFont val="Calibri"/>
        <family val="2"/>
      </rPr>
      <t>MEOLO</t>
    </r>
    <r>
      <rPr>
        <sz val="11"/>
        <rFont val="Calibri"/>
        <family val="2"/>
      </rPr>
      <t>)/(EEQ</t>
    </r>
    <r>
      <rPr>
        <vertAlign val="subscript"/>
        <sz val="11"/>
        <rFont val="Calibri"/>
        <family val="2"/>
      </rPr>
      <t>N2,NO2</t>
    </r>
    <r>
      <rPr>
        <sz val="11"/>
        <rFont val="Calibri"/>
        <family val="2"/>
      </rPr>
      <t>*Y</t>
    </r>
    <r>
      <rPr>
        <vertAlign val="subscript"/>
        <sz val="11"/>
        <rFont val="Calibri"/>
        <family val="2"/>
      </rPr>
      <t>MEOLO</t>
    </r>
    <r>
      <rPr>
        <sz val="11"/>
        <rFont val="Calibri"/>
        <family val="2"/>
      </rPr>
      <t>)</t>
    </r>
  </si>
  <si>
    <r>
      <t>(1-Y</t>
    </r>
    <r>
      <rPr>
        <vertAlign val="subscript"/>
        <sz val="11"/>
        <rFont val="Calibri"/>
        <family val="2"/>
      </rPr>
      <t>MEOLO</t>
    </r>
    <r>
      <rPr>
        <sz val="11"/>
        <rFont val="Calibri"/>
        <family val="2"/>
      </rPr>
      <t>)/(EEQ</t>
    </r>
    <r>
      <rPr>
        <vertAlign val="subscript"/>
        <sz val="11"/>
        <rFont val="Calibri"/>
        <family val="2"/>
      </rPr>
      <t>N2,NO2</t>
    </r>
    <r>
      <rPr>
        <sz val="11"/>
        <rFont val="Calibri"/>
        <family val="2"/>
      </rPr>
      <t>*Y</t>
    </r>
    <r>
      <rPr>
        <vertAlign val="subscript"/>
        <sz val="11"/>
        <rFont val="Calibri"/>
        <family val="2"/>
      </rPr>
      <t>MEOLO</t>
    </r>
    <r>
      <rPr>
        <sz val="11"/>
        <rFont val="Calibri"/>
        <family val="2"/>
      </rPr>
      <t>)</t>
    </r>
  </si>
  <si>
    <r>
      <t>(1-Y</t>
    </r>
    <r>
      <rPr>
        <vertAlign val="subscript"/>
        <sz val="11"/>
        <rFont val="Calibri"/>
        <family val="2"/>
      </rPr>
      <t>MEOLO</t>
    </r>
    <r>
      <rPr>
        <sz val="11"/>
        <rFont val="Calibri"/>
        <family val="2"/>
      </rPr>
      <t>)/(EEQ</t>
    </r>
    <r>
      <rPr>
        <vertAlign val="subscript"/>
        <sz val="11"/>
        <rFont val="Calibri"/>
        <family val="2"/>
      </rPr>
      <t>NO2,NO3</t>
    </r>
    <r>
      <rPr>
        <sz val="11"/>
        <rFont val="Calibri"/>
        <family val="2"/>
      </rPr>
      <t>*Y</t>
    </r>
    <r>
      <rPr>
        <vertAlign val="subscript"/>
        <sz val="11"/>
        <rFont val="Calibri"/>
        <family val="2"/>
      </rPr>
      <t>MEOLO</t>
    </r>
    <r>
      <rPr>
        <sz val="11"/>
        <rFont val="Calibri"/>
        <family val="2"/>
      </rPr>
      <t>)</t>
    </r>
  </si>
  <si>
    <r>
      <t>-(1-Y</t>
    </r>
    <r>
      <rPr>
        <vertAlign val="subscript"/>
        <sz val="11"/>
        <rFont val="Calibri"/>
        <family val="2"/>
      </rPr>
      <t>MEOLO</t>
    </r>
    <r>
      <rPr>
        <sz val="11"/>
        <rFont val="Calibri"/>
        <family val="2"/>
      </rPr>
      <t>)/(EEQ</t>
    </r>
    <r>
      <rPr>
        <vertAlign val="subscript"/>
        <sz val="11"/>
        <rFont val="Calibri"/>
        <family val="2"/>
      </rPr>
      <t>NO2,NO3</t>
    </r>
    <r>
      <rPr>
        <sz val="11"/>
        <rFont val="Calibri"/>
        <family val="2"/>
      </rPr>
      <t>*Y</t>
    </r>
    <r>
      <rPr>
        <vertAlign val="subscript"/>
        <sz val="11"/>
        <rFont val="Calibri"/>
        <family val="2"/>
      </rPr>
      <t>MEOLO</t>
    </r>
    <r>
      <rPr>
        <sz val="11"/>
        <rFont val="Calibri"/>
        <family val="2"/>
      </rPr>
      <t>)</t>
    </r>
  </si>
  <si>
    <r>
      <t>K</t>
    </r>
    <r>
      <rPr>
        <vertAlign val="subscript"/>
        <sz val="11"/>
        <rFont val="Calibri"/>
        <family val="2"/>
        <scheme val="minor"/>
      </rPr>
      <t>NO2,OHO,AS</t>
    </r>
  </si>
  <si>
    <r>
      <t>K</t>
    </r>
    <r>
      <rPr>
        <vertAlign val="subscript"/>
        <sz val="11"/>
        <rFont val="Calibri"/>
        <family val="2"/>
        <scheme val="minor"/>
      </rPr>
      <t>NO2,MEOLO,AS</t>
    </r>
  </si>
  <si>
    <r>
      <t>µ</t>
    </r>
    <r>
      <rPr>
        <vertAlign val="subscript"/>
        <sz val="11"/>
        <color indexed="8"/>
        <rFont val="Calibri"/>
        <family val="2"/>
        <scheme val="minor"/>
      </rPr>
      <t>AOB</t>
    </r>
  </si>
  <si>
    <t>Maximum specific growth rate of AOBs</t>
  </si>
  <si>
    <r>
      <t>K</t>
    </r>
    <r>
      <rPr>
        <vertAlign val="subscript"/>
        <sz val="11"/>
        <color indexed="8"/>
        <rFont val="Calibri"/>
        <family val="2"/>
        <scheme val="minor"/>
      </rPr>
      <t>NHx,AOB,AS</t>
    </r>
  </si>
  <si>
    <r>
      <t>b</t>
    </r>
    <r>
      <rPr>
        <vertAlign val="subscript"/>
        <sz val="11"/>
        <color indexed="8"/>
        <rFont val="Calibri"/>
        <family val="2"/>
        <scheme val="minor"/>
      </rPr>
      <t>AOB</t>
    </r>
  </si>
  <si>
    <r>
      <t>K</t>
    </r>
    <r>
      <rPr>
        <vertAlign val="subscript"/>
        <sz val="11"/>
        <color indexed="8"/>
        <rFont val="Calibri"/>
        <family val="2"/>
        <scheme val="minor"/>
      </rPr>
      <t>CO2,AOB,pH,sidestream</t>
    </r>
  </si>
  <si>
    <r>
      <t>K</t>
    </r>
    <r>
      <rPr>
        <vertAlign val="subscript"/>
        <sz val="11"/>
        <color indexed="8"/>
        <rFont val="Calibri"/>
        <family val="2"/>
        <scheme val="minor"/>
      </rPr>
      <t>CO2,AOB,pH,AS</t>
    </r>
  </si>
  <si>
    <r>
      <t>K</t>
    </r>
    <r>
      <rPr>
        <vertAlign val="subscript"/>
        <sz val="11"/>
        <color indexed="8"/>
        <rFont val="Calibri"/>
        <family val="2"/>
        <scheme val="minor"/>
      </rPr>
      <t>O2,AOB,sidestream</t>
    </r>
  </si>
  <si>
    <r>
      <t>K</t>
    </r>
    <r>
      <rPr>
        <vertAlign val="subscript"/>
        <sz val="11"/>
        <color indexed="8"/>
        <rFont val="Calibri"/>
        <family val="2"/>
        <scheme val="minor"/>
      </rPr>
      <t>O2,AOB,AS</t>
    </r>
  </si>
  <si>
    <r>
      <t>K</t>
    </r>
    <r>
      <rPr>
        <vertAlign val="subscript"/>
        <sz val="11"/>
        <color indexed="8"/>
        <rFont val="Calibri"/>
        <family val="2"/>
        <scheme val="minor"/>
      </rPr>
      <t>NOx,AOB,AS</t>
    </r>
  </si>
  <si>
    <r>
      <t>µ</t>
    </r>
    <r>
      <rPr>
        <vertAlign val="subscript"/>
        <sz val="11"/>
        <color indexed="8"/>
        <rFont val="Calibri"/>
        <family val="2"/>
        <scheme val="minor"/>
      </rPr>
      <t>NOB</t>
    </r>
  </si>
  <si>
    <t>Maximum specific growth rate of NOBs</t>
  </si>
  <si>
    <r>
      <t>K</t>
    </r>
    <r>
      <rPr>
        <vertAlign val="subscript"/>
        <sz val="11"/>
        <color indexed="8"/>
        <rFont val="Calibri"/>
        <family val="2"/>
        <scheme val="minor"/>
      </rPr>
      <t>NO2,NOB,AS</t>
    </r>
  </si>
  <si>
    <r>
      <t>b</t>
    </r>
    <r>
      <rPr>
        <vertAlign val="subscript"/>
        <sz val="11"/>
        <color indexed="8"/>
        <rFont val="Calibri"/>
        <family val="2"/>
        <scheme val="minor"/>
      </rPr>
      <t>NOB</t>
    </r>
  </si>
  <si>
    <r>
      <t>K</t>
    </r>
    <r>
      <rPr>
        <vertAlign val="subscript"/>
        <sz val="11"/>
        <color indexed="8"/>
        <rFont val="Calibri"/>
        <family val="2"/>
        <scheme val="minor"/>
      </rPr>
      <t>CO2,NOB,pH,AS</t>
    </r>
  </si>
  <si>
    <r>
      <t>K</t>
    </r>
    <r>
      <rPr>
        <vertAlign val="subscript"/>
        <sz val="11"/>
        <color indexed="8"/>
        <rFont val="Calibri"/>
        <family val="2"/>
        <scheme val="minor"/>
      </rPr>
      <t>O2,NOB,sidestream</t>
    </r>
  </si>
  <si>
    <r>
      <t>K</t>
    </r>
    <r>
      <rPr>
        <vertAlign val="subscript"/>
        <sz val="11"/>
        <color indexed="8"/>
        <rFont val="Calibri"/>
        <family val="2"/>
        <scheme val="minor"/>
      </rPr>
      <t>O2,NOB,AS</t>
    </r>
  </si>
  <si>
    <r>
      <t>K</t>
    </r>
    <r>
      <rPr>
        <vertAlign val="subscript"/>
        <sz val="11"/>
        <color indexed="8"/>
        <rFont val="Calibri"/>
        <family val="2"/>
        <scheme val="minor"/>
      </rPr>
      <t>NOx,NOB,AS</t>
    </r>
  </si>
  <si>
    <r>
      <t>µ</t>
    </r>
    <r>
      <rPr>
        <vertAlign val="subscript"/>
        <sz val="11"/>
        <color indexed="8"/>
        <rFont val="Calibri"/>
        <family val="2"/>
        <scheme val="minor"/>
      </rPr>
      <t>AMX</t>
    </r>
  </si>
  <si>
    <r>
      <t>b</t>
    </r>
    <r>
      <rPr>
        <vertAlign val="subscript"/>
        <sz val="11"/>
        <color indexed="8"/>
        <rFont val="Calibri"/>
        <family val="2"/>
        <scheme val="minor"/>
      </rPr>
      <t>AMX</t>
    </r>
  </si>
  <si>
    <r>
      <t>K</t>
    </r>
    <r>
      <rPr>
        <vertAlign val="subscript"/>
        <sz val="11"/>
        <color indexed="8"/>
        <rFont val="Calibri"/>
        <family val="2"/>
        <scheme val="minor"/>
      </rPr>
      <t>NHx,AMX,AS</t>
    </r>
  </si>
  <si>
    <r>
      <t>K</t>
    </r>
    <r>
      <rPr>
        <vertAlign val="subscript"/>
        <sz val="11"/>
        <color indexed="8"/>
        <rFont val="Calibri"/>
        <family val="2"/>
        <scheme val="minor"/>
      </rPr>
      <t>NO2,AMX,AS</t>
    </r>
  </si>
  <si>
    <r>
      <t>K</t>
    </r>
    <r>
      <rPr>
        <vertAlign val="subscript"/>
        <sz val="11"/>
        <color indexed="8"/>
        <rFont val="Calibri"/>
        <family val="2"/>
        <scheme val="minor"/>
      </rPr>
      <t>CO2,AMX,pH,AS</t>
    </r>
  </si>
  <si>
    <r>
      <t>K</t>
    </r>
    <r>
      <rPr>
        <vertAlign val="subscript"/>
        <sz val="11"/>
        <color indexed="8"/>
        <rFont val="Calibri"/>
        <family val="2"/>
        <scheme val="minor"/>
      </rPr>
      <t>NOx,AMX,AS</t>
    </r>
  </si>
  <si>
    <r>
      <t>θ</t>
    </r>
    <r>
      <rPr>
        <vertAlign val="subscript"/>
        <sz val="11"/>
        <color indexed="8"/>
        <rFont val="Calibri"/>
        <family val="2"/>
        <scheme val="minor"/>
      </rPr>
      <t>µ,AOB</t>
    </r>
  </si>
  <si>
    <t>Arrhenius coefficient for AOB growth</t>
  </si>
  <si>
    <r>
      <t>θ</t>
    </r>
    <r>
      <rPr>
        <vertAlign val="subscript"/>
        <sz val="11"/>
        <color indexed="8"/>
        <rFont val="Calibri"/>
        <family val="2"/>
        <scheme val="minor"/>
      </rPr>
      <t>b,AOB</t>
    </r>
  </si>
  <si>
    <t>Arrhenius coefficient for AOB decay</t>
  </si>
  <si>
    <r>
      <t>θ</t>
    </r>
    <r>
      <rPr>
        <vertAlign val="subscript"/>
        <sz val="11"/>
        <color indexed="8"/>
        <rFont val="Calibri"/>
        <family val="2"/>
        <scheme val="minor"/>
      </rPr>
      <t>µ,NOB</t>
    </r>
  </si>
  <si>
    <t>Arrhenius coefficient for NOB growth</t>
  </si>
  <si>
    <r>
      <t>θ</t>
    </r>
    <r>
      <rPr>
        <vertAlign val="subscript"/>
        <sz val="11"/>
        <color indexed="8"/>
        <rFont val="Calibri"/>
        <family val="2"/>
        <scheme val="minor"/>
      </rPr>
      <t>b,NOB</t>
    </r>
  </si>
  <si>
    <t>Arrhenius coefficient for NOB decay</t>
  </si>
  <si>
    <r>
      <t>θ</t>
    </r>
    <r>
      <rPr>
        <vertAlign val="subscript"/>
        <sz val="11"/>
        <color indexed="8"/>
        <rFont val="Calibri"/>
        <family val="2"/>
        <scheme val="minor"/>
      </rPr>
      <t>µ,AMX</t>
    </r>
  </si>
  <si>
    <t>Arrhenius coefficient for anammox growth</t>
  </si>
  <si>
    <r>
      <t>θ</t>
    </r>
    <r>
      <rPr>
        <vertAlign val="subscript"/>
        <sz val="11"/>
        <color indexed="8"/>
        <rFont val="Calibri"/>
        <family val="2"/>
        <scheme val="minor"/>
      </rPr>
      <t>b,AMX</t>
    </r>
  </si>
  <si>
    <t>Arrhenius coefficient for anammox decay</t>
  </si>
  <si>
    <r>
      <t>Y</t>
    </r>
    <r>
      <rPr>
        <vertAlign val="subscript"/>
        <sz val="11"/>
        <rFont val="Calibri"/>
        <family val="2"/>
        <scheme val="minor"/>
      </rPr>
      <t>AOB</t>
    </r>
  </si>
  <si>
    <r>
      <t>Y</t>
    </r>
    <r>
      <rPr>
        <vertAlign val="subscript"/>
        <sz val="11"/>
        <rFont val="Calibri"/>
        <family val="2"/>
        <scheme val="minor"/>
      </rPr>
      <t>NOB</t>
    </r>
  </si>
  <si>
    <r>
      <t>Y</t>
    </r>
    <r>
      <rPr>
        <vertAlign val="subscript"/>
        <sz val="11"/>
        <rFont val="Calibri"/>
        <family val="2"/>
        <scheme val="minor"/>
      </rPr>
      <t>AMX,NO2</t>
    </r>
  </si>
  <si>
    <r>
      <t>Y</t>
    </r>
    <r>
      <rPr>
        <vertAlign val="subscript"/>
        <sz val="11"/>
        <rFont val="Calibri"/>
        <family val="2"/>
        <scheme val="minor"/>
      </rPr>
      <t>AMX,NO3</t>
    </r>
  </si>
  <si>
    <t>BigReal</t>
  </si>
  <si>
    <r>
      <t>S</t>
    </r>
    <r>
      <rPr>
        <vertAlign val="subscript"/>
        <sz val="11"/>
        <rFont val="Calibri"/>
        <family val="2"/>
      </rPr>
      <t>NOx</t>
    </r>
  </si>
  <si>
    <t>Nitrite uptake rate (N2UR)</t>
  </si>
  <si>
    <r>
      <t>K</t>
    </r>
    <r>
      <rPr>
        <vertAlign val="subscript"/>
        <sz val="11"/>
        <rFont val="Calibri"/>
        <family val="2"/>
        <scheme val="minor"/>
      </rPr>
      <t>NHx,AOB</t>
    </r>
  </si>
  <si>
    <r>
      <t>K</t>
    </r>
    <r>
      <rPr>
        <vertAlign val="subscript"/>
        <sz val="11"/>
        <rFont val="Calibri"/>
        <family val="2"/>
      </rPr>
      <t>NHx,AOB,AS</t>
    </r>
  </si>
  <si>
    <r>
      <t>K</t>
    </r>
    <r>
      <rPr>
        <vertAlign val="subscript"/>
        <sz val="11"/>
        <rFont val="Calibri"/>
        <family val="2"/>
        <scheme val="minor"/>
      </rPr>
      <t>CO2,AOB,pH</t>
    </r>
  </si>
  <si>
    <r>
      <t>K</t>
    </r>
    <r>
      <rPr>
        <vertAlign val="subscript"/>
        <sz val="11"/>
        <rFont val="Calibri"/>
        <family val="2"/>
      </rPr>
      <t>CO2,AOB,pH,AS</t>
    </r>
  </si>
  <si>
    <r>
      <t>K</t>
    </r>
    <r>
      <rPr>
        <vertAlign val="subscript"/>
        <sz val="11"/>
        <rFont val="Calibri"/>
        <family val="2"/>
      </rPr>
      <t>CO2,AOB,pH,sidestream</t>
    </r>
  </si>
  <si>
    <r>
      <t>K</t>
    </r>
    <r>
      <rPr>
        <vertAlign val="subscript"/>
        <sz val="11"/>
        <rFont val="Calibri"/>
        <family val="2"/>
        <scheme val="minor"/>
      </rPr>
      <t>O2,AOB</t>
    </r>
  </si>
  <si>
    <r>
      <t>K</t>
    </r>
    <r>
      <rPr>
        <vertAlign val="subscript"/>
        <sz val="11"/>
        <rFont val="Calibri"/>
        <family val="2"/>
      </rPr>
      <t>O2,AOB,AS</t>
    </r>
  </si>
  <si>
    <r>
      <t>K</t>
    </r>
    <r>
      <rPr>
        <vertAlign val="subscript"/>
        <sz val="11"/>
        <rFont val="Calibri"/>
        <family val="2"/>
      </rPr>
      <t>O2,AOB,sidestream</t>
    </r>
  </si>
  <si>
    <r>
      <t>K</t>
    </r>
    <r>
      <rPr>
        <vertAlign val="subscript"/>
        <sz val="11"/>
        <rFont val="Calibri"/>
        <family val="2"/>
        <scheme val="minor"/>
      </rPr>
      <t>NOx,AOB</t>
    </r>
  </si>
  <si>
    <r>
      <t>K</t>
    </r>
    <r>
      <rPr>
        <vertAlign val="subscript"/>
        <sz val="11"/>
        <rFont val="Calibri"/>
        <family val="2"/>
      </rPr>
      <t>NOx,AOB,AS</t>
    </r>
  </si>
  <si>
    <r>
      <t>K</t>
    </r>
    <r>
      <rPr>
        <vertAlign val="subscript"/>
        <sz val="11"/>
        <rFont val="Calibri"/>
        <family val="2"/>
        <scheme val="minor"/>
      </rPr>
      <t>NO2,NOB</t>
    </r>
  </si>
  <si>
    <r>
      <t>K</t>
    </r>
    <r>
      <rPr>
        <vertAlign val="subscript"/>
        <sz val="11"/>
        <rFont val="Calibri"/>
        <family val="2"/>
      </rPr>
      <t>NO2,NOB,AS</t>
    </r>
  </si>
  <si>
    <r>
      <t>K</t>
    </r>
    <r>
      <rPr>
        <vertAlign val="subscript"/>
        <sz val="11"/>
        <rFont val="Calibri"/>
        <family val="2"/>
        <scheme val="minor"/>
      </rPr>
      <t>CO2,NOB,pH</t>
    </r>
  </si>
  <si>
    <r>
      <t>K</t>
    </r>
    <r>
      <rPr>
        <vertAlign val="subscript"/>
        <sz val="11"/>
        <rFont val="Calibri"/>
        <family val="2"/>
      </rPr>
      <t>CO2,NOB,pH,AS</t>
    </r>
  </si>
  <si>
    <r>
      <t>K</t>
    </r>
    <r>
      <rPr>
        <vertAlign val="subscript"/>
        <sz val="11"/>
        <rFont val="Calibri"/>
        <family val="2"/>
        <scheme val="minor"/>
      </rPr>
      <t>O2,NOB</t>
    </r>
  </si>
  <si>
    <r>
      <t>K</t>
    </r>
    <r>
      <rPr>
        <vertAlign val="subscript"/>
        <sz val="11"/>
        <rFont val="Calibri"/>
        <family val="2"/>
      </rPr>
      <t>O2,NOB,AS</t>
    </r>
  </si>
  <si>
    <r>
      <t>K</t>
    </r>
    <r>
      <rPr>
        <vertAlign val="subscript"/>
        <sz val="11"/>
        <rFont val="Calibri"/>
        <family val="2"/>
      </rPr>
      <t>O2,NOB,sidestream</t>
    </r>
  </si>
  <si>
    <r>
      <t>K</t>
    </r>
    <r>
      <rPr>
        <vertAlign val="subscript"/>
        <sz val="11"/>
        <rFont val="Calibri"/>
        <family val="2"/>
        <scheme val="minor"/>
      </rPr>
      <t>NOx,NOB</t>
    </r>
  </si>
  <si>
    <r>
      <t>K</t>
    </r>
    <r>
      <rPr>
        <vertAlign val="subscript"/>
        <sz val="11"/>
        <rFont val="Calibri"/>
        <family val="2"/>
      </rPr>
      <t>NOx,NOB,AS</t>
    </r>
  </si>
  <si>
    <r>
      <t>K</t>
    </r>
    <r>
      <rPr>
        <vertAlign val="subscript"/>
        <sz val="11"/>
        <rFont val="Calibri"/>
        <family val="2"/>
        <scheme val="minor"/>
      </rPr>
      <t>NHx,AMX</t>
    </r>
  </si>
  <si>
    <r>
      <t>K</t>
    </r>
    <r>
      <rPr>
        <vertAlign val="subscript"/>
        <sz val="11"/>
        <rFont val="Calibri"/>
        <family val="2"/>
      </rPr>
      <t>NHx,AMX,AS</t>
    </r>
  </si>
  <si>
    <r>
      <t>K</t>
    </r>
    <r>
      <rPr>
        <vertAlign val="subscript"/>
        <sz val="11"/>
        <rFont val="Calibri"/>
        <family val="2"/>
        <scheme val="minor"/>
      </rPr>
      <t>NO2,AMX</t>
    </r>
  </si>
  <si>
    <r>
      <t>K</t>
    </r>
    <r>
      <rPr>
        <vertAlign val="subscript"/>
        <sz val="11"/>
        <rFont val="Calibri"/>
        <family val="2"/>
      </rPr>
      <t>NO2,AMX,AS</t>
    </r>
  </si>
  <si>
    <r>
      <t>K</t>
    </r>
    <r>
      <rPr>
        <vertAlign val="subscript"/>
        <sz val="11"/>
        <rFont val="Calibri"/>
        <family val="2"/>
        <scheme val="minor"/>
      </rPr>
      <t>CO2,AMX,pH</t>
    </r>
  </si>
  <si>
    <r>
      <t>K</t>
    </r>
    <r>
      <rPr>
        <vertAlign val="subscript"/>
        <sz val="11"/>
        <rFont val="Calibri"/>
        <family val="2"/>
      </rPr>
      <t>CO2,AMX,pH,AS</t>
    </r>
  </si>
  <si>
    <r>
      <t>K</t>
    </r>
    <r>
      <rPr>
        <vertAlign val="subscript"/>
        <sz val="11"/>
        <rFont val="Calibri"/>
        <family val="2"/>
        <scheme val="minor"/>
      </rPr>
      <t>NOx,AMX</t>
    </r>
  </si>
  <si>
    <r>
      <t>K</t>
    </r>
    <r>
      <rPr>
        <vertAlign val="subscript"/>
        <sz val="11"/>
        <rFont val="Calibri"/>
        <family val="2"/>
      </rPr>
      <t>NOx,AMX,AS</t>
    </r>
  </si>
  <si>
    <r>
      <t>K</t>
    </r>
    <r>
      <rPr>
        <vertAlign val="subscript"/>
        <sz val="11"/>
        <rFont val="Calibri"/>
        <family val="2"/>
      </rPr>
      <t>NO2,OHO</t>
    </r>
  </si>
  <si>
    <r>
      <t>K</t>
    </r>
    <r>
      <rPr>
        <vertAlign val="subscript"/>
        <sz val="11"/>
        <rFont val="Calibri"/>
        <family val="2"/>
      </rPr>
      <t>NO2,OHO,AS</t>
    </r>
  </si>
  <si>
    <r>
      <t>K</t>
    </r>
    <r>
      <rPr>
        <vertAlign val="subscript"/>
        <sz val="11"/>
        <rFont val="Calibri"/>
        <family val="2"/>
      </rPr>
      <t>NO2,MEOLO</t>
    </r>
  </si>
  <si>
    <r>
      <t>K</t>
    </r>
    <r>
      <rPr>
        <vertAlign val="subscript"/>
        <sz val="11"/>
        <rFont val="Calibri"/>
        <family val="2"/>
      </rPr>
      <t>NO2,MEOLO,AS</t>
    </r>
  </si>
  <si>
    <r>
      <t>K</t>
    </r>
    <r>
      <rPr>
        <vertAlign val="subscript"/>
        <sz val="11"/>
        <rFont val="Calibri"/>
        <family val="2"/>
        <scheme val="minor"/>
      </rPr>
      <t>NO2,ASSIM</t>
    </r>
  </si>
  <si>
    <r>
      <t>K</t>
    </r>
    <r>
      <rPr>
        <vertAlign val="subscript"/>
        <sz val="11"/>
        <rFont val="Calibri"/>
        <family val="2"/>
        <scheme val="minor"/>
      </rPr>
      <t>NO2,ASSIM,AS</t>
    </r>
  </si>
  <si>
    <r>
      <t>K</t>
    </r>
    <r>
      <rPr>
        <vertAlign val="subscript"/>
        <sz val="11"/>
        <rFont val="Calibri"/>
        <family val="2"/>
        <scheme val="minor"/>
      </rPr>
      <t>NO3,ASSIM</t>
    </r>
  </si>
  <si>
    <r>
      <t>K</t>
    </r>
    <r>
      <rPr>
        <vertAlign val="subscript"/>
        <sz val="11"/>
        <rFont val="Calibri"/>
        <family val="2"/>
        <scheme val="minor"/>
      </rPr>
      <t>NO3,ASSIM,AS</t>
    </r>
  </si>
  <si>
    <r>
      <t>NO</t>
    </r>
    <r>
      <rPr>
        <vertAlign val="subscript"/>
        <sz val="11"/>
        <color rgb="FF000000"/>
        <rFont val="Calibri"/>
        <family val="2"/>
        <scheme val="minor"/>
      </rPr>
      <t>2</t>
    </r>
    <r>
      <rPr>
        <sz val="11"/>
        <color rgb="FF000000"/>
        <rFont val="Calibri"/>
        <family val="2"/>
        <charset val="238"/>
        <scheme val="minor"/>
      </rPr>
      <t xml:space="preserve"> assimilative reduction</t>
    </r>
  </si>
  <si>
    <r>
      <t>MinhpH</t>
    </r>
    <r>
      <rPr>
        <vertAlign val="subscript"/>
        <sz val="11"/>
        <rFont val="Calibri"/>
        <family val="2"/>
        <scheme val="minor"/>
      </rPr>
      <t>HNO2,AOB</t>
    </r>
  </si>
  <si>
    <r>
      <t>LogsatpH</t>
    </r>
    <r>
      <rPr>
        <vertAlign val="subscript"/>
        <sz val="11"/>
        <rFont val="Calibri"/>
        <family val="2"/>
        <scheme val="minor"/>
      </rPr>
      <t>CO2,AOB</t>
    </r>
  </si>
  <si>
    <r>
      <t>MinhpH</t>
    </r>
    <r>
      <rPr>
        <vertAlign val="subscript"/>
        <sz val="11"/>
        <rFont val="Calibri"/>
        <family val="2"/>
        <scheme val="minor"/>
      </rPr>
      <t>NH3,NOB</t>
    </r>
  </si>
  <si>
    <r>
      <t>LogsatpH</t>
    </r>
    <r>
      <rPr>
        <vertAlign val="subscript"/>
        <sz val="11"/>
        <rFont val="Calibri"/>
        <family val="2"/>
        <scheme val="minor"/>
      </rPr>
      <t>CO2,NOB</t>
    </r>
  </si>
  <si>
    <r>
      <t>LogsatpH</t>
    </r>
    <r>
      <rPr>
        <vertAlign val="subscript"/>
        <sz val="11"/>
        <rFont val="Calibri"/>
        <family val="2"/>
        <scheme val="minor"/>
      </rPr>
      <t>CO2,AMX</t>
    </r>
  </si>
  <si>
    <r>
      <t>MinhpH</t>
    </r>
    <r>
      <rPr>
        <vertAlign val="subscript"/>
        <sz val="11"/>
        <rFont val="Calibri"/>
        <family val="2"/>
        <scheme val="minor"/>
      </rPr>
      <t>HNO2,AMX</t>
    </r>
  </si>
  <si>
    <r>
      <t>Minh</t>
    </r>
    <r>
      <rPr>
        <vertAlign val="subscript"/>
        <sz val="11"/>
        <rFont val="Calibri"/>
        <family val="2"/>
        <scheme val="minor"/>
      </rPr>
      <t>SNO2,KNO2,OHO</t>
    </r>
  </si>
  <si>
    <r>
      <t>Minh(S</t>
    </r>
    <r>
      <rPr>
        <vertAlign val="subscript"/>
        <sz val="11"/>
        <rFont val="Calibri"/>
        <family val="2"/>
        <scheme val="minor"/>
      </rPr>
      <t>NO2</t>
    </r>
    <r>
      <rPr>
        <sz val="11"/>
        <rFont val="Calibri"/>
        <family val="2"/>
        <scheme val="minor"/>
      </rPr>
      <t>;K</t>
    </r>
    <r>
      <rPr>
        <vertAlign val="subscript"/>
        <sz val="11"/>
        <rFont val="Calibri"/>
        <family val="2"/>
        <scheme val="minor"/>
      </rPr>
      <t>NO2,OHO</t>
    </r>
    <r>
      <rPr>
        <sz val="11"/>
        <rFont val="Calibri"/>
        <family val="2"/>
        <scheme val="minor"/>
      </rPr>
      <t>)</t>
    </r>
  </si>
  <si>
    <r>
      <t>Minh</t>
    </r>
    <r>
      <rPr>
        <vertAlign val="subscript"/>
        <sz val="11"/>
        <rFont val="Calibri"/>
        <family val="2"/>
        <scheme val="minor"/>
      </rPr>
      <t>SNO3,KNO3,OHO</t>
    </r>
  </si>
  <si>
    <r>
      <t>Minh(S</t>
    </r>
    <r>
      <rPr>
        <vertAlign val="subscript"/>
        <sz val="11"/>
        <rFont val="Calibri"/>
        <family val="2"/>
        <scheme val="minor"/>
      </rPr>
      <t>NO3</t>
    </r>
    <r>
      <rPr>
        <sz val="11"/>
        <rFont val="Calibri"/>
        <family val="2"/>
        <scheme val="minor"/>
      </rPr>
      <t>;K</t>
    </r>
    <r>
      <rPr>
        <vertAlign val="subscript"/>
        <sz val="11"/>
        <rFont val="Calibri"/>
        <family val="2"/>
        <scheme val="minor"/>
      </rPr>
      <t>NO3,OHO</t>
    </r>
    <r>
      <rPr>
        <sz val="11"/>
        <rFont val="Calibri"/>
        <family val="2"/>
        <scheme val="minor"/>
      </rPr>
      <t>)</t>
    </r>
  </si>
  <si>
    <r>
      <t>Minh</t>
    </r>
    <r>
      <rPr>
        <vertAlign val="subscript"/>
        <sz val="11"/>
        <rFont val="Calibri"/>
        <family val="2"/>
        <scheme val="minor"/>
      </rPr>
      <t>SNO2,KNO2,MEOLO</t>
    </r>
  </si>
  <si>
    <r>
      <t>Minh(S</t>
    </r>
    <r>
      <rPr>
        <vertAlign val="subscript"/>
        <sz val="11"/>
        <rFont val="Calibri"/>
        <family val="2"/>
        <scheme val="minor"/>
      </rPr>
      <t>NO2</t>
    </r>
    <r>
      <rPr>
        <sz val="11"/>
        <rFont val="Calibri"/>
        <family val="2"/>
        <scheme val="minor"/>
      </rPr>
      <t>;K</t>
    </r>
    <r>
      <rPr>
        <vertAlign val="subscript"/>
        <sz val="11"/>
        <rFont val="Calibri"/>
        <family val="2"/>
        <scheme val="minor"/>
      </rPr>
      <t>NO2,MEOLO</t>
    </r>
    <r>
      <rPr>
        <sz val="11"/>
        <rFont val="Calibri"/>
        <family val="2"/>
        <scheme val="minor"/>
      </rPr>
      <t>)</t>
    </r>
  </si>
  <si>
    <r>
      <t>Minh</t>
    </r>
    <r>
      <rPr>
        <vertAlign val="subscript"/>
        <sz val="11"/>
        <rFont val="Calibri"/>
        <family val="2"/>
        <scheme val="minor"/>
      </rPr>
      <t>SNO3,KNO3,MEOLO</t>
    </r>
  </si>
  <si>
    <r>
      <t>Minh(S</t>
    </r>
    <r>
      <rPr>
        <vertAlign val="subscript"/>
        <sz val="11"/>
        <rFont val="Calibri"/>
        <family val="2"/>
        <scheme val="minor"/>
      </rPr>
      <t>NO3</t>
    </r>
    <r>
      <rPr>
        <sz val="11"/>
        <rFont val="Calibri"/>
        <family val="2"/>
        <scheme val="minor"/>
      </rPr>
      <t>;K</t>
    </r>
    <r>
      <rPr>
        <vertAlign val="subscript"/>
        <sz val="11"/>
        <rFont val="Calibri"/>
        <family val="2"/>
        <scheme val="minor"/>
      </rPr>
      <t>NO3,MEOLO</t>
    </r>
    <r>
      <rPr>
        <sz val="11"/>
        <rFont val="Calibri"/>
        <family val="2"/>
        <scheme val="minor"/>
      </rPr>
      <t>)</t>
    </r>
  </si>
  <si>
    <r>
      <t>Msat</t>
    </r>
    <r>
      <rPr>
        <vertAlign val="subscript"/>
        <sz val="11"/>
        <rFont val="Calibri"/>
        <family val="2"/>
      </rPr>
      <t>SNO2,KNO2,MEOLO</t>
    </r>
  </si>
  <si>
    <r>
      <t>Msat(S</t>
    </r>
    <r>
      <rPr>
        <vertAlign val="subscript"/>
        <sz val="11"/>
        <rFont val="Calibri"/>
        <family val="2"/>
      </rPr>
      <t>NO2</t>
    </r>
    <r>
      <rPr>
        <sz val="11"/>
        <rFont val="Calibri"/>
        <family val="2"/>
      </rPr>
      <t>;K</t>
    </r>
    <r>
      <rPr>
        <vertAlign val="subscript"/>
        <sz val="11"/>
        <rFont val="Calibri"/>
        <family val="2"/>
      </rPr>
      <t>NO2,MEOLO</t>
    </r>
    <r>
      <rPr>
        <sz val="11"/>
        <rFont val="Calibri"/>
        <family val="2"/>
      </rPr>
      <t>)</t>
    </r>
  </si>
  <si>
    <r>
      <t>Msat</t>
    </r>
    <r>
      <rPr>
        <vertAlign val="subscript"/>
        <sz val="11"/>
        <rFont val="Calibri"/>
        <family val="2"/>
      </rPr>
      <t>SNO3,KNO3,MEOLO</t>
    </r>
  </si>
  <si>
    <r>
      <t>Msat(S</t>
    </r>
    <r>
      <rPr>
        <vertAlign val="subscript"/>
        <sz val="11"/>
        <rFont val="Calibri"/>
        <family val="2"/>
      </rPr>
      <t>NO3</t>
    </r>
    <r>
      <rPr>
        <sz val="11"/>
        <rFont val="Calibri"/>
        <family val="2"/>
      </rPr>
      <t>;K</t>
    </r>
    <r>
      <rPr>
        <vertAlign val="subscript"/>
        <sz val="11"/>
        <rFont val="Calibri"/>
        <family val="2"/>
      </rPr>
      <t>NO3,MEOLO</t>
    </r>
    <r>
      <rPr>
        <sz val="11"/>
        <rFont val="Calibri"/>
        <family val="2"/>
      </rPr>
      <t>)</t>
    </r>
  </si>
  <si>
    <r>
      <t>Minh</t>
    </r>
    <r>
      <rPr>
        <vertAlign val="subscript"/>
        <sz val="11"/>
        <rFont val="Calibri"/>
        <family val="2"/>
      </rPr>
      <t>SO2,KO2,AOB</t>
    </r>
  </si>
  <si>
    <r>
      <t>Minh(S</t>
    </r>
    <r>
      <rPr>
        <vertAlign val="subscript"/>
        <sz val="11"/>
        <rFont val="Calibri"/>
        <family val="2"/>
      </rPr>
      <t>O2</t>
    </r>
    <r>
      <rPr>
        <sz val="11"/>
        <rFont val="Calibri"/>
        <family val="2"/>
      </rPr>
      <t>;K</t>
    </r>
    <r>
      <rPr>
        <vertAlign val="subscript"/>
        <sz val="11"/>
        <rFont val="Calibri"/>
        <family val="2"/>
      </rPr>
      <t>O2,AOB</t>
    </r>
    <r>
      <rPr>
        <sz val="11"/>
        <rFont val="Calibri"/>
        <family val="2"/>
      </rPr>
      <t>)</t>
    </r>
  </si>
  <si>
    <r>
      <t>Msat</t>
    </r>
    <r>
      <rPr>
        <vertAlign val="subscript"/>
        <sz val="11"/>
        <rFont val="Calibri"/>
        <family val="2"/>
      </rPr>
      <t>SNHx,KNHx,AOB</t>
    </r>
  </si>
  <si>
    <r>
      <t>Msat(S</t>
    </r>
    <r>
      <rPr>
        <vertAlign val="subscript"/>
        <sz val="11"/>
        <rFont val="Calibri"/>
        <family val="2"/>
      </rPr>
      <t>NHx</t>
    </r>
    <r>
      <rPr>
        <sz val="11"/>
        <rFont val="Calibri"/>
        <family val="2"/>
      </rPr>
      <t>;K</t>
    </r>
    <r>
      <rPr>
        <vertAlign val="subscript"/>
        <sz val="11"/>
        <rFont val="Calibri"/>
        <family val="2"/>
      </rPr>
      <t>NHx,AOB</t>
    </r>
    <r>
      <rPr>
        <sz val="11"/>
        <rFont val="Calibri"/>
        <family val="2"/>
      </rPr>
      <t>)</t>
    </r>
  </si>
  <si>
    <r>
      <t>Msat</t>
    </r>
    <r>
      <rPr>
        <vertAlign val="subscript"/>
        <sz val="11"/>
        <rFont val="Calibri"/>
        <family val="2"/>
      </rPr>
      <t>SO2,KO2,AOB</t>
    </r>
  </si>
  <si>
    <r>
      <t>Msat(S</t>
    </r>
    <r>
      <rPr>
        <vertAlign val="subscript"/>
        <sz val="11"/>
        <rFont val="Calibri"/>
        <family val="2"/>
      </rPr>
      <t>O2</t>
    </r>
    <r>
      <rPr>
        <sz val="11"/>
        <rFont val="Calibri"/>
        <family val="2"/>
      </rPr>
      <t>;K</t>
    </r>
    <r>
      <rPr>
        <vertAlign val="subscript"/>
        <sz val="11"/>
        <rFont val="Calibri"/>
        <family val="2"/>
      </rPr>
      <t>O2,AOB</t>
    </r>
    <r>
      <rPr>
        <sz val="11"/>
        <rFont val="Calibri"/>
        <family val="2"/>
      </rPr>
      <t>)</t>
    </r>
  </si>
  <si>
    <r>
      <t>Minh</t>
    </r>
    <r>
      <rPr>
        <vertAlign val="subscript"/>
        <sz val="11"/>
        <rFont val="Calibri"/>
        <family val="2"/>
      </rPr>
      <t>SO2,KO2,NOB</t>
    </r>
  </si>
  <si>
    <r>
      <t>Minh(S</t>
    </r>
    <r>
      <rPr>
        <vertAlign val="subscript"/>
        <sz val="11"/>
        <rFont val="Calibri"/>
        <family val="2"/>
      </rPr>
      <t>O2</t>
    </r>
    <r>
      <rPr>
        <sz val="11"/>
        <rFont val="Calibri"/>
        <family val="2"/>
      </rPr>
      <t>;K</t>
    </r>
    <r>
      <rPr>
        <vertAlign val="subscript"/>
        <sz val="11"/>
        <rFont val="Calibri"/>
        <family val="2"/>
      </rPr>
      <t>O2,NOB</t>
    </r>
    <r>
      <rPr>
        <sz val="11"/>
        <rFont val="Calibri"/>
        <family val="2"/>
      </rPr>
      <t>)</t>
    </r>
  </si>
  <si>
    <r>
      <t>Msat</t>
    </r>
    <r>
      <rPr>
        <vertAlign val="subscript"/>
        <sz val="11"/>
        <rFont val="Calibri"/>
        <family val="2"/>
      </rPr>
      <t>SNO2,KNO2,NOB</t>
    </r>
  </si>
  <si>
    <r>
      <t>Msat(S</t>
    </r>
    <r>
      <rPr>
        <vertAlign val="subscript"/>
        <sz val="11"/>
        <rFont val="Calibri"/>
        <family val="2"/>
      </rPr>
      <t>NO2</t>
    </r>
    <r>
      <rPr>
        <sz val="11"/>
        <rFont val="Calibri"/>
        <family val="2"/>
      </rPr>
      <t>;K</t>
    </r>
    <r>
      <rPr>
        <vertAlign val="subscript"/>
        <sz val="11"/>
        <rFont val="Calibri"/>
        <family val="2"/>
      </rPr>
      <t>NO2,NOB</t>
    </r>
    <r>
      <rPr>
        <sz val="11"/>
        <rFont val="Calibri"/>
        <family val="2"/>
      </rPr>
      <t>)</t>
    </r>
  </si>
  <si>
    <r>
      <t>Msat</t>
    </r>
    <r>
      <rPr>
        <vertAlign val="subscript"/>
        <sz val="11"/>
        <rFont val="Calibri"/>
        <family val="2"/>
      </rPr>
      <t>SO2,KO2,NOB</t>
    </r>
  </si>
  <si>
    <r>
      <t>Msat(S</t>
    </r>
    <r>
      <rPr>
        <vertAlign val="subscript"/>
        <sz val="11"/>
        <rFont val="Calibri"/>
        <family val="2"/>
      </rPr>
      <t>O2</t>
    </r>
    <r>
      <rPr>
        <sz val="11"/>
        <rFont val="Calibri"/>
        <family val="2"/>
      </rPr>
      <t>;K</t>
    </r>
    <r>
      <rPr>
        <vertAlign val="subscript"/>
        <sz val="11"/>
        <rFont val="Calibri"/>
        <family val="2"/>
      </rPr>
      <t>O2,NOB</t>
    </r>
    <r>
      <rPr>
        <sz val="11"/>
        <rFont val="Calibri"/>
        <family val="2"/>
      </rPr>
      <t>)</t>
    </r>
  </si>
  <si>
    <r>
      <t>Msat</t>
    </r>
    <r>
      <rPr>
        <vertAlign val="subscript"/>
        <sz val="11"/>
        <rFont val="Calibri"/>
        <family val="2"/>
      </rPr>
      <t>SNHx,KNHx,AMX</t>
    </r>
  </si>
  <si>
    <r>
      <t>Msat(S</t>
    </r>
    <r>
      <rPr>
        <vertAlign val="subscript"/>
        <sz val="11"/>
        <rFont val="Calibri"/>
        <family val="2"/>
      </rPr>
      <t>NHx</t>
    </r>
    <r>
      <rPr>
        <sz val="11"/>
        <rFont val="Calibri"/>
        <family val="2"/>
      </rPr>
      <t>;K</t>
    </r>
    <r>
      <rPr>
        <vertAlign val="subscript"/>
        <sz val="11"/>
        <rFont val="Calibri"/>
        <family val="2"/>
      </rPr>
      <t>NHx,AMX</t>
    </r>
    <r>
      <rPr>
        <sz val="11"/>
        <rFont val="Calibri"/>
        <family val="2"/>
      </rPr>
      <t>)</t>
    </r>
  </si>
  <si>
    <r>
      <t>Msat</t>
    </r>
    <r>
      <rPr>
        <vertAlign val="subscript"/>
        <sz val="11"/>
        <rFont val="Calibri"/>
        <family val="2"/>
      </rPr>
      <t>SNO2,KNO2,AMX</t>
    </r>
  </si>
  <si>
    <r>
      <t>Msat(S</t>
    </r>
    <r>
      <rPr>
        <vertAlign val="subscript"/>
        <sz val="11"/>
        <rFont val="Calibri"/>
        <family val="2"/>
      </rPr>
      <t>NO2</t>
    </r>
    <r>
      <rPr>
        <sz val="11"/>
        <rFont val="Calibri"/>
        <family val="2"/>
      </rPr>
      <t>;K</t>
    </r>
    <r>
      <rPr>
        <vertAlign val="subscript"/>
        <sz val="11"/>
        <rFont val="Calibri"/>
        <family val="2"/>
      </rPr>
      <t>NO2,AMX</t>
    </r>
    <r>
      <rPr>
        <sz val="11"/>
        <rFont val="Calibri"/>
        <family val="2"/>
      </rPr>
      <t>)</t>
    </r>
  </si>
  <si>
    <r>
      <t>µ</t>
    </r>
    <r>
      <rPr>
        <vertAlign val="subscript"/>
        <sz val="11"/>
        <color indexed="8"/>
        <rFont val="Calibri"/>
        <family val="2"/>
        <charset val="238"/>
      </rPr>
      <t>AOB,T</t>
    </r>
  </si>
  <si>
    <r>
      <t>µ</t>
    </r>
    <r>
      <rPr>
        <vertAlign val="subscript"/>
        <sz val="11"/>
        <color indexed="8"/>
        <rFont val="Calibri"/>
        <family val="2"/>
        <charset val="238"/>
      </rPr>
      <t>AOB</t>
    </r>
    <r>
      <rPr>
        <sz val="11"/>
        <color indexed="8"/>
        <rFont val="Calibri"/>
        <family val="2"/>
      </rPr>
      <t>*Arrh(θ</t>
    </r>
    <r>
      <rPr>
        <vertAlign val="subscript"/>
        <sz val="11"/>
        <color indexed="8"/>
        <rFont val="Calibri"/>
        <family val="2"/>
        <charset val="238"/>
      </rPr>
      <t>µ,AOB</t>
    </r>
    <r>
      <rPr>
        <sz val="11"/>
        <color indexed="8"/>
        <rFont val="Calibri"/>
        <family val="2"/>
      </rPr>
      <t>; T; T</t>
    </r>
    <r>
      <rPr>
        <vertAlign val="subscript"/>
        <sz val="11"/>
        <color indexed="8"/>
        <rFont val="Calibri"/>
        <family val="2"/>
        <charset val="238"/>
      </rPr>
      <t>base</t>
    </r>
    <r>
      <rPr>
        <sz val="11"/>
        <color indexed="8"/>
        <rFont val="Calibri"/>
        <family val="2"/>
      </rPr>
      <t>)</t>
    </r>
  </si>
  <si>
    <r>
      <t>b</t>
    </r>
    <r>
      <rPr>
        <vertAlign val="subscript"/>
        <sz val="11"/>
        <color indexed="8"/>
        <rFont val="Calibri"/>
        <family val="2"/>
        <charset val="238"/>
      </rPr>
      <t>AOB,T</t>
    </r>
  </si>
  <si>
    <r>
      <t>b</t>
    </r>
    <r>
      <rPr>
        <vertAlign val="subscript"/>
        <sz val="11"/>
        <color indexed="8"/>
        <rFont val="Calibri"/>
        <family val="2"/>
        <charset val="238"/>
      </rPr>
      <t>AOB</t>
    </r>
    <r>
      <rPr>
        <sz val="11"/>
        <color indexed="8"/>
        <rFont val="Calibri"/>
        <family val="2"/>
      </rPr>
      <t>*Arrh(θ</t>
    </r>
    <r>
      <rPr>
        <vertAlign val="subscript"/>
        <sz val="11"/>
        <color indexed="8"/>
        <rFont val="Calibri"/>
        <family val="2"/>
        <charset val="238"/>
      </rPr>
      <t>b,AOB</t>
    </r>
    <r>
      <rPr>
        <sz val="11"/>
        <color indexed="8"/>
        <rFont val="Calibri"/>
        <family val="2"/>
      </rPr>
      <t>; T; T</t>
    </r>
    <r>
      <rPr>
        <vertAlign val="subscript"/>
        <sz val="11"/>
        <color indexed="8"/>
        <rFont val="Calibri"/>
        <family val="2"/>
        <charset val="238"/>
      </rPr>
      <t>base</t>
    </r>
    <r>
      <rPr>
        <sz val="11"/>
        <color indexed="8"/>
        <rFont val="Calibri"/>
        <family val="2"/>
      </rPr>
      <t>)</t>
    </r>
  </si>
  <si>
    <r>
      <t>µ</t>
    </r>
    <r>
      <rPr>
        <vertAlign val="subscript"/>
        <sz val="11"/>
        <color indexed="8"/>
        <rFont val="Calibri"/>
        <family val="2"/>
        <charset val="238"/>
      </rPr>
      <t>NOB,T</t>
    </r>
  </si>
  <si>
    <r>
      <t>µ</t>
    </r>
    <r>
      <rPr>
        <vertAlign val="subscript"/>
        <sz val="11"/>
        <color indexed="8"/>
        <rFont val="Calibri"/>
        <family val="2"/>
        <charset val="238"/>
      </rPr>
      <t>NOB</t>
    </r>
    <r>
      <rPr>
        <sz val="11"/>
        <color indexed="8"/>
        <rFont val="Calibri"/>
        <family val="2"/>
      </rPr>
      <t>*Arrh(θ</t>
    </r>
    <r>
      <rPr>
        <vertAlign val="subscript"/>
        <sz val="11"/>
        <color indexed="8"/>
        <rFont val="Calibri"/>
        <family val="2"/>
        <charset val="238"/>
      </rPr>
      <t>µ,NOB</t>
    </r>
    <r>
      <rPr>
        <sz val="11"/>
        <color indexed="8"/>
        <rFont val="Calibri"/>
        <family val="2"/>
      </rPr>
      <t>; T; T</t>
    </r>
    <r>
      <rPr>
        <vertAlign val="subscript"/>
        <sz val="11"/>
        <color indexed="8"/>
        <rFont val="Calibri"/>
        <family val="2"/>
        <charset val="238"/>
      </rPr>
      <t>base</t>
    </r>
    <r>
      <rPr>
        <sz val="11"/>
        <color indexed="8"/>
        <rFont val="Calibri"/>
        <family val="2"/>
      </rPr>
      <t>)</t>
    </r>
  </si>
  <si>
    <r>
      <t>b</t>
    </r>
    <r>
      <rPr>
        <vertAlign val="subscript"/>
        <sz val="11"/>
        <color indexed="8"/>
        <rFont val="Calibri"/>
        <family val="2"/>
        <charset val="238"/>
      </rPr>
      <t>NOB,T</t>
    </r>
  </si>
  <si>
    <r>
      <t>b</t>
    </r>
    <r>
      <rPr>
        <vertAlign val="subscript"/>
        <sz val="11"/>
        <color indexed="8"/>
        <rFont val="Calibri"/>
        <family val="2"/>
        <charset val="238"/>
      </rPr>
      <t>NOB</t>
    </r>
    <r>
      <rPr>
        <sz val="11"/>
        <color indexed="8"/>
        <rFont val="Calibri"/>
        <family val="2"/>
      </rPr>
      <t>*Arrh(θ</t>
    </r>
    <r>
      <rPr>
        <vertAlign val="subscript"/>
        <sz val="11"/>
        <color indexed="8"/>
        <rFont val="Calibri"/>
        <family val="2"/>
        <charset val="238"/>
      </rPr>
      <t>b,NOB</t>
    </r>
    <r>
      <rPr>
        <sz val="11"/>
        <color indexed="8"/>
        <rFont val="Calibri"/>
        <family val="2"/>
      </rPr>
      <t>; T; T</t>
    </r>
    <r>
      <rPr>
        <vertAlign val="subscript"/>
        <sz val="11"/>
        <color indexed="8"/>
        <rFont val="Calibri"/>
        <family val="2"/>
        <charset val="238"/>
      </rPr>
      <t>base</t>
    </r>
    <r>
      <rPr>
        <sz val="11"/>
        <color indexed="8"/>
        <rFont val="Calibri"/>
        <family val="2"/>
      </rPr>
      <t>)</t>
    </r>
  </si>
  <si>
    <r>
      <t>µ</t>
    </r>
    <r>
      <rPr>
        <vertAlign val="subscript"/>
        <sz val="11"/>
        <color indexed="8"/>
        <rFont val="Calibri"/>
        <family val="2"/>
        <charset val="238"/>
      </rPr>
      <t>AMX,T</t>
    </r>
  </si>
  <si>
    <r>
      <t>µ</t>
    </r>
    <r>
      <rPr>
        <vertAlign val="subscript"/>
        <sz val="11"/>
        <color indexed="8"/>
        <rFont val="Calibri"/>
        <family val="2"/>
        <charset val="238"/>
      </rPr>
      <t>AMX</t>
    </r>
    <r>
      <rPr>
        <sz val="11"/>
        <color indexed="8"/>
        <rFont val="Calibri"/>
        <family val="2"/>
      </rPr>
      <t>*Arrh(θ</t>
    </r>
    <r>
      <rPr>
        <vertAlign val="subscript"/>
        <sz val="11"/>
        <color indexed="8"/>
        <rFont val="Calibri"/>
        <family val="2"/>
        <charset val="238"/>
      </rPr>
      <t>µ,AMX</t>
    </r>
    <r>
      <rPr>
        <sz val="11"/>
        <color indexed="8"/>
        <rFont val="Calibri"/>
        <family val="2"/>
      </rPr>
      <t>; T; T</t>
    </r>
    <r>
      <rPr>
        <vertAlign val="subscript"/>
        <sz val="11"/>
        <color indexed="8"/>
        <rFont val="Calibri"/>
        <family val="2"/>
        <charset val="238"/>
      </rPr>
      <t>base</t>
    </r>
    <r>
      <rPr>
        <sz val="11"/>
        <color indexed="8"/>
        <rFont val="Calibri"/>
        <family val="2"/>
      </rPr>
      <t>)</t>
    </r>
  </si>
  <si>
    <r>
      <t>b</t>
    </r>
    <r>
      <rPr>
        <vertAlign val="subscript"/>
        <sz val="11"/>
        <color indexed="8"/>
        <rFont val="Calibri"/>
        <family val="2"/>
        <charset val="238"/>
      </rPr>
      <t>AMX,T</t>
    </r>
  </si>
  <si>
    <r>
      <t>b</t>
    </r>
    <r>
      <rPr>
        <vertAlign val="subscript"/>
        <sz val="11"/>
        <color indexed="8"/>
        <rFont val="Calibri"/>
        <family val="2"/>
        <charset val="238"/>
      </rPr>
      <t>AMX</t>
    </r>
    <r>
      <rPr>
        <sz val="11"/>
        <color indexed="8"/>
        <rFont val="Calibri"/>
        <family val="2"/>
      </rPr>
      <t>*Arrh(θ</t>
    </r>
    <r>
      <rPr>
        <vertAlign val="subscript"/>
        <sz val="11"/>
        <color indexed="8"/>
        <rFont val="Calibri"/>
        <family val="2"/>
        <charset val="238"/>
      </rPr>
      <t>b,AMX</t>
    </r>
    <r>
      <rPr>
        <sz val="11"/>
        <color indexed="8"/>
        <rFont val="Calibri"/>
        <family val="2"/>
      </rPr>
      <t>; T; T</t>
    </r>
    <r>
      <rPr>
        <vertAlign val="subscript"/>
        <sz val="11"/>
        <color indexed="8"/>
        <rFont val="Calibri"/>
        <family val="2"/>
        <charset val="238"/>
      </rPr>
      <t>base</t>
    </r>
    <r>
      <rPr>
        <sz val="11"/>
        <color indexed="8"/>
        <rFont val="Calibri"/>
        <family val="2"/>
      </rPr>
      <t>)</t>
    </r>
  </si>
  <si>
    <r>
      <t>K</t>
    </r>
    <r>
      <rPr>
        <vertAlign val="subscript"/>
        <sz val="11"/>
        <color indexed="8"/>
        <rFont val="Calibri"/>
        <family val="2"/>
        <scheme val="minor"/>
      </rPr>
      <t>NO3,ASSIM,AS</t>
    </r>
  </si>
  <si>
    <r>
      <t>K</t>
    </r>
    <r>
      <rPr>
        <vertAlign val="subscript"/>
        <sz val="11"/>
        <color indexed="8"/>
        <rFont val="Calibri"/>
        <family val="2"/>
        <scheme val="minor"/>
      </rPr>
      <t>NO2,ASSIM,AS</t>
    </r>
  </si>
  <si>
    <r>
      <t>Minh</t>
    </r>
    <r>
      <rPr>
        <vertAlign val="subscript"/>
        <sz val="11"/>
        <rFont val="Calibri"/>
        <family val="2"/>
        <scheme val="minor"/>
      </rPr>
      <t>SNO2,KNO2,ASSIM</t>
    </r>
  </si>
  <si>
    <r>
      <t>Minh(S</t>
    </r>
    <r>
      <rPr>
        <vertAlign val="subscript"/>
        <sz val="11"/>
        <rFont val="Calibri"/>
        <family val="2"/>
        <scheme val="minor"/>
      </rPr>
      <t>NO2</t>
    </r>
    <r>
      <rPr>
        <sz val="11"/>
        <rFont val="Calibri"/>
        <family val="2"/>
        <scheme val="minor"/>
      </rPr>
      <t>;K</t>
    </r>
    <r>
      <rPr>
        <vertAlign val="subscript"/>
        <sz val="11"/>
        <rFont val="Calibri"/>
        <family val="2"/>
        <scheme val="minor"/>
      </rPr>
      <t>NO2,ASSIM</t>
    </r>
    <r>
      <rPr>
        <sz val="11"/>
        <rFont val="Calibri"/>
        <family val="2"/>
        <scheme val="minor"/>
      </rPr>
      <t>)</t>
    </r>
  </si>
  <si>
    <r>
      <t>Msat</t>
    </r>
    <r>
      <rPr>
        <vertAlign val="subscript"/>
        <sz val="11"/>
        <rFont val="Calibri"/>
        <family val="2"/>
      </rPr>
      <t>SNO2,KNO2,ASSIM</t>
    </r>
  </si>
  <si>
    <r>
      <t>Msat(S</t>
    </r>
    <r>
      <rPr>
        <vertAlign val="subscript"/>
        <sz val="11"/>
        <rFont val="Calibri"/>
        <family val="2"/>
      </rPr>
      <t>NO2</t>
    </r>
    <r>
      <rPr>
        <sz val="11"/>
        <rFont val="Calibri"/>
        <family val="2"/>
      </rPr>
      <t>;K</t>
    </r>
    <r>
      <rPr>
        <vertAlign val="subscript"/>
        <sz val="11"/>
        <rFont val="Calibri"/>
        <family val="2"/>
      </rPr>
      <t>NO2,ASSIM</t>
    </r>
    <r>
      <rPr>
        <sz val="11"/>
        <rFont val="Calibri"/>
        <family val="2"/>
      </rPr>
      <t>)</t>
    </r>
  </si>
  <si>
    <r>
      <t>Msat</t>
    </r>
    <r>
      <rPr>
        <vertAlign val="subscript"/>
        <sz val="11"/>
        <rFont val="Calibri"/>
        <family val="2"/>
      </rPr>
      <t>SNO3,KNO3,ASSIM</t>
    </r>
  </si>
  <si>
    <r>
      <t>Msat(S</t>
    </r>
    <r>
      <rPr>
        <vertAlign val="subscript"/>
        <sz val="11"/>
        <rFont val="Calibri"/>
        <family val="2"/>
      </rPr>
      <t>NO3</t>
    </r>
    <r>
      <rPr>
        <sz val="11"/>
        <rFont val="Calibri"/>
        <family val="2"/>
      </rPr>
      <t>;K</t>
    </r>
    <r>
      <rPr>
        <vertAlign val="subscript"/>
        <sz val="11"/>
        <rFont val="Calibri"/>
        <family val="2"/>
      </rPr>
      <t>NO3,ASSIM</t>
    </r>
    <r>
      <rPr>
        <sz val="11"/>
        <rFont val="Calibri"/>
        <family val="2"/>
      </rPr>
      <t>)</t>
    </r>
  </si>
  <si>
    <r>
      <t>K</t>
    </r>
    <r>
      <rPr>
        <vertAlign val="subscript"/>
        <sz val="11"/>
        <rFont val="Calibri"/>
        <family val="2"/>
        <scheme val="minor"/>
      </rPr>
      <t>NOx,AMETO,AS</t>
    </r>
  </si>
  <si>
    <r>
      <t>K</t>
    </r>
    <r>
      <rPr>
        <vertAlign val="subscript"/>
        <sz val="11"/>
        <color indexed="8"/>
        <rFont val="Calibri"/>
        <family val="2"/>
        <scheme val="minor"/>
      </rPr>
      <t>NOx,HMETO,AS</t>
    </r>
  </si>
  <si>
    <r>
      <t>K</t>
    </r>
    <r>
      <rPr>
        <vertAlign val="subscript"/>
        <sz val="11"/>
        <rFont val="Calibri"/>
        <family val="2"/>
        <scheme val="minor"/>
      </rPr>
      <t>NOx,AMETO</t>
    </r>
  </si>
  <si>
    <r>
      <t>K</t>
    </r>
    <r>
      <rPr>
        <vertAlign val="subscript"/>
        <sz val="11"/>
        <rFont val="Calibri"/>
        <family val="2"/>
        <scheme val="minor"/>
      </rPr>
      <t>NOx,HMETO</t>
    </r>
  </si>
  <si>
    <r>
      <t>K</t>
    </r>
    <r>
      <rPr>
        <vertAlign val="subscript"/>
        <sz val="11"/>
        <rFont val="Calibri"/>
        <family val="2"/>
        <scheme val="minor"/>
      </rPr>
      <t>NOx,HMETO,AS</t>
    </r>
  </si>
  <si>
    <r>
      <t>[NO</t>
    </r>
    <r>
      <rPr>
        <vertAlign val="subscript"/>
        <sz val="11"/>
        <rFont val="Calibri"/>
        <family val="2"/>
        <scheme val="minor"/>
      </rPr>
      <t>2</t>
    </r>
    <r>
      <rPr>
        <vertAlign val="superscript"/>
        <sz val="11"/>
        <rFont val="Calibri"/>
        <family val="2"/>
        <scheme val="minor"/>
      </rPr>
      <t>-</t>
    </r>
    <r>
      <rPr>
        <sz val="11"/>
        <rFont val="Calibri"/>
        <family val="2"/>
        <scheme val="minor"/>
      </rPr>
      <t>]</t>
    </r>
    <r>
      <rPr>
        <vertAlign val="subscript"/>
        <sz val="11"/>
        <rFont val="Calibri"/>
        <family val="2"/>
        <scheme val="minor"/>
      </rPr>
      <t>eq</t>
    </r>
  </si>
  <si>
    <t>Nitrite molar concentration in equivalence point</t>
  </si>
  <si>
    <r>
      <t>V</t>
    </r>
    <r>
      <rPr>
        <vertAlign val="subscript"/>
        <sz val="11"/>
        <rFont val="Calibri"/>
        <family val="2"/>
        <scheme val="minor"/>
      </rPr>
      <t>mol,N</t>
    </r>
  </si>
  <si>
    <t>Molar volume at normal conditions</t>
  </si>
  <si>
    <r>
      <t>Nm</t>
    </r>
    <r>
      <rPr>
        <vertAlign val="superscript"/>
        <sz val="11"/>
        <rFont val="Calibri"/>
        <family val="2"/>
        <scheme val="minor"/>
      </rPr>
      <t>3</t>
    </r>
    <r>
      <rPr>
        <sz val="11"/>
        <rFont val="Calibri"/>
        <family val="2"/>
        <scheme val="minor"/>
      </rPr>
      <t>.mol</t>
    </r>
  </si>
  <si>
    <r>
      <t>MM</t>
    </r>
    <r>
      <rPr>
        <vertAlign val="subscript"/>
        <sz val="11"/>
        <rFont val="Calibri"/>
        <family val="2"/>
        <scheme val="minor"/>
      </rPr>
      <t>FeCl3</t>
    </r>
  </si>
  <si>
    <t>Molecular mass of FeCl3</t>
  </si>
  <si>
    <r>
      <t>MM</t>
    </r>
    <r>
      <rPr>
        <vertAlign val="subscript"/>
        <sz val="11"/>
        <rFont val="Calibri"/>
        <family val="2"/>
        <scheme val="minor"/>
      </rPr>
      <t>FeCl2</t>
    </r>
  </si>
  <si>
    <t>Molecular mass of FeCl2</t>
  </si>
  <si>
    <r>
      <t>MM</t>
    </r>
    <r>
      <rPr>
        <vertAlign val="subscript"/>
        <sz val="11"/>
        <rFont val="Calibri"/>
        <family val="2"/>
        <scheme val="minor"/>
      </rPr>
      <t>FeSO4</t>
    </r>
  </si>
  <si>
    <t>Molecular mass of FeSO4</t>
  </si>
  <si>
    <r>
      <t>MM</t>
    </r>
    <r>
      <rPr>
        <vertAlign val="subscript"/>
        <sz val="11"/>
        <rFont val="Calibri"/>
        <family val="2"/>
        <scheme val="minor"/>
      </rPr>
      <t>MgOH2</t>
    </r>
  </si>
  <si>
    <t>Molecular mass of Mg(OH)2</t>
  </si>
  <si>
    <r>
      <t>MM</t>
    </r>
    <r>
      <rPr>
        <vertAlign val="subscript"/>
        <sz val="11"/>
        <rFont val="Calibri"/>
        <family val="2"/>
        <scheme val="minor"/>
      </rPr>
      <t>Na2CO3</t>
    </r>
  </si>
  <si>
    <t>Molecular mass of Na2CO3</t>
  </si>
  <si>
    <r>
      <t>MM</t>
    </r>
    <r>
      <rPr>
        <vertAlign val="subscript"/>
        <sz val="11"/>
        <rFont val="Calibri"/>
        <family val="2"/>
        <scheme val="minor"/>
      </rPr>
      <t>NaHCO3</t>
    </r>
  </si>
  <si>
    <t>Molecular mass of NaHCO3</t>
  </si>
  <si>
    <r>
      <t>λ</t>
    </r>
    <r>
      <rPr>
        <vertAlign val="subscript"/>
        <sz val="11"/>
        <rFont val="Calibri"/>
        <family val="2"/>
      </rPr>
      <t>H</t>
    </r>
  </si>
  <si>
    <r>
      <t>W.m</t>
    </r>
    <r>
      <rPr>
        <vertAlign val="superscript"/>
        <sz val="11"/>
        <rFont val="Calibri"/>
        <family val="2"/>
        <scheme val="minor"/>
      </rPr>
      <t>-1</t>
    </r>
    <r>
      <rPr>
        <sz val="11"/>
        <rFont val="Calibri"/>
        <family val="2"/>
        <scheme val="minor"/>
      </rPr>
      <t>.K</t>
    </r>
    <r>
      <rPr>
        <vertAlign val="superscript"/>
        <sz val="11"/>
        <rFont val="Calibri"/>
        <family val="2"/>
        <scheme val="minor"/>
      </rPr>
      <t>-1</t>
    </r>
  </si>
  <si>
    <t>https://en.wikipedia.org/wiki/List_of_thermal_conductivities</t>
  </si>
  <si>
    <r>
      <t>c</t>
    </r>
    <r>
      <rPr>
        <vertAlign val="subscript"/>
        <sz val="11"/>
        <rFont val="Calibri"/>
        <family val="2"/>
        <scheme val="minor"/>
      </rPr>
      <t>ms,d</t>
    </r>
  </si>
  <si>
    <t>Conversion coefficient between milliseconds and days</t>
  </si>
  <si>
    <r>
      <t>ms.d</t>
    </r>
    <r>
      <rPr>
        <vertAlign val="superscript"/>
        <sz val="11"/>
        <rFont val="Calibri"/>
        <family val="2"/>
        <scheme val="minor"/>
      </rPr>
      <t>-1</t>
    </r>
  </si>
  <si>
    <r>
      <t>c</t>
    </r>
    <r>
      <rPr>
        <vertAlign val="subscript"/>
        <sz val="11"/>
        <rFont val="Calibri"/>
        <family val="2"/>
        <scheme val="minor"/>
      </rPr>
      <t>ms,s</t>
    </r>
  </si>
  <si>
    <t>Conversion coefficient between milliseconds and seconds</t>
  </si>
  <si>
    <r>
      <t>ms.s</t>
    </r>
    <r>
      <rPr>
        <vertAlign val="superscript"/>
        <sz val="11"/>
        <rFont val="Calibri"/>
        <family val="2"/>
        <scheme val="minor"/>
      </rPr>
      <t>-1</t>
    </r>
  </si>
  <si>
    <r>
      <t>(H</t>
    </r>
    <r>
      <rPr>
        <vertAlign val="subscript"/>
        <sz val="11"/>
        <rFont val="Calibri"/>
        <family val="2"/>
        <scheme val="minor"/>
      </rPr>
      <t>NH4p</t>
    </r>
    <r>
      <rPr>
        <sz val="11"/>
        <rFont val="Calibri"/>
        <family val="2"/>
        <scheme val="minor"/>
      </rPr>
      <t xml:space="preserve"> + H</t>
    </r>
    <r>
      <rPr>
        <vertAlign val="subscript"/>
        <sz val="11"/>
        <rFont val="Calibri"/>
        <family val="2"/>
        <scheme val="minor"/>
      </rPr>
      <t>OHm</t>
    </r>
    <r>
      <rPr>
        <sz val="11"/>
        <rFont val="Calibri"/>
        <family val="2"/>
        <scheme val="minor"/>
      </rPr>
      <t>) - (H</t>
    </r>
    <r>
      <rPr>
        <vertAlign val="subscript"/>
        <sz val="11"/>
        <rFont val="Calibri"/>
        <family val="2"/>
        <scheme val="minor"/>
      </rPr>
      <t>NH3</t>
    </r>
    <r>
      <rPr>
        <sz val="11"/>
        <rFont val="Calibri"/>
        <family val="2"/>
        <scheme val="minor"/>
      </rPr>
      <t xml:space="preserve"> + H</t>
    </r>
    <r>
      <rPr>
        <vertAlign val="subscript"/>
        <sz val="11"/>
        <rFont val="Calibri"/>
        <family val="2"/>
        <scheme val="minor"/>
      </rPr>
      <t>H2O</t>
    </r>
    <r>
      <rPr>
        <sz val="11"/>
        <rFont val="Calibri"/>
        <family val="2"/>
        <scheme val="minor"/>
      </rPr>
      <t>)</t>
    </r>
  </si>
  <si>
    <r>
      <t>dH</t>
    </r>
    <r>
      <rPr>
        <vertAlign val="subscript"/>
        <sz val="11"/>
        <rFont val="Calibri"/>
        <family val="2"/>
      </rPr>
      <t>diss,NO2</t>
    </r>
  </si>
  <si>
    <t>Standard enthalpy change of nitrite dissociation</t>
  </si>
  <si>
    <r>
      <t>(H</t>
    </r>
    <r>
      <rPr>
        <vertAlign val="subscript"/>
        <sz val="11"/>
        <rFont val="Calibri"/>
        <family val="2"/>
      </rPr>
      <t>H3Op</t>
    </r>
    <r>
      <rPr>
        <sz val="11"/>
        <rFont val="Calibri"/>
        <family val="2"/>
      </rPr>
      <t xml:space="preserve"> + H</t>
    </r>
    <r>
      <rPr>
        <vertAlign val="subscript"/>
        <sz val="11"/>
        <rFont val="Calibri"/>
        <family val="2"/>
      </rPr>
      <t>NO2m</t>
    </r>
    <r>
      <rPr>
        <sz val="11"/>
        <rFont val="Calibri"/>
        <family val="2"/>
      </rPr>
      <t>) - (H</t>
    </r>
    <r>
      <rPr>
        <vertAlign val="subscript"/>
        <sz val="11"/>
        <rFont val="Calibri"/>
        <family val="2"/>
      </rPr>
      <t>HNO2</t>
    </r>
    <r>
      <rPr>
        <sz val="11"/>
        <rFont val="Calibri"/>
        <family val="2"/>
      </rPr>
      <t xml:space="preserve"> + H</t>
    </r>
    <r>
      <rPr>
        <vertAlign val="subscript"/>
        <sz val="11"/>
        <rFont val="Calibri"/>
        <family val="2"/>
      </rPr>
      <t>H2O</t>
    </r>
    <r>
      <rPr>
        <sz val="11"/>
        <rFont val="Calibri"/>
        <family val="2"/>
      </rPr>
      <t>)</t>
    </r>
  </si>
  <si>
    <t>r60</t>
  </si>
  <si>
    <t>r61</t>
  </si>
  <si>
    <t>r62</t>
  </si>
  <si>
    <t>r63</t>
  </si>
  <si>
    <t>r64</t>
  </si>
  <si>
    <t>r65</t>
  </si>
  <si>
    <t>r66</t>
  </si>
  <si>
    <t>r67</t>
  </si>
  <si>
    <t>r68</t>
  </si>
  <si>
    <t>r69</t>
  </si>
  <si>
    <t>r70</t>
  </si>
  <si>
    <r>
      <t>Msat</t>
    </r>
    <r>
      <rPr>
        <vertAlign val="subscript"/>
        <sz val="11"/>
        <rFont val="Calibri"/>
        <family val="2"/>
      </rPr>
      <t>SNO2,KNO2,OHO</t>
    </r>
  </si>
  <si>
    <r>
      <t>Msat(S</t>
    </r>
    <r>
      <rPr>
        <vertAlign val="subscript"/>
        <sz val="11"/>
        <rFont val="Calibri"/>
        <family val="2"/>
      </rPr>
      <t>NO2</t>
    </r>
    <r>
      <rPr>
        <sz val="11"/>
        <rFont val="Calibri"/>
        <family val="2"/>
      </rPr>
      <t>;K</t>
    </r>
    <r>
      <rPr>
        <vertAlign val="subscript"/>
        <sz val="11"/>
        <rFont val="Calibri"/>
        <family val="2"/>
      </rPr>
      <t>NO2,OHO</t>
    </r>
    <r>
      <rPr>
        <sz val="11"/>
        <rFont val="Calibri"/>
        <family val="2"/>
      </rPr>
      <t>)</t>
    </r>
  </si>
  <si>
    <r>
      <t>Msat</t>
    </r>
    <r>
      <rPr>
        <vertAlign val="subscript"/>
        <sz val="11"/>
        <rFont val="Calibri"/>
        <family val="2"/>
      </rPr>
      <t>SNO3,KNO3,OHO</t>
    </r>
  </si>
  <si>
    <r>
      <t>Msat(S</t>
    </r>
    <r>
      <rPr>
        <vertAlign val="subscript"/>
        <sz val="11"/>
        <rFont val="Calibri"/>
        <family val="2"/>
      </rPr>
      <t>NO3</t>
    </r>
    <r>
      <rPr>
        <sz val="11"/>
        <rFont val="Calibri"/>
        <family val="2"/>
      </rPr>
      <t>;K</t>
    </r>
    <r>
      <rPr>
        <vertAlign val="subscript"/>
        <sz val="11"/>
        <rFont val="Calibri"/>
        <family val="2"/>
      </rPr>
      <t>NO3,OHO</t>
    </r>
    <r>
      <rPr>
        <sz val="11"/>
        <rFont val="Calibri"/>
        <family val="2"/>
      </rPr>
      <t>)</t>
    </r>
  </si>
  <si>
    <r>
      <t>q</t>
    </r>
    <r>
      <rPr>
        <vertAlign val="subscript"/>
        <sz val="11"/>
        <rFont val="Calibri"/>
        <family val="2"/>
      </rPr>
      <t>MEOL</t>
    </r>
    <r>
      <rPr>
        <sz val="11"/>
        <rFont val="Calibri"/>
        <family val="2"/>
      </rPr>
      <t>*S</t>
    </r>
    <r>
      <rPr>
        <vertAlign val="subscript"/>
        <sz val="11"/>
        <rFont val="Calibri"/>
        <family val="2"/>
      </rPr>
      <t>MEOL</t>
    </r>
    <r>
      <rPr>
        <sz val="11"/>
        <rFont val="Calibri"/>
        <family val="2"/>
      </rPr>
      <t>*Msat</t>
    </r>
    <r>
      <rPr>
        <vertAlign val="subscript"/>
        <sz val="11"/>
        <rFont val="Calibri"/>
        <family val="2"/>
      </rPr>
      <t>SCO2,KCO2,BIO</t>
    </r>
    <r>
      <rPr>
        <sz val="11"/>
        <rFont val="Calibri"/>
        <family val="2"/>
      </rPr>
      <t>*Minh</t>
    </r>
    <r>
      <rPr>
        <vertAlign val="subscript"/>
        <sz val="11"/>
        <rFont val="Calibri"/>
        <family val="2"/>
      </rPr>
      <t>SO2,KO2,OHO</t>
    </r>
    <r>
      <rPr>
        <sz val="11"/>
        <rFont val="Calibri"/>
        <family val="2"/>
      </rPr>
      <t>*Minh</t>
    </r>
    <r>
      <rPr>
        <vertAlign val="subscript"/>
        <sz val="11"/>
        <rFont val="Calibri"/>
        <family val="2"/>
      </rPr>
      <t>SNO3,KNO3,OHO</t>
    </r>
    <r>
      <rPr>
        <sz val="11"/>
        <rFont val="Calibri"/>
        <family val="2"/>
      </rPr>
      <t>*Minh</t>
    </r>
    <r>
      <rPr>
        <vertAlign val="subscript"/>
        <sz val="11"/>
        <rFont val="Calibri"/>
        <family val="2"/>
      </rPr>
      <t>SNO2,KNO2,OHO</t>
    </r>
  </si>
  <si>
    <r>
      <t>-EEQ</t>
    </r>
    <r>
      <rPr>
        <vertAlign val="subscript"/>
        <sz val="11"/>
        <rFont val="Calibri"/>
        <family val="2"/>
        <scheme val="minor"/>
      </rPr>
      <t>NO2</t>
    </r>
  </si>
  <si>
    <r>
      <t>-1/EEQ</t>
    </r>
    <r>
      <rPr>
        <vertAlign val="subscript"/>
        <sz val="11"/>
        <rFont val="Calibri"/>
        <family val="2"/>
      </rPr>
      <t>N2,NO2</t>
    </r>
  </si>
  <si>
    <r>
      <t>1/EEQ</t>
    </r>
    <r>
      <rPr>
        <vertAlign val="subscript"/>
        <sz val="11"/>
        <rFont val="Calibri"/>
        <family val="2"/>
      </rPr>
      <t>N2,NO2</t>
    </r>
  </si>
  <si>
    <r>
      <t>-1/EEQ</t>
    </r>
    <r>
      <rPr>
        <vertAlign val="subscript"/>
        <sz val="11"/>
        <rFont val="Calibri"/>
        <family val="2"/>
      </rPr>
      <t>NO2,NO3</t>
    </r>
    <r>
      <rPr>
        <sz val="11"/>
        <rFont val="Calibri"/>
        <family val="2"/>
      </rPr>
      <t/>
    </r>
  </si>
  <si>
    <r>
      <t>1/EEQ</t>
    </r>
    <r>
      <rPr>
        <vertAlign val="subscript"/>
        <sz val="11"/>
        <rFont val="Calibri"/>
        <family val="2"/>
      </rPr>
      <t>NO2,NO3</t>
    </r>
    <r>
      <rPr>
        <sz val="11"/>
        <rFont val="Calibri"/>
        <family val="2"/>
      </rPr>
      <t/>
    </r>
  </si>
  <si>
    <t>r71</t>
  </si>
  <si>
    <t>r72</t>
  </si>
  <si>
    <t>Key(995)</t>
  </si>
  <si>
    <r>
      <t>T</t>
    </r>
    <r>
      <rPr>
        <vertAlign val="subscript"/>
        <sz val="11"/>
        <rFont val="Calibri"/>
        <family val="2"/>
        <scheme val="minor"/>
      </rPr>
      <t>COD,Th</t>
    </r>
  </si>
  <si>
    <t>Theoretical total chemical oxygen demand</t>
  </si>
  <si>
    <t>Calculated only for influent</t>
  </si>
  <si>
    <r>
      <t>S</t>
    </r>
    <r>
      <rPr>
        <vertAlign val="subscript"/>
        <sz val="11"/>
        <rFont val="Calibri"/>
        <family val="2"/>
        <scheme val="minor"/>
      </rPr>
      <t>AN</t>
    </r>
  </si>
  <si>
    <r>
      <t>S</t>
    </r>
    <r>
      <rPr>
        <i/>
        <vertAlign val="subscript"/>
        <sz val="11"/>
        <rFont val="Calibri"/>
        <family val="2"/>
        <scheme val="minor"/>
      </rPr>
      <t>CAT,ini</t>
    </r>
  </si>
  <si>
    <t>Strong cations</t>
  </si>
  <si>
    <r>
      <t>S</t>
    </r>
    <r>
      <rPr>
        <i/>
        <vertAlign val="subscript"/>
        <sz val="11"/>
        <rFont val="Calibri"/>
        <family val="2"/>
        <scheme val="minor"/>
      </rPr>
      <t>AN,ini</t>
    </r>
  </si>
  <si>
    <t>Strong anions</t>
  </si>
  <si>
    <t>Inorganics in influent and biomass</t>
  </si>
  <si>
    <r>
      <t>S</t>
    </r>
    <r>
      <rPr>
        <vertAlign val="subscript"/>
        <sz val="11"/>
        <rFont val="Calibri"/>
        <family val="2"/>
      </rPr>
      <t>CO2</t>
    </r>
    <r>
      <rPr>
        <sz val="11"/>
        <rFont val="Calibri"/>
        <family val="2"/>
      </rPr>
      <t>/(AM</t>
    </r>
    <r>
      <rPr>
        <vertAlign val="subscript"/>
        <sz val="11"/>
        <rFont val="Calibri"/>
        <family val="2"/>
      </rPr>
      <t>C</t>
    </r>
    <r>
      <rPr>
        <sz val="11"/>
        <rFont val="Calibri"/>
        <family val="2"/>
      </rPr>
      <t>*1000)*[H</t>
    </r>
    <r>
      <rPr>
        <vertAlign val="superscript"/>
        <sz val="11"/>
        <rFont val="Calibri"/>
        <family val="2"/>
      </rPr>
      <t>+</t>
    </r>
    <r>
      <rPr>
        <sz val="11"/>
        <rFont val="Calibri"/>
        <family val="2"/>
      </rPr>
      <t>]^2/([H</t>
    </r>
    <r>
      <rPr>
        <vertAlign val="superscript"/>
        <sz val="11"/>
        <rFont val="Calibri"/>
        <family val="2"/>
      </rPr>
      <t>+</t>
    </r>
    <r>
      <rPr>
        <sz val="11"/>
        <rFont val="Calibri"/>
        <family val="2"/>
      </rPr>
      <t>]^2+[H</t>
    </r>
    <r>
      <rPr>
        <vertAlign val="superscript"/>
        <sz val="11"/>
        <rFont val="Calibri"/>
        <family val="2"/>
      </rPr>
      <t>+</t>
    </r>
    <r>
      <rPr>
        <sz val="11"/>
        <rFont val="Calibri"/>
        <family val="2"/>
      </rPr>
      <t>]*K</t>
    </r>
    <r>
      <rPr>
        <vertAlign val="subscript"/>
        <sz val="11"/>
        <rFont val="Calibri"/>
        <family val="2"/>
      </rPr>
      <t>C1</t>
    </r>
    <r>
      <rPr>
        <sz val="11"/>
        <rFont val="Calibri"/>
        <family val="2"/>
      </rPr>
      <t>+K</t>
    </r>
    <r>
      <rPr>
        <vertAlign val="subscript"/>
        <sz val="11"/>
        <rFont val="Calibri"/>
        <family val="2"/>
      </rPr>
      <t>C1</t>
    </r>
    <r>
      <rPr>
        <sz val="11"/>
        <rFont val="Calibri"/>
        <family val="2"/>
      </rPr>
      <t>*K</t>
    </r>
    <r>
      <rPr>
        <vertAlign val="subscript"/>
        <sz val="11"/>
        <rFont val="Calibri"/>
        <family val="2"/>
      </rPr>
      <t>C2</t>
    </r>
    <r>
      <rPr>
        <sz val="11"/>
        <rFont val="Calibri"/>
        <family val="2"/>
      </rPr>
      <t>)</t>
    </r>
  </si>
  <si>
    <r>
      <t>(S</t>
    </r>
    <r>
      <rPr>
        <vertAlign val="subscript"/>
        <sz val="11"/>
        <rFont val="Calibri"/>
        <family val="2"/>
      </rPr>
      <t>NO2</t>
    </r>
    <r>
      <rPr>
        <sz val="11"/>
        <rFont val="Calibri"/>
        <family val="2"/>
      </rPr>
      <t>/(AM</t>
    </r>
    <r>
      <rPr>
        <vertAlign val="subscript"/>
        <sz val="11"/>
        <rFont val="Calibri"/>
        <family val="2"/>
      </rPr>
      <t>N</t>
    </r>
    <r>
      <rPr>
        <sz val="11"/>
        <rFont val="Calibri"/>
        <family val="2"/>
      </rPr>
      <t>*1000))*[H</t>
    </r>
    <r>
      <rPr>
        <vertAlign val="superscript"/>
        <sz val="11"/>
        <rFont val="Calibri"/>
        <family val="2"/>
      </rPr>
      <t>+</t>
    </r>
    <r>
      <rPr>
        <sz val="11"/>
        <rFont val="Calibri"/>
        <family val="2"/>
      </rPr>
      <t>]/([H</t>
    </r>
    <r>
      <rPr>
        <vertAlign val="superscript"/>
        <sz val="11"/>
        <rFont val="Calibri"/>
        <family val="2"/>
      </rPr>
      <t>+</t>
    </r>
    <r>
      <rPr>
        <sz val="11"/>
        <rFont val="Calibri"/>
        <family val="2"/>
      </rPr>
      <t>]+K</t>
    </r>
    <r>
      <rPr>
        <vertAlign val="subscript"/>
        <sz val="11"/>
        <rFont val="Calibri"/>
        <family val="2"/>
      </rPr>
      <t>NO2</t>
    </r>
    <r>
      <rPr>
        <sz val="11"/>
        <rFont val="Calibri"/>
        <family val="2"/>
      </rPr>
      <t>)</t>
    </r>
  </si>
  <si>
    <r>
      <t>(K</t>
    </r>
    <r>
      <rPr>
        <vertAlign val="subscript"/>
        <sz val="11"/>
        <rFont val="Calibri"/>
        <family val="2"/>
      </rPr>
      <t>NO2</t>
    </r>
    <r>
      <rPr>
        <sz val="11"/>
        <rFont val="Calibri"/>
        <family val="2"/>
      </rPr>
      <t>*S</t>
    </r>
    <r>
      <rPr>
        <vertAlign val="subscript"/>
        <sz val="11"/>
        <rFont val="Calibri"/>
        <family val="2"/>
      </rPr>
      <t>NO2</t>
    </r>
    <r>
      <rPr>
        <sz val="11"/>
        <rFont val="Calibri"/>
        <family val="2"/>
      </rPr>
      <t>/(AM</t>
    </r>
    <r>
      <rPr>
        <vertAlign val="subscript"/>
        <sz val="11"/>
        <rFont val="Calibri"/>
        <family val="2"/>
      </rPr>
      <t>N</t>
    </r>
    <r>
      <rPr>
        <sz val="11"/>
        <rFont val="Calibri"/>
        <family val="2"/>
      </rPr>
      <t>*1000))/([H</t>
    </r>
    <r>
      <rPr>
        <vertAlign val="superscript"/>
        <sz val="11"/>
        <rFont val="Calibri"/>
        <family val="2"/>
      </rPr>
      <t>+</t>
    </r>
    <r>
      <rPr>
        <sz val="11"/>
        <rFont val="Calibri"/>
        <family val="2"/>
      </rPr>
      <t>]+K</t>
    </r>
    <r>
      <rPr>
        <vertAlign val="subscript"/>
        <sz val="11"/>
        <rFont val="Calibri"/>
        <family val="2"/>
      </rPr>
      <t>NO2</t>
    </r>
    <r>
      <rPr>
        <sz val="11"/>
        <rFont val="Calibri"/>
        <family val="2"/>
      </rPr>
      <t>)</t>
    </r>
  </si>
  <si>
    <r>
      <t>(S</t>
    </r>
    <r>
      <rPr>
        <vertAlign val="subscript"/>
        <sz val="11"/>
        <rFont val="Calibri"/>
        <family val="2"/>
      </rPr>
      <t>NHx</t>
    </r>
    <r>
      <rPr>
        <sz val="11"/>
        <rFont val="Calibri"/>
        <family val="2"/>
      </rPr>
      <t>/(AM</t>
    </r>
    <r>
      <rPr>
        <vertAlign val="subscript"/>
        <sz val="11"/>
        <rFont val="Calibri"/>
        <family val="2"/>
      </rPr>
      <t>N</t>
    </r>
    <r>
      <rPr>
        <sz val="11"/>
        <rFont val="Calibri"/>
        <family val="2"/>
      </rPr>
      <t>*1000))*K</t>
    </r>
    <r>
      <rPr>
        <vertAlign val="subscript"/>
        <sz val="11"/>
        <rFont val="Calibri"/>
        <family val="2"/>
      </rPr>
      <t>NH3</t>
    </r>
    <r>
      <rPr>
        <sz val="11"/>
        <rFont val="Calibri"/>
        <family val="2"/>
      </rPr>
      <t>/([H</t>
    </r>
    <r>
      <rPr>
        <vertAlign val="superscript"/>
        <sz val="11"/>
        <rFont val="Calibri"/>
        <family val="2"/>
      </rPr>
      <t>+</t>
    </r>
    <r>
      <rPr>
        <sz val="11"/>
        <rFont val="Calibri"/>
        <family val="2"/>
      </rPr>
      <t>]+K</t>
    </r>
    <r>
      <rPr>
        <vertAlign val="subscript"/>
        <sz val="11"/>
        <rFont val="Calibri"/>
        <family val="2"/>
      </rPr>
      <t>NH3</t>
    </r>
    <r>
      <rPr>
        <sz val="11"/>
        <rFont val="Calibri"/>
        <family val="2"/>
      </rPr>
      <t>)</t>
    </r>
  </si>
  <si>
    <r>
      <t>(S</t>
    </r>
    <r>
      <rPr>
        <vertAlign val="subscript"/>
        <sz val="11"/>
        <rFont val="Calibri"/>
        <family val="2"/>
      </rPr>
      <t>NHx</t>
    </r>
    <r>
      <rPr>
        <sz val="11"/>
        <rFont val="Calibri"/>
        <family val="2"/>
      </rPr>
      <t>/(AM</t>
    </r>
    <r>
      <rPr>
        <vertAlign val="subscript"/>
        <sz val="11"/>
        <rFont val="Calibri"/>
        <family val="2"/>
      </rPr>
      <t>N</t>
    </r>
    <r>
      <rPr>
        <sz val="11"/>
        <rFont val="Calibri"/>
        <family val="2"/>
      </rPr>
      <t>*1000))*[H</t>
    </r>
    <r>
      <rPr>
        <vertAlign val="superscript"/>
        <sz val="11"/>
        <rFont val="Calibri"/>
        <family val="2"/>
      </rPr>
      <t>+</t>
    </r>
    <r>
      <rPr>
        <sz val="11"/>
        <rFont val="Calibri"/>
        <family val="2"/>
      </rPr>
      <t>]/([H</t>
    </r>
    <r>
      <rPr>
        <vertAlign val="superscript"/>
        <sz val="11"/>
        <rFont val="Calibri"/>
        <family val="2"/>
      </rPr>
      <t>+</t>
    </r>
    <r>
      <rPr>
        <sz val="11"/>
        <rFont val="Calibri"/>
        <family val="2"/>
      </rPr>
      <t>]+K</t>
    </r>
    <r>
      <rPr>
        <vertAlign val="subscript"/>
        <sz val="11"/>
        <rFont val="Calibri"/>
        <family val="2"/>
      </rPr>
      <t>NH3</t>
    </r>
    <r>
      <rPr>
        <sz val="11"/>
        <rFont val="Calibri"/>
        <family val="2"/>
      </rPr>
      <t>)</t>
    </r>
  </si>
  <si>
    <r>
      <t>[H</t>
    </r>
    <r>
      <rPr>
        <vertAlign val="superscript"/>
        <sz val="11"/>
        <rFont val="Calibri"/>
        <family val="2"/>
      </rPr>
      <t>+</t>
    </r>
    <r>
      <rPr>
        <sz val="11"/>
        <rFont val="Calibri"/>
        <family val="2"/>
      </rPr>
      <t>]*K</t>
    </r>
    <r>
      <rPr>
        <vertAlign val="subscript"/>
        <sz val="11"/>
        <rFont val="Calibri"/>
        <family val="2"/>
      </rPr>
      <t>C1</t>
    </r>
    <r>
      <rPr>
        <sz val="11"/>
        <rFont val="Calibri"/>
        <family val="2"/>
      </rPr>
      <t>*S</t>
    </r>
    <r>
      <rPr>
        <vertAlign val="subscript"/>
        <sz val="11"/>
        <rFont val="Calibri"/>
        <family val="2"/>
      </rPr>
      <t>CO2</t>
    </r>
    <r>
      <rPr>
        <sz val="11"/>
        <rFont val="Calibri"/>
        <family val="2"/>
      </rPr>
      <t>/(AM</t>
    </r>
    <r>
      <rPr>
        <vertAlign val="subscript"/>
        <sz val="11"/>
        <rFont val="Calibri"/>
        <family val="2"/>
      </rPr>
      <t>C</t>
    </r>
    <r>
      <rPr>
        <sz val="11"/>
        <rFont val="Calibri"/>
        <family val="2"/>
      </rPr>
      <t>*1000)/([H</t>
    </r>
    <r>
      <rPr>
        <vertAlign val="superscript"/>
        <sz val="11"/>
        <rFont val="Calibri"/>
        <family val="2"/>
      </rPr>
      <t>+</t>
    </r>
    <r>
      <rPr>
        <sz val="11"/>
        <rFont val="Calibri"/>
        <family val="2"/>
      </rPr>
      <t>]^2+[H</t>
    </r>
    <r>
      <rPr>
        <vertAlign val="superscript"/>
        <sz val="11"/>
        <rFont val="Calibri"/>
        <family val="2"/>
      </rPr>
      <t>+</t>
    </r>
    <r>
      <rPr>
        <sz val="11"/>
        <rFont val="Calibri"/>
        <family val="2"/>
      </rPr>
      <t>]*K</t>
    </r>
    <r>
      <rPr>
        <vertAlign val="subscript"/>
        <sz val="11"/>
        <rFont val="Calibri"/>
        <family val="2"/>
      </rPr>
      <t>C1</t>
    </r>
    <r>
      <rPr>
        <sz val="11"/>
        <rFont val="Calibri"/>
        <family val="2"/>
      </rPr>
      <t>+K</t>
    </r>
    <r>
      <rPr>
        <vertAlign val="subscript"/>
        <sz val="11"/>
        <rFont val="Calibri"/>
        <family val="2"/>
      </rPr>
      <t>C1</t>
    </r>
    <r>
      <rPr>
        <sz val="11"/>
        <rFont val="Calibri"/>
        <family val="2"/>
      </rPr>
      <t>*K</t>
    </r>
    <r>
      <rPr>
        <vertAlign val="subscript"/>
        <sz val="11"/>
        <rFont val="Calibri"/>
        <family val="2"/>
      </rPr>
      <t>C2</t>
    </r>
    <r>
      <rPr>
        <sz val="11"/>
        <rFont val="Calibri"/>
        <family val="2"/>
      </rPr>
      <t>)</t>
    </r>
  </si>
  <si>
    <r>
      <t>K</t>
    </r>
    <r>
      <rPr>
        <vertAlign val="subscript"/>
        <sz val="11"/>
        <rFont val="Calibri"/>
        <family val="2"/>
      </rPr>
      <t>C2</t>
    </r>
    <r>
      <rPr>
        <sz val="11"/>
        <rFont val="Calibri"/>
        <family val="2"/>
      </rPr>
      <t>*K</t>
    </r>
    <r>
      <rPr>
        <vertAlign val="subscript"/>
        <sz val="11"/>
        <rFont val="Calibri"/>
        <family val="2"/>
      </rPr>
      <t>C1</t>
    </r>
    <r>
      <rPr>
        <sz val="11"/>
        <rFont val="Calibri"/>
        <family val="2"/>
      </rPr>
      <t>*S</t>
    </r>
    <r>
      <rPr>
        <vertAlign val="subscript"/>
        <sz val="11"/>
        <rFont val="Calibri"/>
        <family val="2"/>
      </rPr>
      <t>CO2</t>
    </r>
    <r>
      <rPr>
        <sz val="11"/>
        <rFont val="Calibri"/>
        <family val="2"/>
      </rPr>
      <t>/(AM</t>
    </r>
    <r>
      <rPr>
        <vertAlign val="subscript"/>
        <sz val="11"/>
        <rFont val="Calibri"/>
        <family val="2"/>
      </rPr>
      <t>C</t>
    </r>
    <r>
      <rPr>
        <sz val="11"/>
        <rFont val="Calibri"/>
        <family val="2"/>
      </rPr>
      <t>*1000)/([H</t>
    </r>
    <r>
      <rPr>
        <vertAlign val="superscript"/>
        <sz val="11"/>
        <rFont val="Calibri"/>
        <family val="2"/>
      </rPr>
      <t>+</t>
    </r>
    <r>
      <rPr>
        <sz val="11"/>
        <rFont val="Calibri"/>
        <family val="2"/>
      </rPr>
      <t>]^2+[H</t>
    </r>
    <r>
      <rPr>
        <vertAlign val="superscript"/>
        <sz val="11"/>
        <rFont val="Calibri"/>
        <family val="2"/>
      </rPr>
      <t>+</t>
    </r>
    <r>
      <rPr>
        <sz val="11"/>
        <rFont val="Calibri"/>
        <family val="2"/>
      </rPr>
      <t>]*K</t>
    </r>
    <r>
      <rPr>
        <vertAlign val="subscript"/>
        <sz val="11"/>
        <rFont val="Calibri"/>
        <family val="2"/>
      </rPr>
      <t>C1</t>
    </r>
    <r>
      <rPr>
        <sz val="11"/>
        <rFont val="Calibri"/>
        <family val="2"/>
      </rPr>
      <t>+K</t>
    </r>
    <r>
      <rPr>
        <vertAlign val="subscript"/>
        <sz val="11"/>
        <rFont val="Calibri"/>
        <family val="2"/>
      </rPr>
      <t>C1</t>
    </r>
    <r>
      <rPr>
        <sz val="11"/>
        <rFont val="Calibri"/>
        <family val="2"/>
      </rPr>
      <t>*K</t>
    </r>
    <r>
      <rPr>
        <vertAlign val="subscript"/>
        <sz val="11"/>
        <rFont val="Calibri"/>
        <family val="2"/>
      </rPr>
      <t>C2</t>
    </r>
    <r>
      <rPr>
        <sz val="11"/>
        <rFont val="Calibri"/>
        <family val="2"/>
      </rPr>
      <t>)</t>
    </r>
  </si>
  <si>
    <r>
      <t>diss</t>
    </r>
    <r>
      <rPr>
        <vertAlign val="subscript"/>
        <sz val="11"/>
        <rFont val="Calibri"/>
        <family val="2"/>
      </rPr>
      <t>NH3</t>
    </r>
  </si>
  <si>
    <r>
      <t>-AM</t>
    </r>
    <r>
      <rPr>
        <vertAlign val="subscript"/>
        <sz val="11"/>
        <rFont val="Calibri"/>
        <family val="2"/>
      </rPr>
      <t>C</t>
    </r>
    <r>
      <rPr>
        <sz val="11"/>
        <rFont val="Calibri"/>
        <family val="2"/>
      </rPr>
      <t>/MM</t>
    </r>
    <r>
      <rPr>
        <vertAlign val="subscript"/>
        <sz val="11"/>
        <rFont val="Calibri"/>
        <family val="2"/>
      </rPr>
      <t>CaCO3</t>
    </r>
  </si>
  <si>
    <r>
      <t>AM</t>
    </r>
    <r>
      <rPr>
        <vertAlign val="subscript"/>
        <sz val="11"/>
        <rFont val="Calibri"/>
        <family val="2"/>
        <scheme val="minor"/>
      </rPr>
      <t>C</t>
    </r>
    <r>
      <rPr>
        <sz val="11"/>
        <rFont val="Calibri"/>
        <family val="2"/>
        <scheme val="minor"/>
      </rPr>
      <t>/MM</t>
    </r>
    <r>
      <rPr>
        <vertAlign val="subscript"/>
        <sz val="11"/>
        <rFont val="Calibri"/>
        <family val="2"/>
        <scheme val="minor"/>
      </rPr>
      <t>CaCO3</t>
    </r>
  </si>
  <si>
    <r>
      <t>i</t>
    </r>
    <r>
      <rPr>
        <vertAlign val="subscript"/>
        <sz val="11"/>
        <rFont val="Calibri"/>
        <family val="2"/>
      </rPr>
      <t>INORG</t>
    </r>
    <r>
      <rPr>
        <sz val="11"/>
        <color indexed="8"/>
        <rFont val="Calibri"/>
        <family val="2"/>
      </rPr>
      <t/>
    </r>
  </si>
  <si>
    <r>
      <t>-i</t>
    </r>
    <r>
      <rPr>
        <vertAlign val="subscript"/>
        <sz val="11"/>
        <rFont val="Calibri"/>
        <family val="2"/>
      </rPr>
      <t>INORG</t>
    </r>
    <r>
      <rPr>
        <sz val="11"/>
        <color indexed="8"/>
        <rFont val="Calibri"/>
        <family val="2"/>
      </rPr>
      <t/>
    </r>
  </si>
  <si>
    <r>
      <t>i</t>
    </r>
    <r>
      <rPr>
        <vertAlign val="subscript"/>
        <sz val="11"/>
        <rFont val="Calibri"/>
        <family val="2"/>
        <scheme val="minor"/>
      </rPr>
      <t>INORG</t>
    </r>
  </si>
  <si>
    <t>Fermentation growth rate of OHOs</t>
  </si>
  <si>
    <t>Decay rate of OHOs</t>
  </si>
  <si>
    <t>Reduction factor for anoxic growth of OHOs</t>
  </si>
  <si>
    <t>Half-saturation of readily biodegradable substrate for OHOs (AS)</t>
  </si>
  <si>
    <r>
      <t>Half-saturation of O</t>
    </r>
    <r>
      <rPr>
        <vertAlign val="subscript"/>
        <sz val="11"/>
        <color rgb="FF000000"/>
        <rFont val="Calibri"/>
        <family val="2"/>
        <scheme val="minor"/>
      </rPr>
      <t>2</t>
    </r>
    <r>
      <rPr>
        <sz val="11"/>
        <color rgb="FF000000"/>
        <rFont val="Calibri"/>
        <family val="2"/>
        <charset val="238"/>
        <scheme val="minor"/>
      </rPr>
      <t xml:space="preserve"> for OHOs (AS)</t>
    </r>
  </si>
  <si>
    <t>Half-saturation of VFA for OHOs (AS)</t>
  </si>
  <si>
    <t>Half-saturation of methanol for OHOs (AS)</t>
  </si>
  <si>
    <r>
      <t>Half-saturation of NO</t>
    </r>
    <r>
      <rPr>
        <vertAlign val="subscript"/>
        <sz val="11"/>
        <color rgb="FF000000"/>
        <rFont val="Calibri"/>
        <family val="2"/>
        <scheme val="minor"/>
      </rPr>
      <t>3</t>
    </r>
    <r>
      <rPr>
        <sz val="11"/>
        <color rgb="FF000000"/>
        <rFont val="Calibri"/>
        <family val="2"/>
        <charset val="238"/>
        <scheme val="minor"/>
      </rPr>
      <t xml:space="preserve"> for OHOs (AS)</t>
    </r>
  </si>
  <si>
    <r>
      <t>Half-saturation of NO</t>
    </r>
    <r>
      <rPr>
        <vertAlign val="subscript"/>
        <sz val="11"/>
        <color rgb="FF000000"/>
        <rFont val="Calibri"/>
        <family val="2"/>
        <scheme val="minor"/>
      </rPr>
      <t>2</t>
    </r>
    <r>
      <rPr>
        <sz val="11"/>
        <color rgb="FF000000"/>
        <rFont val="Calibri"/>
        <family val="2"/>
        <charset val="238"/>
        <scheme val="minor"/>
      </rPr>
      <t xml:space="preserve"> for OHOs (AS)</t>
    </r>
  </si>
  <si>
    <t>Maximum specific growth rate of MEOLOs</t>
  </si>
  <si>
    <t>Decay rate of MEOLOs</t>
  </si>
  <si>
    <t xml:space="preserve">Rate of methanol degradation by MEOLOs under anaerobic conditions </t>
  </si>
  <si>
    <t>Half-saturation of methanol for MEOLOs (AS)</t>
  </si>
  <si>
    <r>
      <t>Half-saturation of NO</t>
    </r>
    <r>
      <rPr>
        <vertAlign val="subscript"/>
        <sz val="11"/>
        <color rgb="FF000000"/>
        <rFont val="Calibri"/>
        <family val="2"/>
        <scheme val="minor"/>
      </rPr>
      <t>3</t>
    </r>
    <r>
      <rPr>
        <sz val="11"/>
        <color rgb="FF000000"/>
        <rFont val="Calibri"/>
        <family val="2"/>
        <charset val="238"/>
        <scheme val="minor"/>
      </rPr>
      <t xml:space="preserve"> for MEOLOs (AS)</t>
    </r>
  </si>
  <si>
    <r>
      <t>Half-saturation of NO</t>
    </r>
    <r>
      <rPr>
        <vertAlign val="subscript"/>
        <sz val="11"/>
        <color rgb="FF000000"/>
        <rFont val="Calibri"/>
        <family val="2"/>
        <scheme val="minor"/>
      </rPr>
      <t>2</t>
    </r>
    <r>
      <rPr>
        <sz val="11"/>
        <color rgb="FF000000"/>
        <rFont val="Calibri"/>
        <family val="2"/>
        <charset val="238"/>
        <scheme val="minor"/>
      </rPr>
      <t xml:space="preserve"> for MEOLOs (AS)</t>
    </r>
  </si>
  <si>
    <t>Fermentation growth rate of PAOs</t>
  </si>
  <si>
    <t>Maximum specific growth rate of PAOs under P limited</t>
  </si>
  <si>
    <t>Rate of PAOs maintenance under anaerobic conditions (PP cleavage)</t>
  </si>
  <si>
    <t>Reduction factor for aerobic maintenance of PAOs on PP</t>
  </si>
  <si>
    <t>Reduction factor for anoxic maintenance of PAOs on PP</t>
  </si>
  <si>
    <r>
      <t>Half-saturation of PO</t>
    </r>
    <r>
      <rPr>
        <vertAlign val="subscript"/>
        <sz val="11"/>
        <color rgb="FF000000"/>
        <rFont val="Calibri"/>
        <family val="2"/>
        <scheme val="minor"/>
      </rPr>
      <t>4</t>
    </r>
    <r>
      <rPr>
        <sz val="11"/>
        <color rgb="FF000000"/>
        <rFont val="Calibri"/>
        <family val="2"/>
        <charset val="238"/>
        <scheme val="minor"/>
      </rPr>
      <t xml:space="preserve"> for PAOs (AS)</t>
    </r>
  </si>
  <si>
    <t>Half-saturation of PHA for PAOs</t>
  </si>
  <si>
    <r>
      <t>µ</t>
    </r>
    <r>
      <rPr>
        <vertAlign val="subscript"/>
        <sz val="11"/>
        <rFont val="Calibri"/>
        <family val="2"/>
        <scheme val="minor"/>
      </rPr>
      <t>FERM,PAO</t>
    </r>
  </si>
  <si>
    <r>
      <t>Ki</t>
    </r>
    <r>
      <rPr>
        <vertAlign val="subscript"/>
        <sz val="11"/>
        <rFont val="Calibri"/>
        <family val="2"/>
        <scheme val="minor"/>
      </rPr>
      <t>PO4,lim,AS</t>
    </r>
  </si>
  <si>
    <r>
      <t>Logsat</t>
    </r>
    <r>
      <rPr>
        <vertAlign val="subscript"/>
        <sz val="11"/>
        <rFont val="Calibri"/>
        <family val="2"/>
        <scheme val="minor"/>
      </rPr>
      <t>ORP,PAO,Half</t>
    </r>
  </si>
  <si>
    <t>Logistic half-saturation of ORP switching in fermentation of PAO</t>
  </si>
  <si>
    <r>
      <t>Logsat</t>
    </r>
    <r>
      <rPr>
        <vertAlign val="subscript"/>
        <sz val="11"/>
        <rFont val="Calibri"/>
        <family val="2"/>
        <scheme val="minor"/>
      </rPr>
      <t>ORP,PAO,Slope</t>
    </r>
  </si>
  <si>
    <t>Logistic slope of ORP switching in fermentation of PAO</t>
  </si>
  <si>
    <t>Half-inhibition of maximum PP content of PAOs</t>
  </si>
  <si>
    <t>Half-inhibition of maximum PHA content of PAOs</t>
  </si>
  <si>
    <t>Half-saturation of Mg (counter-ion in PP storage) for PAOs (AS)</t>
  </si>
  <si>
    <t>Half-saturation of K (counter-ion in PP storage) for PAOs (AS)</t>
  </si>
  <si>
    <t>Half-saturation of Ca (counter-ion in PP storage) for PAOs (AS)</t>
  </si>
  <si>
    <t>Half-saturation of PP (nutrient) for PAOs under PO4 limitation (AS)</t>
  </si>
  <si>
    <r>
      <t>Half-inhibition of PO</t>
    </r>
    <r>
      <rPr>
        <vertAlign val="subscript"/>
        <sz val="11"/>
        <color rgb="FF000000"/>
        <rFont val="Calibri"/>
        <family val="2"/>
        <scheme val="minor"/>
      </rPr>
      <t>4</t>
    </r>
    <r>
      <rPr>
        <sz val="11"/>
        <color rgb="FF000000"/>
        <rFont val="Calibri"/>
        <family val="2"/>
        <charset val="238"/>
        <scheme val="minor"/>
      </rPr>
      <t xml:space="preserve"> for PAOs under PO4 limitation (AS)</t>
    </r>
  </si>
  <si>
    <t>Logistic slope of ORP switching of GAOs</t>
  </si>
  <si>
    <r>
      <t>Ki</t>
    </r>
    <r>
      <rPr>
        <vertAlign val="subscript"/>
        <sz val="11"/>
        <color indexed="8"/>
        <rFont val="Calibri"/>
        <family val="2"/>
        <scheme val="minor"/>
      </rPr>
      <t>HNO2,AOB,pH,AS</t>
    </r>
  </si>
  <si>
    <t>Decay rate of AOBs</t>
  </si>
  <si>
    <r>
      <t>Half-saturation of NH</t>
    </r>
    <r>
      <rPr>
        <vertAlign val="subscript"/>
        <sz val="11"/>
        <color rgb="FF000000"/>
        <rFont val="Calibri"/>
        <family val="2"/>
        <scheme val="minor"/>
      </rPr>
      <t>x</t>
    </r>
    <r>
      <rPr>
        <sz val="11"/>
        <color rgb="FF000000"/>
        <rFont val="Calibri"/>
        <family val="2"/>
        <charset val="238"/>
        <scheme val="minor"/>
      </rPr>
      <t xml:space="preserve"> for AOBs (AS)</t>
    </r>
  </si>
  <si>
    <t>Half-saturation of bicarbonate for AOBs (Sidestream)</t>
  </si>
  <si>
    <t>Half-saturation of bicarbonate for AOBs (AS)</t>
  </si>
  <si>
    <r>
      <t>Half-saturation of O</t>
    </r>
    <r>
      <rPr>
        <vertAlign val="subscript"/>
        <sz val="11"/>
        <color rgb="FF000000"/>
        <rFont val="Calibri"/>
        <family val="2"/>
        <scheme val="minor"/>
      </rPr>
      <t>2</t>
    </r>
    <r>
      <rPr>
        <sz val="11"/>
        <color rgb="FF000000"/>
        <rFont val="Calibri"/>
        <family val="2"/>
        <charset val="238"/>
        <scheme val="minor"/>
      </rPr>
      <t xml:space="preserve"> for AOBs (Sidestream)</t>
    </r>
  </si>
  <si>
    <r>
      <t>Half-saturation of O</t>
    </r>
    <r>
      <rPr>
        <vertAlign val="subscript"/>
        <sz val="11"/>
        <color rgb="FF000000"/>
        <rFont val="Calibri"/>
        <family val="2"/>
        <scheme val="minor"/>
      </rPr>
      <t>2</t>
    </r>
    <r>
      <rPr>
        <sz val="11"/>
        <color rgb="FF000000"/>
        <rFont val="Calibri"/>
        <family val="2"/>
        <charset val="238"/>
        <scheme val="minor"/>
      </rPr>
      <t xml:space="preserve"> for AOBs (AS)</t>
    </r>
  </si>
  <si>
    <r>
      <t>Half-saturation of NO</t>
    </r>
    <r>
      <rPr>
        <vertAlign val="subscript"/>
        <sz val="11"/>
        <color rgb="FF000000"/>
        <rFont val="Calibri"/>
        <family val="2"/>
        <scheme val="minor"/>
      </rPr>
      <t>x</t>
    </r>
    <r>
      <rPr>
        <sz val="11"/>
        <color rgb="FF000000"/>
        <rFont val="Calibri"/>
        <family val="2"/>
        <charset val="238"/>
        <scheme val="minor"/>
      </rPr>
      <t xml:space="preserve"> (anoxic conditions) for AOBs (AS)</t>
    </r>
  </si>
  <si>
    <t>Half-inhibition of nitrous acid for AOBs (AS)</t>
  </si>
  <si>
    <r>
      <t>Ki</t>
    </r>
    <r>
      <rPr>
        <vertAlign val="subscript"/>
        <sz val="11"/>
        <color indexed="8"/>
        <rFont val="Calibri"/>
        <family val="2"/>
        <scheme val="minor"/>
      </rPr>
      <t>NH3,NOB,pH,AS</t>
    </r>
  </si>
  <si>
    <t>Decay rate of NOBs</t>
  </si>
  <si>
    <r>
      <t>Half-saturation of NO</t>
    </r>
    <r>
      <rPr>
        <vertAlign val="subscript"/>
        <sz val="11"/>
        <color rgb="FF000000"/>
        <rFont val="Calibri"/>
        <family val="2"/>
        <scheme val="minor"/>
      </rPr>
      <t>2</t>
    </r>
    <r>
      <rPr>
        <sz val="11"/>
        <color rgb="FF000000"/>
        <rFont val="Calibri"/>
        <family val="2"/>
        <charset val="238"/>
        <scheme val="minor"/>
      </rPr>
      <t xml:space="preserve"> for NOBs (AS)</t>
    </r>
  </si>
  <si>
    <t>Half-saturation of bicarbonate for NOBs (AS)</t>
  </si>
  <si>
    <r>
      <t>Half-saturation of O</t>
    </r>
    <r>
      <rPr>
        <vertAlign val="subscript"/>
        <sz val="11"/>
        <color rgb="FF000000"/>
        <rFont val="Calibri"/>
        <family val="2"/>
        <scheme val="minor"/>
      </rPr>
      <t>2</t>
    </r>
    <r>
      <rPr>
        <sz val="11"/>
        <color rgb="FF000000"/>
        <rFont val="Calibri"/>
        <family val="2"/>
        <charset val="238"/>
        <scheme val="minor"/>
      </rPr>
      <t xml:space="preserve"> for NOBs (Sidestream)</t>
    </r>
  </si>
  <si>
    <r>
      <t>Half-saturation of O</t>
    </r>
    <r>
      <rPr>
        <vertAlign val="subscript"/>
        <sz val="11"/>
        <color rgb="FF000000"/>
        <rFont val="Calibri"/>
        <family val="2"/>
        <scheme val="minor"/>
      </rPr>
      <t>2</t>
    </r>
    <r>
      <rPr>
        <sz val="11"/>
        <color rgb="FF000000"/>
        <rFont val="Calibri"/>
        <family val="2"/>
        <charset val="238"/>
        <scheme val="minor"/>
      </rPr>
      <t xml:space="preserve"> for NOBs (AS)</t>
    </r>
  </si>
  <si>
    <r>
      <t>Half-saturation of NO</t>
    </r>
    <r>
      <rPr>
        <vertAlign val="subscript"/>
        <sz val="11"/>
        <color rgb="FF000000"/>
        <rFont val="Calibri"/>
        <family val="2"/>
        <scheme val="minor"/>
      </rPr>
      <t>x</t>
    </r>
    <r>
      <rPr>
        <sz val="11"/>
        <color rgb="FF000000"/>
        <rFont val="Calibri"/>
        <family val="2"/>
        <charset val="238"/>
        <scheme val="minor"/>
      </rPr>
      <t xml:space="preserve"> (anoxic conditions) for NOBs (AS)</t>
    </r>
  </si>
  <si>
    <r>
      <t>Half-inhibition of NH</t>
    </r>
    <r>
      <rPr>
        <vertAlign val="subscript"/>
        <sz val="11"/>
        <color rgb="FF000000"/>
        <rFont val="Calibri"/>
        <family val="2"/>
        <scheme val="minor"/>
      </rPr>
      <t>3</t>
    </r>
    <r>
      <rPr>
        <sz val="11"/>
        <color rgb="FF000000"/>
        <rFont val="Calibri"/>
        <family val="2"/>
        <charset val="238"/>
        <scheme val="minor"/>
      </rPr>
      <t xml:space="preserve"> for NOBs (AS)</t>
    </r>
  </si>
  <si>
    <r>
      <t>Ki</t>
    </r>
    <r>
      <rPr>
        <vertAlign val="subscript"/>
        <sz val="11"/>
        <color indexed="8"/>
        <rFont val="Calibri"/>
        <family val="2"/>
        <scheme val="minor"/>
      </rPr>
      <t>HNO2,AMX,pH,AS</t>
    </r>
  </si>
  <si>
    <t>Maximum specific growth rate of AMX</t>
  </si>
  <si>
    <t>Decay rate of AMXs</t>
  </si>
  <si>
    <r>
      <t>Half-saturation of NH</t>
    </r>
    <r>
      <rPr>
        <vertAlign val="subscript"/>
        <sz val="11"/>
        <color rgb="FF000000"/>
        <rFont val="Calibri"/>
        <family val="2"/>
        <scheme val="minor"/>
      </rPr>
      <t>x</t>
    </r>
    <r>
      <rPr>
        <sz val="11"/>
        <color rgb="FF000000"/>
        <rFont val="Calibri"/>
        <family val="2"/>
        <charset val="238"/>
        <scheme val="minor"/>
      </rPr>
      <t xml:space="preserve"> for AMX</t>
    </r>
  </si>
  <si>
    <r>
      <t>Half-saturation of N</t>
    </r>
    <r>
      <rPr>
        <vertAlign val="subscript"/>
        <sz val="11"/>
        <color rgb="FF000000"/>
        <rFont val="Calibri"/>
        <family val="2"/>
        <scheme val="minor"/>
      </rPr>
      <t>O2</t>
    </r>
    <r>
      <rPr>
        <sz val="11"/>
        <color rgb="FF000000"/>
        <rFont val="Calibri"/>
        <family val="2"/>
        <charset val="238"/>
        <scheme val="minor"/>
      </rPr>
      <t xml:space="preserve"> for AMX</t>
    </r>
  </si>
  <si>
    <t>Half-saturation of bicarbonate for AMX</t>
  </si>
  <si>
    <r>
      <t>Half-saturation of NO</t>
    </r>
    <r>
      <rPr>
        <vertAlign val="subscript"/>
        <sz val="11"/>
        <color rgb="FF000000"/>
        <rFont val="Calibri"/>
        <family val="2"/>
        <scheme val="minor"/>
      </rPr>
      <t>x</t>
    </r>
    <r>
      <rPr>
        <sz val="11"/>
        <color rgb="FF000000"/>
        <rFont val="Calibri"/>
        <family val="2"/>
        <charset val="238"/>
        <scheme val="minor"/>
      </rPr>
      <t xml:space="preserve"> for AMX</t>
    </r>
  </si>
  <si>
    <t>Half-inhibition of nitrous acid for AMX</t>
  </si>
  <si>
    <r>
      <t>Ki</t>
    </r>
    <r>
      <rPr>
        <vertAlign val="subscript"/>
        <sz val="11"/>
        <rFont val="Calibri"/>
        <family val="2"/>
        <scheme val="minor"/>
      </rPr>
      <t>VFA,AMETO,AS</t>
    </r>
  </si>
  <si>
    <t>Decay rate of AMETOs</t>
  </si>
  <si>
    <t>Half-saturation of VFA for AMETOs (AS)</t>
  </si>
  <si>
    <t>Haldane inhibition of VFA for AMETOs (AS)</t>
  </si>
  <si>
    <r>
      <t>Half-saturation of NO</t>
    </r>
    <r>
      <rPr>
        <vertAlign val="subscript"/>
        <sz val="11"/>
        <color rgb="FF000000"/>
        <rFont val="Calibri"/>
        <family val="2"/>
        <scheme val="minor"/>
      </rPr>
      <t>x</t>
    </r>
    <r>
      <rPr>
        <sz val="11"/>
        <color rgb="FF000000"/>
        <rFont val="Calibri"/>
        <family val="2"/>
        <charset val="238"/>
        <scheme val="minor"/>
      </rPr>
      <t xml:space="preserve"> for AMETOs (AS)</t>
    </r>
  </si>
  <si>
    <t>pH inhibition low value for AMETOs</t>
  </si>
  <si>
    <t>pH inhibition high value for AMETOs</t>
  </si>
  <si>
    <t>Decay rate of HMETOs</t>
  </si>
  <si>
    <r>
      <t>Half-saturation of H</t>
    </r>
    <r>
      <rPr>
        <vertAlign val="subscript"/>
        <sz val="11"/>
        <color rgb="FF000000"/>
        <rFont val="Calibri"/>
        <family val="2"/>
        <scheme val="minor"/>
      </rPr>
      <t>2</t>
    </r>
    <r>
      <rPr>
        <sz val="11"/>
        <color rgb="FF000000"/>
        <rFont val="Calibri"/>
        <family val="2"/>
        <charset val="238"/>
        <scheme val="minor"/>
      </rPr>
      <t xml:space="preserve"> for HMETOs (AS)</t>
    </r>
  </si>
  <si>
    <r>
      <t>Half-saturation of NO</t>
    </r>
    <r>
      <rPr>
        <vertAlign val="subscript"/>
        <sz val="11"/>
        <color rgb="FF000000"/>
        <rFont val="Calibri"/>
        <family val="2"/>
        <scheme val="minor"/>
      </rPr>
      <t>x</t>
    </r>
    <r>
      <rPr>
        <sz val="11"/>
        <color rgb="FF000000"/>
        <rFont val="Calibri"/>
        <family val="2"/>
        <charset val="238"/>
        <scheme val="minor"/>
      </rPr>
      <t xml:space="preserve"> for HMETOs (AS)</t>
    </r>
  </si>
  <si>
    <t>pH inhibition low value for HMETOs</t>
  </si>
  <si>
    <t>pH inhibition high value for HMETOs</t>
  </si>
  <si>
    <r>
      <t>Rate of CaCO</t>
    </r>
    <r>
      <rPr>
        <vertAlign val="subscript"/>
        <sz val="11"/>
        <color rgb="FF000000"/>
        <rFont val="Calibri"/>
        <family val="2"/>
        <scheme val="minor"/>
      </rPr>
      <t>3</t>
    </r>
    <r>
      <rPr>
        <sz val="11"/>
        <color rgb="FF000000"/>
        <rFont val="Calibri"/>
        <family val="2"/>
        <charset val="238"/>
        <scheme val="minor"/>
      </rPr>
      <t xml:space="preserve"> precipitation</t>
    </r>
  </si>
  <si>
    <r>
      <t>Rate of CaCO</t>
    </r>
    <r>
      <rPr>
        <vertAlign val="subscript"/>
        <sz val="11"/>
        <color rgb="FF000000"/>
        <rFont val="Calibri"/>
        <family val="2"/>
        <scheme val="minor"/>
      </rPr>
      <t>3</t>
    </r>
    <r>
      <rPr>
        <sz val="11"/>
        <color rgb="FF000000"/>
        <rFont val="Calibri"/>
        <family val="2"/>
        <charset val="238"/>
        <scheme val="minor"/>
      </rPr>
      <t xml:space="preserve"> dissolution</t>
    </r>
  </si>
  <si>
    <t>Rate of struvite precipitation</t>
  </si>
  <si>
    <t>Rate of struvite dissolution</t>
  </si>
  <si>
    <t>Rate of ACP precipitation</t>
  </si>
  <si>
    <t>Rate of ACP dissolution</t>
  </si>
  <si>
    <t>Rate of vivianite precipitation</t>
  </si>
  <si>
    <t>Rate of vivianite dissolution</t>
  </si>
  <si>
    <t>Half-saturation of struvite redissolution</t>
  </si>
  <si>
    <t>Half-saturation of ACP redissolution</t>
  </si>
  <si>
    <r>
      <t>Half-saturation of CaCO</t>
    </r>
    <r>
      <rPr>
        <vertAlign val="subscript"/>
        <sz val="11"/>
        <color rgb="FF000000"/>
        <rFont val="Calibri"/>
        <family val="2"/>
        <scheme val="minor"/>
      </rPr>
      <t>3</t>
    </r>
    <r>
      <rPr>
        <sz val="11"/>
        <color rgb="FF000000"/>
        <rFont val="Calibri"/>
        <family val="2"/>
        <charset val="238"/>
        <scheme val="minor"/>
      </rPr>
      <t xml:space="preserve"> redissolution</t>
    </r>
  </si>
  <si>
    <t>Half-saturation of vivianite redissolution</t>
  </si>
  <si>
    <r>
      <t>q</t>
    </r>
    <r>
      <rPr>
        <vertAlign val="subscript"/>
        <sz val="11"/>
        <color indexed="8"/>
        <rFont val="Calibri"/>
        <family val="2"/>
        <scheme val="minor"/>
      </rPr>
      <t>Fe2,OX</t>
    </r>
  </si>
  <si>
    <r>
      <t>Rate of X</t>
    </r>
    <r>
      <rPr>
        <vertAlign val="subscript"/>
        <sz val="11"/>
        <color rgb="FF000000"/>
        <rFont val="Calibri"/>
        <family val="2"/>
        <scheme val="minor"/>
      </rPr>
      <t>HFO,H</t>
    </r>
    <r>
      <rPr>
        <sz val="11"/>
        <color rgb="FF000000"/>
        <rFont val="Calibri"/>
        <family val="2"/>
        <charset val="238"/>
        <scheme val="minor"/>
      </rPr>
      <t xml:space="preserve"> aging</t>
    </r>
  </si>
  <si>
    <r>
      <t>Rate of X</t>
    </r>
    <r>
      <rPr>
        <vertAlign val="subscript"/>
        <sz val="11"/>
        <color rgb="FF000000"/>
        <rFont val="Calibri"/>
        <family val="2"/>
        <scheme val="minor"/>
      </rPr>
      <t>HFO,L</t>
    </r>
    <r>
      <rPr>
        <sz val="11"/>
        <color rgb="FF000000"/>
        <rFont val="Calibri"/>
        <family val="2"/>
        <charset val="238"/>
        <scheme val="minor"/>
      </rPr>
      <t xml:space="preserve"> aging</t>
    </r>
  </si>
  <si>
    <t>Rate of P binding and coprecipitation on XHFO,H</t>
  </si>
  <si>
    <t>Rate of P binding on XHFO,L</t>
  </si>
  <si>
    <t>Rate of HFO reduction with organics</t>
  </si>
  <si>
    <r>
      <t>Rate of Fe</t>
    </r>
    <r>
      <rPr>
        <vertAlign val="subscript"/>
        <sz val="11"/>
        <color rgb="FF000000"/>
        <rFont val="Calibri"/>
        <family val="2"/>
        <scheme val="minor"/>
      </rPr>
      <t>2</t>
    </r>
    <r>
      <rPr>
        <sz val="11"/>
        <color rgb="FF000000"/>
        <rFont val="Calibri"/>
        <family val="2"/>
        <charset val="238"/>
        <scheme val="minor"/>
      </rPr>
      <t xml:space="preserve"> oxidation</t>
    </r>
  </si>
  <si>
    <r>
      <t>Half-inhibition of PO</t>
    </r>
    <r>
      <rPr>
        <vertAlign val="subscript"/>
        <sz val="11"/>
        <color rgb="FF000000"/>
        <rFont val="Calibri"/>
        <family val="2"/>
        <scheme val="minor"/>
      </rPr>
      <t>4</t>
    </r>
    <r>
      <rPr>
        <sz val="11"/>
        <color rgb="FF000000"/>
        <rFont val="Calibri"/>
        <family val="2"/>
        <charset val="238"/>
        <scheme val="minor"/>
      </rPr>
      <t xml:space="preserve"> in HFO redissolution</t>
    </r>
  </si>
  <si>
    <r>
      <t>Half-saturation of PO</t>
    </r>
    <r>
      <rPr>
        <vertAlign val="subscript"/>
        <sz val="11"/>
        <color rgb="FF000000"/>
        <rFont val="Calibri"/>
        <family val="2"/>
        <scheme val="minor"/>
      </rPr>
      <t>4</t>
    </r>
    <r>
      <rPr>
        <sz val="11"/>
        <color rgb="FF000000"/>
        <rFont val="Calibri"/>
        <family val="2"/>
        <charset val="238"/>
        <scheme val="minor"/>
      </rPr>
      <t xml:space="preserve"> in binding on HFO</t>
    </r>
  </si>
  <si>
    <r>
      <t>Half-saturation of NH</t>
    </r>
    <r>
      <rPr>
        <vertAlign val="subscript"/>
        <sz val="11"/>
        <color rgb="FF000000"/>
        <rFont val="Calibri"/>
        <family val="2"/>
        <scheme val="minor"/>
      </rPr>
      <t>x</t>
    </r>
    <r>
      <rPr>
        <sz val="11"/>
        <color rgb="FF000000"/>
        <rFont val="Calibri"/>
        <family val="2"/>
        <charset val="238"/>
        <scheme val="minor"/>
      </rPr>
      <t xml:space="preserve"> as nutrient for biomasses (AS)</t>
    </r>
  </si>
  <si>
    <r>
      <t>Half-saturation of PO</t>
    </r>
    <r>
      <rPr>
        <vertAlign val="subscript"/>
        <sz val="11"/>
        <color rgb="FF000000"/>
        <rFont val="Calibri"/>
        <family val="2"/>
        <scheme val="minor"/>
      </rPr>
      <t>4</t>
    </r>
    <r>
      <rPr>
        <sz val="11"/>
        <color rgb="FF000000"/>
        <rFont val="Calibri"/>
        <family val="2"/>
        <charset val="238"/>
        <scheme val="minor"/>
      </rPr>
      <t xml:space="preserve"> as nutrient for biomasses (AS)</t>
    </r>
  </si>
  <si>
    <r>
      <t>Half-saturation of CO</t>
    </r>
    <r>
      <rPr>
        <vertAlign val="subscript"/>
        <sz val="11"/>
        <color rgb="FF000000"/>
        <rFont val="Calibri"/>
        <family val="2"/>
        <scheme val="minor"/>
      </rPr>
      <t>2</t>
    </r>
    <r>
      <rPr>
        <sz val="11"/>
        <color rgb="FF000000"/>
        <rFont val="Calibri"/>
        <family val="2"/>
        <charset val="238"/>
        <scheme val="minor"/>
      </rPr>
      <t xml:space="preserve"> for biomasses (except NITOs)</t>
    </r>
  </si>
  <si>
    <t>Half-saturation of strong cations (as Na+)</t>
  </si>
  <si>
    <t>Half-saturation of strong anions (as Cl-)</t>
  </si>
  <si>
    <t>Reduction factor for anoxic decay</t>
  </si>
  <si>
    <t>Reduction factor for anaerobic decay</t>
  </si>
  <si>
    <t>Reduction factor for anoxic hydrolysis</t>
  </si>
  <si>
    <t>Reduction factor for anaerobic hydrolysis</t>
  </si>
  <si>
    <t>Toxicity factor of anaerobes under anoxic conditions</t>
  </si>
  <si>
    <t>Toxicity factor of anaerobes under aerobic conditions</t>
  </si>
  <si>
    <t>Toxicity factor of aerobes under anaerobic conditions (maximum)</t>
  </si>
  <si>
    <t>pH inhibition low value</t>
  </si>
  <si>
    <t>pH inhibition high value</t>
  </si>
  <si>
    <r>
      <t>Ki</t>
    </r>
    <r>
      <rPr>
        <vertAlign val="subscript"/>
        <sz val="11"/>
        <color indexed="8"/>
        <rFont val="Calibri"/>
        <family val="2"/>
        <scheme val="minor"/>
      </rPr>
      <t>NHx,ASSIM,AS</t>
    </r>
  </si>
  <si>
    <t>Rate of flocculation</t>
  </si>
  <si>
    <t>Half-saturation of particulates in hydrolysis (AS)</t>
  </si>
  <si>
    <t>Rate of ammonification</t>
  </si>
  <si>
    <t>Rate of soluble biodegradable organic P conversion</t>
  </si>
  <si>
    <t>Rate of endogenous decay products conversion</t>
  </si>
  <si>
    <t>Rate of assimilative nutrient production</t>
  </si>
  <si>
    <r>
      <t>Half-saturation of NO</t>
    </r>
    <r>
      <rPr>
        <vertAlign val="subscript"/>
        <sz val="11"/>
        <color rgb="FF000000"/>
        <rFont val="Calibri"/>
        <family val="2"/>
        <scheme val="minor"/>
      </rPr>
      <t>2</t>
    </r>
    <r>
      <rPr>
        <sz val="11"/>
        <color rgb="FF000000"/>
        <rFont val="Calibri"/>
        <family val="2"/>
        <charset val="238"/>
        <scheme val="minor"/>
      </rPr>
      <t xml:space="preserve"> in NO</t>
    </r>
    <r>
      <rPr>
        <vertAlign val="subscript"/>
        <sz val="11"/>
        <color rgb="FF000000"/>
        <rFont val="Calibri"/>
        <family val="2"/>
        <scheme val="minor"/>
      </rPr>
      <t>2</t>
    </r>
    <r>
      <rPr>
        <sz val="11"/>
        <color rgb="FF000000"/>
        <rFont val="Calibri"/>
        <family val="2"/>
        <charset val="238"/>
        <scheme val="minor"/>
      </rPr>
      <t xml:space="preserve"> assimilative reduction (AS)</t>
    </r>
  </si>
  <si>
    <r>
      <t>Half-saturation of NO</t>
    </r>
    <r>
      <rPr>
        <vertAlign val="subscript"/>
        <sz val="11"/>
        <color rgb="FF000000"/>
        <rFont val="Calibri"/>
        <family val="2"/>
        <scheme val="minor"/>
      </rPr>
      <t>3</t>
    </r>
    <r>
      <rPr>
        <sz val="11"/>
        <color rgb="FF000000"/>
        <rFont val="Calibri"/>
        <family val="2"/>
        <charset val="238"/>
        <scheme val="minor"/>
      </rPr>
      <t xml:space="preserve"> in NO</t>
    </r>
    <r>
      <rPr>
        <vertAlign val="subscript"/>
        <sz val="11"/>
        <color rgb="FF000000"/>
        <rFont val="Calibri"/>
        <family val="2"/>
        <scheme val="minor"/>
      </rPr>
      <t>3</t>
    </r>
    <r>
      <rPr>
        <sz val="11"/>
        <color rgb="FF000000"/>
        <rFont val="Calibri"/>
        <family val="2"/>
        <charset val="238"/>
        <scheme val="minor"/>
      </rPr>
      <t xml:space="preserve"> assimilative reduction (AS)</t>
    </r>
  </si>
  <si>
    <r>
      <t>θ</t>
    </r>
    <r>
      <rPr>
        <vertAlign val="subscript"/>
        <sz val="11"/>
        <color indexed="8"/>
        <rFont val="Calibri"/>
        <family val="2"/>
        <scheme val="minor"/>
      </rPr>
      <t>FERM,PAO</t>
    </r>
  </si>
  <si>
    <t>Arrhenius coefficient for fermentation (PAO)</t>
  </si>
  <si>
    <t>Diffusion factor for half-saturation coefficients</t>
  </si>
  <si>
    <t>Yield of OHOs on VFA under aerobic conditions</t>
  </si>
  <si>
    <t>Yield of OHOs on VFA under anoxic conditions</t>
  </si>
  <si>
    <t>Yield of OHOs on readily biodegradable substrate under aerobic conditions</t>
  </si>
  <si>
    <t>Yield of OHOs on readily biodegradable substrate under anoxic conditions</t>
  </si>
  <si>
    <t>Yield of OHOs on readily biodegradable substrate under anaerobic conditions</t>
  </si>
  <si>
    <t>Yield of H2 production in fermentation with high VFA concentration (OHO)</t>
  </si>
  <si>
    <t>Yield of H2 production in fermentation with low VFA concentration (OHO)</t>
  </si>
  <si>
    <t>Yield of OHOs on methanol under aerobic conditions</t>
  </si>
  <si>
    <t>Yield of MEOLOs on methanol</t>
  </si>
  <si>
    <t>Ratio of P released per VFA stored</t>
  </si>
  <si>
    <t>Yield of AMETOs on VFA</t>
  </si>
  <si>
    <r>
      <t>Yield of HMETOs on H</t>
    </r>
    <r>
      <rPr>
        <vertAlign val="subscript"/>
        <sz val="11"/>
        <color rgb="FF000000"/>
        <rFont val="Calibri"/>
        <family val="2"/>
        <scheme val="minor"/>
      </rPr>
      <t>2</t>
    </r>
  </si>
  <si>
    <r>
      <t>Yield of AOBs on NH</t>
    </r>
    <r>
      <rPr>
        <vertAlign val="subscript"/>
        <sz val="11"/>
        <color rgb="FF000000"/>
        <rFont val="Calibri"/>
        <family val="2"/>
        <scheme val="minor"/>
      </rPr>
      <t>x</t>
    </r>
  </si>
  <si>
    <r>
      <t>Yield of NOBs on NO</t>
    </r>
    <r>
      <rPr>
        <vertAlign val="subscript"/>
        <sz val="11"/>
        <color rgb="FF000000"/>
        <rFont val="Calibri"/>
        <family val="2"/>
        <scheme val="minor"/>
      </rPr>
      <t>2</t>
    </r>
  </si>
  <si>
    <r>
      <t>Yield of AMX on NO</t>
    </r>
    <r>
      <rPr>
        <vertAlign val="subscript"/>
        <sz val="11"/>
        <color rgb="FF000000"/>
        <rFont val="Calibri"/>
        <family val="2"/>
        <scheme val="minor"/>
      </rPr>
      <t>2</t>
    </r>
  </si>
  <si>
    <r>
      <t>Yield of AMX on NO</t>
    </r>
    <r>
      <rPr>
        <vertAlign val="subscript"/>
        <sz val="11"/>
        <color rgb="FF000000"/>
        <rFont val="Calibri"/>
        <family val="2"/>
        <scheme val="minor"/>
      </rPr>
      <t>3</t>
    </r>
  </si>
  <si>
    <r>
      <t>i</t>
    </r>
    <r>
      <rPr>
        <vertAlign val="subscript"/>
        <sz val="11"/>
        <rFont val="Calibri"/>
        <family val="2"/>
        <scheme val="minor"/>
      </rPr>
      <t>CV,XB</t>
    </r>
  </si>
  <si>
    <r>
      <t>i</t>
    </r>
    <r>
      <rPr>
        <vertAlign val="subscript"/>
        <sz val="11"/>
        <rFont val="Calibri"/>
        <family val="2"/>
        <scheme val="minor"/>
      </rPr>
      <t>CV,XU</t>
    </r>
  </si>
  <si>
    <r>
      <t>i</t>
    </r>
    <r>
      <rPr>
        <vertAlign val="subscript"/>
        <sz val="11"/>
        <rFont val="Calibri"/>
        <family val="2"/>
        <scheme val="minor"/>
      </rPr>
      <t>CV,XE</t>
    </r>
  </si>
  <si>
    <t>Fraction of endogenous products produced in biomass decay</t>
  </si>
  <si>
    <t>N content of colloidal biodegradable substrate</t>
  </si>
  <si>
    <t>N content of colloidal unbiodegradable organics</t>
  </si>
  <si>
    <t>N content of soluble unbiodegradable organics</t>
  </si>
  <si>
    <t>N content of struvite</t>
  </si>
  <si>
    <t>P content of colloidal biodegradable substrate</t>
  </si>
  <si>
    <t>P content of colloidal unbiodegradable organics</t>
  </si>
  <si>
    <t>P content of soluble unbiodegradable organics</t>
  </si>
  <si>
    <t>P content of struvite</t>
  </si>
  <si>
    <t>P content of ACP</t>
  </si>
  <si>
    <t>P content of vivianite</t>
  </si>
  <si>
    <t>COD of biomass in volatile solids</t>
  </si>
  <si>
    <t>COD of biodegradable substrate in volatile solids</t>
  </si>
  <si>
    <t>COD of particulate unbiodegradable organics in volatile solids</t>
  </si>
  <si>
    <t>COD of VFA in volatile solids</t>
  </si>
  <si>
    <t>COD of readily biodegradable substrate in volatile solids</t>
  </si>
  <si>
    <t>COD of soluble unbiodegradable organics in volatile solids</t>
  </si>
  <si>
    <t>COD of colloidal biodegradable substrate in volatile solids</t>
  </si>
  <si>
    <t>COD of colloidal unbiodegradable organics in volatile solids</t>
  </si>
  <si>
    <t>COD of PHA in volatile solids</t>
  </si>
  <si>
    <t>COD of endogenous products in volatile solids</t>
  </si>
  <si>
    <t>Inorganic carbon content of biomass</t>
  </si>
  <si>
    <r>
      <t>Inorganic carbon content of S</t>
    </r>
    <r>
      <rPr>
        <vertAlign val="subscript"/>
        <sz val="11"/>
        <color rgb="FF000000"/>
        <rFont val="Calibri"/>
        <family val="2"/>
        <scheme val="minor"/>
      </rPr>
      <t>B</t>
    </r>
    <r>
      <rPr>
        <sz val="11"/>
        <color rgb="FF000000"/>
        <rFont val="Calibri"/>
        <family val="2"/>
        <charset val="238"/>
        <scheme val="minor"/>
      </rPr>
      <t xml:space="preserve"> and S</t>
    </r>
    <r>
      <rPr>
        <vertAlign val="subscript"/>
        <sz val="11"/>
        <color rgb="FF000000"/>
        <rFont val="Calibri"/>
        <family val="2"/>
        <scheme val="minor"/>
      </rPr>
      <t>U</t>
    </r>
  </si>
  <si>
    <t>Inorganic carbon content of methanol</t>
  </si>
  <si>
    <t>Inorganic carbon content of CH4</t>
  </si>
  <si>
    <t>Inorganic carbon content of VFA</t>
  </si>
  <si>
    <t>Inorganic carbon content of PHA</t>
  </si>
  <si>
    <t>Inorganic content of biomass</t>
  </si>
  <si>
    <t>Calcium content of PP</t>
  </si>
  <si>
    <t>Magnesium content of PP</t>
  </si>
  <si>
    <t>Potassium content of PP</t>
  </si>
  <si>
    <t>Fraction of Na in NaCl</t>
  </si>
  <si>
    <r>
      <t>X</t>
    </r>
    <r>
      <rPr>
        <vertAlign val="subscript"/>
        <sz val="11"/>
        <rFont val="Calibri"/>
        <family val="2"/>
        <scheme val="minor"/>
      </rPr>
      <t>U</t>
    </r>
    <r>
      <rPr>
        <sz val="11"/>
        <rFont val="Calibri"/>
        <family val="2"/>
        <scheme val="minor"/>
      </rPr>
      <t>/i</t>
    </r>
    <r>
      <rPr>
        <vertAlign val="subscript"/>
        <sz val="11"/>
        <rFont val="Calibri"/>
        <family val="2"/>
        <scheme val="minor"/>
      </rPr>
      <t>CV,XU</t>
    </r>
    <r>
      <rPr>
        <sz val="11"/>
        <rFont val="Calibri"/>
        <family val="2"/>
        <scheme val="minor"/>
      </rPr>
      <t>+</t>
    </r>
    <r>
      <rPr>
        <sz val="11"/>
        <rFont val="Calibri"/>
        <family val="2"/>
        <scheme val="minor"/>
      </rPr>
      <t>S</t>
    </r>
    <r>
      <rPr>
        <vertAlign val="subscript"/>
        <sz val="11"/>
        <rFont val="Calibri"/>
        <family val="2"/>
        <scheme val="minor"/>
      </rPr>
      <t>U</t>
    </r>
    <r>
      <rPr>
        <sz val="11"/>
        <rFont val="Calibri"/>
        <family val="2"/>
        <scheme val="minor"/>
      </rPr>
      <t>/i</t>
    </r>
    <r>
      <rPr>
        <vertAlign val="subscript"/>
        <sz val="11"/>
        <rFont val="Calibri"/>
        <family val="2"/>
        <scheme val="minor"/>
      </rPr>
      <t>CV,SU</t>
    </r>
    <r>
      <rPr>
        <sz val="11"/>
        <rFont val="Calibri"/>
        <family val="2"/>
        <scheme val="minor"/>
      </rPr>
      <t>+C</t>
    </r>
    <r>
      <rPr>
        <vertAlign val="subscript"/>
        <sz val="11"/>
        <rFont val="Calibri"/>
        <family val="2"/>
        <scheme val="minor"/>
      </rPr>
      <t>U</t>
    </r>
    <r>
      <rPr>
        <sz val="11"/>
        <rFont val="Calibri"/>
        <family val="2"/>
        <scheme val="minor"/>
      </rPr>
      <t>/i</t>
    </r>
    <r>
      <rPr>
        <vertAlign val="subscript"/>
        <sz val="11"/>
        <rFont val="Calibri"/>
        <family val="2"/>
        <scheme val="minor"/>
      </rPr>
      <t>CV,CU</t>
    </r>
  </si>
  <si>
    <r>
      <t>ratio</t>
    </r>
    <r>
      <rPr>
        <vertAlign val="subscript"/>
        <sz val="11"/>
        <rFont val="Calibri"/>
        <family val="2"/>
        <scheme val="minor"/>
      </rPr>
      <t>VSS,TSS</t>
    </r>
  </si>
  <si>
    <r>
      <t>Correction factor for mass transfer of N</t>
    </r>
    <r>
      <rPr>
        <vertAlign val="subscript"/>
        <sz val="11"/>
        <color rgb="FF000000"/>
        <rFont val="Calibri"/>
        <family val="2"/>
        <scheme val="minor"/>
      </rPr>
      <t>2</t>
    </r>
  </si>
  <si>
    <r>
      <t>Correction factor for mass transfer of CO</t>
    </r>
    <r>
      <rPr>
        <vertAlign val="subscript"/>
        <sz val="11"/>
        <color rgb="FF000000"/>
        <rFont val="Calibri"/>
        <family val="2"/>
        <scheme val="minor"/>
      </rPr>
      <t>2</t>
    </r>
  </si>
  <si>
    <r>
      <t>Correction factor for mass transfer of CH</t>
    </r>
    <r>
      <rPr>
        <vertAlign val="subscript"/>
        <sz val="11"/>
        <color rgb="FF000000"/>
        <rFont val="Calibri"/>
        <family val="2"/>
        <scheme val="minor"/>
      </rPr>
      <t>4</t>
    </r>
  </si>
  <si>
    <r>
      <t>Correction factor for mass transfer of H</t>
    </r>
    <r>
      <rPr>
        <vertAlign val="subscript"/>
        <sz val="11"/>
        <color rgb="FF000000"/>
        <rFont val="Calibri"/>
        <family val="2"/>
        <scheme val="minor"/>
      </rPr>
      <t>2</t>
    </r>
  </si>
  <si>
    <r>
      <t>Correction factor for mass transfer of NH</t>
    </r>
    <r>
      <rPr>
        <vertAlign val="subscript"/>
        <sz val="11"/>
        <color rgb="FF000000"/>
        <rFont val="Calibri"/>
        <family val="2"/>
        <scheme val="minor"/>
      </rPr>
      <t>3</t>
    </r>
  </si>
  <si>
    <t>COD of particulates</t>
  </si>
  <si>
    <t>Volatile suspended solids of biomasses</t>
  </si>
  <si>
    <t>Volatile ultimately degradable solids</t>
  </si>
  <si>
    <t>Total inorganic suspended solids (ISS)</t>
  </si>
  <si>
    <t>Total suspended solids (TSS)</t>
  </si>
  <si>
    <t>Filtered ultimate biochemical oxygen demand</t>
  </si>
  <si>
    <t>Filtered biochemical oxygen demand (5 days)</t>
  </si>
  <si>
    <t>Filtered chemical oxygen demand</t>
  </si>
  <si>
    <r>
      <t>Nitrate and nitrite (NO</t>
    </r>
    <r>
      <rPr>
        <vertAlign val="subscript"/>
        <sz val="11"/>
        <color rgb="FF000000"/>
        <rFont val="Calibri"/>
        <family val="2"/>
        <scheme val="minor"/>
      </rPr>
      <t>x</t>
    </r>
    <r>
      <rPr>
        <sz val="11"/>
        <color rgb="FF000000"/>
        <rFont val="Calibri"/>
        <family val="2"/>
        <charset val="238"/>
        <scheme val="minor"/>
      </rPr>
      <t>)</t>
    </r>
  </si>
  <si>
    <t>Total phosphorus in HFOs</t>
  </si>
  <si>
    <t>Rate expression of struvite precipitation (driving force)</t>
  </si>
  <si>
    <r>
      <t>If(PrecipDrivingForce</t>
    </r>
    <r>
      <rPr>
        <vertAlign val="subscript"/>
        <sz val="11"/>
        <color theme="1"/>
        <rFont val="Calibri"/>
        <family val="2"/>
        <scheme val="minor"/>
      </rPr>
      <t>STR</t>
    </r>
    <r>
      <rPr>
        <sz val="11"/>
        <color theme="1"/>
        <rFont val="Calibri"/>
        <family val="2"/>
        <scheme val="minor"/>
      </rPr>
      <t>&gt;0;q</t>
    </r>
    <r>
      <rPr>
        <vertAlign val="subscript"/>
        <sz val="11"/>
        <color theme="1"/>
        <rFont val="Calibri"/>
        <family val="2"/>
        <scheme val="minor"/>
      </rPr>
      <t>STR,PREC</t>
    </r>
    <r>
      <rPr>
        <sz val="11"/>
        <color theme="1"/>
        <rFont val="Calibri"/>
        <family val="2"/>
        <scheme val="minor"/>
      </rPr>
      <t>;q</t>
    </r>
    <r>
      <rPr>
        <vertAlign val="subscript"/>
        <sz val="11"/>
        <color theme="1"/>
        <rFont val="Calibri"/>
        <family val="2"/>
        <scheme val="minor"/>
      </rPr>
      <t>STR,DISS</t>
    </r>
    <r>
      <rPr>
        <sz val="11"/>
        <color theme="1"/>
        <rFont val="Calibri"/>
        <family val="2"/>
        <scheme val="minor"/>
      </rPr>
      <t>*Msat</t>
    </r>
    <r>
      <rPr>
        <vertAlign val="subscript"/>
        <sz val="11"/>
        <color theme="1"/>
        <rFont val="Calibri"/>
        <family val="2"/>
        <scheme val="minor"/>
      </rPr>
      <t>XSTR,KSTR,DISS</t>
    </r>
    <r>
      <rPr>
        <sz val="11"/>
        <color theme="1"/>
        <rFont val="Calibri"/>
        <family val="2"/>
        <scheme val="minor"/>
      </rPr>
      <t>)</t>
    </r>
  </si>
  <si>
    <t>Rate expression of ACP precipitation (driving force)</t>
  </si>
  <si>
    <r>
      <t>If(PrecipDrivingForce</t>
    </r>
    <r>
      <rPr>
        <vertAlign val="subscript"/>
        <sz val="11"/>
        <color theme="1"/>
        <rFont val="Calibri"/>
        <family val="2"/>
        <scheme val="minor"/>
      </rPr>
      <t>ACP</t>
    </r>
    <r>
      <rPr>
        <sz val="11"/>
        <color theme="1"/>
        <rFont val="Calibri"/>
        <family val="2"/>
        <scheme val="minor"/>
      </rPr>
      <t>&gt;0;q</t>
    </r>
    <r>
      <rPr>
        <vertAlign val="subscript"/>
        <sz val="11"/>
        <color theme="1"/>
        <rFont val="Calibri"/>
        <family val="2"/>
        <scheme val="minor"/>
      </rPr>
      <t>ACP,PREC</t>
    </r>
    <r>
      <rPr>
        <sz val="11"/>
        <color theme="1"/>
        <rFont val="Calibri"/>
        <family val="2"/>
        <scheme val="minor"/>
      </rPr>
      <t>;-q</t>
    </r>
    <r>
      <rPr>
        <vertAlign val="subscript"/>
        <sz val="11"/>
        <color theme="1"/>
        <rFont val="Calibri"/>
        <family val="2"/>
        <scheme val="minor"/>
      </rPr>
      <t>ACP,DISS</t>
    </r>
    <r>
      <rPr>
        <sz val="11"/>
        <color theme="1"/>
        <rFont val="Calibri"/>
        <family val="2"/>
        <scheme val="minor"/>
      </rPr>
      <t>*Msat</t>
    </r>
    <r>
      <rPr>
        <vertAlign val="subscript"/>
        <sz val="11"/>
        <color theme="1"/>
        <rFont val="Calibri"/>
        <family val="2"/>
        <scheme val="minor"/>
      </rPr>
      <t>XACP,KACP,DISS</t>
    </r>
    <r>
      <rPr>
        <sz val="11"/>
        <color theme="1"/>
        <rFont val="Calibri"/>
        <family val="2"/>
        <scheme val="minor"/>
      </rPr>
      <t>)</t>
    </r>
  </si>
  <si>
    <r>
      <t>Rate expression of CaCO</t>
    </r>
    <r>
      <rPr>
        <vertAlign val="subscript"/>
        <sz val="11"/>
        <color rgb="FF000000"/>
        <rFont val="Calibri"/>
        <family val="2"/>
        <scheme val="minor"/>
      </rPr>
      <t>3</t>
    </r>
    <r>
      <rPr>
        <sz val="11"/>
        <color rgb="FF000000"/>
        <rFont val="Calibri"/>
        <family val="2"/>
        <charset val="238"/>
        <scheme val="minor"/>
      </rPr>
      <t xml:space="preserve"> precipitation (driving force)</t>
    </r>
  </si>
  <si>
    <r>
      <t>If(PrecipDrivingForce</t>
    </r>
    <r>
      <rPr>
        <vertAlign val="subscript"/>
        <sz val="11"/>
        <color theme="1"/>
        <rFont val="Calibri"/>
        <family val="2"/>
        <scheme val="minor"/>
      </rPr>
      <t>CaCO3</t>
    </r>
    <r>
      <rPr>
        <sz val="11"/>
        <color theme="1"/>
        <rFont val="Calibri"/>
        <family val="2"/>
        <scheme val="minor"/>
      </rPr>
      <t>&gt;0;q</t>
    </r>
    <r>
      <rPr>
        <vertAlign val="subscript"/>
        <sz val="11"/>
        <color theme="1"/>
        <rFont val="Calibri"/>
        <family val="2"/>
        <scheme val="minor"/>
      </rPr>
      <t>CaCO3,PREC</t>
    </r>
    <r>
      <rPr>
        <sz val="11"/>
        <color theme="1"/>
        <rFont val="Calibri"/>
        <family val="2"/>
        <scheme val="minor"/>
      </rPr>
      <t>;-q</t>
    </r>
    <r>
      <rPr>
        <vertAlign val="subscript"/>
        <sz val="11"/>
        <color theme="1"/>
        <rFont val="Calibri"/>
        <family val="2"/>
        <scheme val="minor"/>
      </rPr>
      <t>CaCO3,DISS</t>
    </r>
    <r>
      <rPr>
        <sz val="11"/>
        <color theme="1"/>
        <rFont val="Calibri"/>
        <family val="2"/>
        <scheme val="minor"/>
      </rPr>
      <t>*Msat</t>
    </r>
    <r>
      <rPr>
        <vertAlign val="subscript"/>
        <sz val="11"/>
        <color theme="1"/>
        <rFont val="Calibri"/>
        <family val="2"/>
        <scheme val="minor"/>
      </rPr>
      <t>XCaCO3,KCaCO3,DISS</t>
    </r>
    <r>
      <rPr>
        <sz val="11"/>
        <color theme="1"/>
        <rFont val="Calibri"/>
        <family val="2"/>
        <scheme val="minor"/>
      </rPr>
      <t>)</t>
    </r>
  </si>
  <si>
    <t>Rate expression of vivianite precipitation (driving force)</t>
  </si>
  <si>
    <r>
      <t>If(PrecipDrivingForce</t>
    </r>
    <r>
      <rPr>
        <vertAlign val="subscript"/>
        <sz val="11"/>
        <color theme="1"/>
        <rFont val="Calibri"/>
        <family val="2"/>
        <scheme val="minor"/>
      </rPr>
      <t>Vivi</t>
    </r>
    <r>
      <rPr>
        <sz val="11"/>
        <color theme="1"/>
        <rFont val="Calibri"/>
        <family val="2"/>
        <scheme val="minor"/>
      </rPr>
      <t>&gt;0;q</t>
    </r>
    <r>
      <rPr>
        <vertAlign val="subscript"/>
        <sz val="11"/>
        <color theme="1"/>
        <rFont val="Calibri"/>
        <family val="2"/>
        <scheme val="minor"/>
      </rPr>
      <t>Vivi,PREC</t>
    </r>
    <r>
      <rPr>
        <sz val="11"/>
        <color theme="1"/>
        <rFont val="Calibri"/>
        <family val="2"/>
        <scheme val="minor"/>
      </rPr>
      <t>;-q</t>
    </r>
    <r>
      <rPr>
        <vertAlign val="subscript"/>
        <sz val="11"/>
        <color theme="1"/>
        <rFont val="Calibri"/>
        <family val="2"/>
        <scheme val="minor"/>
      </rPr>
      <t>Vivi,DISS</t>
    </r>
    <r>
      <rPr>
        <sz val="11"/>
        <color theme="1"/>
        <rFont val="Calibri"/>
        <family val="2"/>
        <scheme val="minor"/>
      </rPr>
      <t>*Msat</t>
    </r>
    <r>
      <rPr>
        <vertAlign val="subscript"/>
        <sz val="11"/>
        <color theme="1"/>
        <rFont val="Calibri"/>
        <family val="2"/>
        <scheme val="minor"/>
      </rPr>
      <t>XVivi,KVivi,DISS</t>
    </r>
    <r>
      <rPr>
        <sz val="11"/>
        <color theme="1"/>
        <rFont val="Calibri"/>
        <family val="2"/>
        <scheme val="minor"/>
      </rPr>
      <t>)</t>
    </r>
  </si>
  <si>
    <t>N3UR</t>
  </si>
  <si>
    <t>N2UR</t>
  </si>
  <si>
    <t>Carbonaceous oxygen uptake rate (COUR)</t>
  </si>
  <si>
    <t>Nitrification oxygen uptake rate (NOUR)</t>
  </si>
  <si>
    <t>Toxicity factor of aerobes under anaerobic conditions (in digester)</t>
  </si>
  <si>
    <t>Toxicity factor of aerobes under anaerobic conditions (not in digester)</t>
  </si>
  <si>
    <r>
      <t>Half-saturation of NH</t>
    </r>
    <r>
      <rPr>
        <vertAlign val="subscript"/>
        <sz val="11"/>
        <color rgb="FF000000"/>
        <rFont val="Calibri"/>
        <family val="2"/>
        <scheme val="minor"/>
      </rPr>
      <t>x</t>
    </r>
    <r>
      <rPr>
        <sz val="11"/>
        <color rgb="FF000000"/>
        <rFont val="Calibri"/>
        <family val="2"/>
        <charset val="238"/>
        <scheme val="minor"/>
      </rPr>
      <t xml:space="preserve"> for AOBs</t>
    </r>
  </si>
  <si>
    <t>Half-saturation of bicarbonate for AOBs</t>
  </si>
  <si>
    <r>
      <t>Half-saturation of O</t>
    </r>
    <r>
      <rPr>
        <vertAlign val="subscript"/>
        <sz val="11"/>
        <color rgb="FF000000"/>
        <rFont val="Calibri"/>
        <family val="2"/>
        <scheme val="minor"/>
      </rPr>
      <t>2</t>
    </r>
    <r>
      <rPr>
        <sz val="11"/>
        <color rgb="FF000000"/>
        <rFont val="Calibri"/>
        <family val="2"/>
        <charset val="238"/>
        <scheme val="minor"/>
      </rPr>
      <t xml:space="preserve"> for AOBs</t>
    </r>
  </si>
  <si>
    <r>
      <t>Half-saturation of NO</t>
    </r>
    <r>
      <rPr>
        <vertAlign val="subscript"/>
        <sz val="11"/>
        <color rgb="FF000000"/>
        <rFont val="Calibri"/>
        <family val="2"/>
        <scheme val="minor"/>
      </rPr>
      <t>x</t>
    </r>
    <r>
      <rPr>
        <sz val="11"/>
        <color rgb="FF000000"/>
        <rFont val="Calibri"/>
        <family val="2"/>
        <charset val="238"/>
        <scheme val="minor"/>
      </rPr>
      <t xml:space="preserve"> (anoxic conditions) for AOBs</t>
    </r>
  </si>
  <si>
    <t>Half-inhibition of nitrous acid for AOBs</t>
  </si>
  <si>
    <r>
      <t>Ki</t>
    </r>
    <r>
      <rPr>
        <vertAlign val="subscript"/>
        <sz val="11"/>
        <rFont val="Calibri"/>
        <family val="2"/>
        <scheme val="minor"/>
      </rPr>
      <t>HNO2,AOB,pH</t>
    </r>
  </si>
  <si>
    <r>
      <t>Ki</t>
    </r>
    <r>
      <rPr>
        <vertAlign val="subscript"/>
        <sz val="11"/>
        <rFont val="Calibri"/>
        <family val="2"/>
      </rPr>
      <t>HNO2,AOB,pH,AS</t>
    </r>
  </si>
  <si>
    <r>
      <t>Ki</t>
    </r>
    <r>
      <rPr>
        <vertAlign val="subscript"/>
        <sz val="11"/>
        <rFont val="Calibri"/>
        <family val="2"/>
        <scheme val="minor"/>
      </rPr>
      <t>NH3,NOB,pH</t>
    </r>
  </si>
  <si>
    <r>
      <t>Half-inhibition of NH</t>
    </r>
    <r>
      <rPr>
        <vertAlign val="subscript"/>
        <sz val="11"/>
        <color rgb="FF000000"/>
        <rFont val="Calibri"/>
        <family val="2"/>
        <scheme val="minor"/>
      </rPr>
      <t>3</t>
    </r>
    <r>
      <rPr>
        <sz val="11"/>
        <color rgb="FF000000"/>
        <rFont val="Calibri"/>
        <family val="2"/>
        <charset val="238"/>
        <scheme val="minor"/>
      </rPr>
      <t xml:space="preserve"> for NOBs</t>
    </r>
  </si>
  <si>
    <r>
      <t>Ki</t>
    </r>
    <r>
      <rPr>
        <vertAlign val="subscript"/>
        <sz val="11"/>
        <rFont val="Calibri"/>
        <family val="2"/>
      </rPr>
      <t>NH3,NOB,pH,AS</t>
    </r>
  </si>
  <si>
    <r>
      <t>Half-saturation of NO</t>
    </r>
    <r>
      <rPr>
        <vertAlign val="subscript"/>
        <sz val="11"/>
        <color rgb="FF000000"/>
        <rFont val="Calibri"/>
        <family val="2"/>
        <scheme val="minor"/>
      </rPr>
      <t>2</t>
    </r>
    <r>
      <rPr>
        <sz val="11"/>
        <color rgb="FF000000"/>
        <rFont val="Calibri"/>
        <family val="2"/>
        <charset val="238"/>
        <scheme val="minor"/>
      </rPr>
      <t xml:space="preserve"> for NOBs</t>
    </r>
  </si>
  <si>
    <t>Half-saturation of bicarbonate for NOBs</t>
  </si>
  <si>
    <r>
      <t>Half-saturation of O</t>
    </r>
    <r>
      <rPr>
        <vertAlign val="subscript"/>
        <sz val="11"/>
        <color rgb="FF000000"/>
        <rFont val="Calibri"/>
        <family val="2"/>
        <scheme val="minor"/>
      </rPr>
      <t>2</t>
    </r>
    <r>
      <rPr>
        <sz val="11"/>
        <color rgb="FF000000"/>
        <rFont val="Calibri"/>
        <family val="2"/>
        <charset val="238"/>
        <scheme val="minor"/>
      </rPr>
      <t xml:space="preserve"> for NOBs</t>
    </r>
  </si>
  <si>
    <r>
      <t>Half-saturation of NO</t>
    </r>
    <r>
      <rPr>
        <vertAlign val="subscript"/>
        <sz val="11"/>
        <color rgb="FF000000"/>
        <rFont val="Calibri"/>
        <family val="2"/>
        <scheme val="minor"/>
      </rPr>
      <t>x</t>
    </r>
    <r>
      <rPr>
        <sz val="11"/>
        <color rgb="FF000000"/>
        <rFont val="Calibri"/>
        <family val="2"/>
        <charset val="238"/>
        <scheme val="minor"/>
      </rPr>
      <t xml:space="preserve"> (anoxic conditions) for NOBs</t>
    </r>
  </si>
  <si>
    <t>Half-saturations for nitrite oxidizers (NOB)</t>
  </si>
  <si>
    <t>Half-saturations for anammox organisms (AMX)</t>
  </si>
  <si>
    <t>Half-saturations for ordinary heterotrophic organisms (OHO)</t>
  </si>
  <si>
    <t>Half-saturations for anoxic methanol utilizers (MEOLO)</t>
  </si>
  <si>
    <t>Half-saturation of readily biodegradable substrate for OHOs</t>
  </si>
  <si>
    <t>Half-saturation of VFA for OHOs</t>
  </si>
  <si>
    <r>
      <t>Half-saturation of O</t>
    </r>
    <r>
      <rPr>
        <vertAlign val="subscript"/>
        <sz val="11"/>
        <color rgb="FF000000"/>
        <rFont val="Calibri"/>
        <family val="2"/>
        <scheme val="minor"/>
      </rPr>
      <t>2</t>
    </r>
    <r>
      <rPr>
        <sz val="11"/>
        <color rgb="FF000000"/>
        <rFont val="Calibri"/>
        <family val="2"/>
        <charset val="238"/>
        <scheme val="minor"/>
      </rPr>
      <t xml:space="preserve"> for OHOs</t>
    </r>
  </si>
  <si>
    <t>Half-saturation of methanol for OHOs</t>
  </si>
  <si>
    <r>
      <t>Half-saturation of NO</t>
    </r>
    <r>
      <rPr>
        <vertAlign val="subscript"/>
        <sz val="11"/>
        <color rgb="FF000000"/>
        <rFont val="Calibri"/>
        <family val="2"/>
        <scheme val="minor"/>
      </rPr>
      <t>2</t>
    </r>
    <r>
      <rPr>
        <sz val="11"/>
        <color rgb="FF000000"/>
        <rFont val="Calibri"/>
        <family val="2"/>
        <charset val="238"/>
        <scheme val="minor"/>
      </rPr>
      <t xml:space="preserve"> for OHOs</t>
    </r>
  </si>
  <si>
    <r>
      <t>Half-saturation of NO</t>
    </r>
    <r>
      <rPr>
        <vertAlign val="subscript"/>
        <sz val="11"/>
        <color rgb="FF000000"/>
        <rFont val="Calibri"/>
        <family val="2"/>
        <scheme val="minor"/>
      </rPr>
      <t>3</t>
    </r>
    <r>
      <rPr>
        <sz val="11"/>
        <color rgb="FF000000"/>
        <rFont val="Calibri"/>
        <family val="2"/>
        <charset val="238"/>
        <scheme val="minor"/>
      </rPr>
      <t xml:space="preserve"> for OHOs</t>
    </r>
  </si>
  <si>
    <t>Half-saturation of readily biodegradable substrate in fermentation by OHOs</t>
  </si>
  <si>
    <t>Half-saturation of VFA in fermentation of OHOs (AS)</t>
  </si>
  <si>
    <t>Half-saturation of VFA in fermentation of OHOs</t>
  </si>
  <si>
    <t>Half-saturation of methanol for MEOLOs</t>
  </si>
  <si>
    <r>
      <t>Half-saturation of NO</t>
    </r>
    <r>
      <rPr>
        <vertAlign val="subscript"/>
        <sz val="11"/>
        <color rgb="FF000000"/>
        <rFont val="Calibri"/>
        <family val="2"/>
        <scheme val="minor"/>
      </rPr>
      <t>2</t>
    </r>
    <r>
      <rPr>
        <sz val="11"/>
        <color rgb="FF000000"/>
        <rFont val="Calibri"/>
        <family val="2"/>
        <charset val="238"/>
        <scheme val="minor"/>
      </rPr>
      <t xml:space="preserve"> for MEOLOs</t>
    </r>
  </si>
  <si>
    <r>
      <t>Half-saturation of NO</t>
    </r>
    <r>
      <rPr>
        <vertAlign val="subscript"/>
        <sz val="11"/>
        <color rgb="FF000000"/>
        <rFont val="Calibri"/>
        <family val="2"/>
        <scheme val="minor"/>
      </rPr>
      <t>3</t>
    </r>
    <r>
      <rPr>
        <sz val="11"/>
        <color rgb="FF000000"/>
        <rFont val="Calibri"/>
        <family val="2"/>
        <charset val="238"/>
        <scheme val="minor"/>
      </rPr>
      <t xml:space="preserve"> for MEOLOs</t>
    </r>
  </si>
  <si>
    <t>Half-saturation of PP for PAOs</t>
  </si>
  <si>
    <r>
      <t>Half-saturation of PO</t>
    </r>
    <r>
      <rPr>
        <vertAlign val="subscript"/>
        <sz val="11"/>
        <color rgb="FF000000"/>
        <rFont val="Calibri"/>
        <family val="2"/>
        <scheme val="minor"/>
      </rPr>
      <t>4</t>
    </r>
    <r>
      <rPr>
        <sz val="11"/>
        <color rgb="FF000000"/>
        <rFont val="Calibri"/>
        <family val="2"/>
        <charset val="238"/>
        <scheme val="minor"/>
      </rPr>
      <t xml:space="preserve"> for PAOs</t>
    </r>
  </si>
  <si>
    <t>Half-saturation of Mg (counter-ion in PP storage) for PAOs</t>
  </si>
  <si>
    <t>Half-saturation of K (counter-ion in PP storage) for PAOs</t>
  </si>
  <si>
    <t>Half-saturation of Ca (counter-ion in PP storage) for PAOs</t>
  </si>
  <si>
    <r>
      <t>Half-inhibition of PO</t>
    </r>
    <r>
      <rPr>
        <vertAlign val="subscript"/>
        <sz val="11"/>
        <color rgb="FF000000"/>
        <rFont val="Calibri"/>
        <family val="2"/>
        <scheme val="minor"/>
      </rPr>
      <t>4</t>
    </r>
    <r>
      <rPr>
        <sz val="11"/>
        <color rgb="FF000000"/>
        <rFont val="Calibri"/>
        <family val="2"/>
        <charset val="238"/>
        <scheme val="minor"/>
      </rPr>
      <t xml:space="preserve"> for PP use as nutrient for PAOs</t>
    </r>
  </si>
  <si>
    <r>
      <t>Ki</t>
    </r>
    <r>
      <rPr>
        <vertAlign val="subscript"/>
        <sz val="11"/>
        <rFont val="Calibri"/>
        <family val="2"/>
        <scheme val="minor"/>
      </rPr>
      <t>PP,PAO,max</t>
    </r>
  </si>
  <si>
    <r>
      <t>Ki</t>
    </r>
    <r>
      <rPr>
        <vertAlign val="subscript"/>
        <sz val="11"/>
        <rFont val="Calibri"/>
        <family val="2"/>
        <scheme val="minor"/>
      </rPr>
      <t>PHA,PAO,max</t>
    </r>
  </si>
  <si>
    <r>
      <t>Ki</t>
    </r>
    <r>
      <rPr>
        <vertAlign val="subscript"/>
        <sz val="11"/>
        <rFont val="Calibri"/>
        <family val="2"/>
        <scheme val="minor"/>
      </rPr>
      <t>PO4,lim</t>
    </r>
  </si>
  <si>
    <t>Half-saturations for acidoclastic methanogens (AMETO)</t>
  </si>
  <si>
    <t>Half-saturations for hydrogenotrophic methanogens (HMETO)</t>
  </si>
  <si>
    <t>Half-saturation of VFA for AMETOs</t>
  </si>
  <si>
    <t>Haldane inhibition of VFA for AMETOs</t>
  </si>
  <si>
    <r>
      <t>Half-saturation of NO</t>
    </r>
    <r>
      <rPr>
        <vertAlign val="subscript"/>
        <sz val="11"/>
        <color rgb="FF000000"/>
        <rFont val="Calibri"/>
        <family val="2"/>
        <scheme val="minor"/>
      </rPr>
      <t>x</t>
    </r>
    <r>
      <rPr>
        <sz val="11"/>
        <color rgb="FF000000"/>
        <rFont val="Calibri"/>
        <family val="2"/>
        <charset val="238"/>
        <scheme val="minor"/>
      </rPr>
      <t xml:space="preserve"> for AMETOs</t>
    </r>
  </si>
  <si>
    <r>
      <t>Ki</t>
    </r>
    <r>
      <rPr>
        <vertAlign val="subscript"/>
        <sz val="11"/>
        <rFont val="Calibri"/>
        <family val="2"/>
        <scheme val="minor"/>
      </rPr>
      <t>VFA,AMETO</t>
    </r>
  </si>
  <si>
    <r>
      <t>Half-saturation of H</t>
    </r>
    <r>
      <rPr>
        <vertAlign val="subscript"/>
        <sz val="11"/>
        <color rgb="FF000000"/>
        <rFont val="Calibri"/>
        <family val="2"/>
        <scheme val="minor"/>
      </rPr>
      <t>2</t>
    </r>
    <r>
      <rPr>
        <sz val="11"/>
        <color rgb="FF000000"/>
        <rFont val="Calibri"/>
        <family val="2"/>
        <charset val="238"/>
        <scheme val="minor"/>
      </rPr>
      <t xml:space="preserve"> for HMETOs</t>
    </r>
  </si>
  <si>
    <r>
      <t>Half-saturation of NO</t>
    </r>
    <r>
      <rPr>
        <vertAlign val="subscript"/>
        <sz val="11"/>
        <color rgb="FF000000"/>
        <rFont val="Calibri"/>
        <family val="2"/>
        <scheme val="minor"/>
      </rPr>
      <t>x</t>
    </r>
    <r>
      <rPr>
        <sz val="11"/>
        <color rgb="FF000000"/>
        <rFont val="Calibri"/>
        <family val="2"/>
        <charset val="238"/>
        <scheme val="minor"/>
      </rPr>
      <t xml:space="preserve"> for HMETOs</t>
    </r>
  </si>
  <si>
    <r>
      <t>Ki</t>
    </r>
    <r>
      <rPr>
        <vertAlign val="subscript"/>
        <sz val="11"/>
        <rFont val="Calibri"/>
        <family val="2"/>
        <scheme val="minor"/>
      </rPr>
      <t>NHx,ASSIM</t>
    </r>
  </si>
  <si>
    <r>
      <t>Ki</t>
    </r>
    <r>
      <rPr>
        <vertAlign val="subscript"/>
        <sz val="11"/>
        <rFont val="Calibri"/>
        <family val="2"/>
        <scheme val="minor"/>
      </rPr>
      <t>NHx,ASSIM,AS</t>
    </r>
  </si>
  <si>
    <t>Half-saturation of NHx as nutrient for biomasses</t>
  </si>
  <si>
    <r>
      <t>Half-saturation of PO</t>
    </r>
    <r>
      <rPr>
        <vertAlign val="subscript"/>
        <sz val="11"/>
        <color rgb="FF000000"/>
        <rFont val="Calibri"/>
        <family val="2"/>
        <scheme val="minor"/>
      </rPr>
      <t>4</t>
    </r>
    <r>
      <rPr>
        <sz val="11"/>
        <color rgb="FF000000"/>
        <rFont val="Calibri"/>
        <family val="2"/>
        <charset val="238"/>
        <scheme val="minor"/>
      </rPr>
      <t xml:space="preserve"> as nutrient for biomasses</t>
    </r>
  </si>
  <si>
    <t>Half-saturation of particulates in hydrolysis</t>
  </si>
  <si>
    <r>
      <t>Half-saturation of NO</t>
    </r>
    <r>
      <rPr>
        <vertAlign val="subscript"/>
        <sz val="11"/>
        <color rgb="FF000000"/>
        <rFont val="Calibri"/>
        <family val="2"/>
        <scheme val="minor"/>
      </rPr>
      <t>2</t>
    </r>
    <r>
      <rPr>
        <sz val="11"/>
        <color rgb="FF000000"/>
        <rFont val="Calibri"/>
        <family val="2"/>
        <charset val="238"/>
        <scheme val="minor"/>
      </rPr>
      <t xml:space="preserve"> in NO</t>
    </r>
    <r>
      <rPr>
        <vertAlign val="subscript"/>
        <sz val="11"/>
        <color rgb="FF000000"/>
        <rFont val="Calibri"/>
        <family val="2"/>
        <scheme val="minor"/>
      </rPr>
      <t>2</t>
    </r>
    <r>
      <rPr>
        <sz val="11"/>
        <color rgb="FF000000"/>
        <rFont val="Calibri"/>
        <family val="2"/>
        <charset val="238"/>
        <scheme val="minor"/>
      </rPr>
      <t xml:space="preserve"> assimilative reduction</t>
    </r>
  </si>
  <si>
    <r>
      <t>Half-saturation of NO</t>
    </r>
    <r>
      <rPr>
        <vertAlign val="subscript"/>
        <sz val="11"/>
        <color rgb="FF000000"/>
        <rFont val="Calibri"/>
        <family val="2"/>
        <scheme val="minor"/>
      </rPr>
      <t>3</t>
    </r>
    <r>
      <rPr>
        <sz val="11"/>
        <color rgb="FF000000"/>
        <rFont val="Calibri"/>
        <family val="2"/>
        <charset val="238"/>
        <scheme val="minor"/>
      </rPr>
      <t xml:space="preserve"> in NO</t>
    </r>
    <r>
      <rPr>
        <vertAlign val="subscript"/>
        <sz val="11"/>
        <color rgb="FF000000"/>
        <rFont val="Calibri"/>
        <family val="2"/>
        <scheme val="minor"/>
      </rPr>
      <t>3</t>
    </r>
    <r>
      <rPr>
        <sz val="11"/>
        <color rgb="FF000000"/>
        <rFont val="Calibri"/>
        <family val="2"/>
        <charset val="238"/>
        <scheme val="minor"/>
      </rPr>
      <t xml:space="preserve"> assimilative reduction</t>
    </r>
  </si>
  <si>
    <t>pH inhibition (Bell shaped)</t>
  </si>
  <si>
    <t>pH inhibition (Bell shaped) (AMETO)</t>
  </si>
  <si>
    <t>pH inhibition (Bell shaped) (HMETO)</t>
  </si>
  <si>
    <t>Inhibition term for nitrous acid (AOB)</t>
  </si>
  <si>
    <t>Logistic saturation term for bicarbonate (AOB)</t>
  </si>
  <si>
    <r>
      <t>Inhibition term for NH</t>
    </r>
    <r>
      <rPr>
        <vertAlign val="subscript"/>
        <sz val="11"/>
        <color rgb="FF000000"/>
        <rFont val="Calibri"/>
        <family val="2"/>
        <scheme val="minor"/>
      </rPr>
      <t>3</t>
    </r>
    <r>
      <rPr>
        <sz val="11"/>
        <color rgb="FF000000"/>
        <rFont val="Calibri"/>
        <family val="2"/>
        <charset val="238"/>
        <scheme val="minor"/>
      </rPr>
      <t xml:space="preserve"> (NOB)</t>
    </r>
  </si>
  <si>
    <t>Logistic saturation term for bicarbonate (NOB)</t>
  </si>
  <si>
    <t>Logistic saturation term for bicarbonate (AMX)</t>
  </si>
  <si>
    <t>Inhibition term for nitrous acid (AMX)</t>
  </si>
  <si>
    <r>
      <t>Minh([HNO</t>
    </r>
    <r>
      <rPr>
        <vertAlign val="subscript"/>
        <sz val="11"/>
        <rFont val="Calibri"/>
        <family val="2"/>
      </rPr>
      <t>2</t>
    </r>
    <r>
      <rPr>
        <sz val="11"/>
        <rFont val="Calibri"/>
        <family val="2"/>
      </rPr>
      <t>]; Ki</t>
    </r>
    <r>
      <rPr>
        <vertAlign val="subscript"/>
        <sz val="11"/>
        <rFont val="Calibri"/>
        <family val="2"/>
      </rPr>
      <t>HNO2,AMX,pH</t>
    </r>
    <r>
      <rPr>
        <sz val="11"/>
        <rFont val="Calibri"/>
        <family val="2"/>
      </rPr>
      <t>)</t>
    </r>
  </si>
  <si>
    <r>
      <t>Minh([NH</t>
    </r>
    <r>
      <rPr>
        <vertAlign val="subscript"/>
        <sz val="11"/>
        <rFont val="Calibri"/>
        <family val="2"/>
        <scheme val="minor"/>
      </rPr>
      <t>3</t>
    </r>
    <r>
      <rPr>
        <sz val="11"/>
        <rFont val="Calibri"/>
        <family val="2"/>
        <scheme val="minor"/>
      </rPr>
      <t>];Ki</t>
    </r>
    <r>
      <rPr>
        <vertAlign val="subscript"/>
        <sz val="11"/>
        <rFont val="Calibri"/>
        <family val="2"/>
        <scheme val="minor"/>
      </rPr>
      <t>NH3,NOB,pH</t>
    </r>
    <r>
      <rPr>
        <sz val="11"/>
        <rFont val="Calibri"/>
        <family val="2"/>
        <scheme val="minor"/>
      </rPr>
      <t>)</t>
    </r>
  </si>
  <si>
    <r>
      <t>Minh([HNO</t>
    </r>
    <r>
      <rPr>
        <vertAlign val="subscript"/>
        <sz val="11"/>
        <rFont val="Calibri"/>
        <family val="2"/>
        <scheme val="minor"/>
      </rPr>
      <t>2</t>
    </r>
    <r>
      <rPr>
        <sz val="11"/>
        <rFont val="Calibri"/>
        <family val="2"/>
        <scheme val="minor"/>
      </rPr>
      <t>]; Ki</t>
    </r>
    <r>
      <rPr>
        <vertAlign val="subscript"/>
        <sz val="11"/>
        <rFont val="Calibri"/>
        <family val="2"/>
        <scheme val="minor"/>
      </rPr>
      <t>HNO2,AOB,pH</t>
    </r>
    <r>
      <rPr>
        <sz val="11"/>
        <rFont val="Calibri"/>
        <family val="2"/>
        <scheme val="minor"/>
      </rPr>
      <t>)</t>
    </r>
  </si>
  <si>
    <r>
      <t>Loginh</t>
    </r>
    <r>
      <rPr>
        <vertAlign val="subscript"/>
        <sz val="11"/>
        <rFont val="Calibri"/>
        <family val="2"/>
      </rPr>
      <t>ORP,PAO</t>
    </r>
  </si>
  <si>
    <t>ORP switch of fermentation by PAOs</t>
  </si>
  <si>
    <r>
      <t>Saturation term for strong anion (as Cl</t>
    </r>
    <r>
      <rPr>
        <vertAlign val="superscript"/>
        <sz val="11"/>
        <color rgb="FF000000"/>
        <rFont val="Calibri"/>
        <family val="2"/>
        <scheme val="minor"/>
      </rPr>
      <t>-</t>
    </r>
    <r>
      <rPr>
        <sz val="11"/>
        <color rgb="FF000000"/>
        <rFont val="Calibri"/>
        <family val="2"/>
        <charset val="238"/>
        <scheme val="minor"/>
      </rPr>
      <t>)</t>
    </r>
  </si>
  <si>
    <r>
      <t>Saturation term for strong cation (as Na</t>
    </r>
    <r>
      <rPr>
        <vertAlign val="superscript"/>
        <sz val="11"/>
        <color rgb="FF000000"/>
        <rFont val="Calibri"/>
        <family val="2"/>
        <scheme val="minor"/>
      </rPr>
      <t>+</t>
    </r>
    <r>
      <rPr>
        <sz val="11"/>
        <color rgb="FF000000"/>
        <rFont val="Calibri"/>
        <family val="2"/>
        <charset val="238"/>
        <scheme val="minor"/>
      </rPr>
      <t>)</t>
    </r>
  </si>
  <si>
    <t>Saturation term for inorganic carbon (BIO except NITO)</t>
  </si>
  <si>
    <r>
      <t>Saturation term for NH</t>
    </r>
    <r>
      <rPr>
        <vertAlign val="subscript"/>
        <sz val="11"/>
        <color rgb="FF000000"/>
        <rFont val="Calibri"/>
        <family val="2"/>
        <scheme val="minor"/>
      </rPr>
      <t>x</t>
    </r>
    <r>
      <rPr>
        <sz val="11"/>
        <color rgb="FF000000"/>
        <rFont val="Calibri"/>
        <family val="2"/>
        <charset val="238"/>
        <scheme val="minor"/>
      </rPr>
      <t xml:space="preserve"> (biomass)</t>
    </r>
  </si>
  <si>
    <r>
      <t>Saturation term for PO</t>
    </r>
    <r>
      <rPr>
        <vertAlign val="subscript"/>
        <sz val="11"/>
        <color rgb="FF000000"/>
        <rFont val="Calibri"/>
        <family val="2"/>
        <scheme val="minor"/>
      </rPr>
      <t>4</t>
    </r>
    <r>
      <rPr>
        <sz val="11"/>
        <color rgb="FF000000"/>
        <rFont val="Calibri"/>
        <family val="2"/>
        <charset val="238"/>
        <scheme val="minor"/>
      </rPr>
      <t xml:space="preserve"> (biomass)</t>
    </r>
  </si>
  <si>
    <r>
      <t>Inhibition term for O</t>
    </r>
    <r>
      <rPr>
        <vertAlign val="subscript"/>
        <sz val="11"/>
        <color rgb="FF000000"/>
        <rFont val="Calibri"/>
        <family val="2"/>
        <scheme val="minor"/>
      </rPr>
      <t>2</t>
    </r>
    <r>
      <rPr>
        <sz val="11"/>
        <color rgb="FF000000"/>
        <rFont val="Calibri"/>
        <family val="2"/>
        <charset val="238"/>
        <scheme val="minor"/>
      </rPr>
      <t xml:space="preserve"> (OHO)</t>
    </r>
  </si>
  <si>
    <t>Inhibition term for VFA</t>
  </si>
  <si>
    <t>Saturation term for readily biodegradable substrate (OHO)</t>
  </si>
  <si>
    <t>Saturation term for readily biodegradable substrate (OHO, anaerobic)</t>
  </si>
  <si>
    <t>Saturation term for methanol (OHO)</t>
  </si>
  <si>
    <r>
      <t>Saturation term for O</t>
    </r>
    <r>
      <rPr>
        <vertAlign val="subscript"/>
        <sz val="11"/>
        <color rgb="FF000000"/>
        <rFont val="Calibri"/>
        <family val="2"/>
        <scheme val="minor"/>
      </rPr>
      <t>2</t>
    </r>
    <r>
      <rPr>
        <sz val="11"/>
        <color rgb="FF000000"/>
        <rFont val="Calibri"/>
        <family val="2"/>
        <charset val="238"/>
        <scheme val="minor"/>
      </rPr>
      <t xml:space="preserve"> (OHO)</t>
    </r>
  </si>
  <si>
    <t>Saturation term for VFA</t>
  </si>
  <si>
    <r>
      <t>Inhibition term for O</t>
    </r>
    <r>
      <rPr>
        <vertAlign val="subscript"/>
        <sz val="11"/>
        <color rgb="FF000000"/>
        <rFont val="Calibri"/>
        <family val="2"/>
        <scheme val="minor"/>
      </rPr>
      <t>2</t>
    </r>
    <r>
      <rPr>
        <sz val="11"/>
        <color rgb="FF000000"/>
        <rFont val="Calibri"/>
        <family val="2"/>
        <charset val="238"/>
        <scheme val="minor"/>
      </rPr>
      <t xml:space="preserve"> (MEOLO)</t>
    </r>
  </si>
  <si>
    <t>Saturation term for methanol (MEOLO)</t>
  </si>
  <si>
    <r>
      <t>Saturation term for O</t>
    </r>
    <r>
      <rPr>
        <vertAlign val="subscript"/>
        <sz val="11"/>
        <color rgb="FF000000"/>
        <rFont val="Calibri"/>
        <family val="2"/>
        <scheme val="minor"/>
      </rPr>
      <t>2</t>
    </r>
    <r>
      <rPr>
        <sz val="11"/>
        <color rgb="FF000000"/>
        <rFont val="Calibri"/>
        <family val="2"/>
        <charset val="238"/>
        <scheme val="minor"/>
      </rPr>
      <t xml:space="preserve"> (MEOLO)</t>
    </r>
  </si>
  <si>
    <r>
      <t>Saturation term for NO</t>
    </r>
    <r>
      <rPr>
        <vertAlign val="subscript"/>
        <sz val="11"/>
        <color rgb="FF000000"/>
        <rFont val="Calibri"/>
        <family val="2"/>
        <scheme val="minor"/>
      </rPr>
      <t>3</t>
    </r>
    <r>
      <rPr>
        <sz val="11"/>
        <color rgb="FF000000"/>
        <rFont val="Calibri"/>
        <family val="2"/>
        <charset val="238"/>
        <scheme val="minor"/>
      </rPr>
      <t xml:space="preserve"> (OHO)</t>
    </r>
  </si>
  <si>
    <r>
      <t>Saturation term for NO</t>
    </r>
    <r>
      <rPr>
        <vertAlign val="subscript"/>
        <sz val="11"/>
        <color rgb="FF000000"/>
        <rFont val="Calibri"/>
        <family val="2"/>
        <scheme val="minor"/>
      </rPr>
      <t>2</t>
    </r>
    <r>
      <rPr>
        <sz val="11"/>
        <color rgb="FF000000"/>
        <rFont val="Calibri"/>
        <family val="2"/>
        <charset val="238"/>
        <scheme val="minor"/>
      </rPr>
      <t xml:space="preserve"> (OHO)</t>
    </r>
  </si>
  <si>
    <r>
      <t>Inhibition term for NO</t>
    </r>
    <r>
      <rPr>
        <vertAlign val="subscript"/>
        <sz val="11"/>
        <color rgb="FF000000"/>
        <rFont val="Calibri"/>
        <family val="2"/>
        <scheme val="minor"/>
      </rPr>
      <t>2</t>
    </r>
    <r>
      <rPr>
        <sz val="11"/>
        <color rgb="FF000000"/>
        <rFont val="Calibri"/>
        <family val="2"/>
        <charset val="238"/>
        <scheme val="minor"/>
      </rPr>
      <t xml:space="preserve"> (MEOLO)</t>
    </r>
  </si>
  <si>
    <r>
      <t>Inhibition term for NO</t>
    </r>
    <r>
      <rPr>
        <vertAlign val="subscript"/>
        <sz val="11"/>
        <color rgb="FF000000"/>
        <rFont val="Calibri"/>
        <family val="2"/>
        <scheme val="minor"/>
      </rPr>
      <t>3</t>
    </r>
    <r>
      <rPr>
        <sz val="11"/>
        <color rgb="FF000000"/>
        <rFont val="Calibri"/>
        <family val="2"/>
        <charset val="238"/>
        <scheme val="minor"/>
      </rPr>
      <t xml:space="preserve"> (MEOLO)</t>
    </r>
  </si>
  <si>
    <r>
      <t>Saturation term for NO</t>
    </r>
    <r>
      <rPr>
        <vertAlign val="subscript"/>
        <sz val="11"/>
        <color rgb="FF000000"/>
        <rFont val="Calibri"/>
        <family val="2"/>
        <scheme val="minor"/>
      </rPr>
      <t>2</t>
    </r>
    <r>
      <rPr>
        <sz val="11"/>
        <color rgb="FF000000"/>
        <rFont val="Calibri"/>
        <family val="2"/>
        <charset val="238"/>
        <scheme val="minor"/>
      </rPr>
      <t xml:space="preserve"> (MEOLO)</t>
    </r>
  </si>
  <si>
    <r>
      <t>Saturation term for NO</t>
    </r>
    <r>
      <rPr>
        <vertAlign val="subscript"/>
        <sz val="11"/>
        <color rgb="FF000000"/>
        <rFont val="Calibri"/>
        <family val="2"/>
        <scheme val="minor"/>
      </rPr>
      <t>3</t>
    </r>
    <r>
      <rPr>
        <sz val="11"/>
        <color rgb="FF000000"/>
        <rFont val="Calibri"/>
        <family val="2"/>
        <charset val="238"/>
        <scheme val="minor"/>
      </rPr>
      <t xml:space="preserve"> (MEOLO)</t>
    </r>
  </si>
  <si>
    <r>
      <t>Inhibition term for NO</t>
    </r>
    <r>
      <rPr>
        <vertAlign val="subscript"/>
        <sz val="11"/>
        <color rgb="FF000000"/>
        <rFont val="Calibri"/>
        <family val="2"/>
        <scheme val="minor"/>
      </rPr>
      <t>x</t>
    </r>
    <r>
      <rPr>
        <sz val="11"/>
        <color rgb="FF000000"/>
        <rFont val="Calibri"/>
        <family val="2"/>
        <charset val="238"/>
        <scheme val="minor"/>
      </rPr>
      <t xml:space="preserve"> (anoxic condition) (AOB)</t>
    </r>
  </si>
  <si>
    <r>
      <t>Inhibition term for O</t>
    </r>
    <r>
      <rPr>
        <vertAlign val="subscript"/>
        <sz val="11"/>
        <color rgb="FF000000"/>
        <rFont val="Calibri"/>
        <family val="2"/>
        <scheme val="minor"/>
      </rPr>
      <t>2</t>
    </r>
    <r>
      <rPr>
        <sz val="11"/>
        <color rgb="FF000000"/>
        <rFont val="Calibri"/>
        <family val="2"/>
        <charset val="238"/>
        <scheme val="minor"/>
      </rPr>
      <t xml:space="preserve"> (AOB)</t>
    </r>
  </si>
  <si>
    <r>
      <t>Saturation term for NH</t>
    </r>
    <r>
      <rPr>
        <vertAlign val="subscript"/>
        <sz val="11"/>
        <color rgb="FF000000"/>
        <rFont val="Calibri"/>
        <family val="2"/>
        <scheme val="minor"/>
      </rPr>
      <t>x</t>
    </r>
    <r>
      <rPr>
        <sz val="11"/>
        <color rgb="FF000000"/>
        <rFont val="Calibri"/>
        <family val="2"/>
        <charset val="238"/>
        <scheme val="minor"/>
      </rPr>
      <t xml:space="preserve"> (AOB)</t>
    </r>
  </si>
  <si>
    <r>
      <t>Saturation term for NO</t>
    </r>
    <r>
      <rPr>
        <vertAlign val="subscript"/>
        <sz val="11"/>
        <color rgb="FF000000"/>
        <rFont val="Calibri"/>
        <family val="2"/>
        <scheme val="minor"/>
      </rPr>
      <t>x</t>
    </r>
    <r>
      <rPr>
        <sz val="11"/>
        <color rgb="FF000000"/>
        <rFont val="Calibri"/>
        <family val="2"/>
        <charset val="238"/>
        <scheme val="minor"/>
      </rPr>
      <t xml:space="preserve"> (anoxic condition) (AOB)</t>
    </r>
  </si>
  <si>
    <r>
      <t>Saturation term for O</t>
    </r>
    <r>
      <rPr>
        <vertAlign val="subscript"/>
        <sz val="11"/>
        <color rgb="FF000000"/>
        <rFont val="Calibri"/>
        <family val="2"/>
        <scheme val="minor"/>
      </rPr>
      <t>2</t>
    </r>
    <r>
      <rPr>
        <sz val="11"/>
        <color rgb="FF000000"/>
        <rFont val="Calibri"/>
        <family val="2"/>
        <charset val="238"/>
        <scheme val="minor"/>
      </rPr>
      <t xml:space="preserve"> (AOB)</t>
    </r>
  </si>
  <si>
    <r>
      <t>Inhibition term for NO</t>
    </r>
    <r>
      <rPr>
        <vertAlign val="subscript"/>
        <sz val="11"/>
        <color rgb="FF000000"/>
        <rFont val="Calibri"/>
        <family val="2"/>
        <scheme val="minor"/>
      </rPr>
      <t>x</t>
    </r>
    <r>
      <rPr>
        <sz val="11"/>
        <color rgb="FF000000"/>
        <rFont val="Calibri"/>
        <family val="2"/>
        <charset val="238"/>
        <scheme val="minor"/>
      </rPr>
      <t xml:space="preserve"> (anoxic condition) (NOB)</t>
    </r>
  </si>
  <si>
    <r>
      <t>Inhibition term for O</t>
    </r>
    <r>
      <rPr>
        <vertAlign val="subscript"/>
        <sz val="11"/>
        <color rgb="FF000000"/>
        <rFont val="Calibri"/>
        <family val="2"/>
        <scheme val="minor"/>
      </rPr>
      <t>2</t>
    </r>
    <r>
      <rPr>
        <sz val="11"/>
        <color rgb="FF000000"/>
        <rFont val="Calibri"/>
        <family val="2"/>
        <charset val="238"/>
        <scheme val="minor"/>
      </rPr>
      <t xml:space="preserve"> (NOB)</t>
    </r>
  </si>
  <si>
    <r>
      <t>Saturation term for NO</t>
    </r>
    <r>
      <rPr>
        <vertAlign val="subscript"/>
        <sz val="11"/>
        <color rgb="FF000000"/>
        <rFont val="Calibri"/>
        <family val="2"/>
        <scheme val="minor"/>
      </rPr>
      <t>2</t>
    </r>
    <r>
      <rPr>
        <sz val="11"/>
        <color rgb="FF000000"/>
        <rFont val="Calibri"/>
        <family val="2"/>
        <charset val="238"/>
        <scheme val="minor"/>
      </rPr>
      <t xml:space="preserve"> (NOB)</t>
    </r>
  </si>
  <si>
    <r>
      <t>Saturation term for NO</t>
    </r>
    <r>
      <rPr>
        <vertAlign val="subscript"/>
        <sz val="11"/>
        <color rgb="FF000000"/>
        <rFont val="Calibri"/>
        <family val="2"/>
        <scheme val="minor"/>
      </rPr>
      <t>x</t>
    </r>
    <r>
      <rPr>
        <sz val="11"/>
        <color rgb="FF000000"/>
        <rFont val="Calibri"/>
        <family val="2"/>
        <charset val="238"/>
        <scheme val="minor"/>
      </rPr>
      <t xml:space="preserve"> (anoxic condition) (NOB )</t>
    </r>
  </si>
  <si>
    <r>
      <t>Saturation term for O</t>
    </r>
    <r>
      <rPr>
        <vertAlign val="subscript"/>
        <sz val="11"/>
        <color rgb="FF000000"/>
        <rFont val="Calibri"/>
        <family val="2"/>
        <scheme val="minor"/>
      </rPr>
      <t>2</t>
    </r>
    <r>
      <rPr>
        <sz val="11"/>
        <color rgb="FF000000"/>
        <rFont val="Calibri"/>
        <family val="2"/>
        <charset val="238"/>
        <scheme val="minor"/>
      </rPr>
      <t xml:space="preserve"> (NOB)</t>
    </r>
  </si>
  <si>
    <r>
      <t>Inhibition term for NO</t>
    </r>
    <r>
      <rPr>
        <vertAlign val="subscript"/>
        <sz val="11"/>
        <color rgb="FF000000"/>
        <rFont val="Calibri"/>
        <family val="2"/>
        <scheme val="minor"/>
      </rPr>
      <t>x</t>
    </r>
    <r>
      <rPr>
        <sz val="11"/>
        <color rgb="FF000000"/>
        <rFont val="Calibri"/>
        <family val="2"/>
        <charset val="238"/>
        <scheme val="minor"/>
      </rPr>
      <t xml:space="preserve"> (anoxic condition) (AMX)</t>
    </r>
  </si>
  <si>
    <r>
      <t>Inhibition term for O</t>
    </r>
    <r>
      <rPr>
        <vertAlign val="subscript"/>
        <sz val="11"/>
        <color rgb="FF000000"/>
        <rFont val="Calibri"/>
        <family val="2"/>
        <scheme val="minor"/>
      </rPr>
      <t>2</t>
    </r>
    <r>
      <rPr>
        <sz val="11"/>
        <color rgb="FF000000"/>
        <rFont val="Calibri"/>
        <family val="2"/>
        <charset val="238"/>
        <scheme val="minor"/>
      </rPr>
      <t xml:space="preserve"> (AMX)</t>
    </r>
  </si>
  <si>
    <r>
      <t>Saturation term for NH</t>
    </r>
    <r>
      <rPr>
        <vertAlign val="subscript"/>
        <sz val="11"/>
        <color rgb="FF000000"/>
        <rFont val="Calibri"/>
        <family val="2"/>
        <scheme val="minor"/>
      </rPr>
      <t>x</t>
    </r>
    <r>
      <rPr>
        <sz val="11"/>
        <color rgb="FF000000"/>
        <rFont val="Calibri"/>
        <family val="2"/>
        <charset val="238"/>
        <scheme val="minor"/>
      </rPr>
      <t xml:space="preserve"> (AMX)</t>
    </r>
  </si>
  <si>
    <r>
      <t>Saturation term for NO</t>
    </r>
    <r>
      <rPr>
        <vertAlign val="subscript"/>
        <sz val="11"/>
        <color rgb="FF000000"/>
        <rFont val="Calibri"/>
        <family val="2"/>
        <scheme val="minor"/>
      </rPr>
      <t>2</t>
    </r>
    <r>
      <rPr>
        <sz val="11"/>
        <color rgb="FF000000"/>
        <rFont val="Calibri"/>
        <family val="2"/>
        <charset val="238"/>
        <scheme val="minor"/>
      </rPr>
      <t xml:space="preserve"> (AMX)</t>
    </r>
  </si>
  <si>
    <r>
      <t>Saturation term for NO</t>
    </r>
    <r>
      <rPr>
        <vertAlign val="subscript"/>
        <sz val="11"/>
        <color rgb="FF000000"/>
        <rFont val="Calibri"/>
        <family val="2"/>
        <scheme val="minor"/>
      </rPr>
      <t>x</t>
    </r>
    <r>
      <rPr>
        <sz val="11"/>
        <color rgb="FF000000"/>
        <rFont val="Calibri"/>
        <family val="2"/>
        <charset val="238"/>
        <scheme val="minor"/>
      </rPr>
      <t xml:space="preserve"> (anoxic condition) (AMX)</t>
    </r>
  </si>
  <si>
    <r>
      <t>Saturation term for O</t>
    </r>
    <r>
      <rPr>
        <vertAlign val="subscript"/>
        <sz val="11"/>
        <color rgb="FF000000"/>
        <rFont val="Calibri"/>
        <family val="2"/>
        <scheme val="minor"/>
      </rPr>
      <t>2</t>
    </r>
    <r>
      <rPr>
        <sz val="11"/>
        <color rgb="FF000000"/>
        <rFont val="Calibri"/>
        <family val="2"/>
        <charset val="238"/>
        <scheme val="minor"/>
      </rPr>
      <t xml:space="preserve"> (AMX)</t>
    </r>
  </si>
  <si>
    <r>
      <t>Minh</t>
    </r>
    <r>
      <rPr>
        <vertAlign val="subscript"/>
        <sz val="11"/>
        <rFont val="Calibri"/>
        <family val="2"/>
        <scheme val="minor"/>
      </rPr>
      <t>SPO4,KiPO4,lim</t>
    </r>
  </si>
  <si>
    <t>Inhibition term for PO4 (PAO)</t>
  </si>
  <si>
    <r>
      <t>Minh(S</t>
    </r>
    <r>
      <rPr>
        <vertAlign val="subscript"/>
        <sz val="11"/>
        <rFont val="Calibri"/>
        <family val="2"/>
        <scheme val="minor"/>
      </rPr>
      <t>PO4</t>
    </r>
    <r>
      <rPr>
        <sz val="11"/>
        <rFont val="Calibri"/>
        <family val="2"/>
        <scheme val="minor"/>
      </rPr>
      <t>;Ki</t>
    </r>
    <r>
      <rPr>
        <vertAlign val="subscript"/>
        <sz val="11"/>
        <rFont val="Calibri"/>
        <family val="2"/>
        <scheme val="minor"/>
      </rPr>
      <t>PO4,lim</t>
    </r>
    <r>
      <rPr>
        <sz val="11"/>
        <rFont val="Calibri"/>
        <family val="2"/>
        <scheme val="minor"/>
      </rPr>
      <t>)</t>
    </r>
  </si>
  <si>
    <t>Saturation term for Ca as counter ion for PP (PAO)</t>
  </si>
  <si>
    <t>Saturation term for K as counter ion for PP (PAO)</t>
  </si>
  <si>
    <t>Saturation term for Mg as counter ion for PP (PAO)</t>
  </si>
  <si>
    <r>
      <t>Saturation term for PO</t>
    </r>
    <r>
      <rPr>
        <vertAlign val="subscript"/>
        <sz val="11"/>
        <color rgb="FF000000"/>
        <rFont val="Calibri"/>
        <family val="2"/>
        <scheme val="minor"/>
      </rPr>
      <t>4</t>
    </r>
    <r>
      <rPr>
        <sz val="11"/>
        <color rgb="FF000000"/>
        <rFont val="Calibri"/>
        <family val="2"/>
        <charset val="238"/>
        <scheme val="minor"/>
      </rPr>
      <t xml:space="preserve"> (PAO)</t>
    </r>
  </si>
  <si>
    <t>Saturation term for PP as nutrient (PAO)</t>
  </si>
  <si>
    <r>
      <t>Inhibition term for NO</t>
    </r>
    <r>
      <rPr>
        <vertAlign val="subscript"/>
        <sz val="11"/>
        <color rgb="FF000000"/>
        <rFont val="Calibri"/>
        <family val="2"/>
        <scheme val="minor"/>
      </rPr>
      <t>x</t>
    </r>
    <r>
      <rPr>
        <sz val="11"/>
        <color rgb="FF000000"/>
        <rFont val="Calibri"/>
        <family val="2"/>
        <charset val="238"/>
        <scheme val="minor"/>
      </rPr>
      <t xml:space="preserve"> (AMETO)</t>
    </r>
  </si>
  <si>
    <r>
      <t>Inhibition term for O</t>
    </r>
    <r>
      <rPr>
        <vertAlign val="subscript"/>
        <sz val="11"/>
        <color rgb="FF000000"/>
        <rFont val="Calibri"/>
        <family val="2"/>
        <scheme val="minor"/>
      </rPr>
      <t>2</t>
    </r>
    <r>
      <rPr>
        <sz val="11"/>
        <color rgb="FF000000"/>
        <rFont val="Calibri"/>
        <family val="2"/>
        <charset val="238"/>
        <scheme val="minor"/>
      </rPr>
      <t xml:space="preserve"> (AMETO)</t>
    </r>
  </si>
  <si>
    <r>
      <t>Saturation term for NO</t>
    </r>
    <r>
      <rPr>
        <vertAlign val="subscript"/>
        <sz val="11"/>
        <color rgb="FF000000"/>
        <rFont val="Calibri"/>
        <family val="2"/>
        <scheme val="minor"/>
      </rPr>
      <t>x</t>
    </r>
    <r>
      <rPr>
        <sz val="11"/>
        <color rgb="FF000000"/>
        <rFont val="Calibri"/>
        <family val="2"/>
        <charset val="238"/>
        <scheme val="minor"/>
      </rPr>
      <t xml:space="preserve"> (AMETO)</t>
    </r>
  </si>
  <si>
    <r>
      <t>Saturation term for O</t>
    </r>
    <r>
      <rPr>
        <vertAlign val="subscript"/>
        <sz val="11"/>
        <color rgb="FF000000"/>
        <rFont val="Calibri"/>
        <family val="2"/>
        <scheme val="minor"/>
      </rPr>
      <t>2</t>
    </r>
    <r>
      <rPr>
        <sz val="11"/>
        <color rgb="FF000000"/>
        <rFont val="Calibri"/>
        <family val="2"/>
        <charset val="238"/>
        <scheme val="minor"/>
      </rPr>
      <t xml:space="preserve"> (AMETO)</t>
    </r>
  </si>
  <si>
    <t>Haldane term for VFA (AMETO)</t>
  </si>
  <si>
    <r>
      <t>Inhibition term for NO</t>
    </r>
    <r>
      <rPr>
        <vertAlign val="subscript"/>
        <sz val="11"/>
        <color rgb="FF000000"/>
        <rFont val="Calibri"/>
        <family val="2"/>
        <scheme val="minor"/>
      </rPr>
      <t>x</t>
    </r>
    <r>
      <rPr>
        <sz val="11"/>
        <color rgb="FF000000"/>
        <rFont val="Calibri"/>
        <family val="2"/>
        <charset val="238"/>
        <scheme val="minor"/>
      </rPr>
      <t xml:space="preserve"> (HMETO)</t>
    </r>
  </si>
  <si>
    <r>
      <t>Inhibition term for O</t>
    </r>
    <r>
      <rPr>
        <vertAlign val="subscript"/>
        <sz val="11"/>
        <color rgb="FF000000"/>
        <rFont val="Calibri"/>
        <family val="2"/>
        <scheme val="minor"/>
      </rPr>
      <t>2</t>
    </r>
    <r>
      <rPr>
        <sz val="11"/>
        <color rgb="FF000000"/>
        <rFont val="Calibri"/>
        <family val="2"/>
        <charset val="238"/>
        <scheme val="minor"/>
      </rPr>
      <t xml:space="preserve"> (HMETO)</t>
    </r>
  </si>
  <si>
    <r>
      <t>Saturation term for H</t>
    </r>
    <r>
      <rPr>
        <vertAlign val="subscript"/>
        <sz val="11"/>
        <color rgb="FF000000"/>
        <rFont val="Calibri"/>
        <family val="2"/>
        <scheme val="minor"/>
      </rPr>
      <t>2</t>
    </r>
    <r>
      <rPr>
        <sz val="11"/>
        <color rgb="FF000000"/>
        <rFont val="Calibri"/>
        <family val="2"/>
        <charset val="238"/>
        <scheme val="minor"/>
      </rPr>
      <t xml:space="preserve"> (HMETO)</t>
    </r>
  </si>
  <si>
    <r>
      <t>Saturation term for NO</t>
    </r>
    <r>
      <rPr>
        <vertAlign val="subscript"/>
        <sz val="11"/>
        <color rgb="FF000000"/>
        <rFont val="Calibri"/>
        <family val="2"/>
        <scheme val="minor"/>
      </rPr>
      <t>x</t>
    </r>
    <r>
      <rPr>
        <sz val="11"/>
        <color rgb="FF000000"/>
        <rFont val="Calibri"/>
        <family val="2"/>
        <charset val="238"/>
        <scheme val="minor"/>
      </rPr>
      <t xml:space="preserve"> (HMETO)</t>
    </r>
  </si>
  <si>
    <r>
      <t>Saturation term for O</t>
    </r>
    <r>
      <rPr>
        <vertAlign val="subscript"/>
        <sz val="11"/>
        <color rgb="FF000000"/>
        <rFont val="Calibri"/>
        <family val="2"/>
        <scheme val="minor"/>
      </rPr>
      <t>2</t>
    </r>
    <r>
      <rPr>
        <sz val="11"/>
        <color rgb="FF000000"/>
        <rFont val="Calibri"/>
        <family val="2"/>
        <charset val="238"/>
        <scheme val="minor"/>
      </rPr>
      <t xml:space="preserve"> (HMETO)</t>
    </r>
  </si>
  <si>
    <r>
      <t>Hsat(S</t>
    </r>
    <r>
      <rPr>
        <vertAlign val="subscript"/>
        <sz val="11"/>
        <rFont val="Calibri"/>
        <family val="2"/>
        <scheme val="minor"/>
      </rPr>
      <t>VFA</t>
    </r>
    <r>
      <rPr>
        <sz val="11"/>
        <rFont val="Calibri"/>
        <family val="2"/>
        <scheme val="minor"/>
      </rPr>
      <t>;K</t>
    </r>
    <r>
      <rPr>
        <vertAlign val="subscript"/>
        <sz val="11"/>
        <rFont val="Calibri"/>
        <family val="2"/>
        <scheme val="minor"/>
      </rPr>
      <t>VFA,AMETO</t>
    </r>
    <r>
      <rPr>
        <sz val="11"/>
        <rFont val="Calibri"/>
        <family val="2"/>
        <scheme val="minor"/>
      </rPr>
      <t>;Ki</t>
    </r>
    <r>
      <rPr>
        <vertAlign val="subscript"/>
        <sz val="11"/>
        <rFont val="Calibri"/>
        <family val="2"/>
        <scheme val="minor"/>
      </rPr>
      <t>VFA,AMETO</t>
    </r>
    <r>
      <rPr>
        <sz val="11"/>
        <rFont val="Calibri"/>
        <family val="2"/>
        <scheme val="minor"/>
      </rPr>
      <t>)</t>
    </r>
  </si>
  <si>
    <r>
      <t>Minh</t>
    </r>
    <r>
      <rPr>
        <vertAlign val="subscript"/>
        <sz val="11"/>
        <rFont val="Calibri"/>
        <family val="2"/>
        <scheme val="minor"/>
      </rPr>
      <t>SNHx,KiNHx,ASSIM</t>
    </r>
  </si>
  <si>
    <r>
      <t>Minh(S</t>
    </r>
    <r>
      <rPr>
        <vertAlign val="subscript"/>
        <sz val="11"/>
        <rFont val="Calibri"/>
        <family val="2"/>
        <scheme val="minor"/>
      </rPr>
      <t>NHx</t>
    </r>
    <r>
      <rPr>
        <sz val="11"/>
        <rFont val="Calibri"/>
        <family val="2"/>
        <scheme val="minor"/>
      </rPr>
      <t>;Ki</t>
    </r>
    <r>
      <rPr>
        <vertAlign val="subscript"/>
        <sz val="11"/>
        <rFont val="Calibri"/>
        <family val="2"/>
        <scheme val="minor"/>
      </rPr>
      <t>NHx,ASSIM</t>
    </r>
    <r>
      <rPr>
        <sz val="11"/>
        <rFont val="Calibri"/>
        <family val="2"/>
        <scheme val="minor"/>
      </rPr>
      <t>)</t>
    </r>
  </si>
  <si>
    <t>Saturation term for slowly biodegradable substrate (hydrolysis)</t>
  </si>
  <si>
    <t>Saturation term for anaerobic endogenous decay products (hydrolysis)</t>
  </si>
  <si>
    <r>
      <t>Saturation term for NO</t>
    </r>
    <r>
      <rPr>
        <vertAlign val="subscript"/>
        <sz val="11"/>
        <color rgb="FF000000"/>
        <rFont val="Calibri"/>
        <family val="2"/>
        <scheme val="minor"/>
      </rPr>
      <t>2</t>
    </r>
    <r>
      <rPr>
        <sz val="11"/>
        <color rgb="FF000000"/>
        <rFont val="Calibri"/>
        <family val="2"/>
        <charset val="238"/>
        <scheme val="minor"/>
      </rPr>
      <t xml:space="preserve"> (assimilative reduction)</t>
    </r>
  </si>
  <si>
    <r>
      <t>Saturation term for NO</t>
    </r>
    <r>
      <rPr>
        <vertAlign val="subscript"/>
        <sz val="11"/>
        <color rgb="FF000000"/>
        <rFont val="Calibri"/>
        <family val="2"/>
        <scheme val="minor"/>
      </rPr>
      <t>3</t>
    </r>
    <r>
      <rPr>
        <sz val="11"/>
        <color rgb="FF000000"/>
        <rFont val="Calibri"/>
        <family val="2"/>
        <charset val="238"/>
        <scheme val="minor"/>
      </rPr>
      <t xml:space="preserve"> (assimilative reduction)</t>
    </r>
  </si>
  <si>
    <r>
      <t>Inhibition term for NO</t>
    </r>
    <r>
      <rPr>
        <vertAlign val="subscript"/>
        <sz val="11"/>
        <color rgb="FF000000"/>
        <rFont val="Calibri"/>
        <family val="2"/>
        <scheme val="minor"/>
      </rPr>
      <t>2</t>
    </r>
    <r>
      <rPr>
        <sz val="11"/>
        <color rgb="FF000000"/>
        <rFont val="Calibri"/>
        <family val="2"/>
        <charset val="238"/>
        <scheme val="minor"/>
      </rPr>
      <t xml:space="preserve"> (assimilative reduction)</t>
    </r>
  </si>
  <si>
    <r>
      <t>Inhibition term for PO</t>
    </r>
    <r>
      <rPr>
        <vertAlign val="subscript"/>
        <sz val="11"/>
        <color rgb="FF000000"/>
        <rFont val="Calibri"/>
        <family val="2"/>
        <scheme val="minor"/>
      </rPr>
      <t>4</t>
    </r>
    <r>
      <rPr>
        <sz val="11"/>
        <color rgb="FF000000"/>
        <rFont val="Calibri"/>
        <family val="2"/>
        <charset val="238"/>
        <scheme val="minor"/>
      </rPr>
      <t xml:space="preserve"> in redissolution of HFO</t>
    </r>
  </si>
  <si>
    <r>
      <t>Saturation term for PO</t>
    </r>
    <r>
      <rPr>
        <vertAlign val="subscript"/>
        <sz val="11"/>
        <color rgb="FF000000"/>
        <rFont val="Calibri"/>
        <family val="2"/>
        <scheme val="minor"/>
      </rPr>
      <t>4</t>
    </r>
    <r>
      <rPr>
        <sz val="11"/>
        <color rgb="FF000000"/>
        <rFont val="Calibri"/>
        <family val="2"/>
        <charset val="238"/>
        <scheme val="minor"/>
      </rPr>
      <t xml:space="preserve"> binding on HFO</t>
    </r>
  </si>
  <si>
    <r>
      <t>Msat</t>
    </r>
    <r>
      <rPr>
        <vertAlign val="subscript"/>
        <sz val="11"/>
        <rFont val="Calibri"/>
        <family val="2"/>
        <scheme val="minor"/>
      </rPr>
      <t>XACP,KACP,DISS</t>
    </r>
  </si>
  <si>
    <t>Saturation term for ACP dissolution</t>
  </si>
  <si>
    <r>
      <t>Msat(X</t>
    </r>
    <r>
      <rPr>
        <vertAlign val="subscript"/>
        <sz val="11"/>
        <rFont val="Calibri"/>
        <family val="2"/>
        <scheme val="minor"/>
      </rPr>
      <t>ACP</t>
    </r>
    <r>
      <rPr>
        <sz val="11"/>
        <rFont val="Calibri"/>
        <family val="2"/>
        <scheme val="minor"/>
      </rPr>
      <t>;K</t>
    </r>
    <r>
      <rPr>
        <vertAlign val="subscript"/>
        <sz val="11"/>
        <rFont val="Calibri"/>
        <family val="2"/>
        <scheme val="minor"/>
      </rPr>
      <t>ACP,DISS</t>
    </r>
    <r>
      <rPr>
        <sz val="11"/>
        <rFont val="Calibri"/>
        <family val="2"/>
        <scheme val="minor"/>
      </rPr>
      <t>)</t>
    </r>
  </si>
  <si>
    <r>
      <t>Msat</t>
    </r>
    <r>
      <rPr>
        <vertAlign val="subscript"/>
        <sz val="11"/>
        <rFont val="Calibri"/>
        <family val="2"/>
        <scheme val="minor"/>
      </rPr>
      <t>XCaCO3,KCaCO3,DISS</t>
    </r>
  </si>
  <si>
    <t>Saturation term for calcium carbonate dissolution</t>
  </si>
  <si>
    <r>
      <t>Msat(X</t>
    </r>
    <r>
      <rPr>
        <vertAlign val="subscript"/>
        <sz val="11"/>
        <rFont val="Calibri"/>
        <family val="2"/>
        <scheme val="minor"/>
      </rPr>
      <t>CaCO3</t>
    </r>
    <r>
      <rPr>
        <sz val="11"/>
        <rFont val="Calibri"/>
        <family val="2"/>
        <scheme val="minor"/>
      </rPr>
      <t>;K</t>
    </r>
    <r>
      <rPr>
        <vertAlign val="subscript"/>
        <sz val="11"/>
        <rFont val="Calibri"/>
        <family val="2"/>
        <scheme val="minor"/>
      </rPr>
      <t>CaCO3,DISS</t>
    </r>
    <r>
      <rPr>
        <sz val="11"/>
        <rFont val="Calibri"/>
        <family val="2"/>
        <scheme val="minor"/>
      </rPr>
      <t>)</t>
    </r>
  </si>
  <si>
    <r>
      <t>Msat</t>
    </r>
    <r>
      <rPr>
        <vertAlign val="subscript"/>
        <sz val="11"/>
        <rFont val="Calibri"/>
        <family val="2"/>
        <scheme val="minor"/>
      </rPr>
      <t>XSTR,KSTR,DISS</t>
    </r>
  </si>
  <si>
    <t>Saturation term for struvite dissolution</t>
  </si>
  <si>
    <r>
      <t>Msat(X</t>
    </r>
    <r>
      <rPr>
        <vertAlign val="subscript"/>
        <sz val="11"/>
        <rFont val="Calibri"/>
        <family val="2"/>
        <scheme val="minor"/>
      </rPr>
      <t>STR</t>
    </r>
    <r>
      <rPr>
        <sz val="11"/>
        <rFont val="Calibri"/>
        <family val="2"/>
        <scheme val="minor"/>
      </rPr>
      <t>;K</t>
    </r>
    <r>
      <rPr>
        <vertAlign val="subscript"/>
        <sz val="11"/>
        <rFont val="Calibri"/>
        <family val="2"/>
        <scheme val="minor"/>
      </rPr>
      <t>STR,DISS</t>
    </r>
    <r>
      <rPr>
        <sz val="11"/>
        <rFont val="Calibri"/>
        <family val="2"/>
        <scheme val="minor"/>
      </rPr>
      <t>)</t>
    </r>
  </si>
  <si>
    <r>
      <t>Msat</t>
    </r>
    <r>
      <rPr>
        <vertAlign val="subscript"/>
        <sz val="11"/>
        <rFont val="Calibri"/>
        <family val="2"/>
        <scheme val="minor"/>
      </rPr>
      <t>XVivi,KVivi,DISS</t>
    </r>
  </si>
  <si>
    <t>Saturation term for vivianite dissolution</t>
  </si>
  <si>
    <r>
      <t>Msat(X</t>
    </r>
    <r>
      <rPr>
        <vertAlign val="subscript"/>
        <sz val="11"/>
        <rFont val="Calibri"/>
        <family val="2"/>
        <scheme val="minor"/>
      </rPr>
      <t>Vivi</t>
    </r>
    <r>
      <rPr>
        <sz val="11"/>
        <rFont val="Calibri"/>
        <family val="2"/>
        <scheme val="minor"/>
      </rPr>
      <t>;K</t>
    </r>
    <r>
      <rPr>
        <vertAlign val="subscript"/>
        <sz val="11"/>
        <rFont val="Calibri"/>
        <family val="2"/>
        <scheme val="minor"/>
      </rPr>
      <t>Vivi,DISS</t>
    </r>
    <r>
      <rPr>
        <sz val="11"/>
        <rFont val="Calibri"/>
        <family val="2"/>
        <scheme val="minor"/>
      </rPr>
      <t>)</t>
    </r>
  </si>
  <si>
    <r>
      <t>µ</t>
    </r>
    <r>
      <rPr>
        <vertAlign val="subscript"/>
        <sz val="11"/>
        <color indexed="8"/>
        <rFont val="Calibri"/>
        <family val="2"/>
        <scheme val="minor"/>
      </rPr>
      <t>FERM,PAO,T</t>
    </r>
  </si>
  <si>
    <t>Fermentation growth rate of PAOs (temperature corrected)</t>
  </si>
  <si>
    <r>
      <t>µ</t>
    </r>
    <r>
      <rPr>
        <vertAlign val="subscript"/>
        <sz val="11"/>
        <color indexed="8"/>
        <rFont val="Calibri"/>
        <family val="2"/>
        <scheme val="minor"/>
      </rPr>
      <t>FERM,PAO</t>
    </r>
    <r>
      <rPr>
        <sz val="11"/>
        <color indexed="8"/>
        <rFont val="Calibri"/>
        <family val="2"/>
        <scheme val="minor"/>
      </rPr>
      <t>*Arrh(θ</t>
    </r>
    <r>
      <rPr>
        <vertAlign val="subscript"/>
        <sz val="11"/>
        <color indexed="8"/>
        <rFont val="Calibri"/>
        <family val="2"/>
        <scheme val="minor"/>
      </rPr>
      <t>FERM,PAO</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</si>
  <si>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t>Maximum specific growth rate of OHOs (temperature corrected)</t>
  </si>
  <si>
    <t>Fermentation growth rate of OHOs (temperature corrected)</t>
  </si>
  <si>
    <t>Decay rate of OHOs (temperature corrected)</t>
  </si>
  <si>
    <t>Maximum specific growth rate of MEOLOs (temperature corrected)</t>
  </si>
  <si>
    <t>Decay rate of MEOLOs (temperature corrected)</t>
  </si>
  <si>
    <t>Maximum specific growth rate of PAOs under P limited (temperature corrected)</t>
  </si>
  <si>
    <t>Rate of VFA storage into PHA for PAOs (temperature corrected)</t>
  </si>
  <si>
    <t>Rate of maintenance under anaerobic conditions (PP cleavage) of PAOs (temperature corrected)</t>
  </si>
  <si>
    <t>Maximum specific growth rate of AOBs (temperature corrected)</t>
  </si>
  <si>
    <t>Decay rate of AOBs (temperature corrected)</t>
  </si>
  <si>
    <t>Maximum specific growth rate of NOBs (temperature corrected)</t>
  </si>
  <si>
    <t>Decay rate of NOBs (temperature corrected)</t>
  </si>
  <si>
    <t>Maximum specific growth rate of AMXs (temperature corrected)</t>
  </si>
  <si>
    <t>Decay rate of AMXs (temperature corrected)</t>
  </si>
  <si>
    <t>Maximum specific growth rate of AMETOs (temperature corrected)</t>
  </si>
  <si>
    <t>Decay rate of AMETOs (temperature corrected)</t>
  </si>
  <si>
    <t>Maximum specific growth rate of HMETOs (temperature corrected)</t>
  </si>
  <si>
    <t>Decay rate of HMETOs (temperature corrected)</t>
  </si>
  <si>
    <t>Rate of flocculation (temperature corrected)</t>
  </si>
  <si>
    <t>Rate of hydrolysis (temperature corrected)</t>
  </si>
  <si>
    <t>Rate of ammonification (temperature corrected)</t>
  </si>
  <si>
    <t>Rate of soluble biodegradable organic P conversion (temperature corrected)</t>
  </si>
  <si>
    <t>Rate of endogenous decay products conversion (temperature corrected)</t>
  </si>
  <si>
    <t>Rate of assimilative nutrient reduction (temperature corrected)</t>
  </si>
  <si>
    <r>
      <t>Rate of Fe</t>
    </r>
    <r>
      <rPr>
        <vertAlign val="subscript"/>
        <sz val="11"/>
        <color rgb="FF000000"/>
        <rFont val="Calibri"/>
        <family val="2"/>
        <scheme val="minor"/>
      </rPr>
      <t>2</t>
    </r>
    <r>
      <rPr>
        <sz val="11"/>
        <color rgb="FF000000"/>
        <rFont val="Calibri"/>
        <family val="2"/>
        <charset val="238"/>
        <scheme val="minor"/>
      </rPr>
      <t xml:space="preserve"> oxidation (temperature corrected)</t>
    </r>
  </si>
  <si>
    <t>Rate of HFO reduction with organics (temperature corrected)</t>
  </si>
  <si>
    <r>
      <t>q</t>
    </r>
    <r>
      <rPr>
        <vertAlign val="subscript"/>
        <sz val="11"/>
        <color indexed="8"/>
        <rFont val="Calibri"/>
        <family val="2"/>
        <scheme val="minor"/>
      </rPr>
      <t>Fe2,OX,T</t>
    </r>
  </si>
  <si>
    <r>
      <t>q</t>
    </r>
    <r>
      <rPr>
        <vertAlign val="subscript"/>
        <sz val="11"/>
        <color indexed="8"/>
        <rFont val="Calibri"/>
        <family val="2"/>
        <scheme val="minor"/>
      </rPr>
      <t>Fe2,OX</t>
    </r>
    <r>
      <rPr>
        <sz val="11"/>
        <color indexed="8"/>
        <rFont val="Calibri"/>
        <family val="2"/>
        <scheme val="minor"/>
      </rPr>
      <t>*Arrh(θ</t>
    </r>
    <r>
      <rPr>
        <vertAlign val="subscript"/>
        <sz val="11"/>
        <color indexed="8"/>
        <rFont val="Calibri"/>
        <family val="2"/>
        <scheme val="minor"/>
      </rPr>
      <t>q,Fe2,OX</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</si>
  <si>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θ</t>
    </r>
    <r>
      <rPr>
        <vertAlign val="subscript"/>
        <sz val="11"/>
        <color indexed="8"/>
        <rFont val="Calibri"/>
        <family val="2"/>
        <scheme val="minor"/>
      </rPr>
      <t>q,Fe2,OX</t>
    </r>
  </si>
  <si>
    <t>Dissociation constant of water (temperature corrected)</t>
  </si>
  <si>
    <t>Dissociation constant of carbonate first step (temperature corrected)</t>
  </si>
  <si>
    <t>Dissociation constant of carbonate second step (temperature corrected)</t>
  </si>
  <si>
    <t>Dissociation constant of phosphate first step (temperature corrected)</t>
  </si>
  <si>
    <t>Dissociation constant of phosphate second step (temperature corrected)</t>
  </si>
  <si>
    <t>Dissociation constant of phosphate third step (temperature corrected)</t>
  </si>
  <si>
    <t>Dissociation constant of acetate (temperature corrected)</t>
  </si>
  <si>
    <t>Dissociation constant of ammonia (temperature corrected)</t>
  </si>
  <si>
    <t>Dissociation constant of water (activity corrected)</t>
  </si>
  <si>
    <t>Dissociation constant of carbonate first step (activity corrected)</t>
  </si>
  <si>
    <t>Dissociation constant of carbonate second step (activity corrected)</t>
  </si>
  <si>
    <t>Dissociation constant of phosphate first step (activity corrected)</t>
  </si>
  <si>
    <t>Dissociation constant of phosphate second step (activity corrected)</t>
  </si>
  <si>
    <t>Dissociation constant of phosphate third step (activity corrected)</t>
  </si>
  <si>
    <t>Dissociation constant of acetate (activity corrected)</t>
  </si>
  <si>
    <t>Dissociation constant of ammonia (activity corrected)</t>
  </si>
  <si>
    <t>Dissociation constant of nitrous acid (temperature corrected)</t>
  </si>
  <si>
    <r>
      <t>K</t>
    </r>
    <r>
      <rPr>
        <vertAlign val="subscript"/>
        <sz val="11"/>
        <rFont val="Calibri"/>
        <family val="2"/>
        <scheme val="minor"/>
      </rPr>
      <t>Ac</t>
    </r>
  </si>
  <si>
    <r>
      <t>K</t>
    </r>
    <r>
      <rPr>
        <vertAlign val="subscript"/>
        <sz val="11"/>
        <rFont val="Calibri"/>
        <family val="2"/>
        <scheme val="minor"/>
      </rPr>
      <t>Ac,T</t>
    </r>
    <r>
      <rPr>
        <sz val="11"/>
        <rFont val="Calibri"/>
        <family val="2"/>
        <scheme val="minor"/>
      </rPr>
      <t>/f</t>
    </r>
    <r>
      <rPr>
        <vertAlign val="subscript"/>
        <sz val="11"/>
        <rFont val="Calibri"/>
        <family val="2"/>
        <scheme val="minor"/>
      </rPr>
      <t>mono</t>
    </r>
    <r>
      <rPr>
        <sz val="11"/>
        <rFont val="Calibri"/>
        <family val="2"/>
        <scheme val="minor"/>
      </rPr>
      <t>^2</t>
    </r>
  </si>
  <si>
    <r>
      <t>K</t>
    </r>
    <r>
      <rPr>
        <vertAlign val="subscript"/>
        <sz val="11"/>
        <rFont val="Calibri"/>
        <family val="2"/>
        <scheme val="minor"/>
      </rPr>
      <t>NO2</t>
    </r>
  </si>
  <si>
    <r>
      <t>K</t>
    </r>
    <r>
      <rPr>
        <vertAlign val="subscript"/>
        <sz val="11"/>
        <rFont val="Calibri"/>
        <family val="2"/>
        <scheme val="minor"/>
      </rPr>
      <t>NO2,T</t>
    </r>
    <r>
      <rPr>
        <sz val="11"/>
        <rFont val="Calibri"/>
        <family val="2"/>
        <scheme val="minor"/>
      </rPr>
      <t>/f</t>
    </r>
    <r>
      <rPr>
        <vertAlign val="subscript"/>
        <sz val="11"/>
        <rFont val="Calibri"/>
        <family val="2"/>
        <scheme val="minor"/>
      </rPr>
      <t>mono</t>
    </r>
    <r>
      <rPr>
        <sz val="11"/>
        <rFont val="Calibri"/>
        <family val="2"/>
        <scheme val="minor"/>
      </rPr>
      <t>^2</t>
    </r>
  </si>
  <si>
    <r>
      <t>K</t>
    </r>
    <r>
      <rPr>
        <vertAlign val="subscript"/>
        <sz val="11"/>
        <rFont val="Calibri"/>
        <family val="2"/>
        <scheme val="minor"/>
      </rPr>
      <t>NH3</t>
    </r>
  </si>
  <si>
    <r>
      <t>K</t>
    </r>
    <r>
      <rPr>
        <vertAlign val="subscript"/>
        <sz val="11"/>
        <rFont val="Calibri"/>
        <family val="2"/>
        <scheme val="minor"/>
      </rPr>
      <t>NH3,T</t>
    </r>
  </si>
  <si>
    <t>r73</t>
  </si>
  <si>
    <t>r74</t>
  </si>
  <si>
    <r>
      <t>Ki</t>
    </r>
    <r>
      <rPr>
        <vertAlign val="subscript"/>
        <sz val="11"/>
        <rFont val="Calibri"/>
        <family val="2"/>
        <scheme val="minor"/>
      </rPr>
      <t>HNO2,AMX,pH</t>
    </r>
  </si>
  <si>
    <r>
      <t>Ki</t>
    </r>
    <r>
      <rPr>
        <vertAlign val="subscript"/>
        <sz val="11"/>
        <rFont val="Calibri"/>
        <family val="2"/>
      </rPr>
      <t>HNO2,AMX,pH,AS</t>
    </r>
  </si>
  <si>
    <r>
      <t>K</t>
    </r>
    <r>
      <rPr>
        <vertAlign val="subscript"/>
        <sz val="11"/>
        <color indexed="8"/>
        <rFont val="Calibri"/>
        <family val="2"/>
        <scheme val="minor"/>
      </rPr>
      <t>STR,DISS</t>
    </r>
  </si>
  <si>
    <r>
      <t>K</t>
    </r>
    <r>
      <rPr>
        <vertAlign val="subscript"/>
        <sz val="11"/>
        <color indexed="8"/>
        <rFont val="Calibri"/>
        <family val="2"/>
        <scheme val="minor"/>
      </rPr>
      <t>ACP,DISS</t>
    </r>
  </si>
  <si>
    <r>
      <t>K</t>
    </r>
    <r>
      <rPr>
        <vertAlign val="subscript"/>
        <sz val="11"/>
        <color indexed="8"/>
        <rFont val="Calibri"/>
        <family val="2"/>
        <scheme val="minor"/>
      </rPr>
      <t>CaCO3,DISS</t>
    </r>
  </si>
  <si>
    <r>
      <t>K</t>
    </r>
    <r>
      <rPr>
        <vertAlign val="subscript"/>
        <sz val="11"/>
        <color indexed="8"/>
        <rFont val="Calibri"/>
        <family val="2"/>
        <scheme val="minor"/>
      </rPr>
      <t>Vivi,DISS</t>
    </r>
  </si>
  <si>
    <r>
      <t>K</t>
    </r>
    <r>
      <rPr>
        <vertAlign val="subscript"/>
        <sz val="11"/>
        <rFont val="Calibri"/>
        <family val="2"/>
        <scheme val="minor"/>
      </rPr>
      <t>Ac,T</t>
    </r>
  </si>
  <si>
    <r>
      <t>K</t>
    </r>
    <r>
      <rPr>
        <vertAlign val="subscript"/>
        <sz val="11"/>
        <rFont val="Calibri"/>
        <family val="2"/>
      </rPr>
      <t>NO2,T</t>
    </r>
  </si>
  <si>
    <r>
      <t>S</t>
    </r>
    <r>
      <rPr>
        <vertAlign val="subscript"/>
        <sz val="11"/>
        <rFont val="Calibri"/>
        <family val="2"/>
        <scheme val="minor"/>
      </rPr>
      <t>VFA</t>
    </r>
    <r>
      <rPr>
        <sz val="11"/>
        <rFont val="Calibri"/>
        <family val="2"/>
        <scheme val="minor"/>
      </rPr>
      <t>/(4*AM</t>
    </r>
    <r>
      <rPr>
        <vertAlign val="subscript"/>
        <sz val="11"/>
        <rFont val="Calibri"/>
        <family val="2"/>
        <scheme val="minor"/>
      </rPr>
      <t>O</t>
    </r>
    <r>
      <rPr>
        <sz val="11"/>
        <rFont val="Calibri"/>
        <family val="2"/>
        <scheme val="minor"/>
      </rPr>
      <t>*1000)*K</t>
    </r>
    <r>
      <rPr>
        <vertAlign val="subscript"/>
        <sz val="11"/>
        <rFont val="Calibri"/>
        <family val="2"/>
        <scheme val="minor"/>
      </rPr>
      <t>Ac</t>
    </r>
    <r>
      <rPr>
        <sz val="11"/>
        <rFont val="Calibri"/>
        <family val="2"/>
        <scheme val="minor"/>
      </rPr>
      <t>/([H</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 xml:space="preserve"> + K</t>
    </r>
    <r>
      <rPr>
        <vertAlign val="subscript"/>
        <sz val="11"/>
        <rFont val="Calibri"/>
        <family val="2"/>
        <scheme val="minor"/>
      </rPr>
      <t>Ac</t>
    </r>
    <r>
      <rPr>
        <sz val="11"/>
        <rFont val="Calibri"/>
        <family val="2"/>
        <scheme val="minor"/>
      </rPr>
      <t>)</t>
    </r>
  </si>
  <si>
    <r>
      <t>K</t>
    </r>
    <r>
      <rPr>
        <vertAlign val="subscript"/>
        <sz val="11"/>
        <rFont val="Calibri"/>
        <family val="2"/>
        <scheme val="minor"/>
      </rPr>
      <t>NO2</t>
    </r>
    <r>
      <rPr>
        <sz val="11"/>
        <rFont val="Calibri"/>
        <family val="2"/>
        <scheme val="minor"/>
      </rPr>
      <t>*S</t>
    </r>
    <r>
      <rPr>
        <vertAlign val="subscript"/>
        <sz val="11"/>
        <rFont val="Calibri"/>
        <family val="2"/>
        <scheme val="minor"/>
      </rPr>
      <t>NO2</t>
    </r>
    <r>
      <rPr>
        <sz val="11"/>
        <rFont val="Calibri"/>
        <family val="2"/>
        <scheme val="minor"/>
      </rPr>
      <t>/(AM</t>
    </r>
    <r>
      <rPr>
        <vertAlign val="subscript"/>
        <sz val="11"/>
        <rFont val="Calibri"/>
        <family val="2"/>
        <scheme val="minor"/>
      </rPr>
      <t>N</t>
    </r>
    <r>
      <rPr>
        <sz val="11"/>
        <rFont val="Calibri"/>
        <family val="2"/>
        <scheme val="minor"/>
      </rPr>
      <t>*1000)/([H</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+K</t>
    </r>
    <r>
      <rPr>
        <vertAlign val="subscript"/>
        <sz val="11"/>
        <rFont val="Calibri"/>
        <family val="2"/>
        <scheme val="minor"/>
      </rPr>
      <t>NO2</t>
    </r>
    <r>
      <rPr>
        <sz val="11"/>
        <rFont val="Calibri"/>
        <family val="2"/>
        <scheme val="minor"/>
      </rPr>
      <t>)</t>
    </r>
  </si>
  <si>
    <r>
      <t>[H</t>
    </r>
    <r>
      <rPr>
        <vertAlign val="superscript"/>
        <sz val="11"/>
        <rFont val="Calibri"/>
        <family val="2"/>
      </rPr>
      <t>+</t>
    </r>
    <r>
      <rPr>
        <sz val="11"/>
        <rFont val="Calibri"/>
        <family val="2"/>
      </rPr>
      <t>]*S</t>
    </r>
    <r>
      <rPr>
        <vertAlign val="subscript"/>
        <sz val="11"/>
        <rFont val="Calibri"/>
        <family val="2"/>
      </rPr>
      <t>VFA</t>
    </r>
    <r>
      <rPr>
        <sz val="11"/>
        <rFont val="Calibri"/>
        <family val="2"/>
      </rPr>
      <t>/(4*AM</t>
    </r>
    <r>
      <rPr>
        <vertAlign val="subscript"/>
        <sz val="11"/>
        <rFont val="Calibri"/>
        <family val="2"/>
      </rPr>
      <t>O</t>
    </r>
    <r>
      <rPr>
        <sz val="11"/>
        <rFont val="Calibri"/>
        <family val="2"/>
      </rPr>
      <t>*1000)/([H</t>
    </r>
    <r>
      <rPr>
        <vertAlign val="superscript"/>
        <sz val="11"/>
        <rFont val="Calibri"/>
        <family val="2"/>
      </rPr>
      <t>+</t>
    </r>
    <r>
      <rPr>
        <sz val="11"/>
        <rFont val="Calibri"/>
        <family val="2"/>
      </rPr>
      <t>]+K</t>
    </r>
    <r>
      <rPr>
        <vertAlign val="subscript"/>
        <sz val="11"/>
        <rFont val="Calibri"/>
        <family val="2"/>
      </rPr>
      <t>Ac</t>
    </r>
    <r>
      <rPr>
        <sz val="11"/>
        <rFont val="Calibri"/>
        <family val="2"/>
      </rPr>
      <t>)</t>
    </r>
  </si>
  <si>
    <r>
      <t>S</t>
    </r>
    <r>
      <rPr>
        <vertAlign val="subscript"/>
        <sz val="11"/>
        <rFont val="Calibri"/>
        <family val="2"/>
      </rPr>
      <t>VFA</t>
    </r>
    <r>
      <rPr>
        <sz val="11"/>
        <rFont val="Calibri"/>
        <family val="2"/>
      </rPr>
      <t>/(4*AM</t>
    </r>
    <r>
      <rPr>
        <vertAlign val="subscript"/>
        <sz val="11"/>
        <rFont val="Calibri"/>
        <family val="2"/>
      </rPr>
      <t>O</t>
    </r>
    <r>
      <rPr>
        <sz val="11"/>
        <rFont val="Calibri"/>
        <family val="2"/>
      </rPr>
      <t>*1000)*K</t>
    </r>
    <r>
      <rPr>
        <vertAlign val="subscript"/>
        <sz val="11"/>
        <rFont val="Calibri"/>
        <family val="2"/>
      </rPr>
      <t>Ac</t>
    </r>
    <r>
      <rPr>
        <sz val="11"/>
        <rFont val="Calibri"/>
        <family val="2"/>
      </rPr>
      <t>/([H</t>
    </r>
    <r>
      <rPr>
        <vertAlign val="superscript"/>
        <sz val="11"/>
        <rFont val="Calibri"/>
        <family val="2"/>
      </rPr>
      <t>+</t>
    </r>
    <r>
      <rPr>
        <sz val="11"/>
        <rFont val="Calibri"/>
        <family val="2"/>
      </rPr>
      <t>]+K</t>
    </r>
    <r>
      <rPr>
        <vertAlign val="subscript"/>
        <sz val="11"/>
        <rFont val="Calibri"/>
        <family val="2"/>
      </rPr>
      <t>Ac</t>
    </r>
    <r>
      <rPr>
        <sz val="11"/>
        <rFont val="Calibri"/>
        <family val="2"/>
      </rPr>
      <t>)</t>
    </r>
  </si>
  <si>
    <r>
      <t>Inhibition term for NO</t>
    </r>
    <r>
      <rPr>
        <vertAlign val="subscript"/>
        <sz val="11"/>
        <color rgb="FF000000"/>
        <rFont val="Calibri"/>
        <family val="2"/>
        <scheme val="minor"/>
      </rPr>
      <t>2</t>
    </r>
    <r>
      <rPr>
        <sz val="11"/>
        <color rgb="FF000000"/>
        <rFont val="Calibri"/>
        <family val="2"/>
        <charset val="238"/>
        <scheme val="minor"/>
      </rPr>
      <t xml:space="preserve"> (OHO)</t>
    </r>
  </si>
  <si>
    <r>
      <t>Inhibition term for NO</t>
    </r>
    <r>
      <rPr>
        <vertAlign val="subscript"/>
        <sz val="11"/>
        <color rgb="FF000000"/>
        <rFont val="Calibri"/>
        <family val="2"/>
        <scheme val="minor"/>
      </rPr>
      <t>3</t>
    </r>
    <r>
      <rPr>
        <sz val="11"/>
        <color rgb="FF000000"/>
        <rFont val="Calibri"/>
        <family val="2"/>
        <charset val="238"/>
        <scheme val="minor"/>
      </rPr>
      <t xml:space="preserve"> (OHO)</t>
    </r>
  </si>
  <si>
    <r>
      <t>S</t>
    </r>
    <r>
      <rPr>
        <vertAlign val="subscript"/>
        <sz val="11"/>
        <rFont val="Calibri"/>
        <family val="2"/>
      </rPr>
      <t>B</t>
    </r>
    <r>
      <rPr>
        <sz val="11"/>
        <rFont val="Calibri"/>
        <family val="2"/>
      </rPr>
      <t xml:space="preserve"> fermentation with low VFA (OHO growth, anaerobic)</t>
    </r>
  </si>
  <si>
    <t>Aging of active HFO,H</t>
  </si>
  <si>
    <t>Aging of active HFO,L</t>
  </si>
  <si>
    <t>Fast binding of P on active HFO,H</t>
  </si>
  <si>
    <t>Slow binding of P on active HFO,L</t>
  </si>
  <si>
    <t>Volatile fatty acids (VFA)</t>
  </si>
  <si>
    <t>Methanol (MEOL)</t>
  </si>
  <si>
    <t>Ordinary heterotrophic organisms (OHO)</t>
  </si>
  <si>
    <t>Anoxic methanol utilizers (MEOLO)</t>
  </si>
  <si>
    <t>Aerobic ammonia oxidizers (AOB)</t>
  </si>
  <si>
    <t>Nitrite oxidizers (NOB)</t>
  </si>
  <si>
    <t>Anammox organisms (AMX)</t>
  </si>
  <si>
    <t>Acidoclastic methanogens (AMETO)</t>
  </si>
  <si>
    <t>Hydrogenotrophic methanogens (HMETO)</t>
  </si>
  <si>
    <r>
      <t>Total ammonia (NH</t>
    </r>
    <r>
      <rPr>
        <vertAlign val="subscript"/>
        <sz val="11"/>
        <color theme="1"/>
        <rFont val="Calibri"/>
        <family val="2"/>
        <scheme val="minor"/>
      </rPr>
      <t>x</t>
    </r>
    <r>
      <rPr>
        <sz val="11"/>
        <color indexed="8"/>
        <rFont val="Calibri"/>
        <family val="2"/>
      </rPr>
      <t>)</t>
    </r>
  </si>
  <si>
    <r>
      <t>Nitrite (NO</t>
    </r>
    <r>
      <rPr>
        <vertAlign val="subscript"/>
        <sz val="11"/>
        <color rgb="FF000000"/>
        <rFont val="Calibri"/>
        <family val="2"/>
        <scheme val="minor"/>
      </rPr>
      <t>2</t>
    </r>
    <r>
      <rPr>
        <sz val="11"/>
        <color rgb="FF000000"/>
        <rFont val="Calibri"/>
        <family val="2"/>
        <charset val="238"/>
        <scheme val="minor"/>
      </rPr>
      <t>)</t>
    </r>
  </si>
  <si>
    <r>
      <t>Nitrate (NO</t>
    </r>
    <r>
      <rPr>
        <vertAlign val="subscript"/>
        <sz val="11"/>
        <color rgb="FF000000"/>
        <rFont val="Calibri"/>
        <family val="2"/>
        <scheme val="minor"/>
      </rPr>
      <t>3</t>
    </r>
    <r>
      <rPr>
        <sz val="11"/>
        <color rgb="FF000000"/>
        <rFont val="Calibri"/>
        <family val="2"/>
        <charset val="238"/>
        <scheme val="minor"/>
      </rPr>
      <t>)</t>
    </r>
  </si>
  <si>
    <r>
      <t>Dissolved nitrogen (N</t>
    </r>
    <r>
      <rPr>
        <vertAlign val="subscript"/>
        <sz val="11"/>
        <color rgb="FF000000"/>
        <rFont val="Calibri"/>
        <family val="2"/>
        <scheme val="minor"/>
      </rPr>
      <t>2</t>
    </r>
    <r>
      <rPr>
        <sz val="11"/>
        <color rgb="FF000000"/>
        <rFont val="Calibri"/>
        <family val="2"/>
        <charset val="238"/>
        <scheme val="minor"/>
      </rPr>
      <t>)</t>
    </r>
  </si>
  <si>
    <r>
      <t>Particulate biodegradable organic N (from X</t>
    </r>
    <r>
      <rPr>
        <vertAlign val="subscript"/>
        <sz val="11"/>
        <color rgb="FF000000"/>
        <rFont val="Calibri"/>
        <family val="2"/>
        <scheme val="minor"/>
      </rPr>
      <t>B</t>
    </r>
    <r>
      <rPr>
        <sz val="11"/>
        <color rgb="FF000000"/>
        <rFont val="Calibri"/>
        <family val="2"/>
        <charset val="238"/>
        <scheme val="minor"/>
      </rPr>
      <t>)</t>
    </r>
  </si>
  <si>
    <r>
      <t>Orthophosphate (PO</t>
    </r>
    <r>
      <rPr>
        <vertAlign val="subscript"/>
        <sz val="11"/>
        <color rgb="FF000000"/>
        <rFont val="Calibri"/>
        <family val="2"/>
        <scheme val="minor"/>
      </rPr>
      <t>4</t>
    </r>
    <r>
      <rPr>
        <sz val="11"/>
        <color rgb="FF000000"/>
        <rFont val="Calibri"/>
        <family val="2"/>
        <charset val="238"/>
        <scheme val="minor"/>
      </rPr>
      <t>)</t>
    </r>
  </si>
  <si>
    <t>Stored polyphosphate (PP)</t>
  </si>
  <si>
    <t>Soluble biodegradable organic P (from SB)</t>
  </si>
  <si>
    <r>
      <t>Particulate biodegradable organic P (from X</t>
    </r>
    <r>
      <rPr>
        <vertAlign val="subscript"/>
        <sz val="11"/>
        <color rgb="FF000000"/>
        <rFont val="Calibri"/>
        <family val="2"/>
        <scheme val="minor"/>
      </rPr>
      <t>B</t>
    </r>
    <r>
      <rPr>
        <sz val="11"/>
        <color rgb="FF000000"/>
        <rFont val="Calibri"/>
        <family val="2"/>
        <charset val="238"/>
        <scheme val="minor"/>
      </rPr>
      <t>)</t>
    </r>
  </si>
  <si>
    <t>Particulate unbiodegradable organic P</t>
  </si>
  <si>
    <r>
      <t>Dissolved oxygen (O</t>
    </r>
    <r>
      <rPr>
        <vertAlign val="subscript"/>
        <sz val="11"/>
        <color rgb="FF000000"/>
        <rFont val="Calibri"/>
        <family val="2"/>
        <scheme val="minor"/>
      </rPr>
      <t>2</t>
    </r>
    <r>
      <rPr>
        <sz val="11"/>
        <color rgb="FF000000"/>
        <rFont val="Calibri"/>
        <family val="2"/>
        <charset val="238"/>
        <scheme val="minor"/>
      </rPr>
      <t>)</t>
    </r>
  </si>
  <si>
    <r>
      <t>Dissolved methane (CH</t>
    </r>
    <r>
      <rPr>
        <vertAlign val="subscript"/>
        <sz val="11"/>
        <color rgb="FF000000"/>
        <rFont val="Calibri"/>
        <family val="2"/>
        <scheme val="minor"/>
      </rPr>
      <t>4</t>
    </r>
    <r>
      <rPr>
        <sz val="11"/>
        <color rgb="FF000000"/>
        <rFont val="Calibri"/>
        <family val="2"/>
        <charset val="238"/>
        <scheme val="minor"/>
      </rPr>
      <t>)</t>
    </r>
  </si>
  <si>
    <r>
      <t>Dissolved hydrogen (H</t>
    </r>
    <r>
      <rPr>
        <vertAlign val="subscript"/>
        <sz val="11"/>
        <color rgb="FF000000"/>
        <rFont val="Calibri"/>
        <family val="2"/>
        <scheme val="minor"/>
      </rPr>
      <t>2</t>
    </r>
    <r>
      <rPr>
        <sz val="11"/>
        <color rgb="FF000000"/>
        <rFont val="Calibri"/>
        <family val="2"/>
        <charset val="238"/>
        <scheme val="minor"/>
      </rPr>
      <t>)</t>
    </r>
  </si>
  <si>
    <r>
      <t>Total inorganic carbon (CO</t>
    </r>
    <r>
      <rPr>
        <vertAlign val="subscript"/>
        <sz val="11"/>
        <color rgb="FF000000"/>
        <rFont val="Calibri"/>
        <family val="2"/>
        <scheme val="minor"/>
      </rPr>
      <t>2</t>
    </r>
    <r>
      <rPr>
        <sz val="11"/>
        <color rgb="FF000000"/>
        <rFont val="Calibri"/>
        <family val="2"/>
        <charset val="238"/>
        <scheme val="minor"/>
      </rPr>
      <t>)</t>
    </r>
  </si>
  <si>
    <r>
      <t>Other strong cations (as Na</t>
    </r>
    <r>
      <rPr>
        <vertAlign val="superscript"/>
        <sz val="11"/>
        <color rgb="FF000000"/>
        <rFont val="Calibri"/>
        <family val="2"/>
        <scheme val="minor"/>
      </rPr>
      <t>+</t>
    </r>
    <r>
      <rPr>
        <sz val="11"/>
        <color rgb="FF000000"/>
        <rFont val="Calibri"/>
        <family val="2"/>
        <charset val="238"/>
        <scheme val="minor"/>
      </rPr>
      <t>)</t>
    </r>
  </si>
  <si>
    <r>
      <t>Other strong anions (as Cl</t>
    </r>
    <r>
      <rPr>
        <vertAlign val="superscript"/>
        <sz val="11"/>
        <color rgb="FF000000"/>
        <rFont val="Calibri"/>
        <family val="2"/>
        <scheme val="minor"/>
      </rPr>
      <t>-</t>
    </r>
    <r>
      <rPr>
        <sz val="11"/>
        <color rgb="FF000000"/>
        <rFont val="Calibri"/>
        <family val="2"/>
        <charset val="238"/>
        <scheme val="minor"/>
      </rPr>
      <t>)</t>
    </r>
  </si>
  <si>
    <r>
      <t>Ferrous ion (Fe</t>
    </r>
    <r>
      <rPr>
        <vertAlign val="subscript"/>
        <sz val="11"/>
        <color rgb="FF000000"/>
        <rFont val="Calibri"/>
        <family val="2"/>
        <scheme val="minor"/>
      </rPr>
      <t>2</t>
    </r>
    <r>
      <rPr>
        <sz val="11"/>
        <color rgb="FF000000"/>
        <rFont val="Calibri"/>
        <family val="2"/>
        <charset val="238"/>
        <scheme val="minor"/>
      </rPr>
      <t>)</t>
    </r>
  </si>
  <si>
    <t>Active hydrous ferric oxide, high surface (HFO,H)</t>
  </si>
  <si>
    <t>Active hydrous ferric oxide, low surface (HFO,L)</t>
  </si>
  <si>
    <t>Aged unused hydrous ferric oxide (HFO,old)</t>
  </si>
  <si>
    <t>P-bound hydrous ferric oxide, high surface (HFO,H,P)</t>
  </si>
  <si>
    <t>P-bound hydrous ferric oxide, low surface (HFO,L,P)</t>
  </si>
  <si>
    <r>
      <t>Calcium carbonate (CaCO</t>
    </r>
    <r>
      <rPr>
        <vertAlign val="subscript"/>
        <sz val="11"/>
        <color theme="1"/>
        <rFont val="Calibri"/>
        <family val="2"/>
        <scheme val="minor"/>
      </rPr>
      <t>3</t>
    </r>
    <r>
      <rPr>
        <sz val="11"/>
        <color indexed="8"/>
        <rFont val="Calibri"/>
        <family val="2"/>
      </rPr>
      <t>)</t>
    </r>
  </si>
  <si>
    <t>Amorphous calcium phosphate (ACP)</t>
  </si>
  <si>
    <t>Struvite (STR)</t>
  </si>
  <si>
    <t>Vivianite (Vivi)</t>
  </si>
  <si>
    <t>Carbon dioxide gas (CO2)</t>
  </si>
  <si>
    <r>
      <t>Methane gas (CH</t>
    </r>
    <r>
      <rPr>
        <vertAlign val="subscript"/>
        <sz val="11"/>
        <color rgb="FF000000"/>
        <rFont val="Calibri"/>
        <family val="2"/>
        <scheme val="minor"/>
      </rPr>
      <t>4</t>
    </r>
    <r>
      <rPr>
        <sz val="11"/>
        <color rgb="FF000000"/>
        <rFont val="Calibri"/>
        <family val="2"/>
        <charset val="238"/>
        <scheme val="minor"/>
      </rPr>
      <t>)</t>
    </r>
  </si>
  <si>
    <r>
      <t>Hydrogen gas (H</t>
    </r>
    <r>
      <rPr>
        <vertAlign val="subscript"/>
        <sz val="11"/>
        <color rgb="FF000000"/>
        <rFont val="Calibri"/>
        <family val="2"/>
        <scheme val="minor"/>
      </rPr>
      <t>2</t>
    </r>
    <r>
      <rPr>
        <sz val="11"/>
        <color rgb="FF000000"/>
        <rFont val="Calibri"/>
        <family val="2"/>
        <charset val="238"/>
        <scheme val="minor"/>
      </rPr>
      <t>)</t>
    </r>
  </si>
  <si>
    <r>
      <t>Oxygen gas (O</t>
    </r>
    <r>
      <rPr>
        <vertAlign val="subscript"/>
        <sz val="11"/>
        <color rgb="FF000000"/>
        <rFont val="Calibri"/>
        <family val="2"/>
        <scheme val="minor"/>
      </rPr>
      <t>2</t>
    </r>
    <r>
      <rPr>
        <sz val="11"/>
        <color rgb="FF000000"/>
        <rFont val="Calibri"/>
        <family val="2"/>
        <charset val="238"/>
        <scheme val="minor"/>
      </rPr>
      <t>)</t>
    </r>
  </si>
  <si>
    <t>Ammonia gas (NH3)</t>
  </si>
  <si>
    <r>
      <t>Nitrogen gas (N</t>
    </r>
    <r>
      <rPr>
        <vertAlign val="subscript"/>
        <sz val="11"/>
        <color rgb="FF000000"/>
        <rFont val="Calibri"/>
        <family val="2"/>
        <scheme val="minor"/>
      </rPr>
      <t>2</t>
    </r>
    <r>
      <rPr>
        <sz val="11"/>
        <color rgb="FF000000"/>
        <rFont val="Calibri"/>
        <family val="2"/>
        <charset val="238"/>
        <scheme val="minor"/>
      </rPr>
      <t>)</t>
    </r>
  </si>
  <si>
    <r>
      <t>Inhibition term for NH</t>
    </r>
    <r>
      <rPr>
        <vertAlign val="subscript"/>
        <sz val="11"/>
        <color rgb="FF000000"/>
        <rFont val="Calibri"/>
        <family val="2"/>
        <scheme val="minor"/>
      </rPr>
      <t>x</t>
    </r>
    <r>
      <rPr>
        <sz val="11"/>
        <color rgb="FF000000"/>
        <rFont val="Calibri"/>
        <family val="2"/>
        <charset val="238"/>
        <scheme val="minor"/>
      </rPr>
      <t xml:space="preserve"> (assimilative reduction)</t>
    </r>
  </si>
  <si>
    <t>Dielectric constant</t>
  </si>
  <si>
    <t>Solution density</t>
  </si>
  <si>
    <t>Dissociation constant of nitrous acid (activity corrected)</t>
  </si>
  <si>
    <r>
      <t>Solubility constant of CaCO</t>
    </r>
    <r>
      <rPr>
        <vertAlign val="subscript"/>
        <sz val="11"/>
        <color rgb="FF000000"/>
        <rFont val="Calibri"/>
        <family val="2"/>
        <scheme val="minor"/>
      </rPr>
      <t>3</t>
    </r>
    <r>
      <rPr>
        <sz val="11"/>
        <color rgb="FF000000"/>
        <rFont val="Calibri"/>
        <family val="2"/>
        <charset val="238"/>
        <scheme val="minor"/>
      </rPr>
      <t xml:space="preserve"> (activity corrected)</t>
    </r>
  </si>
  <si>
    <t>Solubility constant of struvite (activity corrected)</t>
  </si>
  <si>
    <t>Solubility constant of vivianite (activity corrected)</t>
  </si>
  <si>
    <t>Solubility constant of ACP (activity corrected)</t>
  </si>
  <si>
    <t>Half-saturations for aerobic ammonia oxidizers (AOB)</t>
  </si>
  <si>
    <t>Aerobic ammonia oxidizer kinetics (AOB)</t>
  </si>
  <si>
    <t>Nitrite oxidizer kinetics (NOB)</t>
  </si>
  <si>
    <t>Anammox organism kinetics (AMX)</t>
  </si>
  <si>
    <r>
      <t>Half-inhibition of NH</t>
    </r>
    <r>
      <rPr>
        <vertAlign val="subscript"/>
        <sz val="11"/>
        <color rgb="FF000000"/>
        <rFont val="Calibri"/>
        <family val="2"/>
        <scheme val="minor"/>
      </rPr>
      <t>x</t>
    </r>
    <r>
      <rPr>
        <sz val="11"/>
        <color rgb="FF000000"/>
        <rFont val="Calibri"/>
        <family val="2"/>
        <charset val="238"/>
        <scheme val="minor"/>
      </rPr>
      <t xml:space="preserve"> in NO</t>
    </r>
    <r>
      <rPr>
        <vertAlign val="subscript"/>
        <sz val="11"/>
        <color rgb="FF000000"/>
        <rFont val="Calibri"/>
        <family val="2"/>
        <scheme val="minor"/>
      </rPr>
      <t>x</t>
    </r>
    <r>
      <rPr>
        <sz val="11"/>
        <color rgb="FF000000"/>
        <rFont val="Calibri"/>
        <family val="2"/>
        <charset val="238"/>
        <scheme val="minor"/>
      </rPr>
      <t xml:space="preserve"> assimilative reduction</t>
    </r>
  </si>
  <si>
    <r>
      <t>mol [HNO</t>
    </r>
    <r>
      <rPr>
        <vertAlign val="subscript"/>
        <sz val="11"/>
        <color indexed="8"/>
        <rFont val="Calibri"/>
        <family val="2"/>
        <scheme val="minor"/>
      </rPr>
      <t>2</t>
    </r>
    <r>
      <rPr>
        <sz val="11"/>
        <color indexed="8"/>
        <rFont val="Calibri"/>
        <family val="2"/>
        <scheme val="minor"/>
      </rPr>
      <t>].L</t>
    </r>
    <r>
      <rPr>
        <vertAlign val="superscript"/>
        <sz val="11"/>
        <color indexed="8"/>
        <rFont val="Calibri"/>
        <family val="2"/>
        <scheme val="minor"/>
      </rPr>
      <t>-1</t>
    </r>
  </si>
  <si>
    <r>
      <t>Half-saturation of NO</t>
    </r>
    <r>
      <rPr>
        <vertAlign val="subscript"/>
        <sz val="11"/>
        <color rgb="FF000000"/>
        <rFont val="Calibri"/>
        <family val="2"/>
        <scheme val="minor"/>
      </rPr>
      <t>x</t>
    </r>
    <r>
      <rPr>
        <sz val="11"/>
        <color rgb="FF000000"/>
        <rFont val="Calibri"/>
        <family val="2"/>
        <charset val="238"/>
        <scheme val="minor"/>
      </rPr>
      <t xml:space="preserve"> (anoxic conditions) for AMX</t>
    </r>
  </si>
  <si>
    <t>Half-saturations for conversions</t>
  </si>
  <si>
    <r>
      <t>g Na.m</t>
    </r>
    <r>
      <rPr>
        <vertAlign val="superscript"/>
        <sz val="11"/>
        <rFont val="Calibri"/>
        <family val="2"/>
        <scheme val="minor"/>
      </rPr>
      <t>-3</t>
    </r>
  </si>
  <si>
    <r>
      <t>g Cl.m</t>
    </r>
    <r>
      <rPr>
        <vertAlign val="superscript"/>
        <sz val="11"/>
        <rFont val="Calibri"/>
        <family val="2"/>
        <scheme val="minor"/>
      </rPr>
      <t>-3</t>
    </r>
  </si>
  <si>
    <r>
      <t>g X</t>
    </r>
    <r>
      <rPr>
        <vertAlign val="subscript"/>
        <sz val="11"/>
        <rFont val="Calibri"/>
        <family val="2"/>
        <scheme val="minor"/>
      </rPr>
      <t>E</t>
    </r>
    <r>
      <rPr>
        <sz val="11"/>
        <rFont val="Calibri"/>
        <family val="2"/>
        <scheme val="minor"/>
      </rPr>
      <t>.g X</t>
    </r>
    <r>
      <rPr>
        <vertAlign val="subscript"/>
        <sz val="11"/>
        <rFont val="Calibri"/>
        <family val="2"/>
        <scheme val="minor"/>
      </rPr>
      <t>BIO</t>
    </r>
    <r>
      <rPr>
        <vertAlign val="superscript"/>
        <sz val="11"/>
        <rFont val="Calibri"/>
        <family val="2"/>
        <scheme val="minor"/>
      </rPr>
      <t>-1</t>
    </r>
  </si>
  <si>
    <r>
      <t>g O2.g COD</t>
    </r>
    <r>
      <rPr>
        <vertAlign val="superscript"/>
        <sz val="11"/>
        <color theme="1"/>
        <rFont val="Calibri"/>
        <family val="2"/>
        <scheme val="minor"/>
      </rPr>
      <t>-1</t>
    </r>
  </si>
  <si>
    <r>
      <t>f</t>
    </r>
    <r>
      <rPr>
        <vertAlign val="subscript"/>
        <sz val="11"/>
        <rFont val="Calibri"/>
        <family val="2"/>
        <scheme val="minor"/>
      </rPr>
      <t>S,BOD5,BODult</t>
    </r>
  </si>
  <si>
    <t>Fraction of BOD5 to ultimate BOD in soluble biodegradable substrates</t>
  </si>
  <si>
    <r>
      <t>f</t>
    </r>
    <r>
      <rPr>
        <vertAlign val="subscript"/>
        <sz val="11"/>
        <rFont val="Calibri"/>
        <family val="2"/>
        <scheme val="minor"/>
      </rPr>
      <t>C,BOD5,BODult</t>
    </r>
  </si>
  <si>
    <t>Fraction of BOD5 to ultimate BOD in colloidal biodegradable substrates</t>
  </si>
  <si>
    <r>
      <t>f</t>
    </r>
    <r>
      <rPr>
        <vertAlign val="subscript"/>
        <sz val="11"/>
        <rFont val="Calibri"/>
        <family val="2"/>
        <scheme val="minor"/>
      </rPr>
      <t>X,BOD5,BODult</t>
    </r>
  </si>
  <si>
    <t>Fraction of BOD5 to ultimate BOD in particulate biodegradable substrates</t>
  </si>
  <si>
    <r>
      <t>Y</t>
    </r>
    <r>
      <rPr>
        <vertAlign val="subscript"/>
        <sz val="11"/>
        <rFont val="Calibri"/>
        <family val="2"/>
        <scheme val="minor"/>
      </rPr>
      <t>BOD,ult</t>
    </r>
    <r>
      <rPr>
        <sz val="11"/>
        <rFont val="Calibri"/>
        <family val="2"/>
        <scheme val="minor"/>
      </rPr>
      <t>*(S</t>
    </r>
    <r>
      <rPr>
        <vertAlign val="subscript"/>
        <sz val="11"/>
        <rFont val="Calibri"/>
        <family val="2"/>
        <scheme val="minor"/>
      </rPr>
      <t>VFA</t>
    </r>
    <r>
      <rPr>
        <sz val="11"/>
        <rFont val="Calibri"/>
        <family val="2"/>
        <scheme val="minor"/>
      </rPr>
      <t>+S</t>
    </r>
    <r>
      <rPr>
        <vertAlign val="subscript"/>
        <sz val="11"/>
        <rFont val="Calibri"/>
        <family val="2"/>
        <scheme val="minor"/>
      </rPr>
      <t>B</t>
    </r>
    <r>
      <rPr>
        <sz val="11"/>
        <rFont val="Calibri"/>
        <family val="2"/>
        <scheme val="minor"/>
      </rPr>
      <t>+S</t>
    </r>
    <r>
      <rPr>
        <vertAlign val="subscript"/>
        <sz val="11"/>
        <rFont val="Calibri"/>
        <family val="2"/>
        <scheme val="minor"/>
      </rPr>
      <t>MEOL</t>
    </r>
    <r>
      <rPr>
        <sz val="11"/>
        <rFont val="Calibri"/>
        <family val="2"/>
        <scheme val="minor"/>
      </rPr>
      <t>)*f</t>
    </r>
    <r>
      <rPr>
        <vertAlign val="subscript"/>
        <sz val="11"/>
        <rFont val="Calibri"/>
        <family val="2"/>
        <scheme val="minor"/>
      </rPr>
      <t xml:space="preserve">S,BOD5,BODult </t>
    </r>
    <r>
      <rPr>
        <sz val="11"/>
        <rFont val="Calibri"/>
        <family val="2"/>
        <scheme val="minor"/>
      </rPr>
      <t>+ Y</t>
    </r>
    <r>
      <rPr>
        <vertAlign val="subscript"/>
        <sz val="11"/>
        <rFont val="Calibri"/>
        <family val="2"/>
        <scheme val="minor"/>
      </rPr>
      <t>BOD,ult</t>
    </r>
    <r>
      <rPr>
        <sz val="11"/>
        <rFont val="Calibri"/>
        <family val="2"/>
        <scheme val="minor"/>
      </rPr>
      <t>*C</t>
    </r>
    <r>
      <rPr>
        <vertAlign val="subscript"/>
        <sz val="11"/>
        <rFont val="Calibri"/>
        <family val="2"/>
        <scheme val="minor"/>
      </rPr>
      <t>B</t>
    </r>
    <r>
      <rPr>
        <sz val="11"/>
        <rFont val="Calibri"/>
        <family val="2"/>
        <scheme val="minor"/>
      </rPr>
      <t>*f</t>
    </r>
    <r>
      <rPr>
        <vertAlign val="subscript"/>
        <sz val="11"/>
        <rFont val="Calibri"/>
        <family val="2"/>
        <scheme val="minor"/>
      </rPr>
      <t>C,BOD5,BODult</t>
    </r>
  </si>
  <si>
    <r>
      <t>X</t>
    </r>
    <r>
      <rPr>
        <vertAlign val="subscript"/>
        <sz val="11"/>
        <rFont val="Calibri"/>
        <family val="2"/>
        <scheme val="minor"/>
      </rPr>
      <t>BOD,ult</t>
    </r>
    <r>
      <rPr>
        <sz val="11"/>
        <rFont val="Calibri"/>
        <family val="2"/>
        <scheme val="minor"/>
      </rPr>
      <t>*f</t>
    </r>
    <r>
      <rPr>
        <vertAlign val="subscript"/>
        <sz val="11"/>
        <rFont val="Calibri"/>
        <family val="2"/>
        <scheme val="minor"/>
      </rPr>
      <t>X,BOD5,BODult</t>
    </r>
  </si>
  <si>
    <r>
      <t>S</t>
    </r>
    <r>
      <rPr>
        <vertAlign val="subscript"/>
        <sz val="11"/>
        <rFont val="Calibri"/>
        <family val="2"/>
      </rPr>
      <t>rbCOD</t>
    </r>
  </si>
  <si>
    <t>COD of readily biodegradable substrates</t>
  </si>
  <si>
    <r>
      <t>XC</t>
    </r>
    <r>
      <rPr>
        <vertAlign val="subscript"/>
        <sz val="11"/>
        <rFont val="Calibri"/>
        <family val="2"/>
      </rPr>
      <t>sbCOD</t>
    </r>
  </si>
  <si>
    <t>COD of slowly biodegradable substrates</t>
  </si>
  <si>
    <t>Oxygen uptake rate (OUR)</t>
  </si>
  <si>
    <t>Phosphorus uptake rate, biologically (PURBIO)</t>
  </si>
  <si>
    <t>Phosphorus uptake rate, chemically (PURCHEM)</t>
  </si>
  <si>
    <r>
      <t>S</t>
    </r>
    <r>
      <rPr>
        <vertAlign val="subscript"/>
        <sz val="11"/>
        <rFont val="Calibri"/>
        <family val="2"/>
      </rPr>
      <t>B</t>
    </r>
    <r>
      <rPr>
        <sz val="11"/>
        <rFont val="Calibri"/>
        <family val="2"/>
      </rPr>
      <t xml:space="preserve"> + S</t>
    </r>
    <r>
      <rPr>
        <vertAlign val="subscript"/>
        <sz val="11"/>
        <rFont val="Calibri"/>
        <family val="2"/>
      </rPr>
      <t xml:space="preserve">VFA </t>
    </r>
    <r>
      <rPr>
        <sz val="11"/>
        <rFont val="Calibri"/>
        <family val="2"/>
      </rPr>
      <t>+ S</t>
    </r>
    <r>
      <rPr>
        <vertAlign val="subscript"/>
        <sz val="11"/>
        <rFont val="Calibri"/>
        <family val="2"/>
      </rPr>
      <t>MEOL</t>
    </r>
  </si>
  <si>
    <r>
      <t>S</t>
    </r>
    <r>
      <rPr>
        <vertAlign val="subscript"/>
        <sz val="11"/>
        <rFont val="Calibri"/>
        <family val="2"/>
        <scheme val="minor"/>
      </rPr>
      <t>IC</t>
    </r>
  </si>
  <si>
    <t>Strong ion correction</t>
  </si>
  <si>
    <r>
      <t>S</t>
    </r>
    <r>
      <rPr>
        <vertAlign val="subscript"/>
        <sz val="11"/>
        <rFont val="Calibri"/>
        <family val="2"/>
        <scheme val="minor"/>
      </rPr>
      <t>CAT,ini,corr</t>
    </r>
  </si>
  <si>
    <r>
      <t>Other strong cations (as Na</t>
    </r>
    <r>
      <rPr>
        <vertAlign val="superscript"/>
        <sz val="11"/>
        <color rgb="FF000000"/>
        <rFont val="Calibri"/>
        <family val="2"/>
        <scheme val="minor"/>
      </rPr>
      <t>+</t>
    </r>
    <r>
      <rPr>
        <sz val="11"/>
        <color rgb="FF000000"/>
        <rFont val="Calibri"/>
        <family val="2"/>
        <charset val="238"/>
        <scheme val="minor"/>
      </rPr>
      <t>) correction</t>
    </r>
  </si>
  <si>
    <r>
      <t>S</t>
    </r>
    <r>
      <rPr>
        <vertAlign val="subscript"/>
        <sz val="11"/>
        <color indexed="8"/>
        <rFont val="Calibri"/>
        <family val="2"/>
      </rPr>
      <t>CAT,ini</t>
    </r>
    <r>
      <rPr>
        <sz val="11"/>
        <color indexed="8"/>
        <rFont val="Calibri"/>
        <family val="2"/>
      </rPr>
      <t xml:space="preserve"> + S</t>
    </r>
    <r>
      <rPr>
        <vertAlign val="subscript"/>
        <sz val="11"/>
        <color indexed="8"/>
        <rFont val="Calibri"/>
        <family val="2"/>
      </rPr>
      <t>IC</t>
    </r>
    <r>
      <rPr>
        <sz val="11"/>
        <color indexed="8"/>
        <rFont val="Calibri"/>
        <family val="2"/>
      </rPr>
      <t>*(AM</t>
    </r>
    <r>
      <rPr>
        <vertAlign val="subscript"/>
        <sz val="11"/>
        <color indexed="8"/>
        <rFont val="Calibri"/>
        <family val="2"/>
      </rPr>
      <t>Na</t>
    </r>
    <r>
      <rPr>
        <sz val="11"/>
        <color indexed="8"/>
        <rFont val="Calibri"/>
        <family val="2"/>
      </rPr>
      <t>*1000)</t>
    </r>
  </si>
  <si>
    <r>
      <t>S</t>
    </r>
    <r>
      <rPr>
        <vertAlign val="subscript"/>
        <sz val="11"/>
        <rFont val="Calibri"/>
        <family val="2"/>
        <scheme val="minor"/>
      </rPr>
      <t>AN,ini,corr</t>
    </r>
  </si>
  <si>
    <r>
      <t>Other strong anions (as Cl</t>
    </r>
    <r>
      <rPr>
        <vertAlign val="superscript"/>
        <sz val="11"/>
        <color rgb="FF000000"/>
        <rFont val="Calibri"/>
        <family val="2"/>
        <scheme val="minor"/>
      </rPr>
      <t>-</t>
    </r>
    <r>
      <rPr>
        <sz val="11"/>
        <color rgb="FF000000"/>
        <rFont val="Calibri"/>
        <family val="2"/>
        <charset val="238"/>
        <scheme val="minor"/>
      </rPr>
      <t>) correction</t>
    </r>
  </si>
  <si>
    <r>
      <t>S</t>
    </r>
    <r>
      <rPr>
        <vertAlign val="subscript"/>
        <sz val="11"/>
        <color indexed="8"/>
        <rFont val="Calibri"/>
        <family val="2"/>
      </rPr>
      <t>AN,ini</t>
    </r>
    <r>
      <rPr>
        <sz val="11"/>
        <color indexed="8"/>
        <rFont val="Calibri"/>
        <family val="2"/>
      </rPr>
      <t xml:space="preserve"> - S</t>
    </r>
    <r>
      <rPr>
        <vertAlign val="subscript"/>
        <sz val="11"/>
        <color indexed="8"/>
        <rFont val="Calibri"/>
        <family val="2"/>
      </rPr>
      <t>IC</t>
    </r>
    <r>
      <rPr>
        <sz val="11"/>
        <color indexed="8"/>
        <rFont val="Calibri"/>
        <family val="2"/>
      </rPr>
      <t>*(AM</t>
    </r>
    <r>
      <rPr>
        <vertAlign val="subscript"/>
        <sz val="11"/>
        <color indexed="8"/>
        <rFont val="Calibri"/>
        <family val="2"/>
      </rPr>
      <t>Cl</t>
    </r>
    <r>
      <rPr>
        <sz val="11"/>
        <color indexed="8"/>
        <rFont val="Calibri"/>
        <family val="2"/>
      </rPr>
      <t>*1000)</t>
    </r>
  </si>
  <si>
    <r>
      <t>Other strong cations (as Na</t>
    </r>
    <r>
      <rPr>
        <vertAlign val="superscript"/>
        <sz val="11"/>
        <color rgb="FF000000"/>
        <rFont val="Calibri"/>
        <family val="2"/>
        <scheme val="minor"/>
      </rPr>
      <t>+</t>
    </r>
    <r>
      <rPr>
        <sz val="11"/>
        <color rgb="FF000000"/>
        <rFont val="Calibri"/>
        <family val="2"/>
        <charset val="238"/>
        <scheme val="minor"/>
      </rPr>
      <t>)</t>
    </r>
  </si>
  <si>
    <r>
      <t>If(S</t>
    </r>
    <r>
      <rPr>
        <vertAlign val="subscript"/>
        <sz val="11"/>
        <color indexed="8"/>
        <rFont val="Calibri"/>
        <family val="2"/>
      </rPr>
      <t>CAT,ini,corr</t>
    </r>
    <r>
      <rPr>
        <sz val="11"/>
        <color indexed="8"/>
        <rFont val="Calibri"/>
        <family val="2"/>
      </rPr>
      <t>&gt; 0; S</t>
    </r>
    <r>
      <rPr>
        <vertAlign val="subscript"/>
        <sz val="11"/>
        <color indexed="8"/>
        <rFont val="Calibri"/>
        <family val="2"/>
      </rPr>
      <t>CAT,ini,corr</t>
    </r>
    <r>
      <rPr>
        <sz val="11"/>
        <color theme="1"/>
        <rFont val="Calibri"/>
        <family val="2"/>
        <scheme val="minor"/>
      </rPr>
      <t>; S</t>
    </r>
    <r>
      <rPr>
        <vertAlign val="subscript"/>
        <sz val="11"/>
        <color theme="1"/>
        <rFont val="Calibri"/>
        <family val="2"/>
        <scheme val="minor"/>
      </rPr>
      <t>CAT,ini</t>
    </r>
    <r>
      <rPr>
        <sz val="11"/>
        <color indexed="8"/>
        <rFont val="Calibri"/>
        <family val="2"/>
      </rPr>
      <t>)</t>
    </r>
  </si>
  <si>
    <r>
      <t>Other strong anions (as Cl</t>
    </r>
    <r>
      <rPr>
        <vertAlign val="superscript"/>
        <sz val="11"/>
        <color rgb="FF000000"/>
        <rFont val="Calibri"/>
        <family val="2"/>
        <scheme val="minor"/>
      </rPr>
      <t>-</t>
    </r>
    <r>
      <rPr>
        <sz val="11"/>
        <color rgb="FF000000"/>
        <rFont val="Calibri"/>
        <family val="2"/>
        <charset val="238"/>
        <scheme val="minor"/>
      </rPr>
      <t>)</t>
    </r>
  </si>
  <si>
    <r>
      <t>If(S</t>
    </r>
    <r>
      <rPr>
        <vertAlign val="subscript"/>
        <sz val="11"/>
        <color theme="1"/>
        <rFont val="Calibri"/>
        <family val="2"/>
        <scheme val="minor"/>
      </rPr>
      <t>CAT,ini,corr</t>
    </r>
    <r>
      <rPr>
        <sz val="11"/>
        <color indexed="8"/>
        <rFont val="Calibri"/>
        <family val="2"/>
      </rPr>
      <t>&gt; 0; S</t>
    </r>
    <r>
      <rPr>
        <vertAlign val="subscript"/>
        <sz val="11"/>
        <color theme="1"/>
        <rFont val="Calibri"/>
        <family val="2"/>
        <scheme val="minor"/>
      </rPr>
      <t>AN,ini</t>
    </r>
    <r>
      <rPr>
        <sz val="11"/>
        <color indexed="8"/>
        <rFont val="Calibri"/>
        <family val="2"/>
      </rPr>
      <t>; S</t>
    </r>
    <r>
      <rPr>
        <vertAlign val="subscript"/>
        <sz val="11"/>
        <color theme="1"/>
        <rFont val="Calibri"/>
        <family val="2"/>
        <scheme val="minor"/>
      </rPr>
      <t>AN,ini,corr</t>
    </r>
    <r>
      <rPr>
        <sz val="11"/>
        <color indexed="8"/>
        <rFont val="Calibri"/>
        <family val="2"/>
      </rPr>
      <t>)</t>
    </r>
  </si>
  <si>
    <r>
      <t>S</t>
    </r>
    <r>
      <rPr>
        <vertAlign val="subscript"/>
        <sz val="11"/>
        <rFont val="Calibri"/>
        <family val="2"/>
        <scheme val="minor"/>
      </rPr>
      <t>BOD,5</t>
    </r>
    <r>
      <rPr>
        <sz val="11"/>
        <rFont val="Calibri"/>
        <family val="2"/>
        <scheme val="minor"/>
      </rPr>
      <t>+X</t>
    </r>
    <r>
      <rPr>
        <vertAlign val="subscript"/>
        <sz val="11"/>
        <rFont val="Calibri"/>
        <family val="2"/>
        <scheme val="minor"/>
      </rPr>
      <t>BOD,5</t>
    </r>
  </si>
  <si>
    <r>
      <t>f</t>
    </r>
    <r>
      <rPr>
        <vertAlign val="subscript"/>
        <sz val="11"/>
        <rFont val="Calibri"/>
        <family val="2"/>
        <scheme val="minor"/>
      </rPr>
      <t>H2O,HFO,TSS</t>
    </r>
  </si>
  <si>
    <r>
      <t>Fraction of H</t>
    </r>
    <r>
      <rPr>
        <vertAlign val="subscript"/>
        <sz val="11"/>
        <color rgb="FF000000"/>
        <rFont val="Calibri"/>
        <family val="2"/>
        <scheme val="minor"/>
      </rPr>
      <t>2</t>
    </r>
    <r>
      <rPr>
        <sz val="11"/>
        <color rgb="FF000000"/>
        <rFont val="Calibri"/>
        <family val="2"/>
        <charset val="238"/>
        <scheme val="minor"/>
      </rPr>
      <t>O loss in TSS test for HFO</t>
    </r>
  </si>
  <si>
    <r>
      <t>g H2O.g FeOH</t>
    </r>
    <r>
      <rPr>
        <vertAlign val="superscript"/>
        <sz val="11"/>
        <rFont val="Calibri"/>
        <family val="2"/>
        <scheme val="minor"/>
      </rPr>
      <t>-1</t>
    </r>
  </si>
  <si>
    <r>
      <t>f</t>
    </r>
    <r>
      <rPr>
        <vertAlign val="subscript"/>
        <sz val="11"/>
        <rFont val="Calibri"/>
        <family val="2"/>
        <scheme val="minor"/>
      </rPr>
      <t>H2O,HFO,VSS</t>
    </r>
  </si>
  <si>
    <t xml:space="preserve">Fraction of H2O loss in VSS test for HFO </t>
  </si>
  <si>
    <t>Me(OH)3 -&gt; Me2O3 + 3H2O</t>
  </si>
  <si>
    <t>Fe</t>
  </si>
  <si>
    <t>Al</t>
  </si>
  <si>
    <t>g H2O /g MeOH</t>
  </si>
  <si>
    <t>measured loss between 105°C and 500°C</t>
  </si>
  <si>
    <r>
      <t>X</t>
    </r>
    <r>
      <rPr>
        <vertAlign val="subscript"/>
        <sz val="11"/>
        <rFont val="Calibri"/>
        <family val="2"/>
        <scheme val="minor"/>
      </rPr>
      <t>Me,TSS</t>
    </r>
  </si>
  <si>
    <t>Metal precipitates in TSS unit</t>
  </si>
  <si>
    <t>r75</t>
  </si>
  <si>
    <t>r76</t>
  </si>
  <si>
    <t>r77</t>
  </si>
  <si>
    <t>r78</t>
  </si>
  <si>
    <t>r79</t>
  </si>
  <si>
    <t>r80</t>
  </si>
  <si>
    <t>r81</t>
  </si>
  <si>
    <t>r82</t>
  </si>
  <si>
    <t>r83</t>
  </si>
  <si>
    <t>r84</t>
  </si>
  <si>
    <t>r85</t>
  </si>
  <si>
    <t>OHO anaerobic decay</t>
  </si>
  <si>
    <t>MEOLO anaerobic decay</t>
  </si>
  <si>
    <t>AOB anaerobic decay</t>
  </si>
  <si>
    <t>NOB anaerobic decay</t>
  </si>
  <si>
    <t>Anammox anaerobic decay</t>
  </si>
  <si>
    <t>AMETO anaerobic decay</t>
  </si>
  <si>
    <t>HMETO anaerobic decay</t>
  </si>
  <si>
    <r>
      <t>b</t>
    </r>
    <r>
      <rPr>
        <vertAlign val="subscript"/>
        <sz val="11"/>
        <rFont val="Calibri"/>
        <family val="2"/>
      </rPr>
      <t>OHO,T</t>
    </r>
    <r>
      <rPr>
        <sz val="11"/>
        <rFont val="Calibri"/>
        <family val="2"/>
      </rPr>
      <t>*X</t>
    </r>
    <r>
      <rPr>
        <vertAlign val="subscript"/>
        <sz val="11"/>
        <rFont val="Calibri"/>
        <family val="2"/>
      </rPr>
      <t>OHO</t>
    </r>
    <r>
      <rPr>
        <sz val="11"/>
        <rFont val="Calibri"/>
        <family val="2"/>
      </rPr>
      <t>*(Msat</t>
    </r>
    <r>
      <rPr>
        <vertAlign val="subscript"/>
        <sz val="11"/>
        <rFont val="Calibri"/>
        <family val="2"/>
      </rPr>
      <t>SO2,KO2,OHO</t>
    </r>
    <r>
      <rPr>
        <sz val="11"/>
        <rFont val="Calibri"/>
        <family val="2"/>
      </rPr>
      <t>+η</t>
    </r>
    <r>
      <rPr>
        <vertAlign val="subscript"/>
        <sz val="11"/>
        <rFont val="Calibri"/>
        <family val="2"/>
      </rPr>
      <t>b,anox</t>
    </r>
    <r>
      <rPr>
        <sz val="11"/>
        <rFont val="Calibri"/>
        <family val="2"/>
      </rPr>
      <t>*Msat</t>
    </r>
    <r>
      <rPr>
        <vertAlign val="subscript"/>
        <sz val="11"/>
        <rFont val="Calibri"/>
        <family val="2"/>
      </rPr>
      <t>SNO2,KNO2,OHO</t>
    </r>
    <r>
      <rPr>
        <sz val="11"/>
        <rFont val="Calibri"/>
        <family val="2"/>
      </rPr>
      <t>*Minh</t>
    </r>
    <r>
      <rPr>
        <vertAlign val="subscript"/>
        <sz val="11"/>
        <rFont val="Calibri"/>
        <family val="2"/>
      </rPr>
      <t>SO2,KO2,OHO</t>
    </r>
    <r>
      <rPr>
        <sz val="11"/>
        <rFont val="Calibri"/>
        <family val="2"/>
      </rPr>
      <t>+η</t>
    </r>
    <r>
      <rPr>
        <vertAlign val="subscript"/>
        <sz val="11"/>
        <rFont val="Calibri"/>
        <family val="2"/>
      </rPr>
      <t>b,anox</t>
    </r>
    <r>
      <rPr>
        <sz val="11"/>
        <rFont val="Calibri"/>
        <family val="2"/>
      </rPr>
      <t>*Msat</t>
    </r>
    <r>
      <rPr>
        <vertAlign val="subscript"/>
        <sz val="11"/>
        <rFont val="Calibri"/>
        <family val="2"/>
      </rPr>
      <t>SNO3,KNO3,OHO</t>
    </r>
    <r>
      <rPr>
        <sz val="11"/>
        <rFont val="Calibri"/>
        <family val="2"/>
      </rPr>
      <t>*Minh</t>
    </r>
    <r>
      <rPr>
        <vertAlign val="subscript"/>
        <sz val="11"/>
        <rFont val="Calibri"/>
        <family val="2"/>
      </rPr>
      <t>SNO2,KNO2,OHO</t>
    </r>
    <r>
      <rPr>
        <sz val="11"/>
        <rFont val="Calibri"/>
        <family val="2"/>
      </rPr>
      <t>*Minh</t>
    </r>
    <r>
      <rPr>
        <vertAlign val="subscript"/>
        <sz val="11"/>
        <rFont val="Calibri"/>
        <family val="2"/>
      </rPr>
      <t>SO2,KO2,OHO</t>
    </r>
    <r>
      <rPr>
        <sz val="11"/>
        <rFont val="Calibri"/>
        <family val="2"/>
      </rPr>
      <t>)</t>
    </r>
  </si>
  <si>
    <r>
      <t>b</t>
    </r>
    <r>
      <rPr>
        <vertAlign val="subscript"/>
        <sz val="11"/>
        <rFont val="Calibri"/>
        <family val="2"/>
      </rPr>
      <t>OHO,T</t>
    </r>
    <r>
      <rPr>
        <sz val="11"/>
        <rFont val="Calibri"/>
        <family val="2"/>
      </rPr>
      <t>*X</t>
    </r>
    <r>
      <rPr>
        <vertAlign val="subscript"/>
        <sz val="11"/>
        <rFont val="Calibri"/>
        <family val="2"/>
      </rPr>
      <t>OHO</t>
    </r>
    <r>
      <rPr>
        <sz val="11"/>
        <rFont val="Calibri"/>
        <family val="2"/>
      </rPr>
      <t>*</t>
    </r>
    <r>
      <rPr>
        <sz val="11"/>
        <rFont val="Calibri"/>
        <family val="2"/>
      </rPr>
      <t>η</t>
    </r>
    <r>
      <rPr>
        <vertAlign val="subscript"/>
        <sz val="11"/>
        <rFont val="Calibri"/>
        <family val="2"/>
      </rPr>
      <t>b,ana</t>
    </r>
    <r>
      <rPr>
        <sz val="11"/>
        <rFont val="Calibri"/>
        <family val="2"/>
      </rPr>
      <t>*Minh</t>
    </r>
    <r>
      <rPr>
        <vertAlign val="subscript"/>
        <sz val="11"/>
        <rFont val="Calibri"/>
        <family val="2"/>
      </rPr>
      <t>SNO2,KNO2,OHO</t>
    </r>
    <r>
      <rPr>
        <sz val="11"/>
        <rFont val="Calibri"/>
        <family val="2"/>
      </rPr>
      <t>*Minh</t>
    </r>
    <r>
      <rPr>
        <vertAlign val="subscript"/>
        <sz val="11"/>
        <rFont val="Calibri"/>
        <family val="2"/>
      </rPr>
      <t>SNO3,KNO3,OHO</t>
    </r>
    <r>
      <rPr>
        <sz val="11"/>
        <rFont val="Calibri"/>
        <family val="2"/>
      </rPr>
      <t>*Minh</t>
    </r>
    <r>
      <rPr>
        <vertAlign val="subscript"/>
        <sz val="11"/>
        <rFont val="Calibri"/>
        <family val="2"/>
      </rPr>
      <t>SO2,KO2,OHO</t>
    </r>
  </si>
  <si>
    <r>
      <t>J.m</t>
    </r>
    <r>
      <rPr>
        <vertAlign val="superscript"/>
        <sz val="11"/>
        <rFont val="Calibri"/>
        <family val="2"/>
        <scheme val="minor"/>
      </rPr>
      <t>-3</t>
    </r>
  </si>
  <si>
    <r>
      <t>Molecular mass of Fe(OH)</t>
    </r>
    <r>
      <rPr>
        <vertAlign val="subscript"/>
        <sz val="11"/>
        <rFont val="Calibri"/>
        <family val="2"/>
        <scheme val="minor"/>
      </rPr>
      <t>3</t>
    </r>
  </si>
  <si>
    <r>
      <t>Molecular mass of Al(OH)</t>
    </r>
    <r>
      <rPr>
        <vertAlign val="subscript"/>
        <sz val="11"/>
        <rFont val="Calibri"/>
        <family val="2"/>
        <scheme val="minor"/>
      </rPr>
      <t>3</t>
    </r>
  </si>
  <si>
    <r>
      <t>Molecular mass of AlPO</t>
    </r>
    <r>
      <rPr>
        <vertAlign val="subscript"/>
        <sz val="11"/>
        <rFont val="Calibri"/>
        <family val="2"/>
        <scheme val="minor"/>
      </rPr>
      <t>4</t>
    </r>
  </si>
  <si>
    <t>Dissociation constant of water</t>
  </si>
  <si>
    <t>10^-13.997 NIST  (Minteq V4) 25°C</t>
  </si>
  <si>
    <t>Dissociation constant of ammonia</t>
  </si>
  <si>
    <t>10^-9.244 NIST  (Minteq V4) 25°C</t>
  </si>
  <si>
    <t>Dissociation constant of nitrous acid</t>
  </si>
  <si>
    <t>10^-3.35 (https://pubchem.ncbi.nlm.nih.gov/compound/24529#section=Experimental-Properties)</t>
  </si>
  <si>
    <t>Dissociation constant of carbonate first step</t>
  </si>
  <si>
    <t>10^-6.352 NIST  (Minteq V4) 25°C</t>
  </si>
  <si>
    <t>Dissociation constant of carbonate second step</t>
  </si>
  <si>
    <t>10^-10.329 NIST  (Minteq V4) 25°C</t>
  </si>
  <si>
    <t>Dissociation constant of phosphate first step</t>
  </si>
  <si>
    <t>10^-2.148 NIST  (Minteq V4) 25°C</t>
  </si>
  <si>
    <t>Dissociation constant of phosphate second step</t>
  </si>
  <si>
    <t>10^-7.198 NIST  (Minteq V4) 25°C</t>
  </si>
  <si>
    <t>Dissociation constant of phosphate third step</t>
  </si>
  <si>
    <t>10^-12.375 NIST  (Minteq V4) 25°C</t>
  </si>
  <si>
    <t>Dissociation constant of acetate</t>
  </si>
  <si>
    <t>10^-4.757 NIST  (Minteq V4) 25°C</t>
  </si>
  <si>
    <t>Dissociation constant of hydrogen sulfide</t>
  </si>
  <si>
    <t>NIST  (Minteq V4) 25°C</t>
  </si>
  <si>
    <t>Dissociation constant of bisulfide ion</t>
  </si>
  <si>
    <t>Dissociation constant of sulfuric acid</t>
  </si>
  <si>
    <t>Dissociation constant of bisulfate</t>
  </si>
  <si>
    <t>NIST (Minteq V4) 25°C</t>
  </si>
  <si>
    <t>Solubility constant of ACP</t>
  </si>
  <si>
    <t>Solubility constant of vivianite</t>
  </si>
  <si>
    <t>Solubility constant of FeS</t>
  </si>
  <si>
    <t>Solubility constant of HDP</t>
  </si>
  <si>
    <t>Solubility constant of MKP</t>
  </si>
  <si>
    <r>
      <t>J.mol</t>
    </r>
    <r>
      <rPr>
        <vertAlign val="superscript"/>
        <sz val="11"/>
        <rFont val="Calibri"/>
        <family val="2"/>
        <scheme val="minor"/>
      </rPr>
      <t>-1</t>
    </r>
  </si>
  <si>
    <t>Diffusion coefficient of volatile fatty acids</t>
  </si>
  <si>
    <t>to be set accurately</t>
  </si>
  <si>
    <t>Diffusion coefficient of soluble degradable organics</t>
  </si>
  <si>
    <t>Diffusion coefficient of soluble degradable organics (monomers)</t>
  </si>
  <si>
    <t>Diffusion coefficient of soluble degradable organics (polymers)</t>
  </si>
  <si>
    <t>Diffusion coefficient of fermentable organic matter</t>
  </si>
  <si>
    <t>Diffusion coefficient of methanol</t>
  </si>
  <si>
    <t>Diffusion coefficient of soluble undegradable organics</t>
  </si>
  <si>
    <t>Diffusion coefficient of total ammonia</t>
  </si>
  <si>
    <t>Diffusivities from Perry, Handbook of Chemical Engineers, Table 2-372, for 25°C, as acetate</t>
  </si>
  <si>
    <t>Diffusion coefficient of ammonia</t>
  </si>
  <si>
    <t>Diffusitives from Perry, Handbook of Chemical Engineers, Table 2-372, for 25°C, as acetate</t>
  </si>
  <si>
    <t>Diffusion coefficient of nitrate and nitrite</t>
  </si>
  <si>
    <t>Diffusion coefficient of orthophosphate</t>
  </si>
  <si>
    <t>Diffusion coefficient of dissolved nitrogen gas</t>
  </si>
  <si>
    <t>Diffusitives from Perry, Handbook of Chemical Engineers, Table 2-372, for 25°C</t>
  </si>
  <si>
    <t>Diffusion coefficient of soluble inert organic nitrogen</t>
  </si>
  <si>
    <t>Assumed the same as SS</t>
  </si>
  <si>
    <t>Diffusion coefficient of soluble biodegradable organic nitrogen</t>
  </si>
  <si>
    <t>Diffusion coefficient of nitrite</t>
  </si>
  <si>
    <t>Diffusion coefficient of nitrate</t>
  </si>
  <si>
    <t>Diffusion coefficient of soluble biodegradable organic N</t>
  </si>
  <si>
    <t>Diffusion coefficient of soluble biodegradable organic P</t>
  </si>
  <si>
    <t>Diffusion coefficient of dissolved oxygen</t>
  </si>
  <si>
    <t>Diffusivities from Perry, Handbook of Chemical Engineers, Table 2-372, for 25°C</t>
  </si>
  <si>
    <t>Diffusion coefficient of dissolved methane</t>
  </si>
  <si>
    <t>Diffusion coefficient of dissolved hydrogen</t>
  </si>
  <si>
    <t>Diffusion coefficient of dissolved carbon dioxide</t>
  </si>
  <si>
    <t>Diffusion coefficient of dissolved potassium</t>
  </si>
  <si>
    <t>Diffusion coefficient of dissolved calcium</t>
  </si>
  <si>
    <t>Diffusion coefficient of dissolved magnesium</t>
  </si>
  <si>
    <t>Diffusion coefficient of dissolved strong cations</t>
  </si>
  <si>
    <t>Diffusion coefficient of dissolved strong anions</t>
  </si>
  <si>
    <t>Diffusion coefficient of hydrogen sulfide</t>
  </si>
  <si>
    <t>Diffusion coefficient of sulphate</t>
  </si>
  <si>
    <t>Diffusion coefficient of dissolved ferrous ion</t>
  </si>
  <si>
    <t>Diffusion coefficient of alkalinity</t>
  </si>
  <si>
    <t>Diffusion coefficient of Methyl Mercaptan production index</t>
  </si>
  <si>
    <t>Diffusion coefficient of colloidal biodegradable substrate</t>
  </si>
  <si>
    <t>Diffusion coefficient of colloidal unbiodegradable organics</t>
  </si>
  <si>
    <r>
      <t>Logsat</t>
    </r>
    <r>
      <rPr>
        <vertAlign val="subscript"/>
        <sz val="11"/>
        <rFont val="Calibri"/>
        <family val="2"/>
        <scheme val="minor"/>
      </rPr>
      <t>ORP,HFO,Half</t>
    </r>
  </si>
  <si>
    <t>Logistic half-saturation of ORP switching in HFO reduction</t>
  </si>
  <si>
    <r>
      <rPr>
        <sz val="11"/>
        <color indexed="8"/>
        <rFont val="Calibri"/>
        <family val="2"/>
        <scheme val="minor"/>
      </rPr>
      <t>Logsat</t>
    </r>
    <r>
      <rPr>
        <vertAlign val="subscript"/>
        <sz val="11"/>
        <rFont val="Calibri"/>
        <family val="2"/>
        <scheme val="minor"/>
      </rPr>
      <t>ORP,HFO,Slope</t>
    </r>
  </si>
  <si>
    <t>Logistic slope of ORP switching in HFO reduction</t>
  </si>
  <si>
    <r>
      <t>Loginh</t>
    </r>
    <r>
      <rPr>
        <vertAlign val="subscript"/>
        <sz val="11"/>
        <rFont val="Calibri"/>
        <family val="2"/>
      </rPr>
      <t>ORP,HFO</t>
    </r>
  </si>
  <si>
    <t>ORP switch of HFO reduction</t>
  </si>
  <si>
    <t>Sumo 2S</t>
  </si>
  <si>
    <t>Use "Sumo2S" for whole plant modeling, (activated sludge, digesters, sidestreams), particularly if iron is dosed and is carried to the digester with the sludge</t>
  </si>
  <si>
    <t>COD removal including 2-step denitrification</t>
  </si>
  <si>
    <t>2-step nitrification</t>
  </si>
  <si>
    <t>Sulfur reactions</t>
  </si>
  <si>
    <t>Chemical sulfur reactions</t>
  </si>
  <si>
    <r>
      <t>q</t>
    </r>
    <r>
      <rPr>
        <vertAlign val="subscript"/>
        <sz val="11"/>
        <rFont val="Calibri"/>
        <family val="2"/>
        <scheme val="minor"/>
      </rPr>
      <t>H2S,OX</t>
    </r>
  </si>
  <si>
    <r>
      <t>Rate of H</t>
    </r>
    <r>
      <rPr>
        <vertAlign val="subscript"/>
        <sz val="11"/>
        <color rgb="FF000000"/>
        <rFont val="Calibri"/>
        <family val="2"/>
        <scheme val="minor"/>
      </rPr>
      <t>2</t>
    </r>
    <r>
      <rPr>
        <sz val="11"/>
        <color rgb="FF000000"/>
        <rFont val="Calibri"/>
        <family val="2"/>
        <charset val="238"/>
        <scheme val="minor"/>
      </rPr>
      <t>S oxidation</t>
    </r>
  </si>
  <si>
    <r>
      <t>q</t>
    </r>
    <r>
      <rPr>
        <vertAlign val="subscript"/>
        <sz val="11"/>
        <rFont val="Calibri"/>
        <family val="2"/>
        <scheme val="minor"/>
      </rPr>
      <t>S,OX</t>
    </r>
  </si>
  <si>
    <t>Rate of S oxidation</t>
  </si>
  <si>
    <t>Acidoclastic sulfate-reducing organism kinetics (ASRO)</t>
  </si>
  <si>
    <r>
      <t>µ</t>
    </r>
    <r>
      <rPr>
        <vertAlign val="subscript"/>
        <sz val="11"/>
        <rFont val="Calibri"/>
        <family val="2"/>
        <scheme val="minor"/>
      </rPr>
      <t>ASRO</t>
    </r>
  </si>
  <si>
    <t>Maximum specific growth rate of ASROs</t>
  </si>
  <si>
    <r>
      <t>b</t>
    </r>
    <r>
      <rPr>
        <vertAlign val="subscript"/>
        <sz val="11"/>
        <rFont val="Calibri"/>
        <family val="2"/>
        <scheme val="minor"/>
      </rPr>
      <t>ASRO</t>
    </r>
  </si>
  <si>
    <t>Decay rate of ASROs</t>
  </si>
  <si>
    <r>
      <t>K</t>
    </r>
    <r>
      <rPr>
        <vertAlign val="subscript"/>
        <sz val="11"/>
        <rFont val="Calibri"/>
        <family val="2"/>
        <scheme val="minor"/>
      </rPr>
      <t>VFA,ASRO,AS</t>
    </r>
  </si>
  <si>
    <t>Half-saturation of VFA for ASROs (AS)</t>
  </si>
  <si>
    <r>
      <t>K</t>
    </r>
    <r>
      <rPr>
        <vertAlign val="subscript"/>
        <sz val="11"/>
        <rFont val="Calibri"/>
        <family val="2"/>
        <scheme val="minor"/>
      </rPr>
      <t>SO4,ASRO,AS</t>
    </r>
  </si>
  <si>
    <r>
      <t>Half-saturation of SO</t>
    </r>
    <r>
      <rPr>
        <vertAlign val="subscript"/>
        <sz val="11"/>
        <color rgb="FF000000"/>
        <rFont val="Calibri"/>
        <family val="2"/>
        <scheme val="minor"/>
      </rPr>
      <t>4</t>
    </r>
    <r>
      <rPr>
        <sz val="11"/>
        <color rgb="FF000000"/>
        <rFont val="Calibri"/>
        <family val="2"/>
        <charset val="238"/>
        <scheme val="minor"/>
      </rPr>
      <t xml:space="preserve"> for ASROs (AS)</t>
    </r>
  </si>
  <si>
    <r>
      <t>g S</t>
    </r>
    <r>
      <rPr>
        <sz val="11"/>
        <rFont val="Calibri"/>
        <family val="2"/>
        <scheme val="minor"/>
      </rPr>
      <t>.m</t>
    </r>
    <r>
      <rPr>
        <vertAlign val="superscript"/>
        <sz val="11"/>
        <rFont val="Calibri"/>
        <family val="2"/>
        <scheme val="minor"/>
      </rPr>
      <t>-3</t>
    </r>
  </si>
  <si>
    <r>
      <t>Ki</t>
    </r>
    <r>
      <rPr>
        <vertAlign val="subscript"/>
        <sz val="11"/>
        <rFont val="Calibri"/>
        <family val="2"/>
        <scheme val="minor"/>
      </rPr>
      <t>H2S,ASRO,AS</t>
    </r>
  </si>
  <si>
    <r>
      <t>Half-inhibition of H</t>
    </r>
    <r>
      <rPr>
        <vertAlign val="subscript"/>
        <sz val="11"/>
        <color rgb="FF000000"/>
        <rFont val="Calibri"/>
        <family val="2"/>
        <scheme val="minor"/>
      </rPr>
      <t>2</t>
    </r>
    <r>
      <rPr>
        <sz val="11"/>
        <color rgb="FF000000"/>
        <rFont val="Calibri"/>
        <family val="2"/>
        <charset val="238"/>
        <scheme val="minor"/>
      </rPr>
      <t>S for ASROs (AS)</t>
    </r>
  </si>
  <si>
    <r>
      <t>K</t>
    </r>
    <r>
      <rPr>
        <vertAlign val="subscript"/>
        <sz val="11"/>
        <color indexed="8"/>
        <rFont val="Calibri"/>
        <family val="2"/>
        <scheme val="minor"/>
      </rPr>
      <t>NOx,ASRO,AS</t>
    </r>
  </si>
  <si>
    <r>
      <t>Half-saturation of NO</t>
    </r>
    <r>
      <rPr>
        <vertAlign val="subscript"/>
        <sz val="11"/>
        <color rgb="FF000000"/>
        <rFont val="Calibri"/>
        <family val="2"/>
        <scheme val="minor"/>
      </rPr>
      <t>x</t>
    </r>
    <r>
      <rPr>
        <sz val="11"/>
        <color rgb="FF000000"/>
        <rFont val="Calibri"/>
        <family val="2"/>
        <charset val="238"/>
        <scheme val="minor"/>
      </rPr>
      <t xml:space="preserve"> for ASROs (AS)</t>
    </r>
  </si>
  <si>
    <t>Hydrogenotrophic sulfate-reducing organism kinetics (HSRO)</t>
  </si>
  <si>
    <r>
      <t>µ</t>
    </r>
    <r>
      <rPr>
        <vertAlign val="subscript"/>
        <sz val="11"/>
        <rFont val="Calibri"/>
        <family val="2"/>
        <scheme val="minor"/>
      </rPr>
      <t>HSRO</t>
    </r>
  </si>
  <si>
    <t>Maximum specific growth rate of HSROs</t>
  </si>
  <si>
    <r>
      <t>b</t>
    </r>
    <r>
      <rPr>
        <vertAlign val="subscript"/>
        <sz val="11"/>
        <rFont val="Calibri"/>
        <family val="2"/>
        <scheme val="minor"/>
      </rPr>
      <t>HSRO</t>
    </r>
  </si>
  <si>
    <t>Decay rate of HSROs</t>
  </si>
  <si>
    <r>
      <t>K</t>
    </r>
    <r>
      <rPr>
        <vertAlign val="subscript"/>
        <sz val="11"/>
        <rFont val="Calibri"/>
        <family val="2"/>
        <scheme val="minor"/>
      </rPr>
      <t>H2,HSRO,AS</t>
    </r>
  </si>
  <si>
    <r>
      <t>Half-saturation of H</t>
    </r>
    <r>
      <rPr>
        <vertAlign val="subscript"/>
        <sz val="11"/>
        <color rgb="FF000000"/>
        <rFont val="Calibri"/>
        <family val="2"/>
        <scheme val="minor"/>
      </rPr>
      <t>2</t>
    </r>
    <r>
      <rPr>
        <sz val="11"/>
        <color rgb="FF000000"/>
        <rFont val="Calibri"/>
        <family val="2"/>
        <charset val="238"/>
        <scheme val="minor"/>
      </rPr>
      <t xml:space="preserve"> for HSROs (AS)</t>
    </r>
  </si>
  <si>
    <r>
      <t>K</t>
    </r>
    <r>
      <rPr>
        <vertAlign val="subscript"/>
        <sz val="11"/>
        <rFont val="Calibri"/>
        <family val="2"/>
        <scheme val="minor"/>
      </rPr>
      <t>SO4,HSRO,AS</t>
    </r>
  </si>
  <si>
    <r>
      <t>Half-saturation of SO</t>
    </r>
    <r>
      <rPr>
        <vertAlign val="subscript"/>
        <sz val="11"/>
        <color rgb="FF000000"/>
        <rFont val="Calibri"/>
        <family val="2"/>
        <scheme val="minor"/>
      </rPr>
      <t>4</t>
    </r>
    <r>
      <rPr>
        <sz val="11"/>
        <color rgb="FF000000"/>
        <rFont val="Calibri"/>
        <family val="2"/>
        <charset val="238"/>
        <scheme val="minor"/>
      </rPr>
      <t xml:space="preserve"> for HSROs (AS)</t>
    </r>
  </si>
  <si>
    <r>
      <t>Ki</t>
    </r>
    <r>
      <rPr>
        <vertAlign val="subscript"/>
        <sz val="11"/>
        <rFont val="Calibri"/>
        <family val="2"/>
        <scheme val="minor"/>
      </rPr>
      <t>H2S,HSRO,AS</t>
    </r>
  </si>
  <si>
    <r>
      <t>Half-inhibition of H</t>
    </r>
    <r>
      <rPr>
        <vertAlign val="subscript"/>
        <sz val="11"/>
        <color rgb="FF000000"/>
        <rFont val="Calibri"/>
        <family val="2"/>
        <scheme val="minor"/>
      </rPr>
      <t>2</t>
    </r>
    <r>
      <rPr>
        <sz val="11"/>
        <color rgb="FF000000"/>
        <rFont val="Calibri"/>
        <family val="2"/>
        <charset val="238"/>
        <scheme val="minor"/>
      </rPr>
      <t>S for HSROs (AS)</t>
    </r>
  </si>
  <si>
    <r>
      <t>K</t>
    </r>
    <r>
      <rPr>
        <vertAlign val="subscript"/>
        <sz val="11"/>
        <color indexed="8"/>
        <rFont val="Calibri"/>
        <family val="2"/>
        <scheme val="minor"/>
      </rPr>
      <t>NOx,HSRO,AS</t>
    </r>
  </si>
  <si>
    <r>
      <t>Half-saturation of NO</t>
    </r>
    <r>
      <rPr>
        <vertAlign val="subscript"/>
        <sz val="11"/>
        <color rgb="FF000000"/>
        <rFont val="Calibri"/>
        <family val="2"/>
        <scheme val="minor"/>
      </rPr>
      <t>x</t>
    </r>
    <r>
      <rPr>
        <sz val="11"/>
        <color rgb="FF000000"/>
        <rFont val="Calibri"/>
        <family val="2"/>
        <charset val="238"/>
        <scheme val="minor"/>
      </rPr>
      <t xml:space="preserve"> for HSROs (AS)</t>
    </r>
  </si>
  <si>
    <t>Sulfur-oxidizing organism kinetics (SOO)</t>
  </si>
  <si>
    <r>
      <t>µ</t>
    </r>
    <r>
      <rPr>
        <vertAlign val="subscript"/>
        <sz val="11"/>
        <rFont val="Calibri"/>
        <family val="2"/>
        <scheme val="minor"/>
      </rPr>
      <t>SOO,H2S</t>
    </r>
  </si>
  <si>
    <t>Maximum specific growth rate of SOOs on H2S</t>
  </si>
  <si>
    <r>
      <t>µ</t>
    </r>
    <r>
      <rPr>
        <vertAlign val="subscript"/>
        <sz val="11"/>
        <rFont val="Calibri"/>
        <family val="2"/>
        <scheme val="minor"/>
      </rPr>
      <t>SOO,S</t>
    </r>
  </si>
  <si>
    <t>Maximum specific growth rate of SOOs on S</t>
  </si>
  <si>
    <r>
      <t>b</t>
    </r>
    <r>
      <rPr>
        <vertAlign val="subscript"/>
        <sz val="11"/>
        <rFont val="Calibri"/>
        <family val="2"/>
        <scheme val="minor"/>
      </rPr>
      <t>SOO</t>
    </r>
  </si>
  <si>
    <t>Decay rate of SOOs</t>
  </si>
  <si>
    <r>
      <t>K</t>
    </r>
    <r>
      <rPr>
        <vertAlign val="subscript"/>
        <sz val="11"/>
        <rFont val="Calibri"/>
        <family val="2"/>
        <scheme val="minor"/>
      </rPr>
      <t>O2,H2S,SOO,AS</t>
    </r>
  </si>
  <si>
    <r>
      <t>Half-saturation of O</t>
    </r>
    <r>
      <rPr>
        <vertAlign val="subscript"/>
        <sz val="11"/>
        <color rgb="FF000000"/>
        <rFont val="Calibri"/>
        <family val="2"/>
        <scheme val="minor"/>
      </rPr>
      <t>2</t>
    </r>
    <r>
      <rPr>
        <sz val="11"/>
        <color rgb="FF000000"/>
        <rFont val="Calibri"/>
        <family val="2"/>
        <charset val="238"/>
        <scheme val="minor"/>
      </rPr>
      <t xml:space="preserve"> for H</t>
    </r>
    <r>
      <rPr>
        <vertAlign val="subscript"/>
        <sz val="11"/>
        <color rgb="FF000000"/>
        <rFont val="Calibri"/>
        <family val="2"/>
        <scheme val="minor"/>
      </rPr>
      <t>2</t>
    </r>
    <r>
      <rPr>
        <sz val="11"/>
        <color rgb="FF000000"/>
        <rFont val="Calibri"/>
        <family val="2"/>
        <charset val="238"/>
        <scheme val="minor"/>
      </rPr>
      <t>S oxidation for SOOs (AS)</t>
    </r>
  </si>
  <si>
    <r>
      <t>K</t>
    </r>
    <r>
      <rPr>
        <vertAlign val="subscript"/>
        <sz val="11"/>
        <rFont val="Calibri"/>
        <family val="2"/>
        <scheme val="minor"/>
      </rPr>
      <t>NO2,H2S,SOO,AS</t>
    </r>
  </si>
  <si>
    <r>
      <t>Half-saturation of NO</t>
    </r>
    <r>
      <rPr>
        <vertAlign val="subscript"/>
        <sz val="11"/>
        <color rgb="FF000000"/>
        <rFont val="Calibri"/>
        <family val="2"/>
        <scheme val="minor"/>
      </rPr>
      <t>2</t>
    </r>
    <r>
      <rPr>
        <sz val="11"/>
        <color rgb="FF000000"/>
        <rFont val="Calibri"/>
        <family val="2"/>
        <charset val="238"/>
        <scheme val="minor"/>
      </rPr>
      <t xml:space="preserve"> for H</t>
    </r>
    <r>
      <rPr>
        <vertAlign val="subscript"/>
        <sz val="11"/>
        <color rgb="FF000000"/>
        <rFont val="Calibri"/>
        <family val="2"/>
        <scheme val="minor"/>
      </rPr>
      <t>2</t>
    </r>
    <r>
      <rPr>
        <sz val="11"/>
        <color rgb="FF000000"/>
        <rFont val="Calibri"/>
        <family val="2"/>
        <charset val="238"/>
        <scheme val="minor"/>
      </rPr>
      <t>S for SOOs (AS)</t>
    </r>
  </si>
  <si>
    <r>
      <t>K</t>
    </r>
    <r>
      <rPr>
        <vertAlign val="subscript"/>
        <sz val="11"/>
        <rFont val="Calibri"/>
        <family val="2"/>
        <scheme val="minor"/>
      </rPr>
      <t>NO3,H2S,SOO,AS</t>
    </r>
  </si>
  <si>
    <r>
      <t>Half-saturation of NO</t>
    </r>
    <r>
      <rPr>
        <vertAlign val="subscript"/>
        <sz val="11"/>
        <color rgb="FF000000"/>
        <rFont val="Calibri"/>
        <family val="2"/>
        <scheme val="minor"/>
      </rPr>
      <t>3</t>
    </r>
    <r>
      <rPr>
        <sz val="11"/>
        <color rgb="FF000000"/>
        <rFont val="Calibri"/>
        <family val="2"/>
        <charset val="238"/>
        <scheme val="minor"/>
      </rPr>
      <t xml:space="preserve"> for H</t>
    </r>
    <r>
      <rPr>
        <vertAlign val="subscript"/>
        <sz val="11"/>
        <color rgb="FF000000"/>
        <rFont val="Calibri"/>
        <family val="2"/>
        <scheme val="minor"/>
      </rPr>
      <t>2</t>
    </r>
    <r>
      <rPr>
        <sz val="11"/>
        <color rgb="FF000000"/>
        <rFont val="Calibri"/>
        <family val="2"/>
        <charset val="238"/>
        <scheme val="minor"/>
      </rPr>
      <t>S for SOOs (AS)</t>
    </r>
  </si>
  <si>
    <r>
      <t>K</t>
    </r>
    <r>
      <rPr>
        <vertAlign val="subscript"/>
        <sz val="11"/>
        <rFont val="Calibri"/>
        <family val="2"/>
        <scheme val="minor"/>
      </rPr>
      <t>O2,S,SOO,AS</t>
    </r>
  </si>
  <si>
    <r>
      <t>Half-saturation of O</t>
    </r>
    <r>
      <rPr>
        <vertAlign val="subscript"/>
        <sz val="11"/>
        <color rgb="FF000000"/>
        <rFont val="Calibri"/>
        <family val="2"/>
        <scheme val="minor"/>
      </rPr>
      <t>2</t>
    </r>
    <r>
      <rPr>
        <sz val="11"/>
        <color rgb="FF000000"/>
        <rFont val="Calibri"/>
        <family val="2"/>
        <charset val="238"/>
        <scheme val="minor"/>
      </rPr>
      <t xml:space="preserve"> for S oxidation for SOOs (AS)</t>
    </r>
  </si>
  <si>
    <r>
      <t>K</t>
    </r>
    <r>
      <rPr>
        <vertAlign val="subscript"/>
        <sz val="11"/>
        <rFont val="Calibri"/>
        <family val="2"/>
        <scheme val="minor"/>
      </rPr>
      <t>NO2,S,SOO,AS</t>
    </r>
  </si>
  <si>
    <r>
      <t>Half-saturation of NO</t>
    </r>
    <r>
      <rPr>
        <vertAlign val="subscript"/>
        <sz val="11"/>
        <color rgb="FF000000"/>
        <rFont val="Calibri"/>
        <family val="2"/>
        <scheme val="minor"/>
      </rPr>
      <t>2</t>
    </r>
    <r>
      <rPr>
        <sz val="11"/>
        <color rgb="FF000000"/>
        <rFont val="Calibri"/>
        <family val="2"/>
        <charset val="238"/>
        <scheme val="minor"/>
      </rPr>
      <t xml:space="preserve"> for S oxidation for SOOs (AS)</t>
    </r>
  </si>
  <si>
    <r>
      <t>K</t>
    </r>
    <r>
      <rPr>
        <vertAlign val="subscript"/>
        <sz val="11"/>
        <rFont val="Calibri"/>
        <family val="2"/>
        <scheme val="minor"/>
      </rPr>
      <t>NO3,S,SOO,AS</t>
    </r>
  </si>
  <si>
    <r>
      <t>Half-saturation of NO</t>
    </r>
    <r>
      <rPr>
        <vertAlign val="subscript"/>
        <sz val="11"/>
        <color rgb="FF000000"/>
        <rFont val="Calibri"/>
        <family val="2"/>
        <scheme val="minor"/>
      </rPr>
      <t>3</t>
    </r>
    <r>
      <rPr>
        <sz val="11"/>
        <color rgb="FF000000"/>
        <rFont val="Calibri"/>
        <family val="2"/>
        <charset val="238"/>
        <scheme val="minor"/>
      </rPr>
      <t xml:space="preserve"> for S oxidation for SOOs (AS)</t>
    </r>
  </si>
  <si>
    <r>
      <t>K</t>
    </r>
    <r>
      <rPr>
        <vertAlign val="subscript"/>
        <sz val="11"/>
        <rFont val="Calibri"/>
        <family val="2"/>
        <scheme val="minor"/>
      </rPr>
      <t>H2S,SOO,AS</t>
    </r>
  </si>
  <si>
    <r>
      <t>Half-saturation of H</t>
    </r>
    <r>
      <rPr>
        <vertAlign val="subscript"/>
        <sz val="11"/>
        <color rgb="FF000000"/>
        <rFont val="Calibri"/>
        <family val="2"/>
        <scheme val="minor"/>
      </rPr>
      <t>2</t>
    </r>
    <r>
      <rPr>
        <sz val="11"/>
        <color rgb="FF000000"/>
        <rFont val="Calibri"/>
        <family val="2"/>
        <charset val="238"/>
        <scheme val="minor"/>
      </rPr>
      <t>S for SOOs (AS)</t>
    </r>
  </si>
  <si>
    <r>
      <t>g S.m</t>
    </r>
    <r>
      <rPr>
        <vertAlign val="superscript"/>
        <sz val="11"/>
        <rFont val="Calibri"/>
        <family val="2"/>
        <scheme val="minor"/>
      </rPr>
      <t>-3</t>
    </r>
  </si>
  <si>
    <r>
      <t>Ki</t>
    </r>
    <r>
      <rPr>
        <vertAlign val="subscript"/>
        <sz val="11"/>
        <rFont val="Calibri"/>
        <family val="2"/>
        <scheme val="minor"/>
      </rPr>
      <t>H2S,SOO,AS</t>
    </r>
  </si>
  <si>
    <r>
      <t>Half-inhibition of H</t>
    </r>
    <r>
      <rPr>
        <vertAlign val="subscript"/>
        <sz val="11"/>
        <color rgb="FF000000"/>
        <rFont val="Calibri"/>
        <family val="2"/>
        <scheme val="minor"/>
      </rPr>
      <t>2</t>
    </r>
    <r>
      <rPr>
        <sz val="11"/>
        <color rgb="FF000000"/>
        <rFont val="Calibri"/>
        <family val="2"/>
        <charset val="238"/>
        <scheme val="minor"/>
      </rPr>
      <t>S for SOOs (AS)</t>
    </r>
  </si>
  <si>
    <r>
      <t>K</t>
    </r>
    <r>
      <rPr>
        <vertAlign val="subscript"/>
        <sz val="11"/>
        <rFont val="Calibri"/>
        <family val="2"/>
        <scheme val="minor"/>
      </rPr>
      <t>S,SOO,AS</t>
    </r>
  </si>
  <si>
    <t>Half-saturation of S for SOOs (AS)</t>
  </si>
  <si>
    <r>
      <t>K</t>
    </r>
    <r>
      <rPr>
        <vertAlign val="subscript"/>
        <sz val="11"/>
        <color indexed="8"/>
        <rFont val="Calibri"/>
        <family val="2"/>
        <scheme val="minor"/>
      </rPr>
      <t>FeS,DISS</t>
    </r>
  </si>
  <si>
    <t>Half-inhibition of FeS redissolution</t>
  </si>
  <si>
    <r>
      <t>q</t>
    </r>
    <r>
      <rPr>
        <vertAlign val="subscript"/>
        <sz val="11"/>
        <rFont val="Calibri"/>
        <family val="2"/>
        <scheme val="minor"/>
      </rPr>
      <t>FeS,PREC</t>
    </r>
  </si>
  <si>
    <t>Rate of FeS dissolution</t>
  </si>
  <si>
    <r>
      <t>q</t>
    </r>
    <r>
      <rPr>
        <vertAlign val="subscript"/>
        <sz val="11"/>
        <rFont val="Calibri"/>
        <family val="2"/>
        <scheme val="minor"/>
      </rPr>
      <t>FeS,DISS</t>
    </r>
  </si>
  <si>
    <t>Rate of FeS precipitation</t>
  </si>
  <si>
    <r>
      <rPr>
        <sz val="11"/>
        <color indexed="8"/>
        <rFont val="Calibri"/>
        <family val="2"/>
        <scheme val="minor"/>
      </rPr>
      <t>q</t>
    </r>
    <r>
      <rPr>
        <vertAlign val="subscript"/>
        <sz val="11"/>
        <color indexed="8"/>
        <rFont val="Calibri"/>
        <family val="2"/>
        <scheme val="minor"/>
      </rPr>
      <t>HFO,H2S,RED</t>
    </r>
  </si>
  <si>
    <r>
      <t>q</t>
    </r>
    <r>
      <rPr>
        <vertAlign val="subscript"/>
        <sz val="11"/>
        <color indexed="8"/>
        <rFont val="Calibri"/>
        <family val="2"/>
        <scheme val="minor"/>
      </rPr>
      <t>FeS,OX</t>
    </r>
  </si>
  <si>
    <t>Rate of FeS oxidation</t>
  </si>
  <si>
    <r>
      <t>Ki</t>
    </r>
    <r>
      <rPr>
        <vertAlign val="subscript"/>
        <sz val="11"/>
        <rFont val="Calibri"/>
        <family val="2"/>
        <scheme val="minor"/>
      </rPr>
      <t>SO4,RED</t>
    </r>
  </si>
  <si>
    <r>
      <t>Half-inhibition of SO</t>
    </r>
    <r>
      <rPr>
        <vertAlign val="subscript"/>
        <sz val="11"/>
        <color rgb="FF000000"/>
        <rFont val="Calibri"/>
        <family val="2"/>
        <scheme val="minor"/>
      </rPr>
      <t>4</t>
    </r>
    <r>
      <rPr>
        <sz val="11"/>
        <color rgb="FF000000"/>
        <rFont val="Calibri"/>
        <family val="2"/>
        <charset val="238"/>
        <scheme val="minor"/>
      </rPr>
      <t xml:space="preserve"> in HFO reduction with SO</t>
    </r>
    <r>
      <rPr>
        <vertAlign val="subscript"/>
        <sz val="11"/>
        <color rgb="FF000000"/>
        <rFont val="Calibri"/>
        <family val="2"/>
        <scheme val="minor"/>
      </rPr>
      <t>4</t>
    </r>
  </si>
  <si>
    <t>Methyl mercaptan index kinetics</t>
  </si>
  <si>
    <r>
      <t>q</t>
    </r>
    <r>
      <rPr>
        <vertAlign val="subscript"/>
        <sz val="11"/>
        <rFont val="Calibri"/>
        <family val="2"/>
        <scheme val="minor"/>
      </rPr>
      <t>MM,PROD</t>
    </r>
  </si>
  <si>
    <t>Rate of methyl mercaptan production</t>
  </si>
  <si>
    <r>
      <t>q</t>
    </r>
    <r>
      <rPr>
        <vertAlign val="subscript"/>
        <sz val="11"/>
        <rFont val="Calibri"/>
        <family val="2"/>
        <scheme val="minor"/>
      </rPr>
      <t>MM,DEGR</t>
    </r>
  </si>
  <si>
    <t>Rate of methyl mercaptan degradation</t>
  </si>
  <si>
    <r>
      <t>K</t>
    </r>
    <r>
      <rPr>
        <vertAlign val="subscript"/>
        <sz val="11"/>
        <rFont val="Calibri"/>
        <family val="2"/>
        <scheme val="minor"/>
      </rPr>
      <t>TKN,B</t>
    </r>
  </si>
  <si>
    <t>Half-saturation of organic TKN</t>
  </si>
  <si>
    <r>
      <t>K</t>
    </r>
    <r>
      <rPr>
        <vertAlign val="subscript"/>
        <sz val="11"/>
        <rFont val="Calibri"/>
        <family val="2"/>
        <scheme val="minor"/>
      </rPr>
      <t>scaling</t>
    </r>
  </si>
  <si>
    <t>Scaling factor for odor index</t>
  </si>
  <si>
    <r>
      <t>k</t>
    </r>
    <r>
      <rPr>
        <vertAlign val="subscript"/>
        <sz val="11"/>
        <rFont val="Calibri"/>
        <family val="2"/>
        <scheme val="minor"/>
      </rPr>
      <t>transfer,MM</t>
    </r>
  </si>
  <si>
    <t>Transfer term for methyl mercaptan stripping</t>
  </si>
  <si>
    <r>
      <t>G</t>
    </r>
    <r>
      <rPr>
        <vertAlign val="subscript"/>
        <sz val="11"/>
        <rFont val="Calibri"/>
        <family val="2"/>
        <scheme val="minor"/>
      </rPr>
      <t>H2S,odor,lim</t>
    </r>
  </si>
  <si>
    <r>
      <t>Gas concentration limit for H</t>
    </r>
    <r>
      <rPr>
        <vertAlign val="subscript"/>
        <sz val="11"/>
        <color rgb="FF000000"/>
        <rFont val="Calibri"/>
        <family val="2"/>
        <scheme val="minor"/>
      </rPr>
      <t>2</t>
    </r>
    <r>
      <rPr>
        <sz val="11"/>
        <color rgb="FF000000"/>
        <rFont val="Calibri"/>
        <family val="2"/>
        <charset val="238"/>
        <scheme val="minor"/>
      </rPr>
      <t>S</t>
    </r>
  </si>
  <si>
    <r>
      <t>r</t>
    </r>
    <r>
      <rPr>
        <vertAlign val="subscript"/>
        <sz val="11"/>
        <rFont val="Calibri"/>
        <family val="2"/>
        <scheme val="minor"/>
      </rPr>
      <t>transfer,MM,lim</t>
    </r>
  </si>
  <si>
    <t>Transfer limit for methyl mercaptan stripping</t>
  </si>
  <si>
    <r>
      <t>n</t>
    </r>
    <r>
      <rPr>
        <vertAlign val="subscript"/>
        <sz val="11"/>
        <rFont val="Calibri"/>
        <family val="2"/>
        <scheme val="minor"/>
      </rPr>
      <t>H2S,odor</t>
    </r>
  </si>
  <si>
    <r>
      <t>Contribution of H</t>
    </r>
    <r>
      <rPr>
        <vertAlign val="subscript"/>
        <sz val="11"/>
        <color rgb="FF000000"/>
        <rFont val="Calibri"/>
        <family val="2"/>
        <scheme val="minor"/>
      </rPr>
      <t>2</t>
    </r>
    <r>
      <rPr>
        <sz val="11"/>
        <color rgb="FF000000"/>
        <rFont val="Calibri"/>
        <family val="2"/>
        <charset val="238"/>
        <scheme val="minor"/>
      </rPr>
      <t>S to the odor index</t>
    </r>
  </si>
  <si>
    <r>
      <t>K</t>
    </r>
    <r>
      <rPr>
        <vertAlign val="subscript"/>
        <sz val="11"/>
        <rFont val="Calibri"/>
        <family val="2"/>
        <scheme val="minor"/>
      </rPr>
      <t>SO4,BIO,AS</t>
    </r>
  </si>
  <si>
    <r>
      <t>Half-saturation of SO</t>
    </r>
    <r>
      <rPr>
        <vertAlign val="subscript"/>
        <sz val="11"/>
        <color rgb="FF000000"/>
        <rFont val="Calibri"/>
        <family val="2"/>
        <scheme val="minor"/>
      </rPr>
      <t>4</t>
    </r>
    <r>
      <rPr>
        <sz val="11"/>
        <color rgb="FF000000"/>
        <rFont val="Calibri"/>
        <family val="2"/>
        <charset val="238"/>
        <scheme val="minor"/>
      </rPr>
      <t xml:space="preserve"> as nutrient for biomasses (AS)</t>
    </r>
  </si>
  <si>
    <r>
      <t>Ki</t>
    </r>
    <r>
      <rPr>
        <vertAlign val="subscript"/>
        <sz val="11"/>
        <color indexed="8"/>
        <rFont val="Calibri"/>
        <family val="2"/>
        <scheme val="minor"/>
      </rPr>
      <t>SO4,ASSIM,AS</t>
    </r>
  </si>
  <si>
    <r>
      <t>Half-inhibition of SO</t>
    </r>
    <r>
      <rPr>
        <vertAlign val="subscript"/>
        <sz val="11"/>
        <color rgb="FF000000"/>
        <rFont val="Calibri"/>
        <family val="2"/>
        <scheme val="minor"/>
      </rPr>
      <t>4</t>
    </r>
    <r>
      <rPr>
        <sz val="11"/>
        <color rgb="FF000000"/>
        <rFont val="Calibri"/>
        <family val="2"/>
        <charset val="238"/>
        <scheme val="minor"/>
      </rPr>
      <t xml:space="preserve"> in H</t>
    </r>
    <r>
      <rPr>
        <vertAlign val="subscript"/>
        <sz val="11"/>
        <color rgb="FF000000"/>
        <rFont val="Calibri"/>
        <family val="2"/>
        <scheme val="minor"/>
      </rPr>
      <t>2</t>
    </r>
    <r>
      <rPr>
        <sz val="11"/>
        <color rgb="FF000000"/>
        <rFont val="Calibri"/>
        <family val="2"/>
        <charset val="238"/>
        <scheme val="minor"/>
      </rPr>
      <t>S assimilative oxidation (AS)</t>
    </r>
  </si>
  <si>
    <r>
      <t>g S.m</t>
    </r>
    <r>
      <rPr>
        <vertAlign val="superscript"/>
        <sz val="11"/>
        <color indexed="8"/>
        <rFont val="Calibri"/>
        <family val="2"/>
        <scheme val="minor"/>
      </rPr>
      <t>-3</t>
    </r>
  </si>
  <si>
    <r>
      <t>K</t>
    </r>
    <r>
      <rPr>
        <vertAlign val="subscript"/>
        <sz val="11"/>
        <color indexed="8"/>
        <rFont val="Calibri"/>
        <family val="2"/>
        <scheme val="minor"/>
      </rPr>
      <t>H2S,ASSIM,AS</t>
    </r>
  </si>
  <si>
    <r>
      <t>Half-saturation of H</t>
    </r>
    <r>
      <rPr>
        <vertAlign val="subscript"/>
        <sz val="11"/>
        <color rgb="FF000000"/>
        <rFont val="Calibri"/>
        <family val="2"/>
        <scheme val="minor"/>
      </rPr>
      <t>2</t>
    </r>
    <r>
      <rPr>
        <sz val="11"/>
        <color rgb="FF000000"/>
        <rFont val="Calibri"/>
        <family val="2"/>
        <charset val="238"/>
        <scheme val="minor"/>
      </rPr>
      <t>S in H</t>
    </r>
    <r>
      <rPr>
        <vertAlign val="subscript"/>
        <sz val="11"/>
        <color rgb="FF000000"/>
        <rFont val="Calibri"/>
        <family val="2"/>
        <scheme val="minor"/>
      </rPr>
      <t>2</t>
    </r>
    <r>
      <rPr>
        <sz val="11"/>
        <color rgb="FF000000"/>
        <rFont val="Calibri"/>
        <family val="2"/>
        <charset val="238"/>
        <scheme val="minor"/>
      </rPr>
      <t>S assimilative oxidation (AS)</t>
    </r>
  </si>
  <si>
    <r>
      <t>θ</t>
    </r>
    <r>
      <rPr>
        <vertAlign val="subscript"/>
        <sz val="11"/>
        <rFont val="Calibri"/>
        <family val="2"/>
        <scheme val="minor"/>
      </rPr>
      <t>µ,ASRO</t>
    </r>
  </si>
  <si>
    <t>Arrhenius coefficient for ASRO growth</t>
  </si>
  <si>
    <r>
      <t>θ</t>
    </r>
    <r>
      <rPr>
        <vertAlign val="subscript"/>
        <sz val="11"/>
        <rFont val="Calibri"/>
        <family val="2"/>
        <scheme val="minor"/>
      </rPr>
      <t>µ,HSRO</t>
    </r>
  </si>
  <si>
    <t>Arrhenius coefficient for HSRO growth</t>
  </si>
  <si>
    <r>
      <t>θ</t>
    </r>
    <r>
      <rPr>
        <vertAlign val="subscript"/>
        <sz val="11"/>
        <rFont val="Calibri"/>
        <family val="2"/>
        <scheme val="minor"/>
      </rPr>
      <t>b,ASRO</t>
    </r>
  </si>
  <si>
    <t>Arrhenius coefficient for ASRO decay</t>
  </si>
  <si>
    <r>
      <t>θ</t>
    </r>
    <r>
      <rPr>
        <vertAlign val="subscript"/>
        <sz val="11"/>
        <rFont val="Calibri"/>
        <family val="2"/>
        <scheme val="minor"/>
      </rPr>
      <t>b,HSRO</t>
    </r>
  </si>
  <si>
    <t>Arrhenius coefficient for HSRO decay</t>
  </si>
  <si>
    <r>
      <t>θ</t>
    </r>
    <r>
      <rPr>
        <vertAlign val="subscript"/>
        <sz val="11"/>
        <rFont val="Calibri"/>
        <family val="2"/>
        <scheme val="minor"/>
      </rPr>
      <t>µ,SOO,H2S</t>
    </r>
  </si>
  <si>
    <t>Arrhenius coefficient for SOO growth on H2S</t>
  </si>
  <si>
    <r>
      <t>θ</t>
    </r>
    <r>
      <rPr>
        <vertAlign val="subscript"/>
        <sz val="11"/>
        <rFont val="Calibri"/>
        <family val="2"/>
        <scheme val="minor"/>
      </rPr>
      <t>µ,SOO,S</t>
    </r>
  </si>
  <si>
    <t>Arrhenius coefficient for SOO growth on S</t>
  </si>
  <si>
    <r>
      <t>θ</t>
    </r>
    <r>
      <rPr>
        <vertAlign val="subscript"/>
        <sz val="11"/>
        <rFont val="Calibri"/>
        <family val="2"/>
        <scheme val="minor"/>
      </rPr>
      <t>b,SOO</t>
    </r>
  </si>
  <si>
    <t>Arrhenius coefficient for SOO decay</t>
  </si>
  <si>
    <r>
      <t>Y</t>
    </r>
    <r>
      <rPr>
        <vertAlign val="subscript"/>
        <sz val="11"/>
        <color indexed="8"/>
        <rFont val="Calibri"/>
        <family val="2"/>
        <charset val="238"/>
      </rPr>
      <t>SOO,H2S,ox</t>
    </r>
  </si>
  <si>
    <t>Yield of SOOs on H2S under aerobic conditions</t>
  </si>
  <si>
    <t>Munz et al., 2009</t>
  </si>
  <si>
    <r>
      <t>Y</t>
    </r>
    <r>
      <rPr>
        <vertAlign val="subscript"/>
        <sz val="11"/>
        <color indexed="8"/>
        <rFont val="Calibri"/>
        <family val="2"/>
        <charset val="238"/>
      </rPr>
      <t>SOO,H2S,anox</t>
    </r>
  </si>
  <si>
    <t>Yield of SOOs on H2S under anoxic conditions</t>
  </si>
  <si>
    <t>Mora et al., 2014</t>
  </si>
  <si>
    <r>
      <t>Y</t>
    </r>
    <r>
      <rPr>
        <vertAlign val="subscript"/>
        <sz val="11"/>
        <color indexed="8"/>
        <rFont val="Calibri"/>
        <family val="2"/>
        <charset val="238"/>
      </rPr>
      <t>SOO,S,ox</t>
    </r>
  </si>
  <si>
    <t>Yield of SOOs on S under aerobic conditions</t>
  </si>
  <si>
    <r>
      <t>Y</t>
    </r>
    <r>
      <rPr>
        <vertAlign val="subscript"/>
        <sz val="11"/>
        <color indexed="8"/>
        <rFont val="Calibri"/>
        <family val="2"/>
        <charset val="238"/>
      </rPr>
      <t>SOO,S,anox</t>
    </r>
  </si>
  <si>
    <t>Yield of SOOs on S under anoxic conditions</t>
  </si>
  <si>
    <r>
      <t>Y</t>
    </r>
    <r>
      <rPr>
        <vertAlign val="subscript"/>
        <sz val="11"/>
        <color indexed="8"/>
        <rFont val="Calibri"/>
        <family val="2"/>
        <charset val="238"/>
      </rPr>
      <t>ASRO</t>
    </r>
  </si>
  <si>
    <t>Yield of ASROs on VFA</t>
  </si>
  <si>
    <t>Barrera et al. (2015)</t>
  </si>
  <si>
    <r>
      <t>Y</t>
    </r>
    <r>
      <rPr>
        <vertAlign val="subscript"/>
        <sz val="11"/>
        <color indexed="8"/>
        <rFont val="Calibri"/>
        <family val="2"/>
        <charset val="238"/>
      </rPr>
      <t>HSRO</t>
    </r>
  </si>
  <si>
    <r>
      <t>Yield of HSROs on H</t>
    </r>
    <r>
      <rPr>
        <vertAlign val="subscript"/>
        <sz val="11"/>
        <color rgb="FF000000"/>
        <rFont val="Calibri"/>
        <family val="2"/>
        <scheme val="minor"/>
      </rPr>
      <t>2</t>
    </r>
  </si>
  <si>
    <r>
      <t>i</t>
    </r>
    <r>
      <rPr>
        <vertAlign val="subscript"/>
        <sz val="11"/>
        <rFont val="Calibri"/>
        <family val="2"/>
        <scheme val="minor"/>
      </rPr>
      <t>S,BIO</t>
    </r>
  </si>
  <si>
    <t>S content of biomasses</t>
  </si>
  <si>
    <r>
      <t>g S.g COD</t>
    </r>
    <r>
      <rPr>
        <vertAlign val="superscript"/>
        <sz val="11"/>
        <rFont val="Calibri"/>
        <family val="2"/>
        <scheme val="minor"/>
      </rPr>
      <t>-1</t>
    </r>
  </si>
  <si>
    <r>
      <t>i</t>
    </r>
    <r>
      <rPr>
        <vertAlign val="subscript"/>
        <sz val="11"/>
        <rFont val="Calibri"/>
        <family val="2"/>
        <scheme val="minor"/>
      </rPr>
      <t>S,FeS</t>
    </r>
  </si>
  <si>
    <t>S content of FeS</t>
  </si>
  <si>
    <r>
      <t>g S.g TSS</t>
    </r>
    <r>
      <rPr>
        <vertAlign val="superscript"/>
        <sz val="11"/>
        <rFont val="Calibri"/>
        <family val="2"/>
        <scheme val="minor"/>
      </rPr>
      <t>-1</t>
    </r>
  </si>
  <si>
    <r>
      <t>Correction factor for mass transfer of H</t>
    </r>
    <r>
      <rPr>
        <vertAlign val="subscript"/>
        <sz val="11"/>
        <color rgb="FF000000"/>
        <rFont val="Calibri"/>
        <family val="2"/>
        <scheme val="minor"/>
      </rPr>
      <t>2</t>
    </r>
    <r>
      <rPr>
        <sz val="11"/>
        <color rgb="FF000000"/>
        <rFont val="Calibri"/>
        <family val="2"/>
        <charset val="238"/>
        <scheme val="minor"/>
      </rPr>
      <t>S</t>
    </r>
  </si>
  <si>
    <r>
      <t>X</t>
    </r>
    <r>
      <rPr>
        <b/>
        <vertAlign val="subscript"/>
        <sz val="11"/>
        <rFont val="Calibri"/>
        <family val="2"/>
        <charset val="238"/>
        <scheme val="minor"/>
      </rPr>
      <t>ASRO</t>
    </r>
  </si>
  <si>
    <t>Acidoclastic sulfate-reducing organisms (ASRO)</t>
  </si>
  <si>
    <r>
      <t>X</t>
    </r>
    <r>
      <rPr>
        <b/>
        <vertAlign val="subscript"/>
        <sz val="11"/>
        <rFont val="Calibri"/>
        <family val="2"/>
        <charset val="238"/>
        <scheme val="minor"/>
      </rPr>
      <t>HSRO</t>
    </r>
  </si>
  <si>
    <t>Hydrogenotrophic sulfate-reducing organisms (HSRO)</t>
  </si>
  <si>
    <r>
      <t>X</t>
    </r>
    <r>
      <rPr>
        <b/>
        <vertAlign val="subscript"/>
        <sz val="11"/>
        <rFont val="Calibri"/>
        <family val="2"/>
        <charset val="238"/>
        <scheme val="minor"/>
      </rPr>
      <t>SOO</t>
    </r>
  </si>
  <si>
    <t>Sulfur-oxidizing organisms (SOO)</t>
  </si>
  <si>
    <r>
      <t>S</t>
    </r>
    <r>
      <rPr>
        <b/>
        <vertAlign val="subscript"/>
        <sz val="11"/>
        <rFont val="Calibri"/>
        <family val="2"/>
      </rPr>
      <t>H2S</t>
    </r>
  </si>
  <si>
    <r>
      <t>Hydrogen sulfide (H</t>
    </r>
    <r>
      <rPr>
        <vertAlign val="subscript"/>
        <sz val="11"/>
        <color rgb="FF000000"/>
        <rFont val="Calibri"/>
        <family val="2"/>
        <scheme val="minor"/>
      </rPr>
      <t>2</t>
    </r>
    <r>
      <rPr>
        <sz val="11"/>
        <color rgb="FF000000"/>
        <rFont val="Calibri"/>
        <family val="2"/>
        <charset val="238"/>
        <scheme val="minor"/>
      </rPr>
      <t>S)</t>
    </r>
  </si>
  <si>
    <r>
      <t>g S.m</t>
    </r>
    <r>
      <rPr>
        <vertAlign val="superscript"/>
        <sz val="11"/>
        <rFont val="Calibri"/>
        <family val="2"/>
      </rPr>
      <t>-3</t>
    </r>
  </si>
  <si>
    <r>
      <t>S</t>
    </r>
    <r>
      <rPr>
        <b/>
        <vertAlign val="subscript"/>
        <sz val="11"/>
        <rFont val="Calibri"/>
        <family val="2"/>
      </rPr>
      <t>SO4</t>
    </r>
  </si>
  <si>
    <r>
      <t>Sulfate (SO</t>
    </r>
    <r>
      <rPr>
        <vertAlign val="subscript"/>
        <sz val="11"/>
        <color rgb="FF000000"/>
        <rFont val="Calibri"/>
        <family val="2"/>
        <scheme val="minor"/>
      </rPr>
      <t>4</t>
    </r>
    <r>
      <rPr>
        <sz val="11"/>
        <color rgb="FF000000"/>
        <rFont val="Calibri"/>
        <family val="2"/>
        <charset val="238"/>
        <scheme val="minor"/>
      </rPr>
      <t>)</t>
    </r>
  </si>
  <si>
    <r>
      <t>X</t>
    </r>
    <r>
      <rPr>
        <b/>
        <vertAlign val="subscript"/>
        <sz val="11"/>
        <rFont val="Calibri"/>
        <family val="2"/>
        <charset val="238"/>
        <scheme val="minor"/>
      </rPr>
      <t>S</t>
    </r>
  </si>
  <si>
    <t>Particulate elemental sulfur (S)</t>
  </si>
  <si>
    <r>
      <t>X</t>
    </r>
    <r>
      <rPr>
        <b/>
        <vertAlign val="subscript"/>
        <sz val="11"/>
        <rFont val="Calibri"/>
        <family val="2"/>
        <charset val="238"/>
        <scheme val="minor"/>
      </rPr>
      <t>FeS</t>
    </r>
  </si>
  <si>
    <t>Iron sulfide (FeS)</t>
  </si>
  <si>
    <r>
      <t>G</t>
    </r>
    <r>
      <rPr>
        <b/>
        <vertAlign val="subscript"/>
        <sz val="11"/>
        <rFont val="Calibri"/>
        <family val="2"/>
      </rPr>
      <t>H2S</t>
    </r>
  </si>
  <si>
    <r>
      <t>Hydrogen sulfide gas (H</t>
    </r>
    <r>
      <rPr>
        <vertAlign val="subscript"/>
        <sz val="11"/>
        <color rgb="FF000000"/>
        <rFont val="Calibri"/>
        <family val="2"/>
        <scheme val="minor"/>
      </rPr>
      <t>2</t>
    </r>
    <r>
      <rPr>
        <sz val="11"/>
        <color rgb="FF000000"/>
        <rFont val="Calibri"/>
        <family val="2"/>
        <charset val="238"/>
        <scheme val="minor"/>
      </rPr>
      <t>S)</t>
    </r>
  </si>
  <si>
    <r>
      <t>S</t>
    </r>
    <r>
      <rPr>
        <b/>
        <vertAlign val="subscript"/>
        <sz val="11"/>
        <rFont val="Calibri"/>
        <family val="2"/>
      </rPr>
      <t>MM,index</t>
    </r>
  </si>
  <si>
    <t>Methyl mercaptan production index</t>
  </si>
  <si>
    <r>
      <t>-i</t>
    </r>
    <r>
      <rPr>
        <vertAlign val="subscript"/>
        <sz val="11"/>
        <rFont val="Calibri"/>
        <family val="2"/>
      </rPr>
      <t>S,BIO</t>
    </r>
  </si>
  <si>
    <r>
      <t>ASRO growth - SO</t>
    </r>
    <r>
      <rPr>
        <vertAlign val="subscript"/>
        <sz val="11"/>
        <rFont val="Calibri"/>
        <family val="2"/>
      </rPr>
      <t>4</t>
    </r>
    <r>
      <rPr>
        <sz val="11"/>
        <rFont val="Calibri"/>
        <family val="2"/>
      </rPr>
      <t xml:space="preserve"> reduction with S</t>
    </r>
    <r>
      <rPr>
        <vertAlign val="subscript"/>
        <sz val="11"/>
        <rFont val="Calibri"/>
        <family val="2"/>
      </rPr>
      <t>VFA</t>
    </r>
  </si>
  <si>
    <r>
      <t>-1/ Y</t>
    </r>
    <r>
      <rPr>
        <vertAlign val="subscript"/>
        <sz val="11"/>
        <rFont val="Calibri"/>
        <family val="2"/>
      </rPr>
      <t>ASRO</t>
    </r>
  </si>
  <si>
    <r>
      <t>i</t>
    </r>
    <r>
      <rPr>
        <vertAlign val="subscript"/>
        <sz val="11"/>
        <rFont val="Calibri"/>
        <family val="2"/>
      </rPr>
      <t>CIT,VFA</t>
    </r>
    <r>
      <rPr>
        <sz val="11"/>
        <rFont val="Calibri"/>
        <family val="2"/>
      </rPr>
      <t>/Y</t>
    </r>
    <r>
      <rPr>
        <vertAlign val="subscript"/>
        <sz val="11"/>
        <rFont val="Calibri"/>
        <family val="2"/>
      </rPr>
      <t>ASRO</t>
    </r>
    <r>
      <rPr>
        <sz val="11"/>
        <rFont val="Calibri"/>
        <family val="2"/>
      </rPr>
      <t>-i</t>
    </r>
    <r>
      <rPr>
        <vertAlign val="subscript"/>
        <sz val="11"/>
        <rFont val="Calibri"/>
        <family val="2"/>
      </rPr>
      <t>CIT,BIO</t>
    </r>
  </si>
  <si>
    <r>
      <t>(1-Y</t>
    </r>
    <r>
      <rPr>
        <vertAlign val="subscript"/>
        <sz val="11"/>
        <rFont val="Calibri"/>
        <family val="2"/>
      </rPr>
      <t>ASRO</t>
    </r>
    <r>
      <rPr>
        <sz val="11"/>
        <rFont val="Calibri"/>
        <family val="2"/>
      </rPr>
      <t>)/(EEQ</t>
    </r>
    <r>
      <rPr>
        <vertAlign val="subscript"/>
        <sz val="11"/>
        <rFont val="Calibri"/>
        <family val="2"/>
      </rPr>
      <t>H2S*</t>
    </r>
    <r>
      <rPr>
        <sz val="11"/>
        <rFont val="Calibri"/>
        <family val="2"/>
      </rPr>
      <t>Y</t>
    </r>
    <r>
      <rPr>
        <vertAlign val="subscript"/>
        <sz val="11"/>
        <rFont val="Calibri"/>
        <family val="2"/>
      </rPr>
      <t>ASRO</t>
    </r>
    <r>
      <rPr>
        <sz val="11"/>
        <rFont val="Calibri"/>
        <family val="2"/>
      </rPr>
      <t>)</t>
    </r>
  </si>
  <si>
    <r>
      <t>-(1-Y</t>
    </r>
    <r>
      <rPr>
        <vertAlign val="subscript"/>
        <sz val="11"/>
        <rFont val="Calibri"/>
        <family val="2"/>
      </rPr>
      <t>ASRO</t>
    </r>
    <r>
      <rPr>
        <sz val="11"/>
        <rFont val="Calibri"/>
        <family val="2"/>
      </rPr>
      <t>)/(EEQ</t>
    </r>
    <r>
      <rPr>
        <vertAlign val="subscript"/>
        <sz val="11"/>
        <rFont val="Calibri"/>
        <family val="2"/>
      </rPr>
      <t>H2S*</t>
    </r>
    <r>
      <rPr>
        <sz val="11"/>
        <rFont val="Calibri"/>
        <family val="2"/>
      </rPr>
      <t>Y</t>
    </r>
    <r>
      <rPr>
        <vertAlign val="subscript"/>
        <sz val="11"/>
        <rFont val="Calibri"/>
        <family val="2"/>
      </rPr>
      <t>ASRO</t>
    </r>
    <r>
      <rPr>
        <sz val="11"/>
        <rFont val="Calibri"/>
        <family val="2"/>
      </rPr>
      <t>)-i</t>
    </r>
    <r>
      <rPr>
        <vertAlign val="subscript"/>
        <sz val="11"/>
        <rFont val="Calibri"/>
        <family val="2"/>
      </rPr>
      <t>S,BIO</t>
    </r>
  </si>
  <si>
    <t>ASRO decay</t>
  </si>
  <si>
    <r>
      <t>HSRO growth - SO</t>
    </r>
    <r>
      <rPr>
        <vertAlign val="subscript"/>
        <sz val="11"/>
        <color rgb="FF000000"/>
        <rFont val="Calibri"/>
        <family val="2"/>
        <scheme val="minor"/>
      </rPr>
      <t>4</t>
    </r>
    <r>
      <rPr>
        <sz val="11"/>
        <color rgb="FF000000"/>
        <rFont val="Calibri"/>
        <family val="2"/>
        <charset val="238"/>
        <scheme val="minor"/>
      </rPr>
      <t xml:space="preserve"> reduction with S</t>
    </r>
    <r>
      <rPr>
        <vertAlign val="subscript"/>
        <sz val="11"/>
        <color rgb="FF000000"/>
        <rFont val="Calibri"/>
        <family val="2"/>
        <scheme val="minor"/>
      </rPr>
      <t>H2</t>
    </r>
  </si>
  <si>
    <r>
      <t>-1/ Y</t>
    </r>
    <r>
      <rPr>
        <vertAlign val="subscript"/>
        <sz val="11"/>
        <rFont val="Calibri"/>
        <family val="2"/>
      </rPr>
      <t>HSRO</t>
    </r>
  </si>
  <si>
    <r>
      <t>(1-Y</t>
    </r>
    <r>
      <rPr>
        <vertAlign val="subscript"/>
        <sz val="11"/>
        <rFont val="Calibri"/>
        <family val="2"/>
      </rPr>
      <t>HSRO</t>
    </r>
    <r>
      <rPr>
        <sz val="11"/>
        <rFont val="Calibri"/>
        <family val="2"/>
      </rPr>
      <t>)/(EEQ</t>
    </r>
    <r>
      <rPr>
        <vertAlign val="subscript"/>
        <sz val="11"/>
        <rFont val="Calibri"/>
        <family val="2"/>
      </rPr>
      <t>H2S*</t>
    </r>
    <r>
      <rPr>
        <sz val="11"/>
        <rFont val="Calibri"/>
        <family val="2"/>
      </rPr>
      <t>Y</t>
    </r>
    <r>
      <rPr>
        <vertAlign val="subscript"/>
        <sz val="11"/>
        <rFont val="Calibri"/>
        <family val="2"/>
      </rPr>
      <t>HSRO</t>
    </r>
    <r>
      <rPr>
        <sz val="11"/>
        <rFont val="Calibri"/>
        <family val="2"/>
      </rPr>
      <t>)</t>
    </r>
  </si>
  <si>
    <r>
      <t>-(1-Y</t>
    </r>
    <r>
      <rPr>
        <vertAlign val="subscript"/>
        <sz val="11"/>
        <rFont val="Calibri"/>
        <family val="2"/>
      </rPr>
      <t>HSRO</t>
    </r>
    <r>
      <rPr>
        <sz val="11"/>
        <rFont val="Calibri"/>
        <family val="2"/>
      </rPr>
      <t>)/(EEQ</t>
    </r>
    <r>
      <rPr>
        <vertAlign val="subscript"/>
        <sz val="11"/>
        <rFont val="Calibri"/>
        <family val="2"/>
      </rPr>
      <t>H2S*</t>
    </r>
    <r>
      <rPr>
        <sz val="11"/>
        <rFont val="Calibri"/>
        <family val="2"/>
      </rPr>
      <t>Y</t>
    </r>
    <r>
      <rPr>
        <vertAlign val="subscript"/>
        <sz val="11"/>
        <rFont val="Calibri"/>
        <family val="2"/>
      </rPr>
      <t>HSRO</t>
    </r>
    <r>
      <rPr>
        <sz val="11"/>
        <rFont val="Calibri"/>
        <family val="2"/>
      </rPr>
      <t>)-i</t>
    </r>
    <r>
      <rPr>
        <vertAlign val="subscript"/>
        <sz val="11"/>
        <rFont val="Calibri"/>
        <family val="2"/>
      </rPr>
      <t>S,BIO</t>
    </r>
  </si>
  <si>
    <t>HSRO decay</t>
  </si>
  <si>
    <r>
      <t>SOO growth on H</t>
    </r>
    <r>
      <rPr>
        <vertAlign val="subscript"/>
        <sz val="11"/>
        <color rgb="FF000000"/>
        <rFont val="Calibri"/>
        <family val="2"/>
        <scheme val="minor"/>
      </rPr>
      <t>2</t>
    </r>
    <r>
      <rPr>
        <sz val="11"/>
        <color rgb="FF000000"/>
        <rFont val="Calibri"/>
        <family val="2"/>
        <charset val="238"/>
        <scheme val="minor"/>
      </rPr>
      <t>S, O</t>
    </r>
    <r>
      <rPr>
        <vertAlign val="subscript"/>
        <sz val="11"/>
        <color rgb="FF000000"/>
        <rFont val="Calibri"/>
        <family val="2"/>
        <scheme val="minor"/>
      </rPr>
      <t>2</t>
    </r>
  </si>
  <si>
    <r>
      <t>-(EEQ</t>
    </r>
    <r>
      <rPr>
        <vertAlign val="subscript"/>
        <sz val="11"/>
        <rFont val="Calibri"/>
        <family val="2"/>
      </rPr>
      <t>H2S</t>
    </r>
    <r>
      <rPr>
        <sz val="11"/>
        <rFont val="Calibri"/>
        <family val="2"/>
      </rPr>
      <t>-EEQ</t>
    </r>
    <r>
      <rPr>
        <vertAlign val="subscript"/>
        <sz val="11"/>
        <rFont val="Calibri"/>
        <family val="2"/>
      </rPr>
      <t>S</t>
    </r>
    <r>
      <rPr>
        <sz val="11"/>
        <rFont val="Calibri"/>
        <family val="2"/>
      </rPr>
      <t>-Y</t>
    </r>
    <r>
      <rPr>
        <vertAlign val="subscript"/>
        <sz val="11"/>
        <rFont val="Calibri"/>
        <family val="2"/>
      </rPr>
      <t>SOO,H2S,ox</t>
    </r>
    <r>
      <rPr>
        <sz val="11"/>
        <rFont val="Calibri"/>
        <family val="2"/>
      </rPr>
      <t>)/Y</t>
    </r>
    <r>
      <rPr>
        <vertAlign val="subscript"/>
        <sz val="11"/>
        <rFont val="Calibri"/>
        <family val="2"/>
      </rPr>
      <t>SOO,H2S,ox</t>
    </r>
  </si>
  <si>
    <r>
      <t>-1/Y</t>
    </r>
    <r>
      <rPr>
        <vertAlign val="subscript"/>
        <sz val="11"/>
        <rFont val="Calibri"/>
        <family val="2"/>
      </rPr>
      <t>SOO,H2S,ox</t>
    </r>
  </si>
  <si>
    <r>
      <t>1/Y</t>
    </r>
    <r>
      <rPr>
        <vertAlign val="subscript"/>
        <sz val="11"/>
        <rFont val="Calibri"/>
        <family val="2"/>
      </rPr>
      <t>SOO,H2S,ox</t>
    </r>
  </si>
  <si>
    <r>
      <t>SOO growth on H</t>
    </r>
    <r>
      <rPr>
        <vertAlign val="subscript"/>
        <sz val="11"/>
        <color rgb="FF000000"/>
        <rFont val="Calibri"/>
        <family val="2"/>
        <scheme val="minor"/>
      </rPr>
      <t>2</t>
    </r>
    <r>
      <rPr>
        <sz val="11"/>
        <color rgb="FF000000"/>
        <rFont val="Calibri"/>
        <family val="2"/>
        <charset val="238"/>
        <scheme val="minor"/>
      </rPr>
      <t>S, NO</t>
    </r>
    <r>
      <rPr>
        <vertAlign val="subscript"/>
        <sz val="11"/>
        <color rgb="FF000000"/>
        <rFont val="Calibri"/>
        <family val="2"/>
        <scheme val="minor"/>
      </rPr>
      <t>2</t>
    </r>
  </si>
  <si>
    <r>
      <t>-(EEQ</t>
    </r>
    <r>
      <rPr>
        <vertAlign val="subscript"/>
        <sz val="11"/>
        <rFont val="Calibri"/>
        <family val="2"/>
      </rPr>
      <t>H2S</t>
    </r>
    <r>
      <rPr>
        <sz val="11"/>
        <rFont val="Calibri"/>
        <family val="2"/>
      </rPr>
      <t>-EEQ</t>
    </r>
    <r>
      <rPr>
        <vertAlign val="subscript"/>
        <sz val="11"/>
        <rFont val="Calibri"/>
        <family val="2"/>
      </rPr>
      <t>S</t>
    </r>
    <r>
      <rPr>
        <sz val="11"/>
        <rFont val="Calibri"/>
        <family val="2"/>
      </rPr>
      <t>-Y</t>
    </r>
    <r>
      <rPr>
        <vertAlign val="subscript"/>
        <sz val="11"/>
        <rFont val="Calibri"/>
        <family val="2"/>
      </rPr>
      <t>SOO,H2S,anox</t>
    </r>
    <r>
      <rPr>
        <sz val="11"/>
        <rFont val="Calibri"/>
        <family val="2"/>
      </rPr>
      <t>)/(EEQ</t>
    </r>
    <r>
      <rPr>
        <vertAlign val="subscript"/>
        <sz val="11"/>
        <rFont val="Calibri"/>
        <family val="2"/>
      </rPr>
      <t>N2,NO2</t>
    </r>
    <r>
      <rPr>
        <sz val="11"/>
        <rFont val="Calibri"/>
        <family val="2"/>
      </rPr>
      <t>*Y</t>
    </r>
    <r>
      <rPr>
        <vertAlign val="subscript"/>
        <sz val="11"/>
        <rFont val="Calibri"/>
        <family val="2"/>
      </rPr>
      <t>SOO,H2S,anox</t>
    </r>
    <r>
      <rPr>
        <sz val="11"/>
        <rFont val="Calibri"/>
        <family val="2"/>
      </rPr>
      <t>)</t>
    </r>
  </si>
  <si>
    <r>
      <t>(EEQ</t>
    </r>
    <r>
      <rPr>
        <vertAlign val="subscript"/>
        <sz val="11"/>
        <rFont val="Calibri"/>
        <family val="2"/>
      </rPr>
      <t>H2S</t>
    </r>
    <r>
      <rPr>
        <sz val="11"/>
        <rFont val="Calibri"/>
        <family val="2"/>
      </rPr>
      <t>-EEQ</t>
    </r>
    <r>
      <rPr>
        <vertAlign val="subscript"/>
        <sz val="11"/>
        <rFont val="Calibri"/>
        <family val="2"/>
      </rPr>
      <t>S</t>
    </r>
    <r>
      <rPr>
        <sz val="11"/>
        <rFont val="Calibri"/>
        <family val="2"/>
      </rPr>
      <t>-Y</t>
    </r>
    <r>
      <rPr>
        <vertAlign val="subscript"/>
        <sz val="11"/>
        <rFont val="Calibri"/>
        <family val="2"/>
      </rPr>
      <t>SOO,H2S,anox</t>
    </r>
    <r>
      <rPr>
        <sz val="11"/>
        <rFont val="Calibri"/>
        <family val="2"/>
      </rPr>
      <t>)/(EEQ</t>
    </r>
    <r>
      <rPr>
        <vertAlign val="subscript"/>
        <sz val="11"/>
        <rFont val="Calibri"/>
        <family val="2"/>
      </rPr>
      <t>N2,NO2</t>
    </r>
    <r>
      <rPr>
        <sz val="11"/>
        <rFont val="Calibri"/>
        <family val="2"/>
      </rPr>
      <t>*Y</t>
    </r>
    <r>
      <rPr>
        <vertAlign val="subscript"/>
        <sz val="11"/>
        <rFont val="Calibri"/>
        <family val="2"/>
      </rPr>
      <t>SOO,H2S,anox</t>
    </r>
    <r>
      <rPr>
        <sz val="11"/>
        <rFont val="Calibri"/>
        <family val="2"/>
      </rPr>
      <t>)</t>
    </r>
  </si>
  <si>
    <r>
      <t>-1/Y</t>
    </r>
    <r>
      <rPr>
        <vertAlign val="subscript"/>
        <sz val="11"/>
        <rFont val="Calibri"/>
        <family val="2"/>
      </rPr>
      <t>SOO,H2S,anox</t>
    </r>
  </si>
  <si>
    <r>
      <t>1/Y</t>
    </r>
    <r>
      <rPr>
        <vertAlign val="subscript"/>
        <sz val="11"/>
        <rFont val="Calibri"/>
        <family val="2"/>
      </rPr>
      <t>SOO,H2S,anox</t>
    </r>
  </si>
  <si>
    <r>
      <t>SOO growth on H</t>
    </r>
    <r>
      <rPr>
        <vertAlign val="subscript"/>
        <sz val="11"/>
        <color rgb="FF000000"/>
        <rFont val="Calibri"/>
        <family val="2"/>
        <scheme val="minor"/>
      </rPr>
      <t>2</t>
    </r>
    <r>
      <rPr>
        <sz val="11"/>
        <color rgb="FF000000"/>
        <rFont val="Calibri"/>
        <family val="2"/>
        <charset val="238"/>
        <scheme val="minor"/>
      </rPr>
      <t>S, NO</t>
    </r>
    <r>
      <rPr>
        <vertAlign val="subscript"/>
        <sz val="11"/>
        <color rgb="FF000000"/>
        <rFont val="Calibri"/>
        <family val="2"/>
        <scheme val="minor"/>
      </rPr>
      <t>3</t>
    </r>
  </si>
  <si>
    <r>
      <t>(EEQ</t>
    </r>
    <r>
      <rPr>
        <vertAlign val="subscript"/>
        <sz val="11"/>
        <rFont val="Calibri"/>
        <family val="2"/>
      </rPr>
      <t>H2S</t>
    </r>
    <r>
      <rPr>
        <sz val="11"/>
        <rFont val="Calibri"/>
        <family val="2"/>
      </rPr>
      <t>-EEQ</t>
    </r>
    <r>
      <rPr>
        <vertAlign val="subscript"/>
        <sz val="11"/>
        <rFont val="Calibri"/>
        <family val="2"/>
      </rPr>
      <t>S</t>
    </r>
    <r>
      <rPr>
        <sz val="11"/>
        <rFont val="Calibri"/>
        <family val="2"/>
      </rPr>
      <t>-Y</t>
    </r>
    <r>
      <rPr>
        <vertAlign val="subscript"/>
        <sz val="11"/>
        <rFont val="Calibri"/>
        <family val="2"/>
      </rPr>
      <t>SOO,H2S,anox</t>
    </r>
    <r>
      <rPr>
        <sz val="11"/>
        <rFont val="Calibri"/>
        <family val="2"/>
      </rPr>
      <t>)/(EEQ</t>
    </r>
    <r>
      <rPr>
        <vertAlign val="subscript"/>
        <sz val="11"/>
        <rFont val="Calibri"/>
        <family val="2"/>
      </rPr>
      <t>NO2,NO3</t>
    </r>
    <r>
      <rPr>
        <sz val="11"/>
        <rFont val="Calibri"/>
        <family val="2"/>
      </rPr>
      <t>*Y</t>
    </r>
    <r>
      <rPr>
        <vertAlign val="subscript"/>
        <sz val="11"/>
        <rFont val="Calibri"/>
        <family val="2"/>
      </rPr>
      <t>SOO,H2S,anox</t>
    </r>
    <r>
      <rPr>
        <sz val="11"/>
        <rFont val="Calibri"/>
        <family val="2"/>
      </rPr>
      <t>)</t>
    </r>
  </si>
  <si>
    <r>
      <t>-(EEQ</t>
    </r>
    <r>
      <rPr>
        <vertAlign val="subscript"/>
        <sz val="11"/>
        <rFont val="Calibri"/>
        <family val="2"/>
      </rPr>
      <t>H2S</t>
    </r>
    <r>
      <rPr>
        <sz val="11"/>
        <rFont val="Calibri"/>
        <family val="2"/>
      </rPr>
      <t>-EEQ</t>
    </r>
    <r>
      <rPr>
        <vertAlign val="subscript"/>
        <sz val="11"/>
        <rFont val="Calibri"/>
        <family val="2"/>
      </rPr>
      <t>S</t>
    </r>
    <r>
      <rPr>
        <sz val="11"/>
        <rFont val="Calibri"/>
        <family val="2"/>
      </rPr>
      <t>-Y</t>
    </r>
    <r>
      <rPr>
        <vertAlign val="subscript"/>
        <sz val="11"/>
        <rFont val="Calibri"/>
        <family val="2"/>
      </rPr>
      <t>SOO,H2S,anox</t>
    </r>
    <r>
      <rPr>
        <sz val="11"/>
        <rFont val="Calibri"/>
        <family val="2"/>
      </rPr>
      <t>)/(EEQ</t>
    </r>
    <r>
      <rPr>
        <vertAlign val="subscript"/>
        <sz val="11"/>
        <rFont val="Calibri"/>
        <family val="2"/>
      </rPr>
      <t>NO2,NO3</t>
    </r>
    <r>
      <rPr>
        <sz val="11"/>
        <rFont val="Calibri"/>
        <family val="2"/>
      </rPr>
      <t>*Y</t>
    </r>
    <r>
      <rPr>
        <vertAlign val="subscript"/>
        <sz val="11"/>
        <rFont val="Calibri"/>
        <family val="2"/>
      </rPr>
      <t>SOO,H2S,anox</t>
    </r>
    <r>
      <rPr>
        <sz val="11"/>
        <rFont val="Calibri"/>
        <family val="2"/>
      </rPr>
      <t>)</t>
    </r>
  </si>
  <si>
    <r>
      <t>SOO growth on S°, O</t>
    </r>
    <r>
      <rPr>
        <vertAlign val="subscript"/>
        <sz val="11"/>
        <color rgb="FF000000"/>
        <rFont val="Calibri"/>
        <family val="2"/>
        <scheme val="minor"/>
      </rPr>
      <t>2</t>
    </r>
  </si>
  <si>
    <r>
      <t>-(EEQ</t>
    </r>
    <r>
      <rPr>
        <vertAlign val="subscript"/>
        <sz val="11"/>
        <rFont val="Calibri"/>
        <family val="2"/>
      </rPr>
      <t>S</t>
    </r>
    <r>
      <rPr>
        <sz val="11"/>
        <rFont val="Calibri"/>
        <family val="2"/>
      </rPr>
      <t>-Y</t>
    </r>
    <r>
      <rPr>
        <vertAlign val="subscript"/>
        <sz val="11"/>
        <rFont val="Calibri"/>
        <family val="2"/>
      </rPr>
      <t>SOO,S,ox</t>
    </r>
    <r>
      <rPr>
        <sz val="11"/>
        <rFont val="Calibri"/>
        <family val="2"/>
      </rPr>
      <t>)/Y</t>
    </r>
    <r>
      <rPr>
        <vertAlign val="subscript"/>
        <sz val="11"/>
        <rFont val="Calibri"/>
        <family val="2"/>
      </rPr>
      <t>SOO,S,ox</t>
    </r>
  </si>
  <si>
    <r>
      <t>1/Y</t>
    </r>
    <r>
      <rPr>
        <vertAlign val="subscript"/>
        <sz val="11"/>
        <rFont val="Calibri"/>
        <family val="2"/>
      </rPr>
      <t>SOO,S,ox</t>
    </r>
    <r>
      <rPr>
        <sz val="11"/>
        <rFont val="Calibri"/>
        <family val="2"/>
      </rPr>
      <t>-i</t>
    </r>
    <r>
      <rPr>
        <vertAlign val="subscript"/>
        <sz val="11"/>
        <rFont val="Calibri"/>
        <family val="2"/>
      </rPr>
      <t>S,BIO</t>
    </r>
  </si>
  <si>
    <r>
      <t>-1/Y</t>
    </r>
    <r>
      <rPr>
        <vertAlign val="subscript"/>
        <sz val="11"/>
        <rFont val="Calibri"/>
        <family val="2"/>
      </rPr>
      <t>SOO,S,ox</t>
    </r>
  </si>
  <si>
    <r>
      <t>SOO growth on S°, NO</t>
    </r>
    <r>
      <rPr>
        <vertAlign val="subscript"/>
        <sz val="11"/>
        <color rgb="FF000000"/>
        <rFont val="Calibri"/>
        <family val="2"/>
        <scheme val="minor"/>
      </rPr>
      <t>2</t>
    </r>
  </si>
  <si>
    <r>
      <t>-(EEQ</t>
    </r>
    <r>
      <rPr>
        <vertAlign val="subscript"/>
        <sz val="11"/>
        <rFont val="Calibri"/>
        <family val="2"/>
      </rPr>
      <t>S</t>
    </r>
    <r>
      <rPr>
        <sz val="11"/>
        <rFont val="Calibri"/>
        <family val="2"/>
      </rPr>
      <t>-Y</t>
    </r>
    <r>
      <rPr>
        <vertAlign val="subscript"/>
        <sz val="11"/>
        <rFont val="Calibri"/>
        <family val="2"/>
      </rPr>
      <t>SOO,S,anox</t>
    </r>
    <r>
      <rPr>
        <sz val="11"/>
        <rFont val="Calibri"/>
        <family val="2"/>
      </rPr>
      <t>)/(EEQ</t>
    </r>
    <r>
      <rPr>
        <vertAlign val="subscript"/>
        <sz val="11"/>
        <rFont val="Calibri"/>
        <family val="2"/>
      </rPr>
      <t>N2,NO2</t>
    </r>
    <r>
      <rPr>
        <sz val="11"/>
        <rFont val="Calibri"/>
        <family val="2"/>
      </rPr>
      <t>*Y</t>
    </r>
    <r>
      <rPr>
        <vertAlign val="subscript"/>
        <sz val="11"/>
        <rFont val="Calibri"/>
        <family val="2"/>
      </rPr>
      <t>SOO,S,anox</t>
    </r>
    <r>
      <rPr>
        <sz val="11"/>
        <rFont val="Calibri"/>
        <family val="2"/>
      </rPr>
      <t>)</t>
    </r>
  </si>
  <si>
    <r>
      <t>(EEQ</t>
    </r>
    <r>
      <rPr>
        <vertAlign val="subscript"/>
        <sz val="11"/>
        <rFont val="Calibri"/>
        <family val="2"/>
      </rPr>
      <t>S</t>
    </r>
    <r>
      <rPr>
        <sz val="11"/>
        <rFont val="Calibri"/>
        <family val="2"/>
      </rPr>
      <t>-Y</t>
    </r>
    <r>
      <rPr>
        <vertAlign val="subscript"/>
        <sz val="11"/>
        <rFont val="Calibri"/>
        <family val="2"/>
      </rPr>
      <t>SOO,S,anox</t>
    </r>
    <r>
      <rPr>
        <sz val="11"/>
        <rFont val="Calibri"/>
        <family val="2"/>
      </rPr>
      <t>)/(EEQ</t>
    </r>
    <r>
      <rPr>
        <vertAlign val="subscript"/>
        <sz val="11"/>
        <rFont val="Calibri"/>
        <family val="2"/>
      </rPr>
      <t>N2,NO2</t>
    </r>
    <r>
      <rPr>
        <sz val="11"/>
        <rFont val="Calibri"/>
        <family val="2"/>
      </rPr>
      <t>*Y</t>
    </r>
    <r>
      <rPr>
        <vertAlign val="subscript"/>
        <sz val="11"/>
        <rFont val="Calibri"/>
        <family val="2"/>
      </rPr>
      <t>SOO,S,anox</t>
    </r>
    <r>
      <rPr>
        <sz val="11"/>
        <rFont val="Calibri"/>
        <family val="2"/>
      </rPr>
      <t>)</t>
    </r>
  </si>
  <si>
    <r>
      <t>1/Y</t>
    </r>
    <r>
      <rPr>
        <vertAlign val="subscript"/>
        <sz val="11"/>
        <rFont val="Calibri"/>
        <family val="2"/>
      </rPr>
      <t>SOO,S,anox</t>
    </r>
    <r>
      <rPr>
        <sz val="11"/>
        <rFont val="Calibri"/>
        <family val="2"/>
      </rPr>
      <t>-i</t>
    </r>
    <r>
      <rPr>
        <vertAlign val="subscript"/>
        <sz val="11"/>
        <rFont val="Calibri"/>
        <family val="2"/>
      </rPr>
      <t>S,BIO</t>
    </r>
  </si>
  <si>
    <r>
      <t>-1/Y</t>
    </r>
    <r>
      <rPr>
        <vertAlign val="subscript"/>
        <sz val="11"/>
        <rFont val="Calibri"/>
        <family val="2"/>
      </rPr>
      <t>SOO,S,anox</t>
    </r>
  </si>
  <si>
    <r>
      <t>SOO growth on S°, NO</t>
    </r>
    <r>
      <rPr>
        <vertAlign val="subscript"/>
        <sz val="11"/>
        <color rgb="FF000000"/>
        <rFont val="Calibri"/>
        <family val="2"/>
        <scheme val="minor"/>
      </rPr>
      <t>3</t>
    </r>
  </si>
  <si>
    <r>
      <t>(EEQ</t>
    </r>
    <r>
      <rPr>
        <vertAlign val="subscript"/>
        <sz val="11"/>
        <rFont val="Calibri"/>
        <family val="2"/>
      </rPr>
      <t>S</t>
    </r>
    <r>
      <rPr>
        <sz val="11"/>
        <rFont val="Calibri"/>
        <family val="2"/>
      </rPr>
      <t>-Y</t>
    </r>
    <r>
      <rPr>
        <vertAlign val="subscript"/>
        <sz val="11"/>
        <rFont val="Calibri"/>
        <family val="2"/>
      </rPr>
      <t>SOO,S,anox</t>
    </r>
    <r>
      <rPr>
        <sz val="11"/>
        <rFont val="Calibri"/>
        <family val="2"/>
      </rPr>
      <t>)/(EEQ</t>
    </r>
    <r>
      <rPr>
        <vertAlign val="subscript"/>
        <sz val="11"/>
        <rFont val="Calibri"/>
        <family val="2"/>
      </rPr>
      <t>NO2,NO3</t>
    </r>
    <r>
      <rPr>
        <sz val="11"/>
        <rFont val="Calibri"/>
        <family val="2"/>
      </rPr>
      <t>*Y</t>
    </r>
    <r>
      <rPr>
        <vertAlign val="subscript"/>
        <sz val="11"/>
        <rFont val="Calibri"/>
        <family val="2"/>
      </rPr>
      <t>SOO,S,anox</t>
    </r>
    <r>
      <rPr>
        <sz val="11"/>
        <rFont val="Calibri"/>
        <family val="2"/>
      </rPr>
      <t>)</t>
    </r>
  </si>
  <si>
    <r>
      <t>-(EEQ</t>
    </r>
    <r>
      <rPr>
        <vertAlign val="subscript"/>
        <sz val="11"/>
        <rFont val="Calibri"/>
        <family val="2"/>
      </rPr>
      <t>S</t>
    </r>
    <r>
      <rPr>
        <sz val="11"/>
        <rFont val="Calibri"/>
        <family val="2"/>
      </rPr>
      <t>-Y</t>
    </r>
    <r>
      <rPr>
        <vertAlign val="subscript"/>
        <sz val="11"/>
        <rFont val="Calibri"/>
        <family val="2"/>
      </rPr>
      <t>SOO,S,anox</t>
    </r>
    <r>
      <rPr>
        <sz val="11"/>
        <rFont val="Calibri"/>
        <family val="2"/>
      </rPr>
      <t>)/(EEQ</t>
    </r>
    <r>
      <rPr>
        <vertAlign val="subscript"/>
        <sz val="11"/>
        <rFont val="Calibri"/>
        <family val="2"/>
      </rPr>
      <t>NO2,NO3</t>
    </r>
    <r>
      <rPr>
        <sz val="11"/>
        <rFont val="Calibri"/>
        <family val="2"/>
      </rPr>
      <t>*Y</t>
    </r>
    <r>
      <rPr>
        <vertAlign val="subscript"/>
        <sz val="11"/>
        <rFont val="Calibri"/>
        <family val="2"/>
      </rPr>
      <t>SOO,S,anox</t>
    </r>
    <r>
      <rPr>
        <sz val="11"/>
        <rFont val="Calibri"/>
        <family val="2"/>
      </rPr>
      <t>)</t>
    </r>
  </si>
  <si>
    <t>SOO decay</t>
  </si>
  <si>
    <t>ASRO anaerobic decay</t>
  </si>
  <si>
    <t>HSRO anaerobic decay</t>
  </si>
  <si>
    <t>SOO anaerobic decay</t>
  </si>
  <si>
    <r>
      <t>b</t>
    </r>
    <r>
      <rPr>
        <vertAlign val="subscript"/>
        <sz val="11"/>
        <rFont val="Calibri"/>
        <family val="2"/>
      </rPr>
      <t>SOO,T</t>
    </r>
    <r>
      <rPr>
        <sz val="11"/>
        <rFont val="Calibri"/>
        <family val="2"/>
      </rPr>
      <t>*X</t>
    </r>
    <r>
      <rPr>
        <vertAlign val="subscript"/>
        <sz val="11"/>
        <rFont val="Calibri"/>
        <family val="2"/>
      </rPr>
      <t>SOO</t>
    </r>
    <r>
      <rPr>
        <sz val="11"/>
        <rFont val="Calibri"/>
        <family val="2"/>
      </rPr>
      <t>*(Msat</t>
    </r>
    <r>
      <rPr>
        <vertAlign val="subscript"/>
        <sz val="11"/>
        <rFont val="Calibri"/>
        <family val="2"/>
      </rPr>
      <t>SO2,KO2,H2S,SOO</t>
    </r>
    <r>
      <rPr>
        <sz val="11"/>
        <rFont val="Calibri"/>
        <family val="2"/>
      </rPr>
      <t>+Msat</t>
    </r>
    <r>
      <rPr>
        <vertAlign val="subscript"/>
        <sz val="11"/>
        <rFont val="Calibri"/>
        <family val="2"/>
      </rPr>
      <t>SNO2,KNO2,H2S,SOO</t>
    </r>
    <r>
      <rPr>
        <sz val="11"/>
        <rFont val="Calibri"/>
        <family val="2"/>
      </rPr>
      <t>*Minh</t>
    </r>
    <r>
      <rPr>
        <vertAlign val="subscript"/>
        <sz val="11"/>
        <rFont val="Calibri"/>
        <family val="2"/>
      </rPr>
      <t>SO2,KO2,H2S,SOO</t>
    </r>
    <r>
      <rPr>
        <sz val="11"/>
        <rFont val="Calibri"/>
        <family val="2"/>
      </rPr>
      <t>+Msat</t>
    </r>
    <r>
      <rPr>
        <vertAlign val="subscript"/>
        <sz val="11"/>
        <rFont val="Calibri"/>
        <family val="2"/>
      </rPr>
      <t>SNO3,KNO3,H2S,SOO</t>
    </r>
    <r>
      <rPr>
        <sz val="11"/>
        <rFont val="Calibri"/>
        <family val="2"/>
      </rPr>
      <t>*Minh</t>
    </r>
    <r>
      <rPr>
        <vertAlign val="subscript"/>
        <sz val="11"/>
        <rFont val="Calibri"/>
        <family val="2"/>
      </rPr>
      <t>SNO2,KNO2,H2S,SOO</t>
    </r>
    <r>
      <rPr>
        <sz val="11"/>
        <rFont val="Calibri"/>
        <family val="2"/>
      </rPr>
      <t>*Minh</t>
    </r>
    <r>
      <rPr>
        <vertAlign val="subscript"/>
        <sz val="11"/>
        <rFont val="Calibri"/>
        <family val="2"/>
      </rPr>
      <t>SO2,KO2,H2S,SOO</t>
    </r>
    <r>
      <rPr>
        <sz val="11"/>
        <rFont val="Calibri"/>
        <family val="2"/>
      </rPr>
      <t>)</t>
    </r>
  </si>
  <si>
    <r>
      <t>b</t>
    </r>
    <r>
      <rPr>
        <vertAlign val="subscript"/>
        <sz val="11"/>
        <rFont val="Calibri"/>
        <family val="2"/>
      </rPr>
      <t>SOO,T</t>
    </r>
    <r>
      <rPr>
        <sz val="11"/>
        <rFont val="Calibri"/>
        <family val="2"/>
      </rPr>
      <t>*X</t>
    </r>
    <r>
      <rPr>
        <vertAlign val="subscript"/>
        <sz val="11"/>
        <rFont val="Calibri"/>
        <family val="2"/>
      </rPr>
      <t>SOO</t>
    </r>
    <r>
      <rPr>
        <sz val="11"/>
        <rFont val="Calibri"/>
        <family val="2"/>
      </rPr>
      <t>*Minh</t>
    </r>
    <r>
      <rPr>
        <vertAlign val="subscript"/>
        <sz val="11"/>
        <rFont val="Calibri"/>
        <family val="2"/>
      </rPr>
      <t>SNO2,KNO2,H2S,SOO</t>
    </r>
    <r>
      <rPr>
        <sz val="11"/>
        <rFont val="Calibri"/>
        <family val="2"/>
      </rPr>
      <t>*Minh</t>
    </r>
    <r>
      <rPr>
        <vertAlign val="subscript"/>
        <sz val="11"/>
        <rFont val="Calibri"/>
        <family val="2"/>
      </rPr>
      <t>SNO3,KNO3,H2S,SOO</t>
    </r>
    <r>
      <rPr>
        <sz val="11"/>
        <rFont val="Calibri"/>
        <family val="2"/>
      </rPr>
      <t>*Minh</t>
    </r>
    <r>
      <rPr>
        <vertAlign val="subscript"/>
        <sz val="11"/>
        <rFont val="Calibri"/>
        <family val="2"/>
      </rPr>
      <t>SO2,KO2,H2S,SOO</t>
    </r>
  </si>
  <si>
    <r>
      <t>H</t>
    </r>
    <r>
      <rPr>
        <vertAlign val="subscript"/>
        <sz val="11"/>
        <color rgb="FF000000"/>
        <rFont val="Calibri"/>
        <family val="2"/>
        <scheme val="minor"/>
      </rPr>
      <t>2</t>
    </r>
    <r>
      <rPr>
        <sz val="11"/>
        <color rgb="FF000000"/>
        <rFont val="Calibri"/>
        <family val="2"/>
        <charset val="238"/>
        <scheme val="minor"/>
      </rPr>
      <t>S oxidation to S°</t>
    </r>
  </si>
  <si>
    <r>
      <t>-(EEQ</t>
    </r>
    <r>
      <rPr>
        <vertAlign val="subscript"/>
        <sz val="11"/>
        <rFont val="Calibri"/>
        <family val="2"/>
      </rPr>
      <t>H2S</t>
    </r>
    <r>
      <rPr>
        <sz val="11"/>
        <rFont val="Calibri"/>
        <family val="2"/>
      </rPr>
      <t>-EEQ</t>
    </r>
    <r>
      <rPr>
        <vertAlign val="subscript"/>
        <sz val="11"/>
        <rFont val="Calibri"/>
        <family val="2"/>
      </rPr>
      <t>S</t>
    </r>
    <r>
      <rPr>
        <sz val="11"/>
        <rFont val="Calibri"/>
        <family val="2"/>
      </rPr>
      <t>)</t>
    </r>
  </si>
  <si>
    <r>
      <t>q</t>
    </r>
    <r>
      <rPr>
        <vertAlign val="subscript"/>
        <sz val="11"/>
        <rFont val="Calibri"/>
        <family val="2"/>
      </rPr>
      <t>H2S,OX</t>
    </r>
    <r>
      <rPr>
        <sz val="11"/>
        <rFont val="Calibri"/>
        <family val="2"/>
      </rPr>
      <t>*S</t>
    </r>
    <r>
      <rPr>
        <vertAlign val="subscript"/>
        <sz val="11"/>
        <rFont val="Calibri"/>
        <family val="2"/>
      </rPr>
      <t>H2S</t>
    </r>
    <r>
      <rPr>
        <sz val="11"/>
        <rFont val="Calibri"/>
        <family val="2"/>
      </rPr>
      <t>*Msat</t>
    </r>
    <r>
      <rPr>
        <vertAlign val="subscript"/>
        <sz val="11"/>
        <rFont val="Calibri"/>
        <family val="2"/>
      </rPr>
      <t>SO2,KO2,OHO</t>
    </r>
  </si>
  <si>
    <r>
      <t>g.m</t>
    </r>
    <r>
      <rPr>
        <vertAlign val="superscript"/>
        <sz val="11"/>
        <rFont val="Calibri"/>
        <family val="2"/>
      </rPr>
      <t>-3</t>
    </r>
    <r>
      <rPr>
        <sz val="11"/>
        <rFont val="Calibri"/>
        <family val="2"/>
      </rPr>
      <t>.d</t>
    </r>
    <r>
      <rPr>
        <vertAlign val="superscript"/>
        <sz val="11"/>
        <rFont val="Calibri"/>
        <family val="2"/>
      </rPr>
      <t>-1</t>
    </r>
    <r>
      <rPr>
        <sz val="11"/>
        <color theme="1"/>
        <rFont val="Calibri"/>
        <family val="2"/>
        <scheme val="minor"/>
      </rPr>
      <t/>
    </r>
  </si>
  <si>
    <r>
      <t>S° oxidation to SO</t>
    </r>
    <r>
      <rPr>
        <vertAlign val="subscript"/>
        <sz val="11"/>
        <rFont val="Calibri"/>
        <family val="2"/>
      </rPr>
      <t>4</t>
    </r>
  </si>
  <si>
    <r>
      <t>-EEQ</t>
    </r>
    <r>
      <rPr>
        <vertAlign val="subscript"/>
        <sz val="11"/>
        <rFont val="Calibri"/>
        <family val="2"/>
      </rPr>
      <t>S</t>
    </r>
  </si>
  <si>
    <r>
      <t>q</t>
    </r>
    <r>
      <rPr>
        <vertAlign val="subscript"/>
        <sz val="11"/>
        <rFont val="Calibri"/>
        <family val="2"/>
      </rPr>
      <t>S,OX</t>
    </r>
    <r>
      <rPr>
        <sz val="11"/>
        <rFont val="Calibri"/>
        <family val="2"/>
      </rPr>
      <t>*</t>
    </r>
    <r>
      <rPr>
        <sz val="11"/>
        <rFont val="Calibri"/>
        <family val="2"/>
      </rPr>
      <t>X</t>
    </r>
    <r>
      <rPr>
        <vertAlign val="subscript"/>
        <sz val="11"/>
        <rFont val="Calibri"/>
        <family val="2"/>
      </rPr>
      <t>S</t>
    </r>
    <r>
      <rPr>
        <sz val="11"/>
        <rFont val="Calibri"/>
        <family val="2"/>
      </rPr>
      <t>*Msat</t>
    </r>
    <r>
      <rPr>
        <vertAlign val="subscript"/>
        <sz val="11"/>
        <rFont val="Calibri"/>
        <family val="2"/>
      </rPr>
      <t>SO2,KO2,OHO</t>
    </r>
  </si>
  <si>
    <r>
      <t>H</t>
    </r>
    <r>
      <rPr>
        <vertAlign val="subscript"/>
        <sz val="11"/>
        <color rgb="FF000000"/>
        <rFont val="Calibri"/>
        <family val="2"/>
        <scheme val="minor"/>
      </rPr>
      <t>2</t>
    </r>
    <r>
      <rPr>
        <sz val="11"/>
        <color rgb="FF000000"/>
        <rFont val="Calibri"/>
        <family val="2"/>
        <charset val="238"/>
        <scheme val="minor"/>
      </rPr>
      <t>S assimilative oxidation</t>
    </r>
  </si>
  <si>
    <r>
      <t>EEQ</t>
    </r>
    <r>
      <rPr>
        <vertAlign val="subscript"/>
        <sz val="11"/>
        <rFont val="Calibri"/>
        <family val="2"/>
      </rPr>
      <t>H2S</t>
    </r>
  </si>
  <si>
    <r>
      <t>Reduction of X</t>
    </r>
    <r>
      <rPr>
        <vertAlign val="subscript"/>
        <sz val="11"/>
        <rFont val="Calibri"/>
        <family val="2"/>
      </rPr>
      <t>HFO</t>
    </r>
    <r>
      <rPr>
        <sz val="11"/>
        <rFont val="Calibri"/>
        <family val="2"/>
      </rPr>
      <t xml:space="preserve"> with sulfide</t>
    </r>
  </si>
  <si>
    <r>
      <t>-EEQ</t>
    </r>
    <r>
      <rPr>
        <vertAlign val="subscript"/>
        <sz val="11"/>
        <rFont val="Calibri"/>
        <family val="2"/>
      </rPr>
      <t>Fe2</t>
    </r>
    <r>
      <rPr>
        <sz val="11"/>
        <rFont val="Calibri"/>
        <family val="2"/>
      </rPr>
      <t>/(EEQ</t>
    </r>
    <r>
      <rPr>
        <vertAlign val="subscript"/>
        <sz val="11"/>
        <rFont val="Calibri"/>
        <family val="2"/>
      </rPr>
      <t>H2S</t>
    </r>
    <r>
      <rPr>
        <sz val="11"/>
        <rFont val="Calibri"/>
        <family val="2"/>
      </rPr>
      <t>-EEQ</t>
    </r>
    <r>
      <rPr>
        <vertAlign val="subscript"/>
        <sz val="11"/>
        <rFont val="Calibri"/>
        <family val="2"/>
      </rPr>
      <t>S</t>
    </r>
    <r>
      <rPr>
        <sz val="11"/>
        <rFont val="Calibri"/>
        <family val="2"/>
      </rPr>
      <t>)</t>
    </r>
  </si>
  <si>
    <r>
      <t>EEQ</t>
    </r>
    <r>
      <rPr>
        <vertAlign val="subscript"/>
        <sz val="11"/>
        <rFont val="Calibri"/>
        <family val="2"/>
      </rPr>
      <t>Fe2</t>
    </r>
    <r>
      <rPr>
        <sz val="11"/>
        <rFont val="Calibri"/>
        <family val="2"/>
      </rPr>
      <t>/(EEQ</t>
    </r>
    <r>
      <rPr>
        <vertAlign val="subscript"/>
        <sz val="11"/>
        <rFont val="Calibri"/>
        <family val="2"/>
      </rPr>
      <t>H2S</t>
    </r>
    <r>
      <rPr>
        <sz val="11"/>
        <rFont val="Calibri"/>
        <family val="2"/>
      </rPr>
      <t>-EEQ</t>
    </r>
    <r>
      <rPr>
        <vertAlign val="subscript"/>
        <sz val="11"/>
        <rFont val="Calibri"/>
        <family val="2"/>
      </rPr>
      <t>S</t>
    </r>
    <r>
      <rPr>
        <sz val="11"/>
        <rFont val="Calibri"/>
        <family val="2"/>
      </rPr>
      <t>)</t>
    </r>
  </si>
  <si>
    <t>Oxidation of FeS</t>
  </si>
  <si>
    <r>
      <t>-EEQ</t>
    </r>
    <r>
      <rPr>
        <vertAlign val="subscript"/>
        <sz val="11"/>
        <rFont val="Calibri"/>
        <family val="2"/>
      </rPr>
      <t>Fe2</t>
    </r>
    <r>
      <rPr>
        <sz val="11"/>
        <rFont val="Calibri"/>
        <family val="2"/>
      </rPr>
      <t>*AM</t>
    </r>
    <r>
      <rPr>
        <vertAlign val="subscript"/>
        <sz val="11"/>
        <rFont val="Calibri"/>
        <family val="2"/>
      </rPr>
      <t>Fe</t>
    </r>
    <r>
      <rPr>
        <sz val="11"/>
        <rFont val="Calibri"/>
        <family val="2"/>
      </rPr>
      <t>/MM</t>
    </r>
    <r>
      <rPr>
        <vertAlign val="subscript"/>
        <sz val="11"/>
        <rFont val="Calibri"/>
        <family val="2"/>
      </rPr>
      <t>FeS</t>
    </r>
  </si>
  <si>
    <r>
      <t>AM</t>
    </r>
    <r>
      <rPr>
        <vertAlign val="subscript"/>
        <sz val="11"/>
        <rFont val="Calibri"/>
        <family val="2"/>
      </rPr>
      <t>S</t>
    </r>
    <r>
      <rPr>
        <sz val="11"/>
        <rFont val="Calibri"/>
        <family val="2"/>
      </rPr>
      <t>/MM</t>
    </r>
    <r>
      <rPr>
        <vertAlign val="subscript"/>
        <sz val="11"/>
        <rFont val="Calibri"/>
        <family val="2"/>
      </rPr>
      <t>FeS</t>
    </r>
  </si>
  <si>
    <r>
      <t>AM</t>
    </r>
    <r>
      <rPr>
        <vertAlign val="subscript"/>
        <sz val="11"/>
        <rFont val="Calibri"/>
        <family val="2"/>
      </rPr>
      <t>Fe</t>
    </r>
    <r>
      <rPr>
        <sz val="11"/>
        <rFont val="Calibri"/>
        <family val="2"/>
      </rPr>
      <t>/MM</t>
    </r>
    <r>
      <rPr>
        <vertAlign val="subscript"/>
        <sz val="11"/>
        <rFont val="Calibri"/>
        <family val="2"/>
      </rPr>
      <t>FeS</t>
    </r>
  </si>
  <si>
    <t>Iron sulfide precipitation</t>
  </si>
  <si>
    <r>
      <t>-AM</t>
    </r>
    <r>
      <rPr>
        <vertAlign val="subscript"/>
        <sz val="11"/>
        <rFont val="Calibri"/>
        <family val="2"/>
      </rPr>
      <t>S</t>
    </r>
    <r>
      <rPr>
        <sz val="11"/>
        <rFont val="Calibri"/>
        <family val="2"/>
      </rPr>
      <t>/MM</t>
    </r>
    <r>
      <rPr>
        <vertAlign val="subscript"/>
        <sz val="11"/>
        <rFont val="Calibri"/>
        <family val="2"/>
      </rPr>
      <t>FeS</t>
    </r>
  </si>
  <si>
    <r>
      <t>-AM</t>
    </r>
    <r>
      <rPr>
        <vertAlign val="subscript"/>
        <sz val="11"/>
        <rFont val="Calibri"/>
        <family val="2"/>
      </rPr>
      <t>Fe</t>
    </r>
    <r>
      <rPr>
        <sz val="11"/>
        <rFont val="Calibri"/>
        <family val="2"/>
      </rPr>
      <t>/MM</t>
    </r>
    <r>
      <rPr>
        <vertAlign val="subscript"/>
        <sz val="11"/>
        <rFont val="Calibri"/>
        <family val="2"/>
      </rPr>
      <t>FeS</t>
    </r>
  </si>
  <si>
    <r>
      <t>q</t>
    </r>
    <r>
      <rPr>
        <vertAlign val="subscript"/>
        <sz val="11"/>
        <rFont val="Calibri"/>
        <family val="2"/>
      </rPr>
      <t>FeS</t>
    </r>
    <r>
      <rPr>
        <sz val="11"/>
        <rFont val="Calibri"/>
        <family val="2"/>
      </rPr>
      <t>*PrecipDrivingForce</t>
    </r>
    <r>
      <rPr>
        <vertAlign val="subscript"/>
        <sz val="11"/>
        <rFont val="Calibri"/>
        <family val="2"/>
      </rPr>
      <t>FeS</t>
    </r>
    <r>
      <rPr>
        <vertAlign val="superscript"/>
        <sz val="11"/>
        <rFont val="Calibri"/>
        <family val="2"/>
      </rPr>
      <t>^2</t>
    </r>
  </si>
  <si>
    <t>Hydrogen sulfide gas transfer</t>
  </si>
  <si>
    <t>Methyl mercaptan potential production</t>
  </si>
  <si>
    <t>Methyl mercaptan potential degradation</t>
  </si>
  <si>
    <t>Methyl mercaptan potential transfer</t>
  </si>
  <si>
    <t>r86</t>
  </si>
  <si>
    <t>r87</t>
  </si>
  <si>
    <t>r88</t>
  </si>
  <si>
    <t>r89</t>
  </si>
  <si>
    <t>r90</t>
  </si>
  <si>
    <t>r91</t>
  </si>
  <si>
    <t>r92</t>
  </si>
  <si>
    <t>r93</t>
  </si>
  <si>
    <t>r94</t>
  </si>
  <si>
    <t>r95</t>
  </si>
  <si>
    <t>r96</t>
  </si>
  <si>
    <t>r97</t>
  </si>
  <si>
    <t>r98</t>
  </si>
  <si>
    <t>r99</t>
  </si>
  <si>
    <t>r100</t>
  </si>
  <si>
    <t>r101</t>
  </si>
  <si>
    <t>r102</t>
  </si>
  <si>
    <t>r103</t>
  </si>
  <si>
    <t>r104</t>
  </si>
  <si>
    <t>r105</t>
  </si>
  <si>
    <t>r106</t>
  </si>
  <si>
    <t>r107</t>
  </si>
  <si>
    <t>r108</t>
  </si>
  <si>
    <t>r109</t>
  </si>
  <si>
    <r>
      <t>i</t>
    </r>
    <r>
      <rPr>
        <vertAlign val="subscript"/>
        <sz val="11"/>
        <rFont val="Calibri"/>
        <family val="2"/>
      </rPr>
      <t>S,BIO</t>
    </r>
  </si>
  <si>
    <r>
      <t>[H</t>
    </r>
    <r>
      <rPr>
        <b/>
        <vertAlign val="subscript"/>
        <sz val="11"/>
        <rFont val="Calibri"/>
        <family val="2"/>
      </rPr>
      <t>2</t>
    </r>
    <r>
      <rPr>
        <b/>
        <sz val="11"/>
        <rFont val="Calibri"/>
        <family val="2"/>
      </rPr>
      <t>SO</t>
    </r>
    <r>
      <rPr>
        <b/>
        <vertAlign val="subscript"/>
        <sz val="11"/>
        <rFont val="Calibri"/>
        <family val="2"/>
      </rPr>
      <t>4</t>
    </r>
    <r>
      <rPr>
        <b/>
        <sz val="11"/>
        <rFont val="Calibri"/>
        <family val="2"/>
      </rPr>
      <t>]</t>
    </r>
  </si>
  <si>
    <t>Sulfuric acid</t>
  </si>
  <si>
    <r>
      <t>f(S</t>
    </r>
    <r>
      <rPr>
        <vertAlign val="subscript"/>
        <sz val="11"/>
        <rFont val="Calibri"/>
        <family val="2"/>
      </rPr>
      <t>H2SO4</t>
    </r>
    <r>
      <rPr>
        <sz val="11"/>
        <rFont val="Calibri"/>
        <family val="2"/>
      </rPr>
      <t>); pH</t>
    </r>
  </si>
  <si>
    <r>
      <t>[HSO</t>
    </r>
    <r>
      <rPr>
        <b/>
        <vertAlign val="subscript"/>
        <sz val="11"/>
        <rFont val="Calibri"/>
        <family val="2"/>
      </rPr>
      <t>4</t>
    </r>
    <r>
      <rPr>
        <b/>
        <vertAlign val="superscript"/>
        <sz val="11"/>
        <rFont val="Calibri"/>
        <family val="2"/>
      </rPr>
      <t>-</t>
    </r>
    <r>
      <rPr>
        <b/>
        <sz val="11"/>
        <rFont val="Calibri"/>
        <family val="2"/>
      </rPr>
      <t>]</t>
    </r>
  </si>
  <si>
    <t>Hydrosulfate ion</t>
  </si>
  <si>
    <r>
      <t>[SO</t>
    </r>
    <r>
      <rPr>
        <b/>
        <vertAlign val="subscript"/>
        <sz val="11"/>
        <rFont val="Calibri"/>
        <family val="2"/>
      </rPr>
      <t>4</t>
    </r>
    <r>
      <rPr>
        <b/>
        <vertAlign val="superscript"/>
        <sz val="11"/>
        <rFont val="Calibri"/>
        <family val="2"/>
      </rPr>
      <t>2-</t>
    </r>
    <r>
      <rPr>
        <b/>
        <sz val="11"/>
        <rFont val="Calibri"/>
        <family val="2"/>
      </rPr>
      <t>]</t>
    </r>
  </si>
  <si>
    <t>Sulfate</t>
  </si>
  <si>
    <r>
      <t>[H</t>
    </r>
    <r>
      <rPr>
        <b/>
        <vertAlign val="subscript"/>
        <sz val="11"/>
        <rFont val="Calibri"/>
        <family val="2"/>
      </rPr>
      <t>2</t>
    </r>
    <r>
      <rPr>
        <b/>
        <sz val="11"/>
        <rFont val="Calibri"/>
        <family val="2"/>
      </rPr>
      <t>S]</t>
    </r>
  </si>
  <si>
    <t>Hydrogen sulfide</t>
  </si>
  <si>
    <r>
      <t>f(S</t>
    </r>
    <r>
      <rPr>
        <vertAlign val="subscript"/>
        <sz val="11"/>
        <rFont val="Calibri"/>
        <family val="2"/>
      </rPr>
      <t>H2S</t>
    </r>
    <r>
      <rPr>
        <sz val="11"/>
        <rFont val="Calibri"/>
        <family val="2"/>
      </rPr>
      <t>); pH</t>
    </r>
  </si>
  <si>
    <r>
      <t>[HS</t>
    </r>
    <r>
      <rPr>
        <b/>
        <vertAlign val="superscript"/>
        <sz val="11"/>
        <rFont val="Calibri"/>
        <family val="2"/>
      </rPr>
      <t>-</t>
    </r>
    <r>
      <rPr>
        <b/>
        <sz val="11"/>
        <rFont val="Calibri"/>
        <family val="2"/>
      </rPr>
      <t>]</t>
    </r>
  </si>
  <si>
    <t>Bisulfide ion</t>
  </si>
  <si>
    <r>
      <t>[S</t>
    </r>
    <r>
      <rPr>
        <b/>
        <vertAlign val="superscript"/>
        <sz val="11"/>
        <rFont val="Calibri"/>
        <family val="2"/>
      </rPr>
      <t>2-</t>
    </r>
    <r>
      <rPr>
        <b/>
        <sz val="11"/>
        <rFont val="Calibri"/>
        <family val="2"/>
      </rPr>
      <t>]</t>
    </r>
  </si>
  <si>
    <t>Sulfide ion</t>
  </si>
  <si>
    <r>
      <t>[H</t>
    </r>
    <r>
      <rPr>
        <b/>
        <vertAlign val="subscript"/>
        <sz val="11"/>
        <rFont val="Calibri"/>
        <family val="2"/>
        <charset val="238"/>
        <scheme val="minor"/>
      </rPr>
      <t>2</t>
    </r>
    <r>
      <rPr>
        <b/>
        <sz val="11"/>
        <rFont val="Calibri"/>
        <family val="2"/>
        <scheme val="minor"/>
      </rPr>
      <t>SO</t>
    </r>
    <r>
      <rPr>
        <b/>
        <vertAlign val="subscript"/>
        <sz val="11"/>
        <rFont val="Calibri"/>
        <family val="2"/>
      </rPr>
      <t>4</t>
    </r>
    <r>
      <rPr>
        <b/>
        <sz val="11"/>
        <rFont val="Calibri"/>
        <family val="2"/>
      </rPr>
      <t>]</t>
    </r>
  </si>
  <si>
    <r>
      <t>map</t>
    </r>
    <r>
      <rPr>
        <vertAlign val="subscript"/>
        <sz val="11"/>
        <rFont val="Calibri"/>
        <family val="2"/>
      </rPr>
      <t>SO4</t>
    </r>
  </si>
  <si>
    <t>Sulfate fully dissociated</t>
  </si>
  <si>
    <r>
      <t>diss</t>
    </r>
    <r>
      <rPr>
        <vertAlign val="subscript"/>
        <sz val="11"/>
        <rFont val="Calibri"/>
        <family val="2"/>
      </rPr>
      <t>H2S</t>
    </r>
  </si>
  <si>
    <t>Dissociation of hydrogen sulfide</t>
  </si>
  <si>
    <r>
      <t>([H</t>
    </r>
    <r>
      <rPr>
        <vertAlign val="superscript"/>
        <sz val="11"/>
        <rFont val="Calibri"/>
        <family val="2"/>
      </rPr>
      <t>+</t>
    </r>
    <r>
      <rPr>
        <sz val="11"/>
        <rFont val="Calibri"/>
        <family val="2"/>
      </rPr>
      <t>]^2*S</t>
    </r>
    <r>
      <rPr>
        <vertAlign val="subscript"/>
        <sz val="11"/>
        <rFont val="Calibri"/>
        <family val="2"/>
      </rPr>
      <t>SO4</t>
    </r>
    <r>
      <rPr>
        <sz val="11"/>
        <rFont val="Calibri"/>
        <family val="2"/>
      </rPr>
      <t>/(AM</t>
    </r>
    <r>
      <rPr>
        <vertAlign val="subscript"/>
        <sz val="11"/>
        <rFont val="Calibri"/>
        <family val="2"/>
      </rPr>
      <t>S</t>
    </r>
    <r>
      <rPr>
        <sz val="11"/>
        <rFont val="Calibri"/>
        <family val="2"/>
      </rPr>
      <t>*1000))/([H</t>
    </r>
    <r>
      <rPr>
        <vertAlign val="superscript"/>
        <sz val="11"/>
        <rFont val="Calibri"/>
        <family val="2"/>
      </rPr>
      <t>+</t>
    </r>
    <r>
      <rPr>
        <sz val="11"/>
        <rFont val="Calibri"/>
        <family val="2"/>
      </rPr>
      <t>]^2+[H</t>
    </r>
    <r>
      <rPr>
        <vertAlign val="superscript"/>
        <sz val="11"/>
        <rFont val="Calibri"/>
        <family val="2"/>
      </rPr>
      <t>+</t>
    </r>
    <r>
      <rPr>
        <sz val="11"/>
        <rFont val="Calibri"/>
        <family val="2"/>
      </rPr>
      <t>]*K</t>
    </r>
    <r>
      <rPr>
        <vertAlign val="subscript"/>
        <sz val="11"/>
        <rFont val="Calibri"/>
        <family val="2"/>
      </rPr>
      <t>SO41</t>
    </r>
    <r>
      <rPr>
        <sz val="11"/>
        <rFont val="Calibri"/>
        <family val="2"/>
      </rPr>
      <t>+K</t>
    </r>
    <r>
      <rPr>
        <vertAlign val="subscript"/>
        <sz val="11"/>
        <rFont val="Calibri"/>
        <family val="2"/>
      </rPr>
      <t>SO41</t>
    </r>
    <r>
      <rPr>
        <sz val="11"/>
        <rFont val="Calibri"/>
        <family val="2"/>
      </rPr>
      <t>* K</t>
    </r>
    <r>
      <rPr>
        <vertAlign val="subscript"/>
        <sz val="11"/>
        <rFont val="Calibri"/>
        <family val="2"/>
      </rPr>
      <t>SO42</t>
    </r>
    <r>
      <rPr>
        <sz val="11"/>
        <rFont val="Calibri"/>
        <family val="2"/>
      </rPr>
      <t>)</t>
    </r>
  </si>
  <si>
    <r>
      <t>([H</t>
    </r>
    <r>
      <rPr>
        <vertAlign val="superscript"/>
        <sz val="11"/>
        <rFont val="Calibri"/>
        <family val="2"/>
      </rPr>
      <t>+</t>
    </r>
    <r>
      <rPr>
        <sz val="11"/>
        <rFont val="Calibri"/>
        <family val="2"/>
      </rPr>
      <t>]*K</t>
    </r>
    <r>
      <rPr>
        <vertAlign val="subscript"/>
        <sz val="11"/>
        <rFont val="Calibri"/>
        <family val="2"/>
      </rPr>
      <t>SO41</t>
    </r>
    <r>
      <rPr>
        <sz val="11"/>
        <rFont val="Calibri"/>
        <family val="2"/>
      </rPr>
      <t>*S</t>
    </r>
    <r>
      <rPr>
        <vertAlign val="subscript"/>
        <sz val="11"/>
        <rFont val="Calibri"/>
        <family val="2"/>
      </rPr>
      <t>SO4</t>
    </r>
    <r>
      <rPr>
        <sz val="11"/>
        <rFont val="Calibri"/>
        <family val="2"/>
      </rPr>
      <t>/(AM</t>
    </r>
    <r>
      <rPr>
        <vertAlign val="subscript"/>
        <sz val="11"/>
        <rFont val="Calibri"/>
        <family val="2"/>
      </rPr>
      <t>S</t>
    </r>
    <r>
      <rPr>
        <sz val="11"/>
        <rFont val="Calibri"/>
        <family val="2"/>
      </rPr>
      <t>*1000))/([H</t>
    </r>
    <r>
      <rPr>
        <vertAlign val="superscript"/>
        <sz val="11"/>
        <rFont val="Calibri"/>
        <family val="2"/>
      </rPr>
      <t>+</t>
    </r>
    <r>
      <rPr>
        <sz val="11"/>
        <rFont val="Calibri"/>
        <family val="2"/>
      </rPr>
      <t>]^2+[H</t>
    </r>
    <r>
      <rPr>
        <vertAlign val="superscript"/>
        <sz val="11"/>
        <rFont val="Calibri"/>
        <family val="2"/>
      </rPr>
      <t>+</t>
    </r>
    <r>
      <rPr>
        <sz val="11"/>
        <rFont val="Calibri"/>
        <family val="2"/>
      </rPr>
      <t>]*K</t>
    </r>
    <r>
      <rPr>
        <vertAlign val="subscript"/>
        <sz val="11"/>
        <rFont val="Calibri"/>
        <family val="2"/>
      </rPr>
      <t>SO41</t>
    </r>
    <r>
      <rPr>
        <sz val="11"/>
        <rFont val="Calibri"/>
        <family val="2"/>
      </rPr>
      <t>+K</t>
    </r>
    <r>
      <rPr>
        <vertAlign val="subscript"/>
        <sz val="11"/>
        <rFont val="Calibri"/>
        <family val="2"/>
      </rPr>
      <t>SO41</t>
    </r>
    <r>
      <rPr>
        <sz val="11"/>
        <rFont val="Calibri"/>
        <family val="2"/>
      </rPr>
      <t>*K</t>
    </r>
    <r>
      <rPr>
        <vertAlign val="subscript"/>
        <sz val="11"/>
        <rFont val="Calibri"/>
        <family val="2"/>
      </rPr>
      <t>SO42</t>
    </r>
    <r>
      <rPr>
        <sz val="11"/>
        <rFont val="Calibri"/>
        <family val="2"/>
      </rPr>
      <t>)</t>
    </r>
  </si>
  <si>
    <r>
      <t>(K</t>
    </r>
    <r>
      <rPr>
        <vertAlign val="subscript"/>
        <sz val="11"/>
        <rFont val="Calibri"/>
        <family val="2"/>
        <scheme val="minor"/>
      </rPr>
      <t>SO41</t>
    </r>
    <r>
      <rPr>
        <sz val="11"/>
        <rFont val="Calibri"/>
        <family val="2"/>
        <scheme val="minor"/>
      </rPr>
      <t>*K</t>
    </r>
    <r>
      <rPr>
        <vertAlign val="subscript"/>
        <sz val="11"/>
        <rFont val="Calibri"/>
        <family val="2"/>
        <scheme val="minor"/>
      </rPr>
      <t>SO42</t>
    </r>
    <r>
      <rPr>
        <sz val="11"/>
        <rFont val="Calibri"/>
        <family val="2"/>
        <scheme val="minor"/>
      </rPr>
      <t>*S</t>
    </r>
    <r>
      <rPr>
        <vertAlign val="subscript"/>
        <sz val="11"/>
        <rFont val="Calibri"/>
        <family val="2"/>
        <scheme val="minor"/>
      </rPr>
      <t>SO4</t>
    </r>
    <r>
      <rPr>
        <sz val="11"/>
        <rFont val="Calibri"/>
        <family val="2"/>
        <scheme val="minor"/>
      </rPr>
      <t>/(AM</t>
    </r>
    <r>
      <rPr>
        <vertAlign val="subscript"/>
        <sz val="11"/>
        <rFont val="Calibri"/>
        <family val="2"/>
        <scheme val="minor"/>
      </rPr>
      <t>S</t>
    </r>
    <r>
      <rPr>
        <sz val="11"/>
        <rFont val="Calibri"/>
        <family val="2"/>
        <scheme val="minor"/>
      </rPr>
      <t>*1000))/([H</t>
    </r>
    <r>
      <rPr>
        <vertAlign val="superscript"/>
        <sz val="11"/>
        <rFont val="Calibri"/>
        <family val="2"/>
        <scheme val="minor"/>
      </rPr>
      <t>+</t>
    </r>
    <r>
      <rPr>
        <sz val="11"/>
        <rFont val="Calibri"/>
        <family val="2"/>
        <scheme val="minor"/>
      </rPr>
      <t>]^2+[H</t>
    </r>
    <r>
      <rPr>
        <vertAlign val="superscript"/>
        <sz val="11"/>
        <rFont val="Calibri"/>
        <family val="2"/>
        <scheme val="minor"/>
      </rPr>
      <t>+</t>
    </r>
    <r>
      <rPr>
        <sz val="11"/>
        <rFont val="Calibri"/>
        <family val="2"/>
        <scheme val="minor"/>
      </rPr>
      <t>]*K</t>
    </r>
    <r>
      <rPr>
        <vertAlign val="subscript"/>
        <sz val="11"/>
        <rFont val="Calibri"/>
        <family val="2"/>
        <scheme val="minor"/>
      </rPr>
      <t>SO41</t>
    </r>
    <r>
      <rPr>
        <sz val="11"/>
        <rFont val="Calibri"/>
        <family val="2"/>
        <scheme val="minor"/>
      </rPr>
      <t>+K</t>
    </r>
    <r>
      <rPr>
        <vertAlign val="subscript"/>
        <sz val="11"/>
        <rFont val="Calibri"/>
        <family val="2"/>
        <scheme val="minor"/>
      </rPr>
      <t>SO41</t>
    </r>
    <r>
      <rPr>
        <sz val="11"/>
        <rFont val="Calibri"/>
        <family val="2"/>
        <scheme val="minor"/>
      </rPr>
      <t>*K</t>
    </r>
    <r>
      <rPr>
        <vertAlign val="subscript"/>
        <sz val="11"/>
        <rFont val="Calibri"/>
        <family val="2"/>
        <scheme val="minor"/>
      </rPr>
      <t>SO42</t>
    </r>
    <r>
      <rPr>
        <sz val="11"/>
        <rFont val="Calibri"/>
        <family val="2"/>
        <scheme val="minor"/>
      </rPr>
      <t>)</t>
    </r>
  </si>
  <si>
    <r>
      <t>([H</t>
    </r>
    <r>
      <rPr>
        <vertAlign val="superscript"/>
        <sz val="11"/>
        <rFont val="Calibri"/>
        <family val="2"/>
      </rPr>
      <t>+</t>
    </r>
    <r>
      <rPr>
        <sz val="11"/>
        <rFont val="Calibri"/>
        <family val="2"/>
      </rPr>
      <t>]^2*S</t>
    </r>
    <r>
      <rPr>
        <vertAlign val="subscript"/>
        <sz val="11"/>
        <rFont val="Calibri"/>
        <family val="2"/>
      </rPr>
      <t>H2S</t>
    </r>
    <r>
      <rPr>
        <sz val="11"/>
        <rFont val="Calibri"/>
        <family val="2"/>
      </rPr>
      <t>/(AM</t>
    </r>
    <r>
      <rPr>
        <vertAlign val="subscript"/>
        <sz val="11"/>
        <rFont val="Calibri"/>
        <family val="2"/>
      </rPr>
      <t>S</t>
    </r>
    <r>
      <rPr>
        <sz val="11"/>
        <rFont val="Calibri"/>
        <family val="2"/>
      </rPr>
      <t>*1000))/([H</t>
    </r>
    <r>
      <rPr>
        <vertAlign val="superscript"/>
        <sz val="11"/>
        <rFont val="Calibri"/>
        <family val="2"/>
      </rPr>
      <t>+</t>
    </r>
    <r>
      <rPr>
        <sz val="11"/>
        <rFont val="Calibri"/>
        <family val="2"/>
      </rPr>
      <t>]^2+[H</t>
    </r>
    <r>
      <rPr>
        <vertAlign val="superscript"/>
        <sz val="11"/>
        <rFont val="Calibri"/>
        <family val="2"/>
      </rPr>
      <t>+</t>
    </r>
    <r>
      <rPr>
        <sz val="11"/>
        <rFont val="Calibri"/>
        <family val="2"/>
      </rPr>
      <t>]*K</t>
    </r>
    <r>
      <rPr>
        <vertAlign val="subscript"/>
        <sz val="11"/>
        <rFont val="Calibri"/>
        <family val="2"/>
      </rPr>
      <t>S1</t>
    </r>
    <r>
      <rPr>
        <sz val="11"/>
        <rFont val="Calibri"/>
        <family val="2"/>
      </rPr>
      <t>+K</t>
    </r>
    <r>
      <rPr>
        <vertAlign val="subscript"/>
        <sz val="11"/>
        <rFont val="Calibri"/>
        <family val="2"/>
      </rPr>
      <t>S1</t>
    </r>
    <r>
      <rPr>
        <sz val="11"/>
        <rFont val="Calibri"/>
        <family val="2"/>
      </rPr>
      <t>* K</t>
    </r>
    <r>
      <rPr>
        <vertAlign val="subscript"/>
        <sz val="11"/>
        <rFont val="Calibri"/>
        <family val="2"/>
      </rPr>
      <t>S2</t>
    </r>
    <r>
      <rPr>
        <sz val="11"/>
        <rFont val="Calibri"/>
        <family val="2"/>
      </rPr>
      <t>)</t>
    </r>
  </si>
  <si>
    <r>
      <t>([H</t>
    </r>
    <r>
      <rPr>
        <vertAlign val="superscript"/>
        <sz val="11"/>
        <rFont val="Calibri"/>
        <family val="2"/>
      </rPr>
      <t>+</t>
    </r>
    <r>
      <rPr>
        <sz val="11"/>
        <rFont val="Calibri"/>
        <family val="2"/>
      </rPr>
      <t>]*K</t>
    </r>
    <r>
      <rPr>
        <vertAlign val="subscript"/>
        <sz val="11"/>
        <rFont val="Calibri"/>
        <family val="2"/>
      </rPr>
      <t>S1</t>
    </r>
    <r>
      <rPr>
        <sz val="11"/>
        <rFont val="Calibri"/>
        <family val="2"/>
      </rPr>
      <t>*S</t>
    </r>
    <r>
      <rPr>
        <vertAlign val="subscript"/>
        <sz val="11"/>
        <rFont val="Calibri"/>
        <family val="2"/>
      </rPr>
      <t>H2S</t>
    </r>
    <r>
      <rPr>
        <sz val="11"/>
        <rFont val="Calibri"/>
        <family val="2"/>
      </rPr>
      <t>/(AM</t>
    </r>
    <r>
      <rPr>
        <vertAlign val="subscript"/>
        <sz val="11"/>
        <rFont val="Calibri"/>
        <family val="2"/>
      </rPr>
      <t>S</t>
    </r>
    <r>
      <rPr>
        <sz val="11"/>
        <rFont val="Calibri"/>
        <family val="2"/>
      </rPr>
      <t>*1000))/([H</t>
    </r>
    <r>
      <rPr>
        <vertAlign val="superscript"/>
        <sz val="11"/>
        <rFont val="Calibri"/>
        <family val="2"/>
      </rPr>
      <t>+</t>
    </r>
    <r>
      <rPr>
        <sz val="11"/>
        <rFont val="Calibri"/>
        <family val="2"/>
      </rPr>
      <t>]^2+[H</t>
    </r>
    <r>
      <rPr>
        <vertAlign val="superscript"/>
        <sz val="11"/>
        <rFont val="Calibri"/>
        <family val="2"/>
      </rPr>
      <t>+</t>
    </r>
    <r>
      <rPr>
        <sz val="11"/>
        <rFont val="Calibri"/>
        <family val="2"/>
      </rPr>
      <t>]*K</t>
    </r>
    <r>
      <rPr>
        <vertAlign val="subscript"/>
        <sz val="11"/>
        <rFont val="Calibri"/>
        <family val="2"/>
      </rPr>
      <t>S1</t>
    </r>
    <r>
      <rPr>
        <sz val="11"/>
        <rFont val="Calibri"/>
        <family val="2"/>
      </rPr>
      <t>+K</t>
    </r>
    <r>
      <rPr>
        <vertAlign val="subscript"/>
        <sz val="11"/>
        <rFont val="Calibri"/>
        <family val="2"/>
      </rPr>
      <t>S1</t>
    </r>
    <r>
      <rPr>
        <sz val="11"/>
        <rFont val="Calibri"/>
        <family val="2"/>
      </rPr>
      <t>*K</t>
    </r>
    <r>
      <rPr>
        <vertAlign val="subscript"/>
        <sz val="11"/>
        <rFont val="Calibri"/>
        <family val="2"/>
      </rPr>
      <t>S2</t>
    </r>
    <r>
      <rPr>
        <sz val="11"/>
        <rFont val="Calibri"/>
        <family val="2"/>
      </rPr>
      <t>)</t>
    </r>
  </si>
  <si>
    <r>
      <t>(K</t>
    </r>
    <r>
      <rPr>
        <vertAlign val="subscript"/>
        <sz val="11"/>
        <rFont val="Calibri"/>
        <family val="2"/>
        <scheme val="minor"/>
      </rPr>
      <t>S1</t>
    </r>
    <r>
      <rPr>
        <sz val="11"/>
        <rFont val="Calibri"/>
        <family val="2"/>
        <scheme val="minor"/>
      </rPr>
      <t>*K</t>
    </r>
    <r>
      <rPr>
        <vertAlign val="subscript"/>
        <sz val="11"/>
        <rFont val="Calibri"/>
        <family val="2"/>
        <scheme val="minor"/>
      </rPr>
      <t>S2</t>
    </r>
    <r>
      <rPr>
        <sz val="11"/>
        <rFont val="Calibri"/>
        <family val="2"/>
        <scheme val="minor"/>
      </rPr>
      <t>*S</t>
    </r>
    <r>
      <rPr>
        <vertAlign val="subscript"/>
        <sz val="11"/>
        <rFont val="Calibri"/>
        <family val="2"/>
        <scheme val="minor"/>
      </rPr>
      <t>H2S</t>
    </r>
    <r>
      <rPr>
        <sz val="11"/>
        <rFont val="Calibri"/>
        <family val="2"/>
        <scheme val="minor"/>
      </rPr>
      <t>/(AM</t>
    </r>
    <r>
      <rPr>
        <vertAlign val="subscript"/>
        <sz val="11"/>
        <rFont val="Calibri"/>
        <family val="2"/>
        <scheme val="minor"/>
      </rPr>
      <t>S</t>
    </r>
    <r>
      <rPr>
        <sz val="11"/>
        <rFont val="Calibri"/>
        <family val="2"/>
        <scheme val="minor"/>
      </rPr>
      <t>*1000))/([H</t>
    </r>
    <r>
      <rPr>
        <vertAlign val="superscript"/>
        <sz val="11"/>
        <rFont val="Calibri"/>
        <family val="2"/>
        <scheme val="minor"/>
      </rPr>
      <t>+</t>
    </r>
    <r>
      <rPr>
        <sz val="11"/>
        <rFont val="Calibri"/>
        <family val="2"/>
        <scheme val="minor"/>
      </rPr>
      <t>]^2+[H</t>
    </r>
    <r>
      <rPr>
        <vertAlign val="superscript"/>
        <sz val="11"/>
        <rFont val="Calibri"/>
        <family val="2"/>
        <scheme val="minor"/>
      </rPr>
      <t>+</t>
    </r>
    <r>
      <rPr>
        <sz val="11"/>
        <rFont val="Calibri"/>
        <family val="2"/>
        <scheme val="minor"/>
      </rPr>
      <t>]*K</t>
    </r>
    <r>
      <rPr>
        <vertAlign val="subscript"/>
        <sz val="11"/>
        <rFont val="Calibri"/>
        <family val="2"/>
        <scheme val="minor"/>
      </rPr>
      <t>S1</t>
    </r>
    <r>
      <rPr>
        <sz val="11"/>
        <rFont val="Calibri"/>
        <family val="2"/>
        <scheme val="minor"/>
      </rPr>
      <t>+K</t>
    </r>
    <r>
      <rPr>
        <vertAlign val="subscript"/>
        <sz val="11"/>
        <rFont val="Calibri"/>
        <family val="2"/>
        <scheme val="minor"/>
      </rPr>
      <t>S1</t>
    </r>
    <r>
      <rPr>
        <sz val="11"/>
        <rFont val="Calibri"/>
        <family val="2"/>
        <scheme val="minor"/>
      </rPr>
      <t>*K</t>
    </r>
    <r>
      <rPr>
        <vertAlign val="subscript"/>
        <sz val="11"/>
        <rFont val="Calibri"/>
        <family val="2"/>
        <scheme val="minor"/>
      </rPr>
      <t>S2</t>
    </r>
    <r>
      <rPr>
        <sz val="11"/>
        <rFont val="Calibri"/>
        <family val="2"/>
        <scheme val="minor"/>
      </rPr>
      <t>)</t>
    </r>
  </si>
  <si>
    <r>
      <t>T</t>
    </r>
    <r>
      <rPr>
        <vertAlign val="subscript"/>
        <sz val="11"/>
        <rFont val="Calibri"/>
        <family val="2"/>
        <scheme val="minor"/>
      </rPr>
      <t>S</t>
    </r>
  </si>
  <si>
    <t>Total sulfur</t>
  </si>
  <si>
    <r>
      <t>X</t>
    </r>
    <r>
      <rPr>
        <vertAlign val="subscript"/>
        <sz val="11"/>
        <rFont val="Calibri"/>
        <family val="2"/>
        <scheme val="minor"/>
      </rPr>
      <t xml:space="preserve">HFO </t>
    </r>
    <r>
      <rPr>
        <sz val="11"/>
        <rFont val="Calibri"/>
        <family val="2"/>
        <scheme val="minor"/>
      </rPr>
      <t>+ S</t>
    </r>
    <r>
      <rPr>
        <vertAlign val="subscript"/>
        <sz val="11"/>
        <rFont val="Calibri"/>
        <family val="2"/>
        <scheme val="minor"/>
      </rPr>
      <t>Fe2</t>
    </r>
    <r>
      <rPr>
        <sz val="11"/>
        <rFont val="Calibri"/>
        <family val="2"/>
        <scheme val="minor"/>
      </rPr>
      <t>+X</t>
    </r>
    <r>
      <rPr>
        <vertAlign val="subscript"/>
        <sz val="11"/>
        <rFont val="Calibri"/>
        <family val="2"/>
        <scheme val="minor"/>
      </rPr>
      <t>FeS</t>
    </r>
    <r>
      <rPr>
        <sz val="11"/>
        <rFont val="Calibri"/>
        <family val="2"/>
        <scheme val="minor"/>
      </rPr>
      <t>*AM</t>
    </r>
    <r>
      <rPr>
        <vertAlign val="subscript"/>
        <sz val="11"/>
        <rFont val="Calibri"/>
        <family val="2"/>
        <scheme val="minor"/>
      </rPr>
      <t>Fe</t>
    </r>
    <r>
      <rPr>
        <sz val="11"/>
        <rFont val="Calibri"/>
        <family val="2"/>
        <scheme val="minor"/>
      </rPr>
      <t>/MM</t>
    </r>
    <r>
      <rPr>
        <vertAlign val="subscript"/>
        <sz val="11"/>
        <rFont val="Calibri"/>
        <family val="2"/>
        <scheme val="minor"/>
      </rPr>
      <t>FeS</t>
    </r>
    <r>
      <rPr>
        <sz val="11"/>
        <rFont val="Calibri"/>
        <family val="2"/>
        <scheme val="minor"/>
      </rPr>
      <t>+X</t>
    </r>
    <r>
      <rPr>
        <vertAlign val="subscript"/>
        <sz val="11"/>
        <rFont val="Calibri"/>
        <family val="2"/>
        <scheme val="minor"/>
      </rPr>
      <t>Vivi</t>
    </r>
    <r>
      <rPr>
        <sz val="11"/>
        <rFont val="Calibri"/>
        <family val="2"/>
        <scheme val="minor"/>
      </rPr>
      <t>*3*AM</t>
    </r>
    <r>
      <rPr>
        <vertAlign val="subscript"/>
        <sz val="11"/>
        <rFont val="Calibri"/>
        <family val="2"/>
        <scheme val="minor"/>
      </rPr>
      <t>Fe</t>
    </r>
    <r>
      <rPr>
        <sz val="11"/>
        <rFont val="Calibri"/>
        <family val="2"/>
        <scheme val="minor"/>
      </rPr>
      <t>/MM</t>
    </r>
    <r>
      <rPr>
        <vertAlign val="subscript"/>
        <sz val="11"/>
        <rFont val="Calibri"/>
        <family val="2"/>
        <scheme val="minor"/>
      </rPr>
      <t>Vivi</t>
    </r>
  </si>
  <si>
    <t>Odor index calculation</t>
  </si>
  <si>
    <r>
      <t>Odor</t>
    </r>
    <r>
      <rPr>
        <vertAlign val="subscript"/>
        <sz val="11"/>
        <rFont val="Calibri"/>
        <family val="2"/>
        <scheme val="minor"/>
      </rPr>
      <t>H2S</t>
    </r>
  </si>
  <si>
    <t>Odor index of H2S</t>
  </si>
  <si>
    <r>
      <t>Min(Max(G</t>
    </r>
    <r>
      <rPr>
        <vertAlign val="subscript"/>
        <sz val="11"/>
        <color indexed="8"/>
        <rFont val="Calibri"/>
        <family val="2"/>
      </rPr>
      <t>H2S</t>
    </r>
    <r>
      <rPr>
        <sz val="11"/>
        <color indexed="8"/>
        <rFont val="Calibri"/>
        <family val="2"/>
      </rPr>
      <t>/G</t>
    </r>
    <r>
      <rPr>
        <vertAlign val="subscript"/>
        <sz val="11"/>
        <color indexed="8"/>
        <rFont val="Calibri"/>
        <family val="2"/>
      </rPr>
      <t>H2S,odor,lim</t>
    </r>
    <r>
      <rPr>
        <sz val="11"/>
        <color indexed="8"/>
        <rFont val="Calibri"/>
        <family val="2"/>
      </rPr>
      <t>;0)*10;10)</t>
    </r>
  </si>
  <si>
    <r>
      <t>Odor</t>
    </r>
    <r>
      <rPr>
        <vertAlign val="subscript"/>
        <sz val="11"/>
        <rFont val="Calibri"/>
        <family val="2"/>
        <scheme val="minor"/>
      </rPr>
      <t>MM</t>
    </r>
  </si>
  <si>
    <t>Odor index of methyl mercaptan</t>
  </si>
  <si>
    <r>
      <t>Odor</t>
    </r>
    <r>
      <rPr>
        <vertAlign val="subscript"/>
        <sz val="11"/>
        <rFont val="Calibri"/>
        <family val="2"/>
        <scheme val="minor"/>
      </rPr>
      <t>index</t>
    </r>
  </si>
  <si>
    <t>Odor index</t>
  </si>
  <si>
    <r>
      <t>n</t>
    </r>
    <r>
      <rPr>
        <vertAlign val="subscript"/>
        <sz val="11"/>
        <color indexed="8"/>
        <rFont val="Calibri"/>
        <family val="2"/>
      </rPr>
      <t>H2S,odor</t>
    </r>
    <r>
      <rPr>
        <sz val="11"/>
        <color indexed="8"/>
        <rFont val="Calibri"/>
        <family val="2"/>
      </rPr>
      <t>*Odor</t>
    </r>
    <r>
      <rPr>
        <vertAlign val="subscript"/>
        <sz val="11"/>
        <color indexed="8"/>
        <rFont val="Calibri"/>
        <family val="2"/>
      </rPr>
      <t>H2S</t>
    </r>
    <r>
      <rPr>
        <sz val="11"/>
        <color indexed="8"/>
        <rFont val="Calibri"/>
        <family val="2"/>
      </rPr>
      <t>+(1-n</t>
    </r>
    <r>
      <rPr>
        <vertAlign val="subscript"/>
        <sz val="11"/>
        <color indexed="8"/>
        <rFont val="Calibri"/>
        <family val="2"/>
      </rPr>
      <t>H2S,odor</t>
    </r>
    <r>
      <rPr>
        <sz val="11"/>
        <color indexed="8"/>
        <rFont val="Calibri"/>
        <family val="2"/>
      </rPr>
      <t>)*Odor</t>
    </r>
    <r>
      <rPr>
        <vertAlign val="subscript"/>
        <sz val="11"/>
        <color indexed="8"/>
        <rFont val="Calibri"/>
        <family val="2"/>
      </rPr>
      <t>MM</t>
    </r>
  </si>
  <si>
    <r>
      <t>PrecipDrivingForce</t>
    </r>
    <r>
      <rPr>
        <vertAlign val="subscript"/>
        <sz val="11"/>
        <color theme="1"/>
        <rFont val="Calibri"/>
        <family val="2"/>
        <scheme val="minor"/>
      </rPr>
      <t>FeS</t>
    </r>
  </si>
  <si>
    <t>Rate expression of FeS precipitation (driving force)</t>
  </si>
  <si>
    <r>
      <t>q</t>
    </r>
    <r>
      <rPr>
        <vertAlign val="subscript"/>
        <sz val="11"/>
        <color theme="1"/>
        <rFont val="Calibri"/>
        <family val="2"/>
        <scheme val="minor"/>
      </rPr>
      <t>FeS</t>
    </r>
  </si>
  <si>
    <r>
      <t>If(PrecipDrivingForce</t>
    </r>
    <r>
      <rPr>
        <vertAlign val="subscript"/>
        <sz val="11"/>
        <color theme="1"/>
        <rFont val="Calibri"/>
        <family val="2"/>
        <scheme val="minor"/>
      </rPr>
      <t>FeS</t>
    </r>
    <r>
      <rPr>
        <sz val="11"/>
        <color theme="1"/>
        <rFont val="Calibri"/>
        <family val="2"/>
        <scheme val="minor"/>
      </rPr>
      <t>&gt;0;q</t>
    </r>
    <r>
      <rPr>
        <vertAlign val="subscript"/>
        <sz val="11"/>
        <color theme="1"/>
        <rFont val="Calibri"/>
        <family val="2"/>
        <scheme val="minor"/>
      </rPr>
      <t>FeS,PREC</t>
    </r>
    <r>
      <rPr>
        <sz val="11"/>
        <color theme="1"/>
        <rFont val="Calibri"/>
        <family val="2"/>
        <scheme val="minor"/>
      </rPr>
      <t>;-q</t>
    </r>
    <r>
      <rPr>
        <vertAlign val="subscript"/>
        <sz val="11"/>
        <color theme="1"/>
        <rFont val="Calibri"/>
        <family val="2"/>
        <scheme val="minor"/>
      </rPr>
      <t>FeS,DISS</t>
    </r>
    <r>
      <rPr>
        <sz val="11"/>
        <color theme="1"/>
        <rFont val="Calibri"/>
        <family val="2"/>
        <scheme val="minor"/>
      </rPr>
      <t>*Msat</t>
    </r>
    <r>
      <rPr>
        <vertAlign val="subscript"/>
        <sz val="11"/>
        <color theme="1"/>
        <rFont val="Calibri"/>
        <family val="2"/>
        <scheme val="minor"/>
      </rPr>
      <t>XFeS,KFeS,DISS</t>
    </r>
    <r>
      <rPr>
        <sz val="11"/>
        <color theme="1"/>
        <rFont val="Calibri"/>
        <family val="2"/>
        <scheme val="minor"/>
      </rPr>
      <t>)</t>
    </r>
  </si>
  <si>
    <t>Half-saturations for acidoclastic sulfate-reducing organisms (ASRO)</t>
  </si>
  <si>
    <r>
      <t>K</t>
    </r>
    <r>
      <rPr>
        <vertAlign val="subscript"/>
        <sz val="11"/>
        <rFont val="Calibri"/>
        <family val="2"/>
        <scheme val="minor"/>
      </rPr>
      <t>VFA,ASRO</t>
    </r>
  </si>
  <si>
    <t>Half-saturation of VFA for ASROs</t>
  </si>
  <si>
    <r>
      <t>K</t>
    </r>
    <r>
      <rPr>
        <vertAlign val="subscript"/>
        <sz val="11"/>
        <rFont val="Calibri"/>
        <family val="2"/>
        <scheme val="minor"/>
      </rPr>
      <t>SO4,ASRO</t>
    </r>
  </si>
  <si>
    <r>
      <t>Half-saturation of SO</t>
    </r>
    <r>
      <rPr>
        <vertAlign val="subscript"/>
        <sz val="11"/>
        <color rgb="FF000000"/>
        <rFont val="Calibri"/>
        <family val="2"/>
        <scheme val="minor"/>
      </rPr>
      <t>4</t>
    </r>
    <r>
      <rPr>
        <sz val="11"/>
        <color rgb="FF000000"/>
        <rFont val="Calibri"/>
        <family val="2"/>
        <charset val="238"/>
        <scheme val="minor"/>
      </rPr>
      <t xml:space="preserve"> for ASROs</t>
    </r>
  </si>
  <si>
    <r>
      <t>Ki</t>
    </r>
    <r>
      <rPr>
        <vertAlign val="subscript"/>
        <sz val="11"/>
        <rFont val="Calibri"/>
        <family val="2"/>
        <scheme val="minor"/>
      </rPr>
      <t>H2S,ASRO</t>
    </r>
  </si>
  <si>
    <r>
      <t>Half-inhibition of H</t>
    </r>
    <r>
      <rPr>
        <vertAlign val="subscript"/>
        <sz val="11"/>
        <color rgb="FF000000"/>
        <rFont val="Calibri"/>
        <family val="2"/>
        <scheme val="minor"/>
      </rPr>
      <t>2</t>
    </r>
    <r>
      <rPr>
        <sz val="11"/>
        <color rgb="FF000000"/>
        <rFont val="Calibri"/>
        <family val="2"/>
        <charset val="238"/>
        <scheme val="minor"/>
      </rPr>
      <t>S for ASROs</t>
    </r>
  </si>
  <si>
    <r>
      <t>K</t>
    </r>
    <r>
      <rPr>
        <vertAlign val="subscript"/>
        <sz val="11"/>
        <rFont val="Calibri"/>
        <family val="2"/>
        <scheme val="minor"/>
      </rPr>
      <t>NOx,ASRO</t>
    </r>
  </si>
  <si>
    <r>
      <t>Half-saturation of NO</t>
    </r>
    <r>
      <rPr>
        <vertAlign val="subscript"/>
        <sz val="11"/>
        <color rgb="FF000000"/>
        <rFont val="Calibri"/>
        <family val="2"/>
        <scheme val="minor"/>
      </rPr>
      <t>x</t>
    </r>
    <r>
      <rPr>
        <sz val="11"/>
        <color rgb="FF000000"/>
        <rFont val="Calibri"/>
        <family val="2"/>
        <charset val="238"/>
        <scheme val="minor"/>
      </rPr>
      <t xml:space="preserve"> for ASROs</t>
    </r>
  </si>
  <si>
    <r>
      <t>K</t>
    </r>
    <r>
      <rPr>
        <vertAlign val="subscript"/>
        <sz val="11"/>
        <rFont val="Calibri"/>
        <family val="2"/>
        <scheme val="minor"/>
      </rPr>
      <t>NOx,ASRO,AS</t>
    </r>
  </si>
  <si>
    <t>Half-saturations for hydrogenotrophic sulfate-reducing organisms (HSRO)</t>
  </si>
  <si>
    <r>
      <t>K</t>
    </r>
    <r>
      <rPr>
        <vertAlign val="subscript"/>
        <sz val="11"/>
        <rFont val="Calibri"/>
        <family val="2"/>
        <scheme val="minor"/>
      </rPr>
      <t>H2,HSRO</t>
    </r>
  </si>
  <si>
    <r>
      <t>Half-saturation of H</t>
    </r>
    <r>
      <rPr>
        <vertAlign val="subscript"/>
        <sz val="11"/>
        <color rgb="FF000000"/>
        <rFont val="Calibri"/>
        <family val="2"/>
        <scheme val="minor"/>
      </rPr>
      <t>2</t>
    </r>
    <r>
      <rPr>
        <sz val="11"/>
        <color rgb="FF000000"/>
        <rFont val="Calibri"/>
        <family val="2"/>
        <charset val="238"/>
        <scheme val="minor"/>
      </rPr>
      <t xml:space="preserve"> for HSROs</t>
    </r>
  </si>
  <si>
    <r>
      <t>K</t>
    </r>
    <r>
      <rPr>
        <vertAlign val="subscript"/>
        <sz val="11"/>
        <rFont val="Calibri"/>
        <family val="2"/>
        <scheme val="minor"/>
      </rPr>
      <t>SO4,HSRO</t>
    </r>
  </si>
  <si>
    <r>
      <t>Half-saturation of SO</t>
    </r>
    <r>
      <rPr>
        <vertAlign val="subscript"/>
        <sz val="11"/>
        <color rgb="FF000000"/>
        <rFont val="Calibri"/>
        <family val="2"/>
        <scheme val="minor"/>
      </rPr>
      <t>4</t>
    </r>
    <r>
      <rPr>
        <sz val="11"/>
        <color rgb="FF000000"/>
        <rFont val="Calibri"/>
        <family val="2"/>
        <charset val="238"/>
        <scheme val="minor"/>
      </rPr>
      <t xml:space="preserve"> for HSROs</t>
    </r>
  </si>
  <si>
    <r>
      <t>g S. m</t>
    </r>
    <r>
      <rPr>
        <vertAlign val="superscript"/>
        <sz val="11"/>
        <rFont val="Calibri"/>
        <family val="2"/>
        <scheme val="minor"/>
      </rPr>
      <t>-3</t>
    </r>
  </si>
  <si>
    <r>
      <t>Ki</t>
    </r>
    <r>
      <rPr>
        <vertAlign val="subscript"/>
        <sz val="11"/>
        <rFont val="Calibri"/>
        <family val="2"/>
        <scheme val="minor"/>
      </rPr>
      <t>H2S,HSRO</t>
    </r>
  </si>
  <si>
    <r>
      <t>Half-inhibition of H</t>
    </r>
    <r>
      <rPr>
        <vertAlign val="subscript"/>
        <sz val="11"/>
        <color rgb="FF000000"/>
        <rFont val="Calibri"/>
        <family val="2"/>
        <scheme val="minor"/>
      </rPr>
      <t>2</t>
    </r>
    <r>
      <rPr>
        <sz val="11"/>
        <color rgb="FF000000"/>
        <rFont val="Calibri"/>
        <family val="2"/>
        <charset val="238"/>
        <scheme val="minor"/>
      </rPr>
      <t>S for HSROs</t>
    </r>
  </si>
  <si>
    <r>
      <t>K</t>
    </r>
    <r>
      <rPr>
        <vertAlign val="subscript"/>
        <sz val="11"/>
        <rFont val="Calibri"/>
        <family val="2"/>
        <scheme val="minor"/>
      </rPr>
      <t>NOx,HSRO</t>
    </r>
  </si>
  <si>
    <r>
      <t>Half-saturation of NO</t>
    </r>
    <r>
      <rPr>
        <vertAlign val="subscript"/>
        <sz val="11"/>
        <color rgb="FF000000"/>
        <rFont val="Calibri"/>
        <family val="2"/>
        <scheme val="minor"/>
      </rPr>
      <t>x</t>
    </r>
    <r>
      <rPr>
        <sz val="11"/>
        <color rgb="FF000000"/>
        <rFont val="Calibri"/>
        <family val="2"/>
        <charset val="238"/>
        <scheme val="minor"/>
      </rPr>
      <t xml:space="preserve"> for HSROs</t>
    </r>
  </si>
  <si>
    <r>
      <t>K</t>
    </r>
    <r>
      <rPr>
        <vertAlign val="subscript"/>
        <sz val="11"/>
        <rFont val="Calibri"/>
        <family val="2"/>
        <scheme val="minor"/>
      </rPr>
      <t>NOx,HSRO,AS</t>
    </r>
  </si>
  <si>
    <t>Half-saturatiosn for sulfur-oxidizing organisms (SOO)</t>
  </si>
  <si>
    <r>
      <t>K</t>
    </r>
    <r>
      <rPr>
        <vertAlign val="subscript"/>
        <sz val="11"/>
        <rFont val="Calibri"/>
        <family val="2"/>
        <scheme val="minor"/>
      </rPr>
      <t>O2,H2S,SOO</t>
    </r>
  </si>
  <si>
    <r>
      <t>Half-saturation of O</t>
    </r>
    <r>
      <rPr>
        <vertAlign val="subscript"/>
        <sz val="11"/>
        <color rgb="FF000000"/>
        <rFont val="Calibri"/>
        <family val="2"/>
        <scheme val="minor"/>
      </rPr>
      <t>2</t>
    </r>
    <r>
      <rPr>
        <sz val="11"/>
        <color rgb="FF000000"/>
        <rFont val="Calibri"/>
        <family val="2"/>
        <charset val="238"/>
        <scheme val="minor"/>
      </rPr>
      <t xml:space="preserve"> for H</t>
    </r>
    <r>
      <rPr>
        <vertAlign val="subscript"/>
        <sz val="11"/>
        <color rgb="FF000000"/>
        <rFont val="Calibri"/>
        <family val="2"/>
        <scheme val="minor"/>
      </rPr>
      <t>2</t>
    </r>
    <r>
      <rPr>
        <sz val="11"/>
        <color rgb="FF000000"/>
        <rFont val="Calibri"/>
        <family val="2"/>
        <charset val="238"/>
        <scheme val="minor"/>
      </rPr>
      <t>S oxidation for SOOs</t>
    </r>
  </si>
  <si>
    <r>
      <t>K</t>
    </r>
    <r>
      <rPr>
        <vertAlign val="subscript"/>
        <sz val="11"/>
        <rFont val="Calibri"/>
        <family val="2"/>
        <scheme val="minor"/>
      </rPr>
      <t>NO2,H2S,SOO</t>
    </r>
  </si>
  <si>
    <r>
      <t>Half-saturation of NO</t>
    </r>
    <r>
      <rPr>
        <vertAlign val="subscript"/>
        <sz val="11"/>
        <color rgb="FF000000"/>
        <rFont val="Calibri"/>
        <family val="2"/>
        <scheme val="minor"/>
      </rPr>
      <t>2</t>
    </r>
    <r>
      <rPr>
        <sz val="11"/>
        <color rgb="FF000000"/>
        <rFont val="Calibri"/>
        <family val="2"/>
        <charset val="238"/>
        <scheme val="minor"/>
      </rPr>
      <t xml:space="preserve"> for H</t>
    </r>
    <r>
      <rPr>
        <vertAlign val="subscript"/>
        <sz val="11"/>
        <color rgb="FF000000"/>
        <rFont val="Calibri"/>
        <family val="2"/>
        <scheme val="minor"/>
      </rPr>
      <t>2</t>
    </r>
    <r>
      <rPr>
        <sz val="11"/>
        <color rgb="FF000000"/>
        <rFont val="Calibri"/>
        <family val="2"/>
        <charset val="238"/>
        <scheme val="minor"/>
      </rPr>
      <t>S for SOOs</t>
    </r>
  </si>
  <si>
    <r>
      <t>K</t>
    </r>
    <r>
      <rPr>
        <vertAlign val="subscript"/>
        <sz val="11"/>
        <rFont val="Calibri"/>
        <family val="2"/>
        <scheme val="minor"/>
      </rPr>
      <t>NO3,H2S,SOO</t>
    </r>
  </si>
  <si>
    <r>
      <t>Half-saturation of NO</t>
    </r>
    <r>
      <rPr>
        <vertAlign val="subscript"/>
        <sz val="11"/>
        <color rgb="FF000000"/>
        <rFont val="Calibri"/>
        <family val="2"/>
        <scheme val="minor"/>
      </rPr>
      <t>3</t>
    </r>
    <r>
      <rPr>
        <sz val="11"/>
        <color rgb="FF000000"/>
        <rFont val="Calibri"/>
        <family val="2"/>
        <charset val="238"/>
        <scheme val="minor"/>
      </rPr>
      <t xml:space="preserve"> for H</t>
    </r>
    <r>
      <rPr>
        <vertAlign val="subscript"/>
        <sz val="11"/>
        <color rgb="FF000000"/>
        <rFont val="Calibri"/>
        <family val="2"/>
        <scheme val="minor"/>
      </rPr>
      <t>2</t>
    </r>
    <r>
      <rPr>
        <sz val="11"/>
        <color rgb="FF000000"/>
        <rFont val="Calibri"/>
        <family val="2"/>
        <charset val="238"/>
        <scheme val="minor"/>
      </rPr>
      <t>S for SOOs</t>
    </r>
  </si>
  <si>
    <r>
      <t>K</t>
    </r>
    <r>
      <rPr>
        <vertAlign val="subscript"/>
        <sz val="11"/>
        <rFont val="Calibri"/>
        <family val="2"/>
        <scheme val="minor"/>
      </rPr>
      <t>O2,S,SOO</t>
    </r>
  </si>
  <si>
    <r>
      <t>Half-saturation of O</t>
    </r>
    <r>
      <rPr>
        <vertAlign val="subscript"/>
        <sz val="11"/>
        <color rgb="FF000000"/>
        <rFont val="Calibri"/>
        <family val="2"/>
        <scheme val="minor"/>
      </rPr>
      <t>2</t>
    </r>
    <r>
      <rPr>
        <sz val="11"/>
        <color rgb="FF000000"/>
        <rFont val="Calibri"/>
        <family val="2"/>
        <charset val="238"/>
        <scheme val="minor"/>
      </rPr>
      <t xml:space="preserve"> for S oxidation for SOOs</t>
    </r>
  </si>
  <si>
    <r>
      <t>K</t>
    </r>
    <r>
      <rPr>
        <vertAlign val="subscript"/>
        <sz val="11"/>
        <rFont val="Calibri"/>
        <family val="2"/>
        <scheme val="minor"/>
      </rPr>
      <t>NO2,S,SOO</t>
    </r>
  </si>
  <si>
    <r>
      <t>Half-saturation of NO</t>
    </r>
    <r>
      <rPr>
        <vertAlign val="subscript"/>
        <sz val="11"/>
        <color rgb="FF000000"/>
        <rFont val="Calibri"/>
        <family val="2"/>
        <scheme val="minor"/>
      </rPr>
      <t>2</t>
    </r>
    <r>
      <rPr>
        <sz val="11"/>
        <color rgb="FF000000"/>
        <rFont val="Calibri"/>
        <family val="2"/>
        <charset val="238"/>
        <scheme val="minor"/>
      </rPr>
      <t xml:space="preserve"> for S oxidation for SOOs</t>
    </r>
  </si>
  <si>
    <r>
      <t>K</t>
    </r>
    <r>
      <rPr>
        <vertAlign val="subscript"/>
        <sz val="11"/>
        <rFont val="Calibri"/>
        <family val="2"/>
        <scheme val="minor"/>
      </rPr>
      <t>NO3,S,SOO</t>
    </r>
  </si>
  <si>
    <r>
      <t>Half-saturation of NO</t>
    </r>
    <r>
      <rPr>
        <vertAlign val="subscript"/>
        <sz val="11"/>
        <color rgb="FF000000"/>
        <rFont val="Calibri"/>
        <family val="2"/>
        <scheme val="minor"/>
      </rPr>
      <t>3</t>
    </r>
    <r>
      <rPr>
        <sz val="11"/>
        <color rgb="FF000000"/>
        <rFont val="Calibri"/>
        <family val="2"/>
        <charset val="238"/>
        <scheme val="minor"/>
      </rPr>
      <t xml:space="preserve"> for S oxidation for SOOs</t>
    </r>
  </si>
  <si>
    <r>
      <t>K</t>
    </r>
    <r>
      <rPr>
        <vertAlign val="subscript"/>
        <sz val="11"/>
        <rFont val="Calibri"/>
        <family val="2"/>
        <scheme val="minor"/>
      </rPr>
      <t>H2S,SOO</t>
    </r>
  </si>
  <si>
    <r>
      <t>Half-saturation of H</t>
    </r>
    <r>
      <rPr>
        <vertAlign val="subscript"/>
        <sz val="11"/>
        <color rgb="FF000000"/>
        <rFont val="Calibri"/>
        <family val="2"/>
        <scheme val="minor"/>
      </rPr>
      <t>2</t>
    </r>
    <r>
      <rPr>
        <sz val="11"/>
        <color rgb="FF000000"/>
        <rFont val="Calibri"/>
        <family val="2"/>
        <charset val="238"/>
        <scheme val="minor"/>
      </rPr>
      <t>S for SOOs</t>
    </r>
  </si>
  <si>
    <r>
      <t>Ki</t>
    </r>
    <r>
      <rPr>
        <vertAlign val="subscript"/>
        <sz val="11"/>
        <rFont val="Calibri"/>
        <family val="2"/>
        <scheme val="minor"/>
      </rPr>
      <t>H2S,SOO</t>
    </r>
  </si>
  <si>
    <r>
      <t>Half-inhibition of H</t>
    </r>
    <r>
      <rPr>
        <vertAlign val="subscript"/>
        <sz val="11"/>
        <color rgb="FF000000"/>
        <rFont val="Calibri"/>
        <family val="2"/>
        <scheme val="minor"/>
      </rPr>
      <t>2</t>
    </r>
    <r>
      <rPr>
        <sz val="11"/>
        <color rgb="FF000000"/>
        <rFont val="Calibri"/>
        <family val="2"/>
        <charset val="238"/>
        <scheme val="minor"/>
      </rPr>
      <t>S for SOOs</t>
    </r>
  </si>
  <si>
    <r>
      <t>K</t>
    </r>
    <r>
      <rPr>
        <vertAlign val="subscript"/>
        <sz val="11"/>
        <rFont val="Calibri"/>
        <family val="2"/>
        <scheme val="minor"/>
      </rPr>
      <t>S,SOO</t>
    </r>
  </si>
  <si>
    <t>Half-saturation of S for SOOs</t>
  </si>
  <si>
    <r>
      <t>K</t>
    </r>
    <r>
      <rPr>
        <vertAlign val="subscript"/>
        <sz val="11"/>
        <rFont val="Calibri"/>
        <family val="2"/>
        <scheme val="minor"/>
      </rPr>
      <t>SO4,BIO</t>
    </r>
  </si>
  <si>
    <r>
      <t>Half-saturation of SO</t>
    </r>
    <r>
      <rPr>
        <vertAlign val="subscript"/>
        <sz val="11"/>
        <color rgb="FF000000"/>
        <rFont val="Calibri"/>
        <family val="2"/>
        <scheme val="minor"/>
      </rPr>
      <t>4</t>
    </r>
    <r>
      <rPr>
        <sz val="11"/>
        <color rgb="FF000000"/>
        <rFont val="Calibri"/>
        <family val="2"/>
        <charset val="238"/>
        <scheme val="minor"/>
      </rPr>
      <t xml:space="preserve"> as nutrient for biomasses</t>
    </r>
  </si>
  <si>
    <r>
      <t>g S.m</t>
    </r>
    <r>
      <rPr>
        <vertAlign val="superscript"/>
        <sz val="11"/>
        <rFont val="Calibri"/>
        <family val="2"/>
        <scheme val="minor"/>
      </rPr>
      <t>-3</t>
    </r>
    <r>
      <rPr>
        <sz val="11"/>
        <color theme="1"/>
        <rFont val="Calibri"/>
        <family val="2"/>
        <scheme val="minor"/>
      </rPr>
      <t/>
    </r>
  </si>
  <si>
    <r>
      <t>Ki</t>
    </r>
    <r>
      <rPr>
        <vertAlign val="subscript"/>
        <sz val="11"/>
        <rFont val="Calibri"/>
        <family val="2"/>
        <scheme val="minor"/>
      </rPr>
      <t>SO4,ASSIM</t>
    </r>
  </si>
  <si>
    <r>
      <t>Half-inhibition of SO</t>
    </r>
    <r>
      <rPr>
        <vertAlign val="subscript"/>
        <sz val="11"/>
        <color rgb="FF000000"/>
        <rFont val="Calibri"/>
        <family val="2"/>
        <scheme val="minor"/>
      </rPr>
      <t>4</t>
    </r>
    <r>
      <rPr>
        <sz val="11"/>
        <color rgb="FF000000"/>
        <rFont val="Calibri"/>
        <family val="2"/>
        <charset val="238"/>
        <scheme val="minor"/>
      </rPr>
      <t xml:space="preserve"> in H</t>
    </r>
    <r>
      <rPr>
        <vertAlign val="subscript"/>
        <sz val="11"/>
        <color rgb="FF000000"/>
        <rFont val="Calibri"/>
        <family val="2"/>
        <scheme val="minor"/>
      </rPr>
      <t>2</t>
    </r>
    <r>
      <rPr>
        <sz val="11"/>
        <color rgb="FF000000"/>
        <rFont val="Calibri"/>
        <family val="2"/>
        <charset val="238"/>
        <scheme val="minor"/>
      </rPr>
      <t>S assimilative oxidation</t>
    </r>
  </si>
  <si>
    <r>
      <t>Ki</t>
    </r>
    <r>
      <rPr>
        <vertAlign val="subscript"/>
        <sz val="11"/>
        <rFont val="Calibri"/>
        <family val="2"/>
        <scheme val="minor"/>
      </rPr>
      <t>SO4,ASSIM,AS</t>
    </r>
  </si>
  <si>
    <r>
      <t>K</t>
    </r>
    <r>
      <rPr>
        <vertAlign val="subscript"/>
        <sz val="11"/>
        <rFont val="Calibri"/>
        <family val="2"/>
        <scheme val="minor"/>
      </rPr>
      <t>H2S,ASSIM</t>
    </r>
  </si>
  <si>
    <r>
      <t>Half-saturation of H</t>
    </r>
    <r>
      <rPr>
        <vertAlign val="subscript"/>
        <sz val="11"/>
        <color rgb="FF000000"/>
        <rFont val="Calibri"/>
        <family val="2"/>
        <scheme val="minor"/>
      </rPr>
      <t>2</t>
    </r>
    <r>
      <rPr>
        <sz val="11"/>
        <color rgb="FF000000"/>
        <rFont val="Calibri"/>
        <family val="2"/>
        <charset val="238"/>
        <scheme val="minor"/>
      </rPr>
      <t>S in H</t>
    </r>
    <r>
      <rPr>
        <vertAlign val="subscript"/>
        <sz val="11"/>
        <color rgb="FF000000"/>
        <rFont val="Calibri"/>
        <family val="2"/>
        <scheme val="minor"/>
      </rPr>
      <t>2</t>
    </r>
    <r>
      <rPr>
        <sz val="11"/>
        <color rgb="FF000000"/>
        <rFont val="Calibri"/>
        <family val="2"/>
        <charset val="238"/>
        <scheme val="minor"/>
      </rPr>
      <t>S assimilative oxidation</t>
    </r>
  </si>
  <si>
    <r>
      <t>K</t>
    </r>
    <r>
      <rPr>
        <vertAlign val="subscript"/>
        <sz val="11"/>
        <rFont val="Calibri"/>
        <family val="2"/>
        <scheme val="minor"/>
      </rPr>
      <t>H2S,ASSIM,AS</t>
    </r>
  </si>
  <si>
    <r>
      <t>Msat</t>
    </r>
    <r>
      <rPr>
        <vertAlign val="subscript"/>
        <sz val="11"/>
        <rFont val="Calibri"/>
        <family val="2"/>
        <scheme val="minor"/>
      </rPr>
      <t>SSO4,KSO4,BIO</t>
    </r>
  </si>
  <si>
    <r>
      <t>Saturation term for SO</t>
    </r>
    <r>
      <rPr>
        <vertAlign val="subscript"/>
        <sz val="11"/>
        <color rgb="FF000000"/>
        <rFont val="Calibri"/>
        <family val="2"/>
        <scheme val="minor"/>
      </rPr>
      <t>4</t>
    </r>
    <r>
      <rPr>
        <sz val="11"/>
        <color rgb="FF000000"/>
        <rFont val="Calibri"/>
        <family val="2"/>
        <charset val="238"/>
        <scheme val="minor"/>
      </rPr>
      <t xml:space="preserve"> (biomass)</t>
    </r>
  </si>
  <si>
    <r>
      <t>Msat(S</t>
    </r>
    <r>
      <rPr>
        <vertAlign val="subscript"/>
        <sz val="11"/>
        <rFont val="Calibri"/>
        <family val="2"/>
        <scheme val="minor"/>
      </rPr>
      <t>SO4</t>
    </r>
    <r>
      <rPr>
        <sz val="11"/>
        <rFont val="Calibri"/>
        <family val="2"/>
        <scheme val="minor"/>
      </rPr>
      <t>;K</t>
    </r>
    <r>
      <rPr>
        <vertAlign val="subscript"/>
        <sz val="11"/>
        <rFont val="Calibri"/>
        <family val="2"/>
        <scheme val="minor"/>
      </rPr>
      <t>SO4,BIO</t>
    </r>
    <r>
      <rPr>
        <sz val="11"/>
        <rFont val="Calibri"/>
        <family val="2"/>
        <scheme val="minor"/>
      </rPr>
      <t>)</t>
    </r>
  </si>
  <si>
    <r>
      <t>Minh</t>
    </r>
    <r>
      <rPr>
        <vertAlign val="subscript"/>
        <sz val="11"/>
        <rFont val="Calibri"/>
        <family val="2"/>
        <scheme val="minor"/>
      </rPr>
      <t>H2S,KiH2S,ASRO</t>
    </r>
  </si>
  <si>
    <r>
      <t>Inhibition term for H</t>
    </r>
    <r>
      <rPr>
        <vertAlign val="subscript"/>
        <sz val="11"/>
        <color rgb="FF000000"/>
        <rFont val="Calibri"/>
        <family val="2"/>
        <scheme val="minor"/>
      </rPr>
      <t>2</t>
    </r>
    <r>
      <rPr>
        <sz val="11"/>
        <color rgb="FF000000"/>
        <rFont val="Calibri"/>
        <family val="2"/>
        <charset val="238"/>
        <scheme val="minor"/>
      </rPr>
      <t>S (ASRO)</t>
    </r>
  </si>
  <si>
    <r>
      <t>Minh(S</t>
    </r>
    <r>
      <rPr>
        <vertAlign val="subscript"/>
        <sz val="11"/>
        <rFont val="Calibri"/>
        <family val="2"/>
        <scheme val="minor"/>
      </rPr>
      <t>H2S</t>
    </r>
    <r>
      <rPr>
        <sz val="11"/>
        <rFont val="Calibri"/>
        <family val="2"/>
        <scheme val="minor"/>
      </rPr>
      <t>;Ki</t>
    </r>
    <r>
      <rPr>
        <vertAlign val="subscript"/>
        <sz val="11"/>
        <rFont val="Calibri"/>
        <family val="2"/>
        <scheme val="minor"/>
      </rPr>
      <t>H2S,ASRO</t>
    </r>
    <r>
      <rPr>
        <sz val="11"/>
        <rFont val="Calibri"/>
        <family val="2"/>
        <scheme val="minor"/>
      </rPr>
      <t>)</t>
    </r>
  </si>
  <si>
    <r>
      <t>Inhibition term for NO</t>
    </r>
    <r>
      <rPr>
        <vertAlign val="subscript"/>
        <sz val="11"/>
        <color rgb="FF000000"/>
        <rFont val="Calibri"/>
        <family val="2"/>
        <scheme val="minor"/>
      </rPr>
      <t>x</t>
    </r>
    <r>
      <rPr>
        <sz val="11"/>
        <color rgb="FF000000"/>
        <rFont val="Calibri"/>
        <family val="2"/>
        <charset val="238"/>
        <scheme val="minor"/>
      </rPr>
      <t xml:space="preserve"> (ASRO)</t>
    </r>
  </si>
  <si>
    <r>
      <t>Inhibition term for O</t>
    </r>
    <r>
      <rPr>
        <vertAlign val="subscript"/>
        <sz val="11"/>
        <color rgb="FF000000"/>
        <rFont val="Calibri"/>
        <family val="2"/>
        <scheme val="minor"/>
      </rPr>
      <t>2</t>
    </r>
    <r>
      <rPr>
        <sz val="11"/>
        <color rgb="FF000000"/>
        <rFont val="Calibri"/>
        <family val="2"/>
        <charset val="238"/>
        <scheme val="minor"/>
      </rPr>
      <t xml:space="preserve"> (ASRO)</t>
    </r>
  </si>
  <si>
    <r>
      <t>Msat</t>
    </r>
    <r>
      <rPr>
        <vertAlign val="subscript"/>
        <sz val="11"/>
        <rFont val="Calibri"/>
        <family val="2"/>
        <scheme val="minor"/>
      </rPr>
      <t>SO4,KSO4,ASRO</t>
    </r>
  </si>
  <si>
    <r>
      <t>Saturation term for SO</t>
    </r>
    <r>
      <rPr>
        <vertAlign val="subscript"/>
        <sz val="11"/>
        <color rgb="FF000000"/>
        <rFont val="Calibri"/>
        <family val="2"/>
        <scheme val="minor"/>
      </rPr>
      <t>4</t>
    </r>
    <r>
      <rPr>
        <sz val="11"/>
        <color rgb="FF000000"/>
        <rFont val="Calibri"/>
        <family val="2"/>
        <charset val="238"/>
        <scheme val="minor"/>
      </rPr>
      <t xml:space="preserve"> (ASRO)</t>
    </r>
  </si>
  <si>
    <r>
      <t>Msat(S</t>
    </r>
    <r>
      <rPr>
        <vertAlign val="subscript"/>
        <sz val="11"/>
        <rFont val="Calibri"/>
        <family val="2"/>
        <scheme val="minor"/>
      </rPr>
      <t>SO4</t>
    </r>
    <r>
      <rPr>
        <sz val="11"/>
        <rFont val="Calibri"/>
        <family val="2"/>
        <scheme val="minor"/>
      </rPr>
      <t>;K</t>
    </r>
    <r>
      <rPr>
        <vertAlign val="subscript"/>
        <sz val="11"/>
        <rFont val="Calibri"/>
        <family val="2"/>
        <scheme val="minor"/>
      </rPr>
      <t>SO4,ASRO</t>
    </r>
    <r>
      <rPr>
        <sz val="11"/>
        <rFont val="Calibri"/>
        <family val="2"/>
        <scheme val="minor"/>
      </rPr>
      <t>)</t>
    </r>
  </si>
  <si>
    <r>
      <t>Msat</t>
    </r>
    <r>
      <rPr>
        <vertAlign val="subscript"/>
        <sz val="11"/>
        <rFont val="Calibri"/>
        <family val="2"/>
        <scheme val="minor"/>
      </rPr>
      <t>SVFA,KVFA,ASRO</t>
    </r>
  </si>
  <si>
    <t>Saturation term for VFA (ASRO)</t>
  </si>
  <si>
    <r>
      <t>Msat(S</t>
    </r>
    <r>
      <rPr>
        <vertAlign val="subscript"/>
        <sz val="11"/>
        <rFont val="Calibri"/>
        <family val="2"/>
        <scheme val="minor"/>
      </rPr>
      <t>VFA</t>
    </r>
    <r>
      <rPr>
        <sz val="11"/>
        <rFont val="Calibri"/>
        <family val="2"/>
        <scheme val="minor"/>
      </rPr>
      <t>;K</t>
    </r>
    <r>
      <rPr>
        <vertAlign val="subscript"/>
        <sz val="11"/>
        <rFont val="Calibri"/>
        <family val="2"/>
        <scheme val="minor"/>
      </rPr>
      <t>VFA,ASRO</t>
    </r>
    <r>
      <rPr>
        <sz val="11"/>
        <rFont val="Calibri"/>
        <family val="2"/>
        <scheme val="minor"/>
      </rPr>
      <t>)</t>
    </r>
  </si>
  <si>
    <r>
      <t>Minh</t>
    </r>
    <r>
      <rPr>
        <vertAlign val="subscript"/>
        <sz val="11"/>
        <rFont val="Calibri"/>
        <family val="2"/>
        <scheme val="minor"/>
      </rPr>
      <t>H2S,KiH2S,HSRO</t>
    </r>
  </si>
  <si>
    <r>
      <t>Inhibition term for H</t>
    </r>
    <r>
      <rPr>
        <vertAlign val="subscript"/>
        <sz val="11"/>
        <color rgb="FF000000"/>
        <rFont val="Calibri"/>
        <family val="2"/>
        <scheme val="minor"/>
      </rPr>
      <t>2</t>
    </r>
    <r>
      <rPr>
        <sz val="11"/>
        <color rgb="FF000000"/>
        <rFont val="Calibri"/>
        <family val="2"/>
        <charset val="238"/>
        <scheme val="minor"/>
      </rPr>
      <t>S (HSRO)</t>
    </r>
  </si>
  <si>
    <r>
      <t>Minh(S</t>
    </r>
    <r>
      <rPr>
        <vertAlign val="subscript"/>
        <sz val="11"/>
        <rFont val="Calibri"/>
        <family val="2"/>
        <scheme val="minor"/>
      </rPr>
      <t>H2S</t>
    </r>
    <r>
      <rPr>
        <sz val="11"/>
        <rFont val="Calibri"/>
        <family val="2"/>
        <scheme val="minor"/>
      </rPr>
      <t>;Ki</t>
    </r>
    <r>
      <rPr>
        <vertAlign val="subscript"/>
        <sz val="11"/>
        <rFont val="Calibri"/>
        <family val="2"/>
        <scheme val="minor"/>
      </rPr>
      <t>H2S,HSRO</t>
    </r>
    <r>
      <rPr>
        <sz val="11"/>
        <rFont val="Calibri"/>
        <family val="2"/>
        <scheme val="minor"/>
      </rPr>
      <t>)</t>
    </r>
  </si>
  <si>
    <r>
      <t>Inhibition term for NO</t>
    </r>
    <r>
      <rPr>
        <vertAlign val="subscript"/>
        <sz val="11"/>
        <color rgb="FF000000"/>
        <rFont val="Calibri"/>
        <family val="2"/>
        <scheme val="minor"/>
      </rPr>
      <t>x</t>
    </r>
    <r>
      <rPr>
        <sz val="11"/>
        <color rgb="FF000000"/>
        <rFont val="Calibri"/>
        <family val="2"/>
        <charset val="238"/>
        <scheme val="minor"/>
      </rPr>
      <t xml:space="preserve"> (HSRO)</t>
    </r>
  </si>
  <si>
    <r>
      <t>Inhibition term for O</t>
    </r>
    <r>
      <rPr>
        <vertAlign val="subscript"/>
        <sz val="11"/>
        <color rgb="FF000000"/>
        <rFont val="Calibri"/>
        <family val="2"/>
        <scheme val="minor"/>
      </rPr>
      <t>2</t>
    </r>
    <r>
      <rPr>
        <sz val="11"/>
        <color rgb="FF000000"/>
        <rFont val="Calibri"/>
        <family val="2"/>
        <charset val="238"/>
        <scheme val="minor"/>
      </rPr>
      <t xml:space="preserve"> (HSRO)</t>
    </r>
  </si>
  <si>
    <r>
      <t>Msat</t>
    </r>
    <r>
      <rPr>
        <vertAlign val="subscript"/>
        <sz val="11"/>
        <rFont val="Calibri"/>
        <family val="2"/>
        <scheme val="minor"/>
      </rPr>
      <t>SH2,KH2,HSRO</t>
    </r>
  </si>
  <si>
    <r>
      <t>Saturation term for H</t>
    </r>
    <r>
      <rPr>
        <vertAlign val="subscript"/>
        <sz val="11"/>
        <color rgb="FF000000"/>
        <rFont val="Calibri"/>
        <family val="2"/>
        <scheme val="minor"/>
      </rPr>
      <t>2</t>
    </r>
    <r>
      <rPr>
        <sz val="11"/>
        <color rgb="FF000000"/>
        <rFont val="Calibri"/>
        <family val="2"/>
        <charset val="238"/>
        <scheme val="minor"/>
      </rPr>
      <t xml:space="preserve"> (HSRO)</t>
    </r>
  </si>
  <si>
    <r>
      <t>Msat(S</t>
    </r>
    <r>
      <rPr>
        <vertAlign val="subscript"/>
        <sz val="11"/>
        <rFont val="Calibri"/>
        <family val="2"/>
        <scheme val="minor"/>
      </rPr>
      <t>H2</t>
    </r>
    <r>
      <rPr>
        <sz val="11"/>
        <rFont val="Calibri"/>
        <family val="2"/>
        <scheme val="minor"/>
      </rPr>
      <t>;K</t>
    </r>
    <r>
      <rPr>
        <vertAlign val="subscript"/>
        <sz val="11"/>
        <rFont val="Calibri"/>
        <family val="2"/>
        <scheme val="minor"/>
      </rPr>
      <t>H2,HSRO</t>
    </r>
    <r>
      <rPr>
        <sz val="11"/>
        <rFont val="Calibri"/>
        <family val="2"/>
        <scheme val="minor"/>
      </rPr>
      <t>)</t>
    </r>
  </si>
  <si>
    <r>
      <t>Msat</t>
    </r>
    <r>
      <rPr>
        <vertAlign val="subscript"/>
        <sz val="11"/>
        <rFont val="Calibri"/>
        <family val="2"/>
        <scheme val="minor"/>
      </rPr>
      <t>SO4,KSO4,HSRO</t>
    </r>
  </si>
  <si>
    <r>
      <t>Saturation term for SO</t>
    </r>
    <r>
      <rPr>
        <vertAlign val="subscript"/>
        <sz val="11"/>
        <color rgb="FF000000"/>
        <rFont val="Calibri"/>
        <family val="2"/>
        <scheme val="minor"/>
      </rPr>
      <t>4</t>
    </r>
    <r>
      <rPr>
        <sz val="11"/>
        <color rgb="FF000000"/>
        <rFont val="Calibri"/>
        <family val="2"/>
        <charset val="238"/>
        <scheme val="minor"/>
      </rPr>
      <t xml:space="preserve"> (HSRO)</t>
    </r>
  </si>
  <si>
    <r>
      <t>Msat(S</t>
    </r>
    <r>
      <rPr>
        <vertAlign val="subscript"/>
        <sz val="11"/>
        <rFont val="Calibri"/>
        <family val="2"/>
        <scheme val="minor"/>
      </rPr>
      <t>SO4</t>
    </r>
    <r>
      <rPr>
        <sz val="11"/>
        <rFont val="Calibri"/>
        <family val="2"/>
        <scheme val="minor"/>
      </rPr>
      <t>;K</t>
    </r>
    <r>
      <rPr>
        <vertAlign val="subscript"/>
        <sz val="11"/>
        <rFont val="Calibri"/>
        <family val="2"/>
        <scheme val="minor"/>
      </rPr>
      <t>SO4,HSRO</t>
    </r>
    <r>
      <rPr>
        <sz val="11"/>
        <rFont val="Calibri"/>
        <family val="2"/>
        <scheme val="minor"/>
      </rPr>
      <t>)</t>
    </r>
  </si>
  <si>
    <r>
      <t>Hsat</t>
    </r>
    <r>
      <rPr>
        <vertAlign val="subscript"/>
        <sz val="11"/>
        <rFont val="Calibri"/>
        <family val="2"/>
        <scheme val="minor"/>
      </rPr>
      <t>SH2S,KH2S,SOO</t>
    </r>
  </si>
  <si>
    <t>Haldane saturation term for H2S (SOO)</t>
  </si>
  <si>
    <r>
      <t>Hsat(S</t>
    </r>
    <r>
      <rPr>
        <vertAlign val="subscript"/>
        <sz val="11"/>
        <rFont val="Calibri"/>
        <family val="2"/>
        <scheme val="minor"/>
      </rPr>
      <t>H2S</t>
    </r>
    <r>
      <rPr>
        <sz val="11"/>
        <rFont val="Calibri"/>
        <family val="2"/>
        <scheme val="minor"/>
      </rPr>
      <t>;K</t>
    </r>
    <r>
      <rPr>
        <vertAlign val="subscript"/>
        <sz val="11"/>
        <rFont val="Calibri"/>
        <family val="2"/>
        <scheme val="minor"/>
      </rPr>
      <t>H2S,SOO</t>
    </r>
    <r>
      <rPr>
        <sz val="11"/>
        <rFont val="Calibri"/>
        <family val="2"/>
        <scheme val="minor"/>
      </rPr>
      <t>;Ki</t>
    </r>
    <r>
      <rPr>
        <vertAlign val="subscript"/>
        <sz val="11"/>
        <rFont val="Calibri"/>
        <family val="2"/>
        <scheme val="minor"/>
      </rPr>
      <t>H2S,SOO</t>
    </r>
    <r>
      <rPr>
        <sz val="11"/>
        <rFont val="Calibri"/>
        <family val="2"/>
        <scheme val="minor"/>
      </rPr>
      <t>)</t>
    </r>
  </si>
  <si>
    <r>
      <t>Minh</t>
    </r>
    <r>
      <rPr>
        <vertAlign val="subscript"/>
        <sz val="11"/>
        <rFont val="Calibri"/>
        <family val="2"/>
        <scheme val="minor"/>
      </rPr>
      <t>SH2S,KiH2S,SOO</t>
    </r>
  </si>
  <si>
    <r>
      <t>Inhibition term for H</t>
    </r>
    <r>
      <rPr>
        <vertAlign val="subscript"/>
        <sz val="11"/>
        <color rgb="FF000000"/>
        <rFont val="Calibri"/>
        <family val="2"/>
        <scheme val="minor"/>
      </rPr>
      <t>2</t>
    </r>
    <r>
      <rPr>
        <sz val="11"/>
        <color rgb="FF000000"/>
        <rFont val="Calibri"/>
        <family val="2"/>
        <charset val="238"/>
        <scheme val="minor"/>
      </rPr>
      <t>S (SOO)</t>
    </r>
  </si>
  <si>
    <r>
      <t>Minh(S</t>
    </r>
    <r>
      <rPr>
        <vertAlign val="subscript"/>
        <sz val="11"/>
        <rFont val="Calibri"/>
        <family val="2"/>
        <scheme val="minor"/>
      </rPr>
      <t>H2S</t>
    </r>
    <r>
      <rPr>
        <sz val="11"/>
        <rFont val="Calibri"/>
        <family val="2"/>
        <scheme val="minor"/>
      </rPr>
      <t>;Ki</t>
    </r>
    <r>
      <rPr>
        <vertAlign val="subscript"/>
        <sz val="11"/>
        <rFont val="Calibri"/>
        <family val="2"/>
        <scheme val="minor"/>
      </rPr>
      <t>H2S,SOO</t>
    </r>
    <r>
      <rPr>
        <sz val="11"/>
        <rFont val="Calibri"/>
        <family val="2"/>
        <scheme val="minor"/>
      </rPr>
      <t>)</t>
    </r>
  </si>
  <si>
    <r>
      <t>Minh</t>
    </r>
    <r>
      <rPr>
        <vertAlign val="subscript"/>
        <sz val="11"/>
        <rFont val="Calibri"/>
        <family val="2"/>
        <scheme val="minor"/>
      </rPr>
      <t>SNO2,KNO2,H2S,SOO</t>
    </r>
  </si>
  <si>
    <r>
      <t>Inhibition term for NO</t>
    </r>
    <r>
      <rPr>
        <vertAlign val="subscript"/>
        <sz val="11"/>
        <color rgb="FF000000"/>
        <rFont val="Calibri"/>
        <family val="2"/>
        <scheme val="minor"/>
      </rPr>
      <t>2</t>
    </r>
    <r>
      <rPr>
        <sz val="11"/>
        <color rgb="FF000000"/>
        <rFont val="Calibri"/>
        <family val="2"/>
        <charset val="238"/>
        <scheme val="minor"/>
      </rPr>
      <t xml:space="preserve"> in H</t>
    </r>
    <r>
      <rPr>
        <vertAlign val="subscript"/>
        <sz val="11"/>
        <color rgb="FF000000"/>
        <rFont val="Calibri"/>
        <family val="2"/>
        <scheme val="minor"/>
      </rPr>
      <t>2</t>
    </r>
    <r>
      <rPr>
        <sz val="11"/>
        <color rgb="FF000000"/>
        <rFont val="Calibri"/>
        <family val="2"/>
        <charset val="238"/>
        <scheme val="minor"/>
      </rPr>
      <t>S oxidation (SOO)</t>
    </r>
  </si>
  <si>
    <r>
      <t>Minh(S</t>
    </r>
    <r>
      <rPr>
        <vertAlign val="subscript"/>
        <sz val="11"/>
        <rFont val="Calibri"/>
        <family val="2"/>
        <scheme val="minor"/>
      </rPr>
      <t>NO2</t>
    </r>
    <r>
      <rPr>
        <sz val="11"/>
        <rFont val="Calibri"/>
        <family val="2"/>
        <scheme val="minor"/>
      </rPr>
      <t>;K</t>
    </r>
    <r>
      <rPr>
        <vertAlign val="subscript"/>
        <sz val="11"/>
        <rFont val="Calibri"/>
        <family val="2"/>
        <scheme val="minor"/>
      </rPr>
      <t>NO2,H2S,SOO</t>
    </r>
    <r>
      <rPr>
        <sz val="11"/>
        <rFont val="Calibri"/>
        <family val="2"/>
        <scheme val="minor"/>
      </rPr>
      <t>)</t>
    </r>
  </si>
  <si>
    <r>
      <t>Minh</t>
    </r>
    <r>
      <rPr>
        <vertAlign val="subscript"/>
        <sz val="11"/>
        <rFont val="Calibri"/>
        <family val="2"/>
        <scheme val="minor"/>
      </rPr>
      <t>SNO2,KNO2,S,SOO</t>
    </r>
  </si>
  <si>
    <r>
      <t>Inhibition term for NO</t>
    </r>
    <r>
      <rPr>
        <vertAlign val="subscript"/>
        <sz val="11"/>
        <color rgb="FF000000"/>
        <rFont val="Calibri"/>
        <family val="2"/>
        <scheme val="minor"/>
      </rPr>
      <t>2</t>
    </r>
    <r>
      <rPr>
        <sz val="11"/>
        <color rgb="FF000000"/>
        <rFont val="Calibri"/>
        <family val="2"/>
        <charset val="238"/>
        <scheme val="minor"/>
      </rPr>
      <t xml:space="preserve"> in S oxidation (SOO)</t>
    </r>
  </si>
  <si>
    <r>
      <t>Minh(S</t>
    </r>
    <r>
      <rPr>
        <vertAlign val="subscript"/>
        <sz val="11"/>
        <rFont val="Calibri"/>
        <family val="2"/>
        <scheme val="minor"/>
      </rPr>
      <t>NO2</t>
    </r>
    <r>
      <rPr>
        <sz val="11"/>
        <rFont val="Calibri"/>
        <family val="2"/>
        <scheme val="minor"/>
      </rPr>
      <t>;K</t>
    </r>
    <r>
      <rPr>
        <vertAlign val="subscript"/>
        <sz val="11"/>
        <rFont val="Calibri"/>
        <family val="2"/>
        <scheme val="minor"/>
      </rPr>
      <t>NO2,S,SOO</t>
    </r>
    <r>
      <rPr>
        <sz val="11"/>
        <rFont val="Calibri"/>
        <family val="2"/>
        <scheme val="minor"/>
      </rPr>
      <t>)</t>
    </r>
  </si>
  <si>
    <r>
      <t>Minh</t>
    </r>
    <r>
      <rPr>
        <vertAlign val="subscript"/>
        <sz val="11"/>
        <rFont val="Calibri"/>
        <family val="2"/>
        <scheme val="minor"/>
      </rPr>
      <t>SO2,KO2,H2S,SOO</t>
    </r>
  </si>
  <si>
    <t xml:space="preserve">Inhibition term for O2 for H2S oxidation (SOO) </t>
  </si>
  <si>
    <r>
      <t>Minh(S</t>
    </r>
    <r>
      <rPr>
        <vertAlign val="subscript"/>
        <sz val="11"/>
        <rFont val="Calibri"/>
        <family val="2"/>
        <scheme val="minor"/>
      </rPr>
      <t>O2</t>
    </r>
    <r>
      <rPr>
        <sz val="11"/>
        <rFont val="Calibri"/>
        <family val="2"/>
        <scheme val="minor"/>
      </rPr>
      <t>;K</t>
    </r>
    <r>
      <rPr>
        <vertAlign val="subscript"/>
        <sz val="11"/>
        <rFont val="Calibri"/>
        <family val="2"/>
        <scheme val="minor"/>
      </rPr>
      <t>O2,H2S,SOO</t>
    </r>
    <r>
      <rPr>
        <sz val="11"/>
        <rFont val="Calibri"/>
        <family val="2"/>
        <scheme val="minor"/>
      </rPr>
      <t>)</t>
    </r>
  </si>
  <si>
    <r>
      <t>Minh</t>
    </r>
    <r>
      <rPr>
        <vertAlign val="subscript"/>
        <sz val="11"/>
        <rFont val="Calibri"/>
        <family val="2"/>
        <scheme val="minor"/>
      </rPr>
      <t>SO2,KO2,S,SOO</t>
    </r>
  </si>
  <si>
    <t xml:space="preserve">Inhibition term for O2 for S oxidation (SOO) </t>
  </si>
  <si>
    <r>
      <t>Minh(S</t>
    </r>
    <r>
      <rPr>
        <vertAlign val="subscript"/>
        <sz val="11"/>
        <rFont val="Calibri"/>
        <family val="2"/>
        <scheme val="minor"/>
      </rPr>
      <t>O2</t>
    </r>
    <r>
      <rPr>
        <sz val="11"/>
        <rFont val="Calibri"/>
        <family val="2"/>
        <scheme val="minor"/>
      </rPr>
      <t>;K</t>
    </r>
    <r>
      <rPr>
        <vertAlign val="subscript"/>
        <sz val="11"/>
        <rFont val="Calibri"/>
        <family val="2"/>
        <scheme val="minor"/>
      </rPr>
      <t>O2,S,SOO</t>
    </r>
    <r>
      <rPr>
        <sz val="11"/>
        <rFont val="Calibri"/>
        <family val="2"/>
        <scheme val="minor"/>
      </rPr>
      <t>)</t>
    </r>
  </si>
  <si>
    <r>
      <t>Msat</t>
    </r>
    <r>
      <rPr>
        <vertAlign val="subscript"/>
        <sz val="11"/>
        <rFont val="Calibri"/>
        <family val="2"/>
        <scheme val="minor"/>
      </rPr>
      <t>SNO2,KNO2,H2S,SOO</t>
    </r>
  </si>
  <si>
    <r>
      <t>Saturation term for NO</t>
    </r>
    <r>
      <rPr>
        <vertAlign val="subscript"/>
        <sz val="11"/>
        <color rgb="FF000000"/>
        <rFont val="Calibri"/>
        <family val="2"/>
        <scheme val="minor"/>
      </rPr>
      <t>2</t>
    </r>
    <r>
      <rPr>
        <sz val="11"/>
        <color rgb="FF000000"/>
        <rFont val="Calibri"/>
        <family val="2"/>
        <charset val="238"/>
        <scheme val="minor"/>
      </rPr>
      <t xml:space="preserve"> in H</t>
    </r>
    <r>
      <rPr>
        <vertAlign val="subscript"/>
        <sz val="11"/>
        <color rgb="FF000000"/>
        <rFont val="Calibri"/>
        <family val="2"/>
        <scheme val="minor"/>
      </rPr>
      <t>2</t>
    </r>
    <r>
      <rPr>
        <sz val="11"/>
        <color rgb="FF000000"/>
        <rFont val="Calibri"/>
        <family val="2"/>
        <charset val="238"/>
        <scheme val="minor"/>
      </rPr>
      <t>S oxidation (SOO)</t>
    </r>
  </si>
  <si>
    <r>
      <t>Msat(S</t>
    </r>
    <r>
      <rPr>
        <vertAlign val="subscript"/>
        <sz val="11"/>
        <rFont val="Calibri"/>
        <family val="2"/>
        <scheme val="minor"/>
      </rPr>
      <t>NO2</t>
    </r>
    <r>
      <rPr>
        <sz val="11"/>
        <rFont val="Calibri"/>
        <family val="2"/>
        <scheme val="minor"/>
      </rPr>
      <t>;K</t>
    </r>
    <r>
      <rPr>
        <vertAlign val="subscript"/>
        <sz val="11"/>
        <rFont val="Calibri"/>
        <family val="2"/>
        <scheme val="minor"/>
      </rPr>
      <t>NO2,H2S,SOO</t>
    </r>
    <r>
      <rPr>
        <sz val="11"/>
        <rFont val="Calibri"/>
        <family val="2"/>
        <scheme val="minor"/>
      </rPr>
      <t>)</t>
    </r>
  </si>
  <si>
    <r>
      <t>Msat</t>
    </r>
    <r>
      <rPr>
        <vertAlign val="subscript"/>
        <sz val="11"/>
        <rFont val="Calibri"/>
        <family val="2"/>
        <scheme val="minor"/>
      </rPr>
      <t>SNO2,KNO2,S,SOO</t>
    </r>
  </si>
  <si>
    <t xml:space="preserve">Saturation term for NO2 in S oxidation (SOO) </t>
  </si>
  <si>
    <r>
      <t>Msat(S</t>
    </r>
    <r>
      <rPr>
        <vertAlign val="subscript"/>
        <sz val="11"/>
        <rFont val="Calibri"/>
        <family val="2"/>
        <scheme val="minor"/>
      </rPr>
      <t>NO2</t>
    </r>
    <r>
      <rPr>
        <sz val="11"/>
        <rFont val="Calibri"/>
        <family val="2"/>
        <scheme val="minor"/>
      </rPr>
      <t>;K</t>
    </r>
    <r>
      <rPr>
        <vertAlign val="subscript"/>
        <sz val="11"/>
        <rFont val="Calibri"/>
        <family val="2"/>
        <scheme val="minor"/>
      </rPr>
      <t>NO2,S,SOO</t>
    </r>
    <r>
      <rPr>
        <sz val="11"/>
        <rFont val="Calibri"/>
        <family val="2"/>
        <scheme val="minor"/>
      </rPr>
      <t>)</t>
    </r>
  </si>
  <si>
    <r>
      <t>Msat</t>
    </r>
    <r>
      <rPr>
        <vertAlign val="subscript"/>
        <sz val="11"/>
        <rFont val="Calibri"/>
        <family val="2"/>
        <scheme val="minor"/>
      </rPr>
      <t>SNO3,KNO3,H2S,SOO</t>
    </r>
  </si>
  <si>
    <r>
      <t>Msat(S</t>
    </r>
    <r>
      <rPr>
        <vertAlign val="subscript"/>
        <sz val="11"/>
        <rFont val="Calibri"/>
        <family val="2"/>
        <scheme val="minor"/>
      </rPr>
      <t>NO3</t>
    </r>
    <r>
      <rPr>
        <sz val="11"/>
        <rFont val="Calibri"/>
        <family val="2"/>
        <scheme val="minor"/>
      </rPr>
      <t>;K</t>
    </r>
    <r>
      <rPr>
        <vertAlign val="subscript"/>
        <sz val="11"/>
        <rFont val="Calibri"/>
        <family val="2"/>
        <scheme val="minor"/>
      </rPr>
      <t>NO3,H2S,SOO</t>
    </r>
    <r>
      <rPr>
        <sz val="11"/>
        <rFont val="Calibri"/>
        <family val="2"/>
        <scheme val="minor"/>
      </rPr>
      <t>)</t>
    </r>
  </si>
  <si>
    <r>
      <t>Msat</t>
    </r>
    <r>
      <rPr>
        <vertAlign val="subscript"/>
        <sz val="11"/>
        <rFont val="Calibri"/>
        <family val="2"/>
        <scheme val="minor"/>
      </rPr>
      <t>SNO3,KNO3,S,SOO</t>
    </r>
  </si>
  <si>
    <r>
      <t>Saturation term for NO</t>
    </r>
    <r>
      <rPr>
        <vertAlign val="subscript"/>
        <sz val="11"/>
        <color rgb="FF000000"/>
        <rFont val="Calibri"/>
        <family val="2"/>
        <scheme val="minor"/>
      </rPr>
      <t>3</t>
    </r>
    <r>
      <rPr>
        <sz val="11"/>
        <color rgb="FF000000"/>
        <rFont val="Calibri"/>
        <family val="2"/>
        <charset val="238"/>
        <scheme val="minor"/>
      </rPr>
      <t xml:space="preserve"> in S oxidation (SOO)</t>
    </r>
  </si>
  <si>
    <r>
      <t>Msat(S</t>
    </r>
    <r>
      <rPr>
        <vertAlign val="subscript"/>
        <sz val="11"/>
        <rFont val="Calibri"/>
        <family val="2"/>
        <scheme val="minor"/>
      </rPr>
      <t>NO3</t>
    </r>
    <r>
      <rPr>
        <sz val="11"/>
        <rFont val="Calibri"/>
        <family val="2"/>
        <scheme val="minor"/>
      </rPr>
      <t>;K</t>
    </r>
    <r>
      <rPr>
        <vertAlign val="subscript"/>
        <sz val="11"/>
        <rFont val="Calibri"/>
        <family val="2"/>
        <scheme val="minor"/>
      </rPr>
      <t>NO3,S,SOO</t>
    </r>
    <r>
      <rPr>
        <sz val="11"/>
        <rFont val="Calibri"/>
        <family val="2"/>
        <scheme val="minor"/>
      </rPr>
      <t>)</t>
    </r>
  </si>
  <si>
    <r>
      <t>Msat</t>
    </r>
    <r>
      <rPr>
        <vertAlign val="subscript"/>
        <sz val="11"/>
        <rFont val="Calibri"/>
        <family val="2"/>
        <scheme val="minor"/>
      </rPr>
      <t>SO2,KO2,H2S,SOO</t>
    </r>
  </si>
  <si>
    <r>
      <t>Saturation term for O</t>
    </r>
    <r>
      <rPr>
        <vertAlign val="subscript"/>
        <sz val="11"/>
        <color rgb="FF000000"/>
        <rFont val="Calibri"/>
        <family val="2"/>
        <scheme val="minor"/>
      </rPr>
      <t>2</t>
    </r>
    <r>
      <rPr>
        <sz val="11"/>
        <color rgb="FF000000"/>
        <rFont val="Calibri"/>
        <family val="2"/>
        <charset val="238"/>
        <scheme val="minor"/>
      </rPr>
      <t xml:space="preserve"> for H</t>
    </r>
    <r>
      <rPr>
        <vertAlign val="subscript"/>
        <sz val="11"/>
        <color rgb="FF000000"/>
        <rFont val="Calibri"/>
        <family val="2"/>
        <scheme val="minor"/>
      </rPr>
      <t>2</t>
    </r>
    <r>
      <rPr>
        <sz val="11"/>
        <color rgb="FF000000"/>
        <rFont val="Calibri"/>
        <family val="2"/>
        <charset val="238"/>
        <scheme val="minor"/>
      </rPr>
      <t>S oxidation (SOO)</t>
    </r>
  </si>
  <si>
    <r>
      <t>Msat(S</t>
    </r>
    <r>
      <rPr>
        <vertAlign val="subscript"/>
        <sz val="11"/>
        <rFont val="Calibri"/>
        <family val="2"/>
        <scheme val="minor"/>
      </rPr>
      <t>O2</t>
    </r>
    <r>
      <rPr>
        <sz val="11"/>
        <rFont val="Calibri"/>
        <family val="2"/>
        <scheme val="minor"/>
      </rPr>
      <t>;K</t>
    </r>
    <r>
      <rPr>
        <vertAlign val="subscript"/>
        <sz val="11"/>
        <rFont val="Calibri"/>
        <family val="2"/>
        <scheme val="minor"/>
      </rPr>
      <t>O2,H2S,SOO</t>
    </r>
    <r>
      <rPr>
        <sz val="11"/>
        <rFont val="Calibri"/>
        <family val="2"/>
        <scheme val="minor"/>
      </rPr>
      <t>)</t>
    </r>
  </si>
  <si>
    <r>
      <t>Msat</t>
    </r>
    <r>
      <rPr>
        <vertAlign val="subscript"/>
        <sz val="11"/>
        <rFont val="Calibri"/>
        <family val="2"/>
        <scheme val="minor"/>
      </rPr>
      <t>SO2,KO2,S,SOO</t>
    </r>
  </si>
  <si>
    <r>
      <t>Msat(S</t>
    </r>
    <r>
      <rPr>
        <vertAlign val="subscript"/>
        <sz val="11"/>
        <rFont val="Calibri"/>
        <family val="2"/>
        <scheme val="minor"/>
      </rPr>
      <t>O2</t>
    </r>
    <r>
      <rPr>
        <sz val="11"/>
        <rFont val="Calibri"/>
        <family val="2"/>
        <scheme val="minor"/>
      </rPr>
      <t>;K</t>
    </r>
    <r>
      <rPr>
        <vertAlign val="subscript"/>
        <sz val="11"/>
        <rFont val="Calibri"/>
        <family val="2"/>
        <scheme val="minor"/>
      </rPr>
      <t>O2,S,SOO</t>
    </r>
    <r>
      <rPr>
        <sz val="11"/>
        <rFont val="Calibri"/>
        <family val="2"/>
        <scheme val="minor"/>
      </rPr>
      <t>)</t>
    </r>
  </si>
  <si>
    <r>
      <t>Msat</t>
    </r>
    <r>
      <rPr>
        <vertAlign val="subscript"/>
        <sz val="11"/>
        <rFont val="Calibri"/>
        <family val="2"/>
        <scheme val="minor"/>
      </rPr>
      <t>XS,KS,SOO</t>
    </r>
  </si>
  <si>
    <t>Saturation term for S (SOO)</t>
  </si>
  <si>
    <r>
      <t>Msat(X</t>
    </r>
    <r>
      <rPr>
        <vertAlign val="subscript"/>
        <sz val="11"/>
        <rFont val="Calibri"/>
        <family val="2"/>
        <scheme val="minor"/>
      </rPr>
      <t>S</t>
    </r>
    <r>
      <rPr>
        <sz val="11"/>
        <rFont val="Calibri"/>
        <family val="2"/>
        <scheme val="minor"/>
      </rPr>
      <t>;K</t>
    </r>
    <r>
      <rPr>
        <vertAlign val="subscript"/>
        <sz val="11"/>
        <rFont val="Calibri"/>
        <family val="2"/>
        <scheme val="minor"/>
      </rPr>
      <t>S,SOO</t>
    </r>
    <r>
      <rPr>
        <sz val="11"/>
        <rFont val="Calibri"/>
        <family val="2"/>
        <scheme val="minor"/>
      </rPr>
      <t>)</t>
    </r>
  </si>
  <si>
    <r>
      <t>Minh</t>
    </r>
    <r>
      <rPr>
        <vertAlign val="subscript"/>
        <sz val="11"/>
        <rFont val="Calibri"/>
        <family val="2"/>
        <scheme val="minor"/>
      </rPr>
      <t>SSO4,KiSO4,ASSIM</t>
    </r>
  </si>
  <si>
    <r>
      <t>Inhibition term for SO</t>
    </r>
    <r>
      <rPr>
        <vertAlign val="subscript"/>
        <sz val="11"/>
        <color rgb="FF000000"/>
        <rFont val="Calibri"/>
        <family val="2"/>
        <scheme val="minor"/>
      </rPr>
      <t>4</t>
    </r>
    <r>
      <rPr>
        <sz val="11"/>
        <color rgb="FF000000"/>
        <rFont val="Calibri"/>
        <family val="2"/>
        <charset val="238"/>
        <scheme val="minor"/>
      </rPr>
      <t xml:space="preserve"> (assimilative reduction)</t>
    </r>
  </si>
  <si>
    <r>
      <t>Minh(S</t>
    </r>
    <r>
      <rPr>
        <vertAlign val="subscript"/>
        <sz val="11"/>
        <rFont val="Calibri"/>
        <family val="2"/>
        <scheme val="minor"/>
      </rPr>
      <t>SO4</t>
    </r>
    <r>
      <rPr>
        <sz val="11"/>
        <rFont val="Calibri"/>
        <family val="2"/>
        <scheme val="minor"/>
      </rPr>
      <t>;Ki</t>
    </r>
    <r>
      <rPr>
        <vertAlign val="subscript"/>
        <sz val="11"/>
        <rFont val="Calibri"/>
        <family val="2"/>
        <scheme val="minor"/>
      </rPr>
      <t>SO4,ASSIM</t>
    </r>
    <r>
      <rPr>
        <sz val="11"/>
        <rFont val="Calibri"/>
        <family val="2"/>
        <scheme val="minor"/>
      </rPr>
      <t>)</t>
    </r>
  </si>
  <si>
    <r>
      <t>Msat</t>
    </r>
    <r>
      <rPr>
        <vertAlign val="subscript"/>
        <sz val="11"/>
        <rFont val="Calibri"/>
        <family val="2"/>
        <scheme val="minor"/>
      </rPr>
      <t>SH2S,KH2S,ASSIM</t>
    </r>
  </si>
  <si>
    <r>
      <t>Saturation term for H</t>
    </r>
    <r>
      <rPr>
        <vertAlign val="subscript"/>
        <sz val="11"/>
        <color rgb="FF000000"/>
        <rFont val="Calibri"/>
        <family val="2"/>
        <scheme val="minor"/>
      </rPr>
      <t>2</t>
    </r>
    <r>
      <rPr>
        <sz val="11"/>
        <color rgb="FF000000"/>
        <rFont val="Calibri"/>
        <family val="2"/>
        <charset val="238"/>
        <scheme val="minor"/>
      </rPr>
      <t>S (assimilation oxidation)</t>
    </r>
  </si>
  <si>
    <r>
      <t>Msat(S</t>
    </r>
    <r>
      <rPr>
        <vertAlign val="subscript"/>
        <sz val="11"/>
        <rFont val="Calibri"/>
        <family val="2"/>
        <scheme val="minor"/>
      </rPr>
      <t>H2S</t>
    </r>
    <r>
      <rPr>
        <sz val="11"/>
        <rFont val="Calibri"/>
        <family val="2"/>
        <scheme val="minor"/>
      </rPr>
      <t>;K</t>
    </r>
    <r>
      <rPr>
        <vertAlign val="subscript"/>
        <sz val="11"/>
        <rFont val="Calibri"/>
        <family val="2"/>
        <scheme val="minor"/>
      </rPr>
      <t>H2S,ASSIM</t>
    </r>
    <r>
      <rPr>
        <sz val="11"/>
        <rFont val="Calibri"/>
        <family val="2"/>
        <scheme val="minor"/>
      </rPr>
      <t>)</t>
    </r>
  </si>
  <si>
    <r>
      <t>Minh</t>
    </r>
    <r>
      <rPr>
        <vertAlign val="subscript"/>
        <sz val="11"/>
        <rFont val="Calibri"/>
        <family val="2"/>
        <scheme val="minor"/>
      </rPr>
      <t>SSO4,KiSO4,RED</t>
    </r>
  </si>
  <si>
    <r>
      <t>Inhibition term for SO</t>
    </r>
    <r>
      <rPr>
        <vertAlign val="subscript"/>
        <sz val="11"/>
        <color rgb="FF000000"/>
        <rFont val="Calibri"/>
        <family val="2"/>
        <scheme val="minor"/>
      </rPr>
      <t>4</t>
    </r>
    <r>
      <rPr>
        <sz val="11"/>
        <color rgb="FF000000"/>
        <rFont val="Calibri"/>
        <family val="2"/>
        <charset val="238"/>
        <scheme val="minor"/>
      </rPr>
      <t xml:space="preserve"> (HFO reduction)</t>
    </r>
  </si>
  <si>
    <r>
      <t>Minh(S</t>
    </r>
    <r>
      <rPr>
        <vertAlign val="subscript"/>
        <sz val="11"/>
        <rFont val="Calibri"/>
        <family val="2"/>
        <scheme val="minor"/>
      </rPr>
      <t>SO4</t>
    </r>
    <r>
      <rPr>
        <sz val="11"/>
        <rFont val="Calibri"/>
        <family val="2"/>
        <scheme val="minor"/>
      </rPr>
      <t>;Ki</t>
    </r>
    <r>
      <rPr>
        <vertAlign val="subscript"/>
        <sz val="11"/>
        <rFont val="Calibri"/>
        <family val="2"/>
        <scheme val="minor"/>
      </rPr>
      <t>SO4,RED</t>
    </r>
    <r>
      <rPr>
        <sz val="11"/>
        <rFont val="Calibri"/>
        <family val="2"/>
        <scheme val="minor"/>
      </rPr>
      <t>)</t>
    </r>
  </si>
  <si>
    <r>
      <t>Msat</t>
    </r>
    <r>
      <rPr>
        <vertAlign val="subscript"/>
        <sz val="11"/>
        <rFont val="Calibri"/>
        <family val="2"/>
        <scheme val="minor"/>
      </rPr>
      <t>TKNB,KTKNB</t>
    </r>
  </si>
  <si>
    <t>Saturation term for biodegradable TKN</t>
  </si>
  <si>
    <r>
      <t>Msat(T</t>
    </r>
    <r>
      <rPr>
        <vertAlign val="subscript"/>
        <sz val="11"/>
        <rFont val="Calibri"/>
        <family val="2"/>
        <scheme val="minor"/>
      </rPr>
      <t>KN,B</t>
    </r>
    <r>
      <rPr>
        <sz val="11"/>
        <rFont val="Calibri"/>
        <family val="2"/>
        <scheme val="minor"/>
      </rPr>
      <t>;K</t>
    </r>
    <r>
      <rPr>
        <vertAlign val="subscript"/>
        <sz val="11"/>
        <rFont val="Calibri"/>
        <family val="2"/>
        <scheme val="minor"/>
      </rPr>
      <t>TKN,B</t>
    </r>
    <r>
      <rPr>
        <sz val="11"/>
        <rFont val="Calibri"/>
        <family val="2"/>
        <scheme val="minor"/>
      </rPr>
      <t>)</t>
    </r>
  </si>
  <si>
    <r>
      <t>µ</t>
    </r>
    <r>
      <rPr>
        <vertAlign val="subscript"/>
        <sz val="11"/>
        <rFont val="Calibri"/>
        <family val="2"/>
        <scheme val="minor"/>
      </rPr>
      <t>ASRO,T</t>
    </r>
  </si>
  <si>
    <t>Maximum specific growth rate of ASROs (temperature corrected)</t>
  </si>
  <si>
    <r>
      <t>µ</t>
    </r>
    <r>
      <rPr>
        <vertAlign val="subscript"/>
        <sz val="11"/>
        <rFont val="Calibri"/>
        <family val="2"/>
        <scheme val="minor"/>
      </rPr>
      <t>ASRO</t>
    </r>
    <r>
      <rPr>
        <sz val="11"/>
        <rFont val="Calibri"/>
        <family val="2"/>
        <scheme val="minor"/>
      </rPr>
      <t>*Arrh(θ</t>
    </r>
    <r>
      <rPr>
        <vertAlign val="subscript"/>
        <sz val="11"/>
        <rFont val="Calibri"/>
        <family val="2"/>
        <scheme val="minor"/>
      </rPr>
      <t>µ,ASRO</t>
    </r>
    <r>
      <rPr>
        <sz val="11"/>
        <rFont val="Calibri"/>
        <family val="2"/>
        <scheme val="minor"/>
      </rPr>
      <t>; T; T</t>
    </r>
    <r>
      <rPr>
        <vertAlign val="subscript"/>
        <sz val="11"/>
        <rFont val="Calibri"/>
        <family val="2"/>
        <scheme val="minor"/>
      </rPr>
      <t>base</t>
    </r>
    <r>
      <rPr>
        <sz val="11"/>
        <rFont val="Calibri"/>
        <family val="2"/>
        <scheme val="minor"/>
      </rPr>
      <t>)</t>
    </r>
  </si>
  <si>
    <r>
      <t>µ</t>
    </r>
    <r>
      <rPr>
        <vertAlign val="subscript"/>
        <sz val="11"/>
        <rFont val="Calibri"/>
        <family val="2"/>
        <scheme val="minor"/>
      </rPr>
      <t>HSRO,T</t>
    </r>
  </si>
  <si>
    <t>Maximum specific growth rate of HSROs (temperature corrected)</t>
  </si>
  <si>
    <r>
      <t>µ</t>
    </r>
    <r>
      <rPr>
        <vertAlign val="subscript"/>
        <sz val="11"/>
        <rFont val="Calibri"/>
        <family val="2"/>
        <scheme val="minor"/>
      </rPr>
      <t>HSRO</t>
    </r>
    <r>
      <rPr>
        <sz val="11"/>
        <rFont val="Calibri"/>
        <family val="2"/>
        <scheme val="minor"/>
      </rPr>
      <t>*Arrh(θ</t>
    </r>
    <r>
      <rPr>
        <vertAlign val="subscript"/>
        <sz val="11"/>
        <rFont val="Calibri"/>
        <family val="2"/>
        <scheme val="minor"/>
      </rPr>
      <t>µ,HSRO</t>
    </r>
    <r>
      <rPr>
        <sz val="11"/>
        <rFont val="Calibri"/>
        <family val="2"/>
        <scheme val="minor"/>
      </rPr>
      <t>; T; T</t>
    </r>
    <r>
      <rPr>
        <vertAlign val="subscript"/>
        <sz val="11"/>
        <rFont val="Calibri"/>
        <family val="2"/>
        <scheme val="minor"/>
      </rPr>
      <t>base</t>
    </r>
    <r>
      <rPr>
        <sz val="11"/>
        <rFont val="Calibri"/>
        <family val="2"/>
        <scheme val="minor"/>
      </rPr>
      <t>)</t>
    </r>
  </si>
  <si>
    <r>
      <t>b</t>
    </r>
    <r>
      <rPr>
        <vertAlign val="subscript"/>
        <sz val="11"/>
        <rFont val="Calibri"/>
        <family val="2"/>
        <scheme val="minor"/>
      </rPr>
      <t>ASRO,T</t>
    </r>
  </si>
  <si>
    <t>Decay rate of ASROs (temperature corrected)</t>
  </si>
  <si>
    <r>
      <t>b</t>
    </r>
    <r>
      <rPr>
        <vertAlign val="subscript"/>
        <sz val="11"/>
        <rFont val="Calibri"/>
        <family val="2"/>
        <scheme val="minor"/>
      </rPr>
      <t>ASRO</t>
    </r>
    <r>
      <rPr>
        <sz val="11"/>
        <rFont val="Calibri"/>
        <family val="2"/>
        <scheme val="minor"/>
      </rPr>
      <t>*Arrh(θ</t>
    </r>
    <r>
      <rPr>
        <vertAlign val="subscript"/>
        <sz val="11"/>
        <rFont val="Calibri"/>
        <family val="2"/>
        <scheme val="minor"/>
      </rPr>
      <t>b,ASRO</t>
    </r>
    <r>
      <rPr>
        <sz val="11"/>
        <rFont val="Calibri"/>
        <family val="2"/>
        <scheme val="minor"/>
      </rPr>
      <t>; T; T</t>
    </r>
    <r>
      <rPr>
        <vertAlign val="subscript"/>
        <sz val="11"/>
        <rFont val="Calibri"/>
        <family val="2"/>
        <scheme val="minor"/>
      </rPr>
      <t>base</t>
    </r>
    <r>
      <rPr>
        <sz val="11"/>
        <rFont val="Calibri"/>
        <family val="2"/>
        <scheme val="minor"/>
      </rPr>
      <t>)</t>
    </r>
  </si>
  <si>
    <r>
      <t>b</t>
    </r>
    <r>
      <rPr>
        <vertAlign val="subscript"/>
        <sz val="11"/>
        <rFont val="Calibri"/>
        <family val="2"/>
        <scheme val="minor"/>
      </rPr>
      <t>HSRO,T</t>
    </r>
  </si>
  <si>
    <t>Decay rate of HSROs (temperature corrected)</t>
  </si>
  <si>
    <r>
      <t>b</t>
    </r>
    <r>
      <rPr>
        <vertAlign val="subscript"/>
        <sz val="11"/>
        <rFont val="Calibri"/>
        <family val="2"/>
        <scheme val="minor"/>
      </rPr>
      <t>HSRO</t>
    </r>
    <r>
      <rPr>
        <sz val="11"/>
        <rFont val="Calibri"/>
        <family val="2"/>
        <scheme val="minor"/>
      </rPr>
      <t>*Arrh(θ</t>
    </r>
    <r>
      <rPr>
        <vertAlign val="subscript"/>
        <sz val="11"/>
        <rFont val="Calibri"/>
        <family val="2"/>
        <scheme val="minor"/>
      </rPr>
      <t>b,HSRO</t>
    </r>
    <r>
      <rPr>
        <sz val="11"/>
        <rFont val="Calibri"/>
        <family val="2"/>
        <scheme val="minor"/>
      </rPr>
      <t>; T; T</t>
    </r>
    <r>
      <rPr>
        <vertAlign val="subscript"/>
        <sz val="11"/>
        <rFont val="Calibri"/>
        <family val="2"/>
        <scheme val="minor"/>
      </rPr>
      <t>base</t>
    </r>
    <r>
      <rPr>
        <sz val="11"/>
        <rFont val="Calibri"/>
        <family val="2"/>
        <scheme val="minor"/>
      </rPr>
      <t>)</t>
    </r>
  </si>
  <si>
    <r>
      <t>µ</t>
    </r>
    <r>
      <rPr>
        <vertAlign val="subscript"/>
        <sz val="11"/>
        <rFont val="Calibri"/>
        <family val="2"/>
        <scheme val="minor"/>
      </rPr>
      <t>SOO,H2S,T</t>
    </r>
  </si>
  <si>
    <t>Maximum specific growth rate of SOOs on H2S (temperature corrected)</t>
  </si>
  <si>
    <r>
      <t>µ</t>
    </r>
    <r>
      <rPr>
        <vertAlign val="subscript"/>
        <sz val="11"/>
        <rFont val="Calibri"/>
        <family val="2"/>
        <scheme val="minor"/>
      </rPr>
      <t>SOO,H2S</t>
    </r>
    <r>
      <rPr>
        <sz val="11"/>
        <rFont val="Calibri"/>
        <family val="2"/>
        <scheme val="minor"/>
      </rPr>
      <t>*Arrh(θ</t>
    </r>
    <r>
      <rPr>
        <vertAlign val="subscript"/>
        <sz val="11"/>
        <rFont val="Calibri"/>
        <family val="2"/>
        <scheme val="minor"/>
      </rPr>
      <t>µ,SOO,H2S</t>
    </r>
    <r>
      <rPr>
        <sz val="11"/>
        <rFont val="Calibri"/>
        <family val="2"/>
        <scheme val="minor"/>
      </rPr>
      <t>; T; T</t>
    </r>
    <r>
      <rPr>
        <vertAlign val="subscript"/>
        <sz val="11"/>
        <rFont val="Calibri"/>
        <family val="2"/>
        <scheme val="minor"/>
      </rPr>
      <t>base</t>
    </r>
    <r>
      <rPr>
        <sz val="11"/>
        <rFont val="Calibri"/>
        <family val="2"/>
        <scheme val="minor"/>
      </rPr>
      <t>)</t>
    </r>
  </si>
  <si>
    <r>
      <t>µ</t>
    </r>
    <r>
      <rPr>
        <vertAlign val="subscript"/>
        <sz val="11"/>
        <rFont val="Calibri"/>
        <family val="2"/>
        <scheme val="minor"/>
      </rPr>
      <t>SOO,S,T</t>
    </r>
  </si>
  <si>
    <t>Maximum specific growth rate of SOOs on S (temperature corrected)</t>
  </si>
  <si>
    <r>
      <t>µ</t>
    </r>
    <r>
      <rPr>
        <vertAlign val="subscript"/>
        <sz val="11"/>
        <rFont val="Calibri"/>
        <family val="2"/>
        <scheme val="minor"/>
      </rPr>
      <t>SOO,S</t>
    </r>
    <r>
      <rPr>
        <sz val="11"/>
        <rFont val="Calibri"/>
        <family val="2"/>
        <scheme val="minor"/>
      </rPr>
      <t>*Arrh(θ</t>
    </r>
    <r>
      <rPr>
        <vertAlign val="subscript"/>
        <sz val="11"/>
        <rFont val="Calibri"/>
        <family val="2"/>
        <scheme val="minor"/>
      </rPr>
      <t>µ,SOO,S</t>
    </r>
    <r>
      <rPr>
        <sz val="11"/>
        <rFont val="Calibri"/>
        <family val="2"/>
        <scheme val="minor"/>
      </rPr>
      <t>; T; T</t>
    </r>
    <r>
      <rPr>
        <vertAlign val="subscript"/>
        <sz val="11"/>
        <rFont val="Calibri"/>
        <family val="2"/>
        <scheme val="minor"/>
      </rPr>
      <t>base</t>
    </r>
    <r>
      <rPr>
        <sz val="11"/>
        <rFont val="Calibri"/>
        <family val="2"/>
        <scheme val="minor"/>
      </rPr>
      <t>)</t>
    </r>
  </si>
  <si>
    <r>
      <t>b</t>
    </r>
    <r>
      <rPr>
        <vertAlign val="subscript"/>
        <sz val="11"/>
        <rFont val="Calibri"/>
        <family val="2"/>
        <scheme val="minor"/>
      </rPr>
      <t>SOO,T</t>
    </r>
  </si>
  <si>
    <t>Decay rate of SOOs (temperature corrected)</t>
  </si>
  <si>
    <r>
      <t>b</t>
    </r>
    <r>
      <rPr>
        <vertAlign val="subscript"/>
        <sz val="11"/>
        <rFont val="Calibri"/>
        <family val="2"/>
        <scheme val="minor"/>
      </rPr>
      <t>SOO</t>
    </r>
    <r>
      <rPr>
        <sz val="11"/>
        <rFont val="Calibri"/>
        <family val="2"/>
        <scheme val="minor"/>
      </rPr>
      <t>*Arrh(θ</t>
    </r>
    <r>
      <rPr>
        <vertAlign val="subscript"/>
        <sz val="11"/>
        <rFont val="Calibri"/>
        <family val="2"/>
        <scheme val="minor"/>
      </rPr>
      <t>b,SOO</t>
    </r>
    <r>
      <rPr>
        <sz val="11"/>
        <rFont val="Calibri"/>
        <family val="2"/>
        <scheme val="minor"/>
      </rPr>
      <t>; T; T</t>
    </r>
    <r>
      <rPr>
        <vertAlign val="subscript"/>
        <sz val="11"/>
        <rFont val="Calibri"/>
        <family val="2"/>
        <scheme val="minor"/>
      </rPr>
      <t>base</t>
    </r>
    <r>
      <rPr>
        <sz val="11"/>
        <rFont val="Calibri"/>
        <family val="2"/>
        <scheme val="minor"/>
      </rPr>
      <t>)</t>
    </r>
  </si>
  <si>
    <r>
      <t>q</t>
    </r>
    <r>
      <rPr>
        <vertAlign val="subscript"/>
        <sz val="11"/>
        <color indexed="8"/>
        <rFont val="Calibri"/>
        <family val="2"/>
        <scheme val="minor"/>
      </rPr>
      <t>FeS,OX,T</t>
    </r>
  </si>
  <si>
    <t>Rate of FeS oxidation (temperature corrected)</t>
  </si>
  <si>
    <r>
      <t>q</t>
    </r>
    <r>
      <rPr>
        <vertAlign val="subscript"/>
        <sz val="11"/>
        <color indexed="8"/>
        <rFont val="Calibri"/>
        <family val="2"/>
        <scheme val="minor"/>
      </rPr>
      <t>FeS,OX</t>
    </r>
    <r>
      <rPr>
        <sz val="11"/>
        <color indexed="8"/>
        <rFont val="Calibri"/>
        <family val="2"/>
        <scheme val="minor"/>
      </rPr>
      <t>*Arrh(θ</t>
    </r>
    <r>
      <rPr>
        <vertAlign val="subscript"/>
        <sz val="11"/>
        <color indexed="8"/>
        <rFont val="Calibri"/>
        <family val="2"/>
        <scheme val="minor"/>
      </rPr>
      <t>q,FeS,OX</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</si>
  <si>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q</t>
    </r>
    <r>
      <rPr>
        <vertAlign val="subscript"/>
        <sz val="11"/>
        <color indexed="8"/>
        <rFont val="Calibri"/>
        <family val="2"/>
        <scheme val="minor"/>
      </rPr>
      <t>HFO,H2S,RED,T</t>
    </r>
  </si>
  <si>
    <t>Rate of HFO reduction with H2S (temperature corrected)</t>
  </si>
  <si>
    <r>
      <t>q</t>
    </r>
    <r>
      <rPr>
        <vertAlign val="subscript"/>
        <sz val="11"/>
        <color indexed="8"/>
        <rFont val="Calibri"/>
        <family val="2"/>
        <scheme val="minor"/>
      </rPr>
      <t>HFO,H2S,RED</t>
    </r>
    <r>
      <rPr>
        <sz val="11"/>
        <color indexed="8"/>
        <rFont val="Calibri"/>
        <family val="2"/>
        <scheme val="minor"/>
      </rPr>
      <t>*Arrh(θ</t>
    </r>
    <r>
      <rPr>
        <vertAlign val="subscript"/>
        <sz val="11"/>
        <color indexed="8"/>
        <rFont val="Calibri"/>
        <family val="2"/>
        <scheme val="minor"/>
      </rPr>
      <t>q,HFO,H2S,RED</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</si>
  <si>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K</t>
    </r>
    <r>
      <rPr>
        <vertAlign val="subscript"/>
        <sz val="11"/>
        <rFont val="Calibri"/>
        <family val="2"/>
        <scheme val="minor"/>
      </rPr>
      <t>S1,T</t>
    </r>
  </si>
  <si>
    <t>Dissociation constant of hydrogen sulfide (temperature corrected)</t>
  </si>
  <si>
    <r>
      <t>K</t>
    </r>
    <r>
      <rPr>
        <vertAlign val="subscript"/>
        <sz val="11"/>
        <rFont val="Calibri"/>
        <family val="2"/>
        <scheme val="minor"/>
      </rPr>
      <t>S2,T</t>
    </r>
  </si>
  <si>
    <t>Dissociation constant of bisulfide ion (temperature corrected)</t>
  </si>
  <si>
    <r>
      <t>K</t>
    </r>
    <r>
      <rPr>
        <vertAlign val="subscript"/>
        <sz val="11"/>
        <rFont val="Calibri"/>
        <family val="2"/>
        <scheme val="minor"/>
      </rPr>
      <t>SO41,T</t>
    </r>
  </si>
  <si>
    <t>Dissociation constant of sulfuric acid (temperature corrected)</t>
  </si>
  <si>
    <r>
      <t>K</t>
    </r>
    <r>
      <rPr>
        <vertAlign val="subscript"/>
        <sz val="11"/>
        <rFont val="Calibri"/>
        <family val="2"/>
        <scheme val="minor"/>
      </rPr>
      <t>SO42,T</t>
    </r>
  </si>
  <si>
    <t>Dissociation constant of bisulfate (temperature corrected)</t>
  </si>
  <si>
    <r>
      <t>K</t>
    </r>
    <r>
      <rPr>
        <vertAlign val="subscript"/>
        <sz val="11"/>
        <rFont val="Calibri"/>
        <family val="2"/>
        <scheme val="minor"/>
      </rPr>
      <t>S1</t>
    </r>
  </si>
  <si>
    <t>Dissociation constant of hydrogen sulfide (activity corrected)</t>
  </si>
  <si>
    <r>
      <t>K</t>
    </r>
    <r>
      <rPr>
        <vertAlign val="subscript"/>
        <sz val="11"/>
        <rFont val="Calibri"/>
        <family val="2"/>
        <scheme val="minor"/>
      </rPr>
      <t>S1,T</t>
    </r>
    <r>
      <rPr>
        <sz val="11"/>
        <rFont val="Calibri"/>
        <family val="2"/>
        <scheme val="minor"/>
      </rPr>
      <t>/f</t>
    </r>
    <r>
      <rPr>
        <vertAlign val="subscript"/>
        <sz val="11"/>
        <rFont val="Calibri"/>
        <family val="2"/>
        <scheme val="minor"/>
      </rPr>
      <t>mono</t>
    </r>
    <r>
      <rPr>
        <sz val="11"/>
        <rFont val="Calibri"/>
        <family val="2"/>
        <scheme val="minor"/>
      </rPr>
      <t>^2</t>
    </r>
  </si>
  <si>
    <r>
      <t>K</t>
    </r>
    <r>
      <rPr>
        <vertAlign val="subscript"/>
        <sz val="11"/>
        <rFont val="Calibri"/>
        <family val="2"/>
        <scheme val="minor"/>
      </rPr>
      <t>S2</t>
    </r>
  </si>
  <si>
    <t>Dissociation constant of bisulfide ion (activity corrected)</t>
  </si>
  <si>
    <r>
      <t>K</t>
    </r>
    <r>
      <rPr>
        <vertAlign val="subscript"/>
        <sz val="11"/>
        <rFont val="Calibri"/>
        <family val="2"/>
        <scheme val="minor"/>
      </rPr>
      <t>S2,T</t>
    </r>
    <r>
      <rPr>
        <sz val="11"/>
        <rFont val="Calibri"/>
        <family val="2"/>
        <scheme val="minor"/>
      </rPr>
      <t>/f</t>
    </r>
    <r>
      <rPr>
        <vertAlign val="subscript"/>
        <sz val="11"/>
        <rFont val="Calibri"/>
        <family val="2"/>
        <scheme val="minor"/>
      </rPr>
      <t>di</t>
    </r>
  </si>
  <si>
    <r>
      <t>K</t>
    </r>
    <r>
      <rPr>
        <vertAlign val="subscript"/>
        <sz val="11"/>
        <rFont val="Calibri"/>
        <family val="2"/>
        <scheme val="minor"/>
      </rPr>
      <t>SO41</t>
    </r>
  </si>
  <si>
    <t>Dissociation constant of sulfuric acid (activity corrected)</t>
  </si>
  <si>
    <r>
      <t>K</t>
    </r>
    <r>
      <rPr>
        <vertAlign val="subscript"/>
        <sz val="11"/>
        <rFont val="Calibri"/>
        <family val="2"/>
        <scheme val="minor"/>
      </rPr>
      <t>SO41,T</t>
    </r>
    <r>
      <rPr>
        <sz val="11"/>
        <rFont val="Calibri"/>
        <family val="2"/>
        <scheme val="minor"/>
      </rPr>
      <t>/f</t>
    </r>
    <r>
      <rPr>
        <vertAlign val="subscript"/>
        <sz val="11"/>
        <rFont val="Calibri"/>
        <family val="2"/>
        <scheme val="minor"/>
      </rPr>
      <t>mono</t>
    </r>
    <r>
      <rPr>
        <sz val="11"/>
        <rFont val="Calibri"/>
        <family val="2"/>
        <scheme val="minor"/>
      </rPr>
      <t>^2</t>
    </r>
  </si>
  <si>
    <r>
      <t>K</t>
    </r>
    <r>
      <rPr>
        <vertAlign val="subscript"/>
        <sz val="11"/>
        <rFont val="Calibri"/>
        <family val="2"/>
        <scheme val="minor"/>
      </rPr>
      <t>SO42</t>
    </r>
  </si>
  <si>
    <t>Dissociation constant of bisulfate (activity corrected)</t>
  </si>
  <si>
    <r>
      <t>K</t>
    </r>
    <r>
      <rPr>
        <vertAlign val="subscript"/>
        <sz val="11"/>
        <rFont val="Calibri"/>
        <family val="2"/>
        <scheme val="minor"/>
      </rPr>
      <t>SO42,T</t>
    </r>
    <r>
      <rPr>
        <sz val="11"/>
        <rFont val="Calibri"/>
        <family val="2"/>
        <scheme val="minor"/>
      </rPr>
      <t>/f</t>
    </r>
    <r>
      <rPr>
        <vertAlign val="subscript"/>
        <sz val="11"/>
        <rFont val="Calibri"/>
        <family val="2"/>
        <scheme val="minor"/>
      </rPr>
      <t>di</t>
    </r>
  </si>
  <si>
    <r>
      <t>K</t>
    </r>
    <r>
      <rPr>
        <vertAlign val="subscript"/>
        <sz val="11"/>
        <rFont val="Calibri"/>
        <family val="2"/>
        <scheme val="minor"/>
      </rPr>
      <t>sp,FeS</t>
    </r>
  </si>
  <si>
    <t>Solubility constant of FeS (activity corrected)</t>
  </si>
  <si>
    <r>
      <t>[HS</t>
    </r>
    <r>
      <rPr>
        <vertAlign val="superscript"/>
        <sz val="11"/>
        <rFont val="Calibri"/>
        <family val="2"/>
        <scheme val="minor"/>
      </rPr>
      <t>-</t>
    </r>
    <r>
      <rPr>
        <sz val="11"/>
        <rFont val="Calibri"/>
        <family val="2"/>
        <scheme val="minor"/>
      </rPr>
      <t>]</t>
    </r>
    <r>
      <rPr>
        <vertAlign val="subscript"/>
        <sz val="11"/>
        <rFont val="Calibri"/>
        <family val="2"/>
        <scheme val="minor"/>
      </rPr>
      <t>eq</t>
    </r>
  </si>
  <si>
    <t>Hydrosulfate molar concentration at equivalence point</t>
  </si>
  <si>
    <r>
      <t>([H</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*K</t>
    </r>
    <r>
      <rPr>
        <vertAlign val="subscript"/>
        <sz val="11"/>
        <rFont val="Calibri"/>
        <family val="2"/>
        <scheme val="minor"/>
      </rPr>
      <t>S1</t>
    </r>
    <r>
      <rPr>
        <sz val="11"/>
        <rFont val="Calibri"/>
        <family val="2"/>
        <scheme val="minor"/>
      </rPr>
      <t>*S</t>
    </r>
    <r>
      <rPr>
        <vertAlign val="subscript"/>
        <sz val="11"/>
        <rFont val="Calibri"/>
        <family val="2"/>
        <scheme val="minor"/>
      </rPr>
      <t>H2S</t>
    </r>
    <r>
      <rPr>
        <sz val="11"/>
        <rFont val="Calibri"/>
        <family val="2"/>
        <scheme val="minor"/>
      </rPr>
      <t>/(AM</t>
    </r>
    <r>
      <rPr>
        <vertAlign val="subscript"/>
        <sz val="11"/>
        <rFont val="Calibri"/>
        <family val="2"/>
        <scheme val="minor"/>
      </rPr>
      <t>S</t>
    </r>
    <r>
      <rPr>
        <sz val="11"/>
        <rFont val="Calibri"/>
        <family val="2"/>
        <scheme val="minor"/>
      </rPr>
      <t>*1000))/([H</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^2+[H</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*K</t>
    </r>
    <r>
      <rPr>
        <vertAlign val="subscript"/>
        <sz val="11"/>
        <rFont val="Calibri"/>
        <family val="2"/>
        <scheme val="minor"/>
      </rPr>
      <t>S1</t>
    </r>
    <r>
      <rPr>
        <sz val="11"/>
        <rFont val="Calibri"/>
        <family val="2"/>
        <scheme val="minor"/>
      </rPr>
      <t>+K</t>
    </r>
    <r>
      <rPr>
        <vertAlign val="subscript"/>
        <sz val="11"/>
        <rFont val="Calibri"/>
        <family val="2"/>
        <scheme val="minor"/>
      </rPr>
      <t>S1</t>
    </r>
    <r>
      <rPr>
        <sz val="11"/>
        <rFont val="Calibri"/>
        <family val="2"/>
        <scheme val="minor"/>
      </rPr>
      <t>*K</t>
    </r>
    <r>
      <rPr>
        <vertAlign val="subscript"/>
        <sz val="11"/>
        <rFont val="Calibri"/>
        <family val="2"/>
        <scheme val="minor"/>
      </rPr>
      <t>S2</t>
    </r>
    <r>
      <rPr>
        <sz val="11"/>
        <rFont val="Calibri"/>
        <family val="2"/>
        <scheme val="minor"/>
      </rPr>
      <t>)</t>
    </r>
  </si>
  <si>
    <r>
      <t>(3*[PO</t>
    </r>
    <r>
      <rPr>
        <vertAlign val="subscript"/>
        <sz val="11"/>
        <rFont val="Calibri"/>
        <family val="2"/>
        <scheme val="minor"/>
      </rPr>
      <t>4</t>
    </r>
    <r>
      <rPr>
        <vertAlign val="superscript"/>
        <sz val="11"/>
        <rFont val="Calibri"/>
        <family val="2"/>
        <scheme val="minor"/>
      </rPr>
      <t>3-</t>
    </r>
    <r>
      <rPr>
        <sz val="11"/>
        <rFont val="Calibri"/>
        <family val="2"/>
        <scheme val="minor"/>
      </rPr>
      <t>] + 2*[HPO</t>
    </r>
    <r>
      <rPr>
        <vertAlign val="subscript"/>
        <sz val="11"/>
        <rFont val="Calibri"/>
        <family val="2"/>
        <scheme val="minor"/>
      </rPr>
      <t>4</t>
    </r>
    <r>
      <rPr>
        <vertAlign val="superscript"/>
        <sz val="11"/>
        <rFont val="Calibri"/>
        <family val="2"/>
        <scheme val="minor"/>
      </rPr>
      <t>2-</t>
    </r>
    <r>
      <rPr>
        <sz val="11"/>
        <rFont val="Calibri"/>
        <family val="2"/>
        <scheme val="minor"/>
      </rPr>
      <t>])- 2*[HPO</t>
    </r>
    <r>
      <rPr>
        <vertAlign val="subscript"/>
        <sz val="11"/>
        <rFont val="Calibri"/>
        <family val="2"/>
        <scheme val="minor"/>
      </rPr>
      <t>4</t>
    </r>
    <r>
      <rPr>
        <vertAlign val="superscript"/>
        <sz val="11"/>
        <rFont val="Calibri"/>
        <family val="2"/>
        <scheme val="minor"/>
      </rPr>
      <t>2-</t>
    </r>
    <r>
      <rPr>
        <sz val="11"/>
        <rFont val="Calibri"/>
        <family val="2"/>
        <scheme val="minor"/>
      </rPr>
      <t>]</t>
    </r>
    <r>
      <rPr>
        <vertAlign val="subscript"/>
        <sz val="11"/>
        <rFont val="Calibri"/>
        <family val="2"/>
        <scheme val="minor"/>
      </rPr>
      <t>eq</t>
    </r>
    <r>
      <rPr>
        <sz val="11"/>
        <rFont val="Calibri"/>
        <family val="2"/>
        <scheme val="minor"/>
      </rPr>
      <t xml:space="preserve"> + [H</t>
    </r>
    <r>
      <rPr>
        <vertAlign val="subscript"/>
        <sz val="11"/>
        <rFont val="Calibri"/>
        <family val="2"/>
        <scheme val="minor"/>
      </rPr>
      <t>2</t>
    </r>
    <r>
      <rPr>
        <sz val="11"/>
        <rFont val="Calibri"/>
        <family val="2"/>
        <scheme val="minor"/>
      </rPr>
      <t>PO</t>
    </r>
    <r>
      <rPr>
        <vertAlign val="subscript"/>
        <sz val="11"/>
        <rFont val="Calibri"/>
        <family val="2"/>
        <scheme val="minor"/>
      </rPr>
      <t>4</t>
    </r>
    <r>
      <rPr>
        <vertAlign val="superscript"/>
        <sz val="11"/>
        <rFont val="Calibri"/>
        <family val="2"/>
        <scheme val="minor"/>
      </rPr>
      <t>-</t>
    </r>
    <r>
      <rPr>
        <sz val="11"/>
        <rFont val="Calibri"/>
        <family val="2"/>
        <scheme val="minor"/>
      </rPr>
      <t>]- [H</t>
    </r>
    <r>
      <rPr>
        <vertAlign val="subscript"/>
        <sz val="11"/>
        <rFont val="Calibri"/>
        <family val="2"/>
        <scheme val="minor"/>
      </rPr>
      <t>2</t>
    </r>
    <r>
      <rPr>
        <sz val="11"/>
        <rFont val="Calibri"/>
        <family val="2"/>
        <scheme val="minor"/>
      </rPr>
      <t>PO</t>
    </r>
    <r>
      <rPr>
        <vertAlign val="subscript"/>
        <sz val="11"/>
        <rFont val="Calibri"/>
        <family val="2"/>
        <scheme val="minor"/>
      </rPr>
      <t>4</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 xml:space="preserve"> + [OH</t>
    </r>
    <r>
      <rPr>
        <vertAlign val="superscript"/>
        <sz val="11"/>
        <rFont val="Calibri"/>
        <family val="2"/>
        <scheme val="minor"/>
      </rPr>
      <t>-</t>
    </r>
    <r>
      <rPr>
        <sz val="11"/>
        <rFont val="Calibri"/>
        <family val="2"/>
        <scheme val="minor"/>
      </rPr>
      <t>]+ [NO</t>
    </r>
    <r>
      <rPr>
        <vertAlign val="subscript"/>
        <sz val="11"/>
        <rFont val="Calibri"/>
        <family val="2"/>
        <scheme val="minor"/>
      </rPr>
      <t>2</t>
    </r>
    <r>
      <rPr>
        <vertAlign val="superscript"/>
        <sz val="11"/>
        <rFont val="Calibri"/>
        <family val="2"/>
        <scheme val="minor"/>
      </rPr>
      <t>-</t>
    </r>
    <r>
      <rPr>
        <sz val="11"/>
        <rFont val="Calibri"/>
        <family val="2"/>
        <scheme val="minor"/>
      </rPr>
      <t>] - [NO</t>
    </r>
    <r>
      <rPr>
        <vertAlign val="subscript"/>
        <sz val="11"/>
        <rFont val="Calibri"/>
        <family val="2"/>
        <scheme val="minor"/>
      </rPr>
      <t>2</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 [NH</t>
    </r>
    <r>
      <rPr>
        <vertAlign val="subscript"/>
        <sz val="11"/>
        <rFont val="Calibri"/>
        <family val="2"/>
        <scheme val="minor"/>
      </rPr>
      <t>3</t>
    </r>
    <r>
      <rPr>
        <sz val="11"/>
        <rFont val="Calibri"/>
        <family val="2"/>
        <scheme val="minor"/>
      </rPr>
      <t>] + 2*[CO</t>
    </r>
    <r>
      <rPr>
        <vertAlign val="subscript"/>
        <sz val="11"/>
        <rFont val="Calibri"/>
        <family val="2"/>
        <scheme val="minor"/>
      </rPr>
      <t>3</t>
    </r>
    <r>
      <rPr>
        <vertAlign val="superscript"/>
        <sz val="11"/>
        <rFont val="Calibri"/>
        <family val="2"/>
        <scheme val="minor"/>
      </rPr>
      <t>2-</t>
    </r>
    <r>
      <rPr>
        <sz val="11"/>
        <rFont val="Calibri"/>
        <family val="2"/>
        <scheme val="minor"/>
      </rPr>
      <t>]+ [HCO</t>
    </r>
    <r>
      <rPr>
        <vertAlign val="subscript"/>
        <sz val="11"/>
        <rFont val="Calibri"/>
        <family val="2"/>
        <scheme val="minor"/>
      </rPr>
      <t>3</t>
    </r>
    <r>
      <rPr>
        <vertAlign val="superscript"/>
        <sz val="11"/>
        <rFont val="Calibri"/>
        <family val="2"/>
        <scheme val="minor"/>
      </rPr>
      <t>-</t>
    </r>
    <r>
      <rPr>
        <sz val="11"/>
        <rFont val="Calibri"/>
        <family val="2"/>
        <scheme val="minor"/>
      </rPr>
      <t>]+ [Ac</t>
    </r>
    <r>
      <rPr>
        <vertAlign val="superscript"/>
        <sz val="11"/>
        <rFont val="Calibri"/>
        <family val="2"/>
        <scheme val="minor"/>
      </rPr>
      <t>-</t>
    </r>
    <r>
      <rPr>
        <sz val="11"/>
        <rFont val="Calibri"/>
        <family val="2"/>
        <scheme val="minor"/>
      </rPr>
      <t>] - [Ac</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 xml:space="preserve"> + [HS</t>
    </r>
    <r>
      <rPr>
        <vertAlign val="superscript"/>
        <sz val="11"/>
        <rFont val="Calibri"/>
        <family val="2"/>
        <scheme val="minor"/>
      </rPr>
      <t>-</t>
    </r>
    <r>
      <rPr>
        <sz val="11"/>
        <rFont val="Calibri"/>
        <family val="2"/>
        <scheme val="minor"/>
      </rPr>
      <t>] - [HS</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 [H</t>
    </r>
    <r>
      <rPr>
        <vertAlign val="superscript"/>
        <sz val="11"/>
        <rFont val="Calibri"/>
        <family val="2"/>
        <scheme val="minor"/>
      </rPr>
      <t>+</t>
    </r>
    <r>
      <rPr>
        <sz val="11"/>
        <rFont val="Calibri"/>
        <family val="2"/>
        <scheme val="minor"/>
      </rPr>
      <t>]</t>
    </r>
  </si>
  <si>
    <r>
      <t>Saturation term for O</t>
    </r>
    <r>
      <rPr>
        <vertAlign val="subscript"/>
        <sz val="11"/>
        <color rgb="FF000000"/>
        <rFont val="Calibri"/>
        <family val="2"/>
        <scheme val="minor"/>
      </rPr>
      <t>2</t>
    </r>
    <r>
      <rPr>
        <sz val="11"/>
        <color rgb="FF000000"/>
        <rFont val="Calibri"/>
        <family val="2"/>
        <charset val="238"/>
        <scheme val="minor"/>
      </rPr>
      <t xml:space="preserve"> (ASRO)</t>
    </r>
  </si>
  <si>
    <r>
      <t>Saturation term for O</t>
    </r>
    <r>
      <rPr>
        <vertAlign val="subscript"/>
        <sz val="11"/>
        <color rgb="FF000000"/>
        <rFont val="Calibri"/>
        <family val="2"/>
        <scheme val="minor"/>
      </rPr>
      <t>2</t>
    </r>
    <r>
      <rPr>
        <sz val="11"/>
        <color rgb="FF000000"/>
        <rFont val="Calibri"/>
        <family val="2"/>
        <charset val="238"/>
        <scheme val="minor"/>
      </rPr>
      <t xml:space="preserve"> (HSRO)</t>
    </r>
  </si>
  <si>
    <r>
      <t>Saturation term for NO</t>
    </r>
    <r>
      <rPr>
        <vertAlign val="subscript"/>
        <sz val="11"/>
        <color rgb="FF000000"/>
        <rFont val="Calibri"/>
        <family val="2"/>
        <scheme val="minor"/>
      </rPr>
      <t>x</t>
    </r>
    <r>
      <rPr>
        <sz val="11"/>
        <color rgb="FF000000"/>
        <rFont val="Calibri"/>
        <family val="2"/>
        <charset val="238"/>
        <scheme val="minor"/>
      </rPr>
      <t xml:space="preserve"> (ASRO)</t>
    </r>
  </si>
  <si>
    <r>
      <t>Saturation term for NO</t>
    </r>
    <r>
      <rPr>
        <vertAlign val="subscript"/>
        <sz val="11"/>
        <color rgb="FF000000"/>
        <rFont val="Calibri"/>
        <family val="2"/>
        <scheme val="minor"/>
      </rPr>
      <t>x</t>
    </r>
    <r>
      <rPr>
        <sz val="11"/>
        <color rgb="FF000000"/>
        <rFont val="Calibri"/>
        <family val="2"/>
        <charset val="238"/>
        <scheme val="minor"/>
      </rPr>
      <t xml:space="preserve"> (HSRO)</t>
    </r>
  </si>
  <si>
    <r>
      <t>Msat</t>
    </r>
    <r>
      <rPr>
        <vertAlign val="subscript"/>
        <sz val="11"/>
        <rFont val="Calibri"/>
        <family val="2"/>
        <scheme val="minor"/>
      </rPr>
      <t>XFeS,KFeS,DISS</t>
    </r>
  </si>
  <si>
    <t>Saturation term for FeS dissolution</t>
  </si>
  <si>
    <r>
      <t>Msat(X</t>
    </r>
    <r>
      <rPr>
        <vertAlign val="subscript"/>
        <sz val="11"/>
        <rFont val="Calibri"/>
        <family val="2"/>
        <scheme val="minor"/>
      </rPr>
      <t>FeS</t>
    </r>
    <r>
      <rPr>
        <sz val="11"/>
        <rFont val="Calibri"/>
        <family val="2"/>
        <scheme val="minor"/>
      </rPr>
      <t>;K</t>
    </r>
    <r>
      <rPr>
        <vertAlign val="subscript"/>
        <sz val="11"/>
        <rFont val="Calibri"/>
        <family val="2"/>
        <scheme val="minor"/>
      </rPr>
      <t>FeS,DISS</t>
    </r>
    <r>
      <rPr>
        <sz val="11"/>
        <rFont val="Calibri"/>
        <family val="2"/>
        <scheme val="minor"/>
      </rPr>
      <t>)</t>
    </r>
  </si>
  <si>
    <r>
      <t>T</t>
    </r>
    <r>
      <rPr>
        <vertAlign val="subscript"/>
        <sz val="11"/>
        <rFont val="Calibri"/>
        <family val="2"/>
        <scheme val="minor"/>
      </rPr>
      <t>COD</t>
    </r>
    <r>
      <rPr>
        <sz val="11"/>
        <rFont val="Calibri"/>
        <family val="2"/>
        <scheme val="minor"/>
      </rPr>
      <t xml:space="preserve"> + S</t>
    </r>
    <r>
      <rPr>
        <vertAlign val="subscript"/>
        <sz val="11"/>
        <rFont val="Calibri"/>
        <family val="2"/>
        <scheme val="minor"/>
      </rPr>
      <t>H2</t>
    </r>
    <r>
      <rPr>
        <sz val="11"/>
        <rFont val="Calibri"/>
        <family val="2"/>
        <scheme val="minor"/>
      </rPr>
      <t xml:space="preserve"> + S</t>
    </r>
    <r>
      <rPr>
        <vertAlign val="subscript"/>
        <sz val="11"/>
        <rFont val="Calibri"/>
        <family val="2"/>
        <scheme val="minor"/>
      </rPr>
      <t>CH4</t>
    </r>
    <r>
      <rPr>
        <sz val="11"/>
        <rFont val="Calibri"/>
        <family val="2"/>
        <scheme val="minor"/>
      </rPr>
      <t xml:space="preserve">  + EEQ</t>
    </r>
    <r>
      <rPr>
        <vertAlign val="subscript"/>
        <sz val="11"/>
        <rFont val="Calibri"/>
        <family val="2"/>
        <scheme val="minor"/>
      </rPr>
      <t>H2S</t>
    </r>
    <r>
      <rPr>
        <sz val="11"/>
        <rFont val="Calibri"/>
        <family val="2"/>
        <scheme val="minor"/>
      </rPr>
      <t>*S</t>
    </r>
    <r>
      <rPr>
        <vertAlign val="subscript"/>
        <sz val="11"/>
        <rFont val="Calibri"/>
        <family val="2"/>
        <scheme val="minor"/>
      </rPr>
      <t>H2S</t>
    </r>
    <r>
      <rPr>
        <sz val="11"/>
        <rFont val="Calibri"/>
        <family val="2"/>
        <scheme val="minor"/>
      </rPr>
      <t xml:space="preserve"> + EEQ</t>
    </r>
    <r>
      <rPr>
        <vertAlign val="subscript"/>
        <sz val="11"/>
        <rFont val="Calibri"/>
        <family val="2"/>
        <scheme val="minor"/>
      </rPr>
      <t>S</t>
    </r>
    <r>
      <rPr>
        <sz val="11"/>
        <rFont val="Calibri"/>
        <family val="2"/>
        <scheme val="minor"/>
      </rPr>
      <t>*X</t>
    </r>
    <r>
      <rPr>
        <vertAlign val="subscript"/>
        <sz val="11"/>
        <rFont val="Calibri"/>
        <family val="2"/>
        <scheme val="minor"/>
      </rPr>
      <t>S</t>
    </r>
    <r>
      <rPr>
        <sz val="11"/>
        <rFont val="Calibri"/>
        <family val="2"/>
        <scheme val="minor"/>
      </rPr>
      <t xml:space="preserve"> + EEQ</t>
    </r>
    <r>
      <rPr>
        <vertAlign val="subscript"/>
        <sz val="11"/>
        <rFont val="Calibri"/>
        <family val="2"/>
        <scheme val="minor"/>
      </rPr>
      <t>Fe2</t>
    </r>
    <r>
      <rPr>
        <sz val="11"/>
        <rFont val="Calibri"/>
        <family val="2"/>
        <scheme val="minor"/>
      </rPr>
      <t>*S</t>
    </r>
    <r>
      <rPr>
        <vertAlign val="subscript"/>
        <sz val="11"/>
        <rFont val="Calibri"/>
        <family val="2"/>
        <scheme val="minor"/>
      </rPr>
      <t>Fe2</t>
    </r>
    <r>
      <rPr>
        <sz val="11"/>
        <rFont val="Calibri"/>
        <family val="2"/>
        <scheme val="minor"/>
      </rPr>
      <t xml:space="preserve"> + (3*AM</t>
    </r>
    <r>
      <rPr>
        <vertAlign val="subscript"/>
        <sz val="11"/>
        <rFont val="Calibri"/>
        <family val="2"/>
        <scheme val="minor"/>
      </rPr>
      <t>Fe</t>
    </r>
    <r>
      <rPr>
        <sz val="11"/>
        <rFont val="Calibri"/>
        <family val="2"/>
        <scheme val="minor"/>
      </rPr>
      <t>/MM</t>
    </r>
    <r>
      <rPr>
        <vertAlign val="subscript"/>
        <sz val="11"/>
        <rFont val="Calibri"/>
        <family val="2"/>
        <scheme val="minor"/>
      </rPr>
      <t>Vivi</t>
    </r>
    <r>
      <rPr>
        <sz val="11"/>
        <rFont val="Calibri"/>
        <family val="2"/>
        <scheme val="minor"/>
      </rPr>
      <t>*EEQ</t>
    </r>
    <r>
      <rPr>
        <vertAlign val="subscript"/>
        <sz val="11"/>
        <rFont val="Calibri"/>
        <family val="2"/>
        <scheme val="minor"/>
      </rPr>
      <t>Fe2</t>
    </r>
    <r>
      <rPr>
        <sz val="11"/>
        <rFont val="Calibri"/>
        <family val="2"/>
        <scheme val="minor"/>
      </rPr>
      <t>)*X</t>
    </r>
    <r>
      <rPr>
        <vertAlign val="subscript"/>
        <sz val="11"/>
        <rFont val="Calibri"/>
        <family val="2"/>
        <scheme val="minor"/>
      </rPr>
      <t xml:space="preserve">Vivi </t>
    </r>
    <r>
      <rPr>
        <sz val="11"/>
        <rFont val="Calibri"/>
        <family val="2"/>
        <scheme val="minor"/>
      </rPr>
      <t>+ (AM</t>
    </r>
    <r>
      <rPr>
        <vertAlign val="subscript"/>
        <sz val="11"/>
        <rFont val="Calibri"/>
        <family val="2"/>
        <scheme val="minor"/>
      </rPr>
      <t>S</t>
    </r>
    <r>
      <rPr>
        <sz val="11"/>
        <rFont val="Calibri"/>
        <family val="2"/>
        <scheme val="minor"/>
      </rPr>
      <t>/MM</t>
    </r>
    <r>
      <rPr>
        <vertAlign val="subscript"/>
        <sz val="11"/>
        <rFont val="Calibri"/>
        <family val="2"/>
        <scheme val="minor"/>
      </rPr>
      <t>FeS</t>
    </r>
    <r>
      <rPr>
        <sz val="11"/>
        <rFont val="Calibri"/>
        <family val="2"/>
        <scheme val="minor"/>
      </rPr>
      <t>*EEQ</t>
    </r>
    <r>
      <rPr>
        <vertAlign val="subscript"/>
        <sz val="11"/>
        <rFont val="Calibri"/>
        <family val="2"/>
        <scheme val="minor"/>
      </rPr>
      <t>H2S</t>
    </r>
    <r>
      <rPr>
        <sz val="11"/>
        <rFont val="Calibri"/>
        <family val="2"/>
        <scheme val="minor"/>
      </rPr>
      <t>+AM</t>
    </r>
    <r>
      <rPr>
        <vertAlign val="subscript"/>
        <sz val="11"/>
        <rFont val="Calibri"/>
        <family val="2"/>
        <scheme val="minor"/>
      </rPr>
      <t>Fe</t>
    </r>
    <r>
      <rPr>
        <sz val="11"/>
        <rFont val="Calibri"/>
        <family val="2"/>
        <scheme val="minor"/>
      </rPr>
      <t>/MM</t>
    </r>
    <r>
      <rPr>
        <vertAlign val="subscript"/>
        <sz val="11"/>
        <rFont val="Calibri"/>
        <family val="2"/>
        <scheme val="minor"/>
      </rPr>
      <t>FeS</t>
    </r>
    <r>
      <rPr>
        <sz val="11"/>
        <rFont val="Calibri"/>
        <family val="2"/>
        <scheme val="minor"/>
      </rPr>
      <t>*EEQ</t>
    </r>
    <r>
      <rPr>
        <vertAlign val="subscript"/>
        <sz val="11"/>
        <rFont val="Calibri"/>
        <family val="2"/>
        <scheme val="minor"/>
      </rPr>
      <t>Fe2</t>
    </r>
    <r>
      <rPr>
        <sz val="11"/>
        <rFont val="Calibri"/>
        <family val="2"/>
        <scheme val="minor"/>
      </rPr>
      <t>)*X</t>
    </r>
    <r>
      <rPr>
        <vertAlign val="subscript"/>
        <sz val="11"/>
        <rFont val="Calibri"/>
        <family val="2"/>
        <scheme val="minor"/>
      </rPr>
      <t>FeS</t>
    </r>
    <r>
      <rPr>
        <sz val="11"/>
        <rFont val="Calibri"/>
        <family val="2"/>
        <scheme val="minor"/>
      </rPr>
      <t xml:space="preserve"> - EEQ</t>
    </r>
    <r>
      <rPr>
        <vertAlign val="subscript"/>
        <sz val="11"/>
        <rFont val="Calibri"/>
        <family val="2"/>
        <scheme val="minor"/>
      </rPr>
      <t>NO3</t>
    </r>
    <r>
      <rPr>
        <sz val="11"/>
        <rFont val="Calibri"/>
        <family val="2"/>
        <scheme val="minor"/>
      </rPr>
      <t>*S</t>
    </r>
    <r>
      <rPr>
        <vertAlign val="subscript"/>
        <sz val="11"/>
        <rFont val="Calibri"/>
        <family val="2"/>
        <scheme val="minor"/>
      </rPr>
      <t>NO3</t>
    </r>
    <r>
      <rPr>
        <sz val="11"/>
        <rFont val="Calibri"/>
        <family val="2"/>
        <scheme val="minor"/>
      </rPr>
      <t xml:space="preserve"> - EEQ</t>
    </r>
    <r>
      <rPr>
        <vertAlign val="subscript"/>
        <sz val="11"/>
        <rFont val="Calibri"/>
        <family val="2"/>
        <scheme val="minor"/>
      </rPr>
      <t>NO2</t>
    </r>
    <r>
      <rPr>
        <sz val="11"/>
        <rFont val="Calibri"/>
        <family val="2"/>
        <scheme val="minor"/>
      </rPr>
      <t>*S</t>
    </r>
    <r>
      <rPr>
        <vertAlign val="subscript"/>
        <sz val="11"/>
        <rFont val="Calibri"/>
        <family val="2"/>
        <scheme val="minor"/>
      </rPr>
      <t>NO2</t>
    </r>
    <r>
      <rPr>
        <sz val="11"/>
        <rFont val="Calibri"/>
        <family val="2"/>
        <scheme val="minor"/>
      </rPr>
      <t xml:space="preserve"> - EEQ</t>
    </r>
    <r>
      <rPr>
        <vertAlign val="subscript"/>
        <sz val="11"/>
        <rFont val="Calibri"/>
        <family val="2"/>
        <scheme val="minor"/>
      </rPr>
      <t>N2</t>
    </r>
    <r>
      <rPr>
        <sz val="11"/>
        <rFont val="Calibri"/>
        <family val="2"/>
        <scheme val="minor"/>
      </rPr>
      <t>*S</t>
    </r>
    <r>
      <rPr>
        <vertAlign val="subscript"/>
        <sz val="11"/>
        <rFont val="Calibri"/>
        <family val="2"/>
        <scheme val="minor"/>
      </rPr>
      <t>N2</t>
    </r>
    <r>
      <rPr>
        <sz val="11"/>
        <rFont val="Calibri"/>
        <family val="2"/>
        <scheme val="minor"/>
      </rPr>
      <t xml:space="preserve"> - S</t>
    </r>
    <r>
      <rPr>
        <vertAlign val="subscript"/>
        <sz val="11"/>
        <rFont val="Calibri"/>
        <family val="2"/>
        <scheme val="minor"/>
      </rPr>
      <t>O2</t>
    </r>
  </si>
  <si>
    <r>
      <t>T</t>
    </r>
    <r>
      <rPr>
        <vertAlign val="subscript"/>
        <sz val="11"/>
        <rFont val="Calibri"/>
        <family val="2"/>
        <scheme val="minor"/>
      </rPr>
      <t>KN,B</t>
    </r>
  </si>
  <si>
    <t>Total organic Kjeldahl nitrogen</t>
  </si>
  <si>
    <r>
      <t>θ</t>
    </r>
    <r>
      <rPr>
        <vertAlign val="subscript"/>
        <sz val="11"/>
        <color indexed="8"/>
        <rFont val="Calibri"/>
        <family val="2"/>
        <scheme val="minor"/>
      </rPr>
      <t>q,FeS,OX</t>
    </r>
  </si>
  <si>
    <t>Arrhenius coefficient for ferrous iron sulfide oxidation kinetics</t>
  </si>
  <si>
    <r>
      <t>θ</t>
    </r>
    <r>
      <rPr>
        <vertAlign val="subscript"/>
        <sz val="11"/>
        <color indexed="8"/>
        <rFont val="Calibri"/>
        <family val="2"/>
        <scheme val="minor"/>
      </rPr>
      <t>q,HFO,H2S,RED</t>
    </r>
  </si>
  <si>
    <t>Arrhenius coefficient for ferric iron reduction with sulfide kinetics</t>
  </si>
  <si>
    <r>
      <t>Minh</t>
    </r>
    <r>
      <rPr>
        <vertAlign val="subscript"/>
        <sz val="11"/>
        <rFont val="Calibri"/>
        <family val="2"/>
        <scheme val="minor"/>
      </rPr>
      <t>SNO3,KNO3,H2S,SOO</t>
    </r>
  </si>
  <si>
    <r>
      <t>Inhibition term for NO</t>
    </r>
    <r>
      <rPr>
        <vertAlign val="subscript"/>
        <sz val="11"/>
        <color rgb="FF000000"/>
        <rFont val="Calibri"/>
        <family val="2"/>
        <scheme val="minor"/>
      </rPr>
      <t>3</t>
    </r>
    <r>
      <rPr>
        <sz val="11"/>
        <color rgb="FF000000"/>
        <rFont val="Calibri"/>
        <family val="2"/>
        <charset val="238"/>
        <scheme val="minor"/>
      </rPr>
      <t xml:space="preserve"> in H</t>
    </r>
    <r>
      <rPr>
        <vertAlign val="subscript"/>
        <sz val="11"/>
        <color rgb="FF000000"/>
        <rFont val="Calibri"/>
        <family val="2"/>
        <scheme val="minor"/>
      </rPr>
      <t>2</t>
    </r>
    <r>
      <rPr>
        <sz val="11"/>
        <color rgb="FF000000"/>
        <rFont val="Calibri"/>
        <family val="2"/>
        <charset val="238"/>
        <scheme val="minor"/>
      </rPr>
      <t>S oxidation (SOO)</t>
    </r>
  </si>
  <si>
    <r>
      <t>Saturation term for NO</t>
    </r>
    <r>
      <rPr>
        <vertAlign val="subscript"/>
        <sz val="11"/>
        <color rgb="FF000000"/>
        <rFont val="Calibri"/>
        <family val="2"/>
        <scheme val="minor"/>
      </rPr>
      <t>3</t>
    </r>
    <r>
      <rPr>
        <sz val="11"/>
        <color rgb="FF000000"/>
        <rFont val="Calibri"/>
        <family val="2"/>
        <charset val="238"/>
        <scheme val="minor"/>
      </rPr>
      <t xml:space="preserve"> in H</t>
    </r>
    <r>
      <rPr>
        <vertAlign val="subscript"/>
        <sz val="11"/>
        <color rgb="FF000000"/>
        <rFont val="Calibri"/>
        <family val="2"/>
        <scheme val="minor"/>
      </rPr>
      <t>2</t>
    </r>
    <r>
      <rPr>
        <sz val="11"/>
        <color rgb="FF000000"/>
        <rFont val="Calibri"/>
        <family val="2"/>
        <charset val="238"/>
        <scheme val="minor"/>
      </rPr>
      <t>S oxidation (SOO)</t>
    </r>
  </si>
  <si>
    <r>
      <t>Minh(S</t>
    </r>
    <r>
      <rPr>
        <vertAlign val="subscript"/>
        <sz val="11"/>
        <rFont val="Calibri"/>
        <family val="2"/>
        <scheme val="minor"/>
      </rPr>
      <t>NO3</t>
    </r>
    <r>
      <rPr>
        <sz val="11"/>
        <rFont val="Calibri"/>
        <family val="2"/>
        <scheme val="minor"/>
      </rPr>
      <t>;K</t>
    </r>
    <r>
      <rPr>
        <vertAlign val="subscript"/>
        <sz val="11"/>
        <rFont val="Calibri"/>
        <family val="2"/>
        <scheme val="minor"/>
      </rPr>
      <t>NO3,H2S,SOO</t>
    </r>
    <r>
      <rPr>
        <sz val="11"/>
        <rFont val="Calibri"/>
        <family val="2"/>
        <scheme val="minor"/>
      </rPr>
      <t>)</t>
    </r>
  </si>
  <si>
    <r>
      <t>Logsat</t>
    </r>
    <r>
      <rPr>
        <vertAlign val="subscript"/>
        <sz val="11"/>
        <rFont val="Calibri"/>
        <family val="2"/>
        <scheme val="minor"/>
      </rPr>
      <t>ORP,MM,Half</t>
    </r>
  </si>
  <si>
    <r>
      <rPr>
        <sz val="11"/>
        <color indexed="8"/>
        <rFont val="Calibri"/>
        <family val="2"/>
        <scheme val="minor"/>
      </rPr>
      <t>Logsat</t>
    </r>
    <r>
      <rPr>
        <vertAlign val="subscript"/>
        <sz val="11"/>
        <rFont val="Calibri"/>
        <family val="2"/>
        <scheme val="minor"/>
      </rPr>
      <t>ORP,MM,Slope</t>
    </r>
  </si>
  <si>
    <t>ORP switch of MM degradation</t>
  </si>
  <si>
    <r>
      <t>Loginh</t>
    </r>
    <r>
      <rPr>
        <vertAlign val="subscript"/>
        <sz val="11"/>
        <rFont val="Calibri"/>
        <family val="2"/>
      </rPr>
      <t>ORP,MM</t>
    </r>
  </si>
  <si>
    <t>Logistic half-saturation of ORP switching in MM degradation</t>
  </si>
  <si>
    <t>Logistic slope of ORP switching in MM degradation</t>
  </si>
  <si>
    <r>
      <t>q</t>
    </r>
    <r>
      <rPr>
        <vertAlign val="subscript"/>
        <sz val="11"/>
        <rFont val="Calibri"/>
        <family val="2"/>
      </rPr>
      <t>MM,DEGR</t>
    </r>
    <r>
      <rPr>
        <sz val="11"/>
        <rFont val="Calibri"/>
        <family val="2"/>
      </rPr>
      <t>*X</t>
    </r>
    <r>
      <rPr>
        <vertAlign val="subscript"/>
        <sz val="11"/>
        <rFont val="Calibri"/>
        <family val="2"/>
      </rPr>
      <t>AMETO</t>
    </r>
    <r>
      <rPr>
        <sz val="11"/>
        <rFont val="Calibri"/>
        <family val="2"/>
      </rPr>
      <t>*(K</t>
    </r>
    <r>
      <rPr>
        <vertAlign val="subscript"/>
        <sz val="11"/>
        <rFont val="Calibri"/>
        <family val="2"/>
      </rPr>
      <t>scaling</t>
    </r>
    <r>
      <rPr>
        <sz val="11"/>
        <rFont val="Calibri"/>
        <family val="2"/>
      </rPr>
      <t>/(K</t>
    </r>
    <r>
      <rPr>
        <vertAlign val="subscript"/>
        <sz val="11"/>
        <rFont val="Calibri"/>
        <family val="2"/>
      </rPr>
      <t>scaling</t>
    </r>
    <r>
      <rPr>
        <sz val="11"/>
        <rFont val="Calibri"/>
        <family val="2"/>
      </rPr>
      <t>+1-S</t>
    </r>
    <r>
      <rPr>
        <vertAlign val="subscript"/>
        <sz val="11"/>
        <rFont val="Calibri"/>
        <family val="2"/>
      </rPr>
      <t>MM,index</t>
    </r>
    <r>
      <rPr>
        <sz val="11"/>
        <rFont val="Calibri"/>
        <family val="2"/>
      </rPr>
      <t>))*Loginh</t>
    </r>
    <r>
      <rPr>
        <vertAlign val="subscript"/>
        <sz val="11"/>
        <rFont val="Calibri"/>
        <family val="2"/>
      </rPr>
      <t>ORP,MM</t>
    </r>
  </si>
  <si>
    <r>
      <t>AM</t>
    </r>
    <r>
      <rPr>
        <vertAlign val="subscript"/>
        <sz val="11"/>
        <rFont val="Calibri"/>
        <family val="2"/>
      </rPr>
      <t>S</t>
    </r>
    <r>
      <rPr>
        <sz val="11"/>
        <rFont val="Calibri"/>
        <family val="2"/>
      </rPr>
      <t>/MM</t>
    </r>
    <r>
      <rPr>
        <vertAlign val="subscript"/>
        <sz val="11"/>
        <rFont val="Calibri"/>
        <family val="2"/>
      </rPr>
      <t>FeS</t>
    </r>
    <r>
      <rPr>
        <sz val="11"/>
        <rFont val="Calibri"/>
        <family val="2"/>
      </rPr>
      <t>*EEQ</t>
    </r>
    <r>
      <rPr>
        <vertAlign val="subscript"/>
        <sz val="11"/>
        <rFont val="Calibri"/>
        <family val="2"/>
      </rPr>
      <t>H2S</t>
    </r>
    <r>
      <rPr>
        <sz val="11"/>
        <rFont val="Calibri"/>
        <family val="2"/>
      </rPr>
      <t>+AM</t>
    </r>
    <r>
      <rPr>
        <vertAlign val="subscript"/>
        <sz val="11"/>
        <rFont val="Calibri"/>
        <family val="2"/>
      </rPr>
      <t>Fe</t>
    </r>
    <r>
      <rPr>
        <sz val="11"/>
        <rFont val="Calibri"/>
        <family val="2"/>
      </rPr>
      <t>/MM</t>
    </r>
    <r>
      <rPr>
        <vertAlign val="subscript"/>
        <sz val="11"/>
        <rFont val="Calibri"/>
        <family val="2"/>
      </rPr>
      <t>FeS</t>
    </r>
    <r>
      <rPr>
        <sz val="11"/>
        <rFont val="Calibri"/>
        <family val="2"/>
      </rPr>
      <t>*EEQ</t>
    </r>
    <r>
      <rPr>
        <vertAlign val="subscript"/>
        <sz val="11"/>
        <rFont val="Calibri"/>
        <family val="2"/>
      </rPr>
      <t>Fe2</t>
    </r>
  </si>
  <si>
    <r>
      <t>S</t>
    </r>
    <r>
      <rPr>
        <vertAlign val="subscript"/>
        <sz val="11"/>
        <rFont val="Calibri"/>
        <family val="2"/>
      </rPr>
      <t>B</t>
    </r>
    <r>
      <rPr>
        <sz val="11"/>
        <rFont val="Calibri"/>
        <family val="2"/>
      </rPr>
      <t xml:space="preserve"> fermentation with high VFA (PAO growth, anaerobic)</t>
    </r>
  </si>
  <si>
    <r>
      <t>S</t>
    </r>
    <r>
      <rPr>
        <vertAlign val="subscript"/>
        <sz val="11"/>
        <rFont val="Calibri"/>
        <family val="2"/>
      </rPr>
      <t>B</t>
    </r>
    <r>
      <rPr>
        <sz val="11"/>
        <rFont val="Calibri"/>
        <family val="2"/>
      </rPr>
      <t xml:space="preserve"> fermentation with low VFA (PAO growth, anaerobic)</t>
    </r>
  </si>
  <si>
    <t>MinStateVar</t>
  </si>
  <si>
    <t>MaxStateVar</t>
  </si>
  <si>
    <t>Separators</t>
  </si>
  <si>
    <r>
      <t>i</t>
    </r>
    <r>
      <rPr>
        <vertAlign val="subscript"/>
        <sz val="11"/>
        <rFont val="Calibri"/>
        <family val="2"/>
        <scheme val="minor"/>
      </rPr>
      <t>S,CB</t>
    </r>
  </si>
  <si>
    <r>
      <t>i</t>
    </r>
    <r>
      <rPr>
        <vertAlign val="subscript"/>
        <sz val="11"/>
        <rFont val="Calibri"/>
        <family val="2"/>
        <scheme val="minor"/>
      </rPr>
      <t>S,CU</t>
    </r>
  </si>
  <si>
    <r>
      <t>i</t>
    </r>
    <r>
      <rPr>
        <vertAlign val="subscript"/>
        <sz val="11"/>
        <rFont val="Calibri"/>
        <family val="2"/>
        <scheme val="minor"/>
      </rPr>
      <t>S,SU</t>
    </r>
  </si>
  <si>
    <t>S content of colloidal biodegradable substrate</t>
  </si>
  <si>
    <t>S content of colloidal unbiodegradable organics</t>
  </si>
  <si>
    <t>S content of soluble unbiodegradable organics</t>
  </si>
  <si>
    <r>
      <t>i</t>
    </r>
    <r>
      <rPr>
        <vertAlign val="subscript"/>
        <sz val="11"/>
        <rFont val="Calibri"/>
        <family val="2"/>
        <scheme val="minor"/>
      </rPr>
      <t>S,SB</t>
    </r>
  </si>
  <si>
    <t>S content of soluble biodegradable substrate</t>
  </si>
  <si>
    <r>
      <t>i</t>
    </r>
    <r>
      <rPr>
        <vertAlign val="subscript"/>
        <sz val="11"/>
        <rFont val="Calibri"/>
        <family val="2"/>
        <scheme val="minor"/>
      </rPr>
      <t>S,XB</t>
    </r>
  </si>
  <si>
    <r>
      <t>i</t>
    </r>
    <r>
      <rPr>
        <vertAlign val="subscript"/>
        <sz val="11"/>
        <rFont val="Calibri"/>
        <family val="2"/>
        <scheme val="minor"/>
      </rPr>
      <t>S,XU</t>
    </r>
  </si>
  <si>
    <t>S content of particulatel biodegradable substrate</t>
  </si>
  <si>
    <t>S content of particulate unbiodegradable organics</t>
  </si>
  <si>
    <r>
      <t>i</t>
    </r>
    <r>
      <rPr>
        <vertAlign val="subscript"/>
        <sz val="11"/>
        <rFont val="Calibri"/>
        <family val="2"/>
      </rPr>
      <t>S,CB</t>
    </r>
  </si>
  <si>
    <r>
      <t>i</t>
    </r>
    <r>
      <rPr>
        <vertAlign val="subscript"/>
        <sz val="11"/>
        <rFont val="Calibri"/>
        <family val="2"/>
      </rPr>
      <t>S,XB</t>
    </r>
  </si>
  <si>
    <r>
      <t>i</t>
    </r>
    <r>
      <rPr>
        <vertAlign val="subscript"/>
        <sz val="11"/>
        <rFont val="Calibri"/>
        <family val="2"/>
      </rPr>
      <t>S,SB</t>
    </r>
  </si>
  <si>
    <r>
      <t>i</t>
    </r>
    <r>
      <rPr>
        <vertAlign val="subscript"/>
        <sz val="11"/>
        <rFont val="Calibri"/>
        <family val="2"/>
      </rPr>
      <t>S,SU</t>
    </r>
  </si>
  <si>
    <r>
      <t>i</t>
    </r>
    <r>
      <rPr>
        <vertAlign val="subscript"/>
        <sz val="11"/>
        <rFont val="Calibri"/>
        <family val="2"/>
      </rPr>
      <t>S,CU</t>
    </r>
  </si>
  <si>
    <r>
      <t>i</t>
    </r>
    <r>
      <rPr>
        <vertAlign val="subscript"/>
        <sz val="11"/>
        <rFont val="Calibri"/>
        <family val="2"/>
      </rPr>
      <t>S,XU</t>
    </r>
  </si>
  <si>
    <r>
      <t>-i</t>
    </r>
    <r>
      <rPr>
        <vertAlign val="subscript"/>
        <sz val="11"/>
        <rFont val="Calibri"/>
        <family val="2"/>
      </rPr>
      <t>S,BIO</t>
    </r>
    <r>
      <rPr>
        <sz val="11"/>
        <rFont val="Calibri"/>
        <family val="2"/>
      </rPr>
      <t xml:space="preserve"> + 1/Y</t>
    </r>
    <r>
      <rPr>
        <vertAlign val="subscript"/>
        <sz val="11"/>
        <rFont val="Calibri"/>
        <family val="2"/>
      </rPr>
      <t>OHO,SB,ox</t>
    </r>
    <r>
      <rPr>
        <sz val="11"/>
        <rFont val="Calibri"/>
        <family val="2"/>
      </rPr>
      <t>*i</t>
    </r>
    <r>
      <rPr>
        <vertAlign val="subscript"/>
        <sz val="11"/>
        <rFont val="Calibri"/>
        <family val="2"/>
      </rPr>
      <t>S,SB</t>
    </r>
  </si>
  <si>
    <r>
      <t>-i</t>
    </r>
    <r>
      <rPr>
        <vertAlign val="subscript"/>
        <sz val="11"/>
        <rFont val="Calibri"/>
        <family val="2"/>
      </rPr>
      <t>S,BIO</t>
    </r>
    <r>
      <rPr>
        <sz val="11"/>
        <rFont val="Calibri"/>
        <family val="2"/>
      </rPr>
      <t xml:space="preserve"> + 1/Y</t>
    </r>
    <r>
      <rPr>
        <vertAlign val="subscript"/>
        <sz val="11"/>
        <rFont val="Calibri"/>
        <family val="2"/>
      </rPr>
      <t>OHO,SB,anox</t>
    </r>
    <r>
      <rPr>
        <sz val="11"/>
        <rFont val="Calibri"/>
        <family val="2"/>
      </rPr>
      <t>*i</t>
    </r>
    <r>
      <rPr>
        <vertAlign val="subscript"/>
        <sz val="11"/>
        <rFont val="Calibri"/>
        <family val="2"/>
      </rPr>
      <t>S,SB</t>
    </r>
  </si>
  <si>
    <r>
      <t>-i</t>
    </r>
    <r>
      <rPr>
        <vertAlign val="subscript"/>
        <sz val="11"/>
        <rFont val="Calibri"/>
        <family val="2"/>
      </rPr>
      <t>S,BIO</t>
    </r>
    <r>
      <rPr>
        <sz val="11"/>
        <rFont val="Calibri"/>
        <family val="2"/>
      </rPr>
      <t xml:space="preserve"> + 1/Y</t>
    </r>
    <r>
      <rPr>
        <vertAlign val="subscript"/>
        <sz val="11"/>
        <rFont val="Calibri"/>
        <family val="2"/>
      </rPr>
      <t>OHO,SB,ana</t>
    </r>
    <r>
      <rPr>
        <sz val="11"/>
        <rFont val="Calibri"/>
        <family val="2"/>
      </rPr>
      <t>*i</t>
    </r>
    <r>
      <rPr>
        <vertAlign val="subscript"/>
        <sz val="11"/>
        <rFont val="Calibri"/>
        <family val="2"/>
      </rPr>
      <t>S,SB</t>
    </r>
  </si>
  <si>
    <r>
      <t>(1-f</t>
    </r>
    <r>
      <rPr>
        <vertAlign val="subscript"/>
        <sz val="11"/>
        <rFont val="Calibri"/>
        <family val="2"/>
      </rPr>
      <t>E</t>
    </r>
    <r>
      <rPr>
        <sz val="11"/>
        <rFont val="Calibri"/>
        <family val="2"/>
      </rPr>
      <t>)*i</t>
    </r>
    <r>
      <rPr>
        <vertAlign val="subscript"/>
        <sz val="11"/>
        <rFont val="Calibri"/>
        <family val="2"/>
      </rPr>
      <t>S,BIO</t>
    </r>
    <r>
      <rPr>
        <sz val="11"/>
        <rFont val="Calibri"/>
        <family val="2"/>
      </rPr>
      <t>-(1-f</t>
    </r>
    <r>
      <rPr>
        <vertAlign val="subscript"/>
        <sz val="11"/>
        <rFont val="Calibri"/>
        <family val="2"/>
      </rPr>
      <t>E</t>
    </r>
    <r>
      <rPr>
        <sz val="11"/>
        <rFont val="Calibri"/>
        <family val="2"/>
      </rPr>
      <t>)*i</t>
    </r>
    <r>
      <rPr>
        <vertAlign val="subscript"/>
        <sz val="11"/>
        <rFont val="Calibri"/>
        <family val="2"/>
      </rPr>
      <t>S,XB</t>
    </r>
  </si>
  <si>
    <r>
      <t>-i</t>
    </r>
    <r>
      <rPr>
        <vertAlign val="subscript"/>
        <sz val="11"/>
        <rFont val="Calibri"/>
        <family val="2"/>
      </rPr>
      <t>S,XB</t>
    </r>
    <r>
      <rPr>
        <sz val="11"/>
        <rFont val="Calibri"/>
        <family val="2"/>
      </rPr>
      <t>+i</t>
    </r>
    <r>
      <rPr>
        <vertAlign val="subscript"/>
        <sz val="11"/>
        <rFont val="Calibri"/>
        <family val="2"/>
      </rPr>
      <t>S,BIO</t>
    </r>
  </si>
  <si>
    <r>
      <t>-i</t>
    </r>
    <r>
      <rPr>
        <vertAlign val="subscript"/>
        <sz val="11"/>
        <rFont val="Calibri"/>
        <family val="2"/>
      </rPr>
      <t>S,SB</t>
    </r>
    <r>
      <rPr>
        <sz val="11"/>
        <rFont val="Calibri"/>
        <family val="2"/>
      </rPr>
      <t>+i</t>
    </r>
    <r>
      <rPr>
        <vertAlign val="subscript"/>
        <sz val="11"/>
        <rFont val="Calibri"/>
        <family val="2"/>
      </rPr>
      <t>S,BIO</t>
    </r>
  </si>
  <si>
    <r>
      <t>EEQ</t>
    </r>
    <r>
      <rPr>
        <vertAlign val="subscript"/>
        <sz val="11"/>
        <rFont val="Calibri"/>
        <family val="2"/>
      </rPr>
      <t>Fe2</t>
    </r>
    <r>
      <rPr>
        <sz val="11"/>
        <rFont val="Calibri"/>
        <family val="2"/>
      </rPr>
      <t>*S</t>
    </r>
    <r>
      <rPr>
        <vertAlign val="subscript"/>
        <sz val="11"/>
        <rFont val="Calibri"/>
        <family val="2"/>
      </rPr>
      <t>B</t>
    </r>
    <r>
      <rPr>
        <sz val="11"/>
        <rFont val="Calibri"/>
        <family val="2"/>
      </rPr>
      <t>/(S</t>
    </r>
    <r>
      <rPr>
        <vertAlign val="subscript"/>
        <sz val="11"/>
        <rFont val="Calibri"/>
        <family val="2"/>
      </rPr>
      <t>B</t>
    </r>
    <r>
      <rPr>
        <sz val="11"/>
        <rFont val="Calibri"/>
        <family val="2"/>
      </rPr>
      <t>+S</t>
    </r>
    <r>
      <rPr>
        <vertAlign val="subscript"/>
        <sz val="11"/>
        <rFont val="Calibri"/>
        <family val="2"/>
      </rPr>
      <t>VFA</t>
    </r>
    <r>
      <rPr>
        <sz val="11"/>
        <rFont val="Calibri"/>
        <family val="2"/>
      </rPr>
      <t>)*i</t>
    </r>
    <r>
      <rPr>
        <vertAlign val="subscript"/>
        <sz val="11"/>
        <rFont val="Calibri"/>
        <family val="2"/>
      </rPr>
      <t>S,SB</t>
    </r>
  </si>
  <si>
    <t>Gas transfer sign conventions</t>
  </si>
  <si>
    <t>The sign conventions used in gas transfer equations are based on the simple consideration</t>
  </si>
  <si>
    <r>
      <t>above: when G.SV</t>
    </r>
    <r>
      <rPr>
        <vertAlign val="subscript"/>
        <sz val="11"/>
        <color indexed="8"/>
        <rFont val="Calibri"/>
        <family val="2"/>
      </rPr>
      <t>sat,eq</t>
    </r>
    <r>
      <rPr>
        <sz val="11"/>
        <color indexed="8"/>
        <rFont val="Calibri"/>
        <family val="2"/>
      </rPr>
      <t xml:space="preserve"> &gt; L.SV then there is mass transfer from gas to the liquid phase.</t>
    </r>
  </si>
  <si>
    <t>Consequently, the stoichiometric coefficient of G.SVs is negative, and it is positive for</t>
  </si>
  <si>
    <t>the matching L.SVs.</t>
  </si>
  <si>
    <r>
      <t>If the transfer happens to take place to the opposite direction, then G.SV</t>
    </r>
    <r>
      <rPr>
        <vertAlign val="subscript"/>
        <sz val="11"/>
        <color indexed="8"/>
        <rFont val="Calibri"/>
        <family val="2"/>
      </rPr>
      <t>sat,eq</t>
    </r>
    <r>
      <rPr>
        <sz val="11"/>
        <color indexed="8"/>
        <rFont val="Calibri"/>
        <family val="2"/>
      </rPr>
      <t xml:space="preserve"> &lt; L.SV,</t>
    </r>
  </si>
  <si>
    <r>
      <t>therefore r</t>
    </r>
    <r>
      <rPr>
        <vertAlign val="subscript"/>
        <sz val="11"/>
        <color indexed="8"/>
        <rFont val="Calibri"/>
        <family val="2"/>
      </rPr>
      <t>transfer,G.SV</t>
    </r>
    <r>
      <rPr>
        <sz val="11"/>
        <color indexed="8"/>
        <rFont val="Calibri"/>
        <family val="2"/>
      </rPr>
      <t xml:space="preserve"> &lt; 0, and all expressions have their proper signs without adjusting anything.</t>
    </r>
  </si>
  <si>
    <r>
      <t>m.d</t>
    </r>
    <r>
      <rPr>
        <vertAlign val="superscript"/>
        <sz val="11"/>
        <rFont val="Calibri"/>
        <family val="2"/>
        <scheme val="minor"/>
      </rPr>
      <t>-1</t>
    </r>
  </si>
  <si>
    <r>
      <t>f</t>
    </r>
    <r>
      <rPr>
        <vertAlign val="subscript"/>
        <sz val="11"/>
        <rFont val="Calibri"/>
        <family val="2"/>
        <scheme val="minor"/>
      </rPr>
      <t>kL,GN2</t>
    </r>
  </si>
  <si>
    <r>
      <t>f</t>
    </r>
    <r>
      <rPr>
        <vertAlign val="subscript"/>
        <sz val="11"/>
        <rFont val="Calibri"/>
        <family val="2"/>
        <scheme val="minor"/>
      </rPr>
      <t>kL,GCO2</t>
    </r>
  </si>
  <si>
    <r>
      <t>f</t>
    </r>
    <r>
      <rPr>
        <vertAlign val="subscript"/>
        <sz val="11"/>
        <rFont val="Calibri"/>
        <family val="2"/>
        <scheme val="minor"/>
      </rPr>
      <t>kL,GCH4</t>
    </r>
  </si>
  <si>
    <r>
      <t>f</t>
    </r>
    <r>
      <rPr>
        <vertAlign val="subscript"/>
        <sz val="11"/>
        <rFont val="Calibri"/>
        <family val="2"/>
        <scheme val="minor"/>
      </rPr>
      <t>kL,GH2</t>
    </r>
  </si>
  <si>
    <r>
      <t>f</t>
    </r>
    <r>
      <rPr>
        <vertAlign val="subscript"/>
        <sz val="11"/>
        <rFont val="Calibri"/>
        <family val="2"/>
        <scheme val="minor"/>
      </rPr>
      <t>kL,GH2S</t>
    </r>
  </si>
  <si>
    <r>
      <t>f</t>
    </r>
    <r>
      <rPr>
        <vertAlign val="subscript"/>
        <sz val="11"/>
        <rFont val="Calibri"/>
        <family val="2"/>
        <scheme val="minor"/>
      </rPr>
      <t>kL,GNH3</t>
    </r>
  </si>
  <si>
    <t>Used to compensate for the high solubility of NH3 gas</t>
  </si>
  <si>
    <t>Carbon dioxide gas transfer - bubbles</t>
  </si>
  <si>
    <r>
      <t>k</t>
    </r>
    <r>
      <rPr>
        <vertAlign val="subscript"/>
        <sz val="11"/>
        <rFont val="Calibri"/>
        <family val="2"/>
        <scheme val="minor"/>
      </rPr>
      <t>transfer,GCO2,bub</t>
    </r>
  </si>
  <si>
    <t>Methane gas transfer - bubbles</t>
  </si>
  <si>
    <r>
      <t>k</t>
    </r>
    <r>
      <rPr>
        <vertAlign val="subscript"/>
        <sz val="11"/>
        <rFont val="Calibri"/>
        <family val="2"/>
        <scheme val="minor"/>
      </rPr>
      <t>L</t>
    </r>
    <r>
      <rPr>
        <sz val="11"/>
        <rFont val="Calibri"/>
        <family val="2"/>
        <scheme val="minor"/>
      </rPr>
      <t>a</t>
    </r>
    <r>
      <rPr>
        <vertAlign val="subscript"/>
        <sz val="11"/>
        <rFont val="Calibri"/>
        <family val="2"/>
        <charset val="238"/>
        <scheme val="minor"/>
      </rPr>
      <t>G</t>
    </r>
    <r>
      <rPr>
        <vertAlign val="subscript"/>
        <sz val="11"/>
        <rFont val="Calibri"/>
        <family val="2"/>
        <scheme val="minor"/>
      </rPr>
      <t>CH4,bub</t>
    </r>
    <r>
      <rPr>
        <sz val="11"/>
        <rFont val="Calibri"/>
        <family val="2"/>
        <scheme val="minor"/>
      </rPr>
      <t>*(S</t>
    </r>
    <r>
      <rPr>
        <vertAlign val="subscript"/>
        <sz val="11"/>
        <rFont val="Calibri"/>
        <family val="2"/>
        <charset val="238"/>
        <scheme val="minor"/>
      </rPr>
      <t>G</t>
    </r>
    <r>
      <rPr>
        <vertAlign val="subscript"/>
        <sz val="11"/>
        <rFont val="Calibri"/>
        <family val="2"/>
        <scheme val="minor"/>
      </rPr>
      <t xml:space="preserve">CH4,bub,sat </t>
    </r>
    <r>
      <rPr>
        <sz val="11"/>
        <rFont val="Calibri"/>
        <family val="2"/>
        <scheme val="minor"/>
      </rPr>
      <t>- S</t>
    </r>
    <r>
      <rPr>
        <vertAlign val="subscript"/>
        <sz val="11"/>
        <rFont val="Calibri"/>
        <family val="2"/>
        <scheme val="minor"/>
      </rPr>
      <t>CH4</t>
    </r>
    <r>
      <rPr>
        <sz val="11"/>
        <rFont val="Calibri"/>
        <family val="2"/>
        <scheme val="minor"/>
      </rPr>
      <t>)</t>
    </r>
  </si>
  <si>
    <t>Hydrogen gas transfer - bubbles</t>
  </si>
  <si>
    <r>
      <t>k</t>
    </r>
    <r>
      <rPr>
        <vertAlign val="subscript"/>
        <sz val="11"/>
        <rFont val="Calibri"/>
        <family val="2"/>
        <scheme val="minor"/>
      </rPr>
      <t>L</t>
    </r>
    <r>
      <rPr>
        <sz val="11"/>
        <rFont val="Calibri"/>
        <family val="2"/>
        <scheme val="minor"/>
      </rPr>
      <t>a</t>
    </r>
    <r>
      <rPr>
        <vertAlign val="subscript"/>
        <sz val="11"/>
        <rFont val="Calibri"/>
        <family val="2"/>
        <charset val="238"/>
        <scheme val="minor"/>
      </rPr>
      <t>GH2</t>
    </r>
    <r>
      <rPr>
        <vertAlign val="subscript"/>
        <sz val="11"/>
        <rFont val="Calibri"/>
        <family val="2"/>
        <scheme val="minor"/>
      </rPr>
      <t>,bub</t>
    </r>
    <r>
      <rPr>
        <sz val="11"/>
        <rFont val="Calibri"/>
        <family val="2"/>
        <scheme val="minor"/>
      </rPr>
      <t>*(S</t>
    </r>
    <r>
      <rPr>
        <vertAlign val="subscript"/>
        <sz val="11"/>
        <rFont val="Calibri"/>
        <family val="2"/>
        <charset val="238"/>
        <scheme val="minor"/>
      </rPr>
      <t>GH2</t>
    </r>
    <r>
      <rPr>
        <vertAlign val="subscript"/>
        <sz val="11"/>
        <rFont val="Calibri"/>
        <family val="2"/>
        <scheme val="minor"/>
      </rPr>
      <t xml:space="preserve">,bub,sat </t>
    </r>
    <r>
      <rPr>
        <sz val="11"/>
        <rFont val="Calibri"/>
        <family val="2"/>
        <scheme val="minor"/>
      </rPr>
      <t>- S</t>
    </r>
    <r>
      <rPr>
        <vertAlign val="subscript"/>
        <sz val="11"/>
        <rFont val="Calibri"/>
        <family val="2"/>
        <scheme val="minor"/>
      </rPr>
      <t>H2</t>
    </r>
    <r>
      <rPr>
        <sz val="11"/>
        <rFont val="Calibri"/>
        <family val="2"/>
        <scheme val="minor"/>
      </rPr>
      <t>)</t>
    </r>
  </si>
  <si>
    <t>Oxygen gas transfer - bubbles</t>
  </si>
  <si>
    <r>
      <t>k</t>
    </r>
    <r>
      <rPr>
        <vertAlign val="subscript"/>
        <sz val="11"/>
        <rFont val="Calibri"/>
        <family val="2"/>
      </rPr>
      <t>L</t>
    </r>
    <r>
      <rPr>
        <sz val="11"/>
        <rFont val="Calibri"/>
        <family val="2"/>
      </rPr>
      <t>a</t>
    </r>
    <r>
      <rPr>
        <vertAlign val="subscript"/>
        <sz val="11"/>
        <rFont val="Calibri"/>
        <family val="2"/>
      </rPr>
      <t>GO2,bub</t>
    </r>
    <r>
      <rPr>
        <sz val="11"/>
        <rFont val="Calibri"/>
        <family val="2"/>
      </rPr>
      <t>*(S</t>
    </r>
    <r>
      <rPr>
        <vertAlign val="subscript"/>
        <sz val="11"/>
        <rFont val="Calibri"/>
        <family val="2"/>
        <charset val="238"/>
      </rPr>
      <t>G</t>
    </r>
    <r>
      <rPr>
        <vertAlign val="subscript"/>
        <sz val="11"/>
        <rFont val="Calibri"/>
        <family val="2"/>
      </rPr>
      <t xml:space="preserve">O2,bub,sat </t>
    </r>
    <r>
      <rPr>
        <sz val="11"/>
        <rFont val="Calibri"/>
        <family val="2"/>
      </rPr>
      <t>- S</t>
    </r>
    <r>
      <rPr>
        <vertAlign val="subscript"/>
        <sz val="11"/>
        <rFont val="Calibri"/>
        <family val="2"/>
      </rPr>
      <t>O2</t>
    </r>
    <r>
      <rPr>
        <sz val="11"/>
        <rFont val="Calibri"/>
        <family val="2"/>
      </rPr>
      <t>)</t>
    </r>
  </si>
  <si>
    <t>Ammonia absorption - bubbles</t>
  </si>
  <si>
    <r>
      <t>k</t>
    </r>
    <r>
      <rPr>
        <vertAlign val="subscript"/>
        <sz val="11"/>
        <rFont val="Calibri"/>
        <family val="2"/>
        <scheme val="minor"/>
      </rPr>
      <t>transfer,GNH3,bub</t>
    </r>
  </si>
  <si>
    <t>Nitrogen gas transfer - bubbles</t>
  </si>
  <si>
    <r>
      <t>k</t>
    </r>
    <r>
      <rPr>
        <vertAlign val="subscript"/>
        <sz val="11"/>
        <rFont val="Calibri"/>
        <family val="2"/>
        <scheme val="minor"/>
      </rPr>
      <t>L</t>
    </r>
    <r>
      <rPr>
        <sz val="11"/>
        <rFont val="Calibri"/>
        <family val="2"/>
        <scheme val="minor"/>
      </rPr>
      <t>a</t>
    </r>
    <r>
      <rPr>
        <vertAlign val="subscript"/>
        <sz val="11"/>
        <rFont val="Calibri"/>
        <family val="2"/>
        <charset val="238"/>
        <scheme val="minor"/>
      </rPr>
      <t>G</t>
    </r>
    <r>
      <rPr>
        <vertAlign val="subscript"/>
        <sz val="11"/>
        <rFont val="Calibri"/>
        <family val="2"/>
        <scheme val="minor"/>
      </rPr>
      <t>N2,bub</t>
    </r>
    <r>
      <rPr>
        <sz val="11"/>
        <rFont val="Calibri"/>
        <family val="2"/>
        <scheme val="minor"/>
      </rPr>
      <t>*(S</t>
    </r>
    <r>
      <rPr>
        <vertAlign val="subscript"/>
        <sz val="11"/>
        <rFont val="Calibri"/>
        <family val="2"/>
        <charset val="238"/>
        <scheme val="minor"/>
      </rPr>
      <t>G</t>
    </r>
    <r>
      <rPr>
        <vertAlign val="subscript"/>
        <sz val="11"/>
        <rFont val="Calibri"/>
        <family val="2"/>
        <scheme val="minor"/>
      </rPr>
      <t xml:space="preserve">N2,bub,sat </t>
    </r>
    <r>
      <rPr>
        <sz val="11"/>
        <rFont val="Calibri"/>
        <family val="2"/>
        <scheme val="minor"/>
      </rPr>
      <t>- S</t>
    </r>
    <r>
      <rPr>
        <vertAlign val="subscript"/>
        <sz val="11"/>
        <rFont val="Calibri"/>
        <family val="2"/>
        <scheme val="minor"/>
      </rPr>
      <t>N2</t>
    </r>
    <r>
      <rPr>
        <sz val="11"/>
        <rFont val="Calibri"/>
        <family val="2"/>
        <scheme val="minor"/>
      </rPr>
      <t>)</t>
    </r>
  </si>
  <si>
    <t>Hydrogen sulfide gas transfer - bubbles</t>
  </si>
  <si>
    <r>
      <t>k</t>
    </r>
    <r>
      <rPr>
        <vertAlign val="subscript"/>
        <sz val="11"/>
        <rFont val="Calibri"/>
        <family val="2"/>
        <scheme val="minor"/>
      </rPr>
      <t>transfer,GH2S,bub</t>
    </r>
  </si>
  <si>
    <t>Carbon dioxide gas transfer - surface</t>
  </si>
  <si>
    <r>
      <t>-Δ</t>
    </r>
    <r>
      <rPr>
        <vertAlign val="subscript"/>
        <sz val="11"/>
        <rFont val="Calibri"/>
        <family val="2"/>
      </rPr>
      <t>atm</t>
    </r>
  </si>
  <si>
    <r>
      <t>k</t>
    </r>
    <r>
      <rPr>
        <vertAlign val="subscript"/>
        <sz val="11"/>
        <rFont val="Calibri"/>
        <family val="2"/>
        <scheme val="minor"/>
      </rPr>
      <t>transfer,GCO2,sur</t>
    </r>
  </si>
  <si>
    <t>Methane gas transfer - surface</t>
  </si>
  <si>
    <r>
      <t>k</t>
    </r>
    <r>
      <rPr>
        <vertAlign val="subscript"/>
        <sz val="11"/>
        <rFont val="Calibri"/>
        <family val="2"/>
      </rPr>
      <t>L</t>
    </r>
    <r>
      <rPr>
        <sz val="11"/>
        <rFont val="Calibri"/>
        <family val="2"/>
      </rPr>
      <t>a</t>
    </r>
    <r>
      <rPr>
        <vertAlign val="subscript"/>
        <sz val="11"/>
        <rFont val="Calibri"/>
        <family val="2"/>
      </rPr>
      <t>GCH4,sur</t>
    </r>
    <r>
      <rPr>
        <sz val="11"/>
        <rFont val="Calibri"/>
        <family val="2"/>
      </rPr>
      <t>*(S</t>
    </r>
    <r>
      <rPr>
        <vertAlign val="subscript"/>
        <sz val="11"/>
        <rFont val="Calibri"/>
        <family val="2"/>
      </rPr>
      <t>GCH4,sur,sat</t>
    </r>
    <r>
      <rPr>
        <sz val="11"/>
        <rFont val="Calibri"/>
        <family val="2"/>
      </rPr>
      <t xml:space="preserve"> - S</t>
    </r>
    <r>
      <rPr>
        <vertAlign val="subscript"/>
        <sz val="11"/>
        <rFont val="Calibri"/>
        <family val="2"/>
      </rPr>
      <t>CH4</t>
    </r>
    <r>
      <rPr>
        <sz val="11"/>
        <rFont val="Calibri"/>
        <family val="2"/>
      </rPr>
      <t>)</t>
    </r>
  </si>
  <si>
    <t>Hydrogen gas transfer - surface</t>
  </si>
  <si>
    <r>
      <t>k</t>
    </r>
    <r>
      <rPr>
        <vertAlign val="subscript"/>
        <sz val="11"/>
        <rFont val="Calibri"/>
        <family val="2"/>
      </rPr>
      <t>L</t>
    </r>
    <r>
      <rPr>
        <sz val="11"/>
        <rFont val="Calibri"/>
        <family val="2"/>
      </rPr>
      <t>a</t>
    </r>
    <r>
      <rPr>
        <vertAlign val="subscript"/>
        <sz val="11"/>
        <rFont val="Calibri"/>
        <family val="2"/>
      </rPr>
      <t>GH2,sur</t>
    </r>
    <r>
      <rPr>
        <sz val="11"/>
        <rFont val="Calibri"/>
        <family val="2"/>
      </rPr>
      <t>*(S</t>
    </r>
    <r>
      <rPr>
        <vertAlign val="subscript"/>
        <sz val="11"/>
        <rFont val="Calibri"/>
        <family val="2"/>
      </rPr>
      <t>GH2,sur,sat</t>
    </r>
    <r>
      <rPr>
        <sz val="11"/>
        <rFont val="Calibri"/>
        <family val="2"/>
      </rPr>
      <t xml:space="preserve"> - S</t>
    </r>
    <r>
      <rPr>
        <vertAlign val="subscript"/>
        <sz val="11"/>
        <rFont val="Calibri"/>
        <family val="2"/>
      </rPr>
      <t>H2</t>
    </r>
    <r>
      <rPr>
        <sz val="11"/>
        <rFont val="Calibri"/>
        <family val="2"/>
      </rPr>
      <t>)</t>
    </r>
  </si>
  <si>
    <t>r110</t>
  </si>
  <si>
    <t>Oxygen gas transfer - surface</t>
  </si>
  <si>
    <r>
      <t>k</t>
    </r>
    <r>
      <rPr>
        <vertAlign val="subscript"/>
        <sz val="11"/>
        <rFont val="Calibri"/>
        <family val="2"/>
      </rPr>
      <t>L</t>
    </r>
    <r>
      <rPr>
        <sz val="11"/>
        <rFont val="Calibri"/>
        <family val="2"/>
      </rPr>
      <t>a</t>
    </r>
    <r>
      <rPr>
        <vertAlign val="subscript"/>
        <sz val="11"/>
        <rFont val="Calibri"/>
        <family val="2"/>
      </rPr>
      <t>GO2,sur</t>
    </r>
    <r>
      <rPr>
        <sz val="11"/>
        <rFont val="Calibri"/>
        <family val="2"/>
      </rPr>
      <t>*(S</t>
    </r>
    <r>
      <rPr>
        <vertAlign val="subscript"/>
        <sz val="11"/>
        <rFont val="Calibri"/>
        <family val="2"/>
      </rPr>
      <t>GO2,sur,sat</t>
    </r>
    <r>
      <rPr>
        <sz val="11"/>
        <rFont val="Calibri"/>
        <family val="2"/>
      </rPr>
      <t xml:space="preserve"> - S</t>
    </r>
    <r>
      <rPr>
        <vertAlign val="subscript"/>
        <sz val="11"/>
        <rFont val="Calibri"/>
        <family val="2"/>
      </rPr>
      <t>O2</t>
    </r>
    <r>
      <rPr>
        <sz val="11"/>
        <rFont val="Calibri"/>
        <family val="2"/>
      </rPr>
      <t>)</t>
    </r>
  </si>
  <si>
    <t>r111</t>
  </si>
  <si>
    <t>Ammonia absorption - surface</t>
  </si>
  <si>
    <r>
      <t>k</t>
    </r>
    <r>
      <rPr>
        <vertAlign val="subscript"/>
        <sz val="11"/>
        <rFont val="Calibri"/>
        <family val="2"/>
        <scheme val="minor"/>
      </rPr>
      <t>transfer,GNH3,sur</t>
    </r>
  </si>
  <si>
    <t>r112</t>
  </si>
  <si>
    <t>Nitrogen gas transfer - surface</t>
  </si>
  <si>
    <r>
      <t>k</t>
    </r>
    <r>
      <rPr>
        <vertAlign val="subscript"/>
        <sz val="11"/>
        <rFont val="Calibri"/>
        <family val="2"/>
      </rPr>
      <t>L</t>
    </r>
    <r>
      <rPr>
        <sz val="11"/>
        <rFont val="Calibri"/>
        <family val="2"/>
      </rPr>
      <t>a</t>
    </r>
    <r>
      <rPr>
        <vertAlign val="subscript"/>
        <sz val="11"/>
        <rFont val="Calibri"/>
        <family val="2"/>
      </rPr>
      <t>GN2,sur</t>
    </r>
    <r>
      <rPr>
        <sz val="11"/>
        <rFont val="Calibri"/>
        <family val="2"/>
      </rPr>
      <t>*(S</t>
    </r>
    <r>
      <rPr>
        <vertAlign val="subscript"/>
        <sz val="11"/>
        <rFont val="Calibri"/>
        <family val="2"/>
      </rPr>
      <t>GN2,sur,sat</t>
    </r>
    <r>
      <rPr>
        <sz val="11"/>
        <rFont val="Calibri"/>
        <family val="2"/>
      </rPr>
      <t xml:space="preserve"> - S</t>
    </r>
    <r>
      <rPr>
        <vertAlign val="subscript"/>
        <sz val="11"/>
        <rFont val="Calibri"/>
        <family val="2"/>
      </rPr>
      <t>N2</t>
    </r>
    <r>
      <rPr>
        <sz val="11"/>
        <rFont val="Calibri"/>
        <family val="2"/>
      </rPr>
      <t>)</t>
    </r>
  </si>
  <si>
    <t>r113</t>
  </si>
  <si>
    <r>
      <t>k</t>
    </r>
    <r>
      <rPr>
        <vertAlign val="subscript"/>
        <sz val="11"/>
        <rFont val="Calibri"/>
        <family val="2"/>
        <scheme val="minor"/>
      </rPr>
      <t>transfer,GH2S,sur</t>
    </r>
  </si>
  <si>
    <t>r114</t>
  </si>
  <si>
    <t>r115</t>
  </si>
  <si>
    <t>r116</t>
  </si>
  <si>
    <r>
      <t>G</t>
    </r>
    <r>
      <rPr>
        <b/>
        <vertAlign val="subscript"/>
        <sz val="11"/>
        <rFont val="Calibri"/>
        <family val="2"/>
      </rPr>
      <t>CO2,atm</t>
    </r>
  </si>
  <si>
    <r>
      <t>G</t>
    </r>
    <r>
      <rPr>
        <b/>
        <vertAlign val="subscript"/>
        <sz val="11"/>
        <rFont val="Calibri"/>
        <family val="2"/>
      </rPr>
      <t>CH4,atm</t>
    </r>
  </si>
  <si>
    <r>
      <t>G</t>
    </r>
    <r>
      <rPr>
        <b/>
        <vertAlign val="subscript"/>
        <sz val="11"/>
        <rFont val="Calibri"/>
        <family val="2"/>
      </rPr>
      <t>H2,atm</t>
    </r>
  </si>
  <si>
    <r>
      <t>G</t>
    </r>
    <r>
      <rPr>
        <b/>
        <vertAlign val="subscript"/>
        <sz val="11"/>
        <rFont val="Calibri"/>
        <family val="2"/>
      </rPr>
      <t>O2,atm</t>
    </r>
  </si>
  <si>
    <r>
      <t>G</t>
    </r>
    <r>
      <rPr>
        <b/>
        <vertAlign val="subscript"/>
        <sz val="11"/>
        <rFont val="Calibri"/>
        <family val="2"/>
      </rPr>
      <t>NH3,atm</t>
    </r>
  </si>
  <si>
    <r>
      <t>G</t>
    </r>
    <r>
      <rPr>
        <b/>
        <vertAlign val="subscript"/>
        <sz val="11"/>
        <rFont val="Calibri"/>
        <family val="2"/>
      </rPr>
      <t>N2,atm</t>
    </r>
  </si>
  <si>
    <r>
      <t>G</t>
    </r>
    <r>
      <rPr>
        <b/>
        <vertAlign val="subscript"/>
        <sz val="11"/>
        <rFont val="Calibri"/>
        <family val="2"/>
      </rPr>
      <t>H2S,atm</t>
    </r>
  </si>
  <si>
    <r>
      <t>1/</t>
    </r>
    <r>
      <rPr>
        <sz val="11"/>
        <rFont val="Calibri"/>
        <family val="2"/>
      </rPr>
      <t>Δ</t>
    </r>
    <r>
      <rPr>
        <vertAlign val="subscript"/>
        <sz val="12.65"/>
        <rFont val="Calibri"/>
        <family val="2"/>
      </rPr>
      <t>atm</t>
    </r>
  </si>
  <si>
    <r>
      <t>-1/</t>
    </r>
    <r>
      <rPr>
        <sz val="11"/>
        <rFont val="Calibri"/>
        <family val="2"/>
      </rPr>
      <t>Δ</t>
    </r>
    <r>
      <rPr>
        <vertAlign val="subscript"/>
        <sz val="12.65"/>
        <rFont val="Calibri"/>
        <family val="2"/>
      </rPr>
      <t>atm</t>
    </r>
  </si>
  <si>
    <r>
      <t>-EEQ</t>
    </r>
    <r>
      <rPr>
        <vertAlign val="subscript"/>
        <sz val="11"/>
        <rFont val="Calibri"/>
        <family val="2"/>
        <scheme val="minor"/>
      </rPr>
      <t>N2</t>
    </r>
    <r>
      <rPr>
        <sz val="11"/>
        <rFont val="Calibri"/>
        <family val="2"/>
        <scheme val="minor"/>
      </rPr>
      <t>/Δ</t>
    </r>
    <r>
      <rPr>
        <vertAlign val="subscript"/>
        <sz val="11"/>
        <rFont val="Calibri"/>
        <family val="2"/>
        <scheme val="minor"/>
      </rPr>
      <t>atm</t>
    </r>
  </si>
  <si>
    <r>
      <t>i</t>
    </r>
    <r>
      <rPr>
        <vertAlign val="subscript"/>
        <sz val="11"/>
        <rFont val="Calibri"/>
        <family val="2"/>
        <scheme val="minor"/>
      </rPr>
      <t>CIT,CH4</t>
    </r>
    <r>
      <rPr>
        <sz val="11"/>
        <rFont val="Calibri"/>
        <family val="2"/>
        <scheme val="minor"/>
      </rPr>
      <t>/</t>
    </r>
    <r>
      <rPr>
        <sz val="11"/>
        <rFont val="Calibri"/>
        <family val="2"/>
      </rPr>
      <t>Δ</t>
    </r>
    <r>
      <rPr>
        <vertAlign val="subscript"/>
        <sz val="11"/>
        <rFont val="Calibri"/>
        <family val="2"/>
      </rPr>
      <t>atm</t>
    </r>
  </si>
  <si>
    <t>1</t>
  </si>
  <si>
    <r>
      <t>-EEQ</t>
    </r>
    <r>
      <rPr>
        <vertAlign val="subscript"/>
        <sz val="11"/>
        <rFont val="Calibri"/>
        <family val="2"/>
      </rPr>
      <t>N2</t>
    </r>
  </si>
  <si>
    <r>
      <t>G</t>
    </r>
    <r>
      <rPr>
        <b/>
        <vertAlign val="subscript"/>
        <sz val="11"/>
        <rFont val="Calibri"/>
        <family val="2"/>
        <charset val="238"/>
      </rPr>
      <t>CO2,atm</t>
    </r>
  </si>
  <si>
    <r>
      <t>G</t>
    </r>
    <r>
      <rPr>
        <b/>
        <vertAlign val="subscript"/>
        <sz val="11"/>
        <rFont val="Calibri"/>
        <family val="2"/>
        <charset val="238"/>
      </rPr>
      <t>CH4,atm</t>
    </r>
  </si>
  <si>
    <r>
      <t>G</t>
    </r>
    <r>
      <rPr>
        <b/>
        <vertAlign val="subscript"/>
        <sz val="11"/>
        <rFont val="Calibri"/>
        <family val="2"/>
        <charset val="238"/>
      </rPr>
      <t>H2,atm</t>
    </r>
  </si>
  <si>
    <r>
      <t>G</t>
    </r>
    <r>
      <rPr>
        <b/>
        <vertAlign val="subscript"/>
        <sz val="11"/>
        <rFont val="Calibri"/>
        <family val="2"/>
        <charset val="238"/>
      </rPr>
      <t>O2,atm</t>
    </r>
  </si>
  <si>
    <r>
      <t>G</t>
    </r>
    <r>
      <rPr>
        <b/>
        <vertAlign val="subscript"/>
        <sz val="11"/>
        <rFont val="Calibri"/>
        <family val="2"/>
        <charset val="238"/>
      </rPr>
      <t>NH3,atm</t>
    </r>
  </si>
  <si>
    <r>
      <t>G</t>
    </r>
    <r>
      <rPr>
        <b/>
        <vertAlign val="subscript"/>
        <sz val="11"/>
        <rFont val="Calibri"/>
        <family val="2"/>
        <charset val="238"/>
      </rPr>
      <t>N2,atm</t>
    </r>
  </si>
  <si>
    <r>
      <t>g TIC</t>
    </r>
    <r>
      <rPr>
        <sz val="11"/>
        <color theme="1"/>
        <rFont val="Calibri"/>
        <family val="2"/>
        <charset val="238"/>
        <scheme val="minor"/>
      </rPr>
      <t>.</t>
    </r>
    <r>
      <rPr>
        <sz val="11"/>
        <color theme="1"/>
        <rFont val="Calibri"/>
        <family val="2"/>
        <scheme val="minor"/>
      </rPr>
      <t>m</t>
    </r>
    <r>
      <rPr>
        <vertAlign val="superscript"/>
        <sz val="11"/>
        <color theme="1"/>
        <rFont val="Calibri"/>
        <family val="2"/>
        <scheme val="minor"/>
      </rPr>
      <t>-3</t>
    </r>
  </si>
  <si>
    <r>
      <t>g COD.m</t>
    </r>
    <r>
      <rPr>
        <vertAlign val="superscript"/>
        <sz val="11"/>
        <color theme="1"/>
        <rFont val="Calibri"/>
        <family val="2"/>
        <scheme val="minor"/>
      </rPr>
      <t>-3</t>
    </r>
  </si>
  <si>
    <r>
      <t>g O</t>
    </r>
    <r>
      <rPr>
        <vertAlign val="subscript"/>
        <sz val="11"/>
        <color theme="1"/>
        <rFont val="Calibri"/>
        <family val="2"/>
        <scheme val="minor"/>
      </rPr>
      <t>2</t>
    </r>
    <r>
      <rPr>
        <sz val="11"/>
        <color theme="1"/>
        <rFont val="Calibri"/>
        <family val="2"/>
        <scheme val="minor"/>
      </rPr>
      <t>.m</t>
    </r>
    <r>
      <rPr>
        <vertAlign val="superscript"/>
        <sz val="11"/>
        <color theme="1"/>
        <rFont val="Calibri"/>
        <family val="2"/>
        <scheme val="minor"/>
      </rPr>
      <t>-3</t>
    </r>
  </si>
  <si>
    <r>
      <t>g N.m</t>
    </r>
    <r>
      <rPr>
        <vertAlign val="superscript"/>
        <sz val="11"/>
        <color theme="1"/>
        <rFont val="Calibri"/>
        <family val="2"/>
        <scheme val="minor"/>
      </rPr>
      <t>-3</t>
    </r>
  </si>
  <si>
    <r>
      <t>g S.m</t>
    </r>
    <r>
      <rPr>
        <vertAlign val="superscript"/>
        <sz val="11"/>
        <color theme="1"/>
        <rFont val="Calibri"/>
        <family val="2"/>
        <scheme val="minor"/>
      </rPr>
      <t>-3</t>
    </r>
  </si>
  <si>
    <t>Balancing</t>
  </si>
  <si>
    <r>
      <t>Gas transfer rate for CO</t>
    </r>
    <r>
      <rPr>
        <vertAlign val="subscript"/>
        <sz val="11"/>
        <color rgb="FF000000"/>
        <rFont val="Calibri"/>
        <family val="2"/>
        <scheme val="minor"/>
      </rPr>
      <t>2</t>
    </r>
    <r>
      <rPr>
        <sz val="11"/>
        <color rgb="FF000000"/>
        <rFont val="Calibri"/>
        <family val="2"/>
        <charset val="238"/>
        <scheme val="minor"/>
      </rPr>
      <t xml:space="preserve"> - bubbles</t>
    </r>
  </si>
  <si>
    <r>
      <t>k</t>
    </r>
    <r>
      <rPr>
        <vertAlign val="subscript"/>
        <sz val="11"/>
        <rFont val="Calibri"/>
        <family val="2"/>
      </rPr>
      <t>L</t>
    </r>
    <r>
      <rPr>
        <sz val="11"/>
        <rFont val="Calibri"/>
        <family val="2"/>
      </rPr>
      <t>a</t>
    </r>
    <r>
      <rPr>
        <vertAlign val="subscript"/>
        <sz val="11"/>
        <rFont val="Calibri"/>
        <family val="2"/>
      </rPr>
      <t>GCO2,bub</t>
    </r>
    <r>
      <rPr>
        <sz val="11"/>
        <rFont val="Calibri"/>
        <family val="2"/>
      </rPr>
      <t>*(S</t>
    </r>
    <r>
      <rPr>
        <vertAlign val="subscript"/>
        <sz val="11"/>
        <rFont val="Calibri"/>
        <family val="2"/>
      </rPr>
      <t>GCO2,bub,sat</t>
    </r>
    <r>
      <rPr>
        <sz val="11"/>
        <rFont val="Calibri"/>
        <family val="2"/>
      </rPr>
      <t xml:space="preserve"> - [H</t>
    </r>
    <r>
      <rPr>
        <vertAlign val="subscript"/>
        <sz val="11"/>
        <rFont val="Calibri"/>
        <family val="2"/>
      </rPr>
      <t>2</t>
    </r>
    <r>
      <rPr>
        <sz val="11"/>
        <rFont val="Calibri"/>
        <family val="2"/>
      </rPr>
      <t>CO</t>
    </r>
    <r>
      <rPr>
        <vertAlign val="subscript"/>
        <sz val="11"/>
        <rFont val="Calibri"/>
        <family val="2"/>
      </rPr>
      <t>3</t>
    </r>
    <r>
      <rPr>
        <sz val="11"/>
        <rFont val="Calibri"/>
        <family val="2"/>
      </rPr>
      <t>]*MM</t>
    </r>
    <r>
      <rPr>
        <vertAlign val="subscript"/>
        <sz val="11"/>
        <rFont val="Calibri"/>
        <family val="2"/>
      </rPr>
      <t>EQ,GCO2</t>
    </r>
    <r>
      <rPr>
        <sz val="11"/>
        <rFont val="Calibri"/>
        <family val="2"/>
      </rPr>
      <t>*c</t>
    </r>
    <r>
      <rPr>
        <vertAlign val="subscript"/>
        <sz val="11"/>
        <rFont val="Calibri"/>
        <family val="2"/>
      </rPr>
      <t>L,m3</t>
    </r>
    <r>
      <rPr>
        <sz val="11"/>
        <rFont val="Calibri"/>
        <family val="2"/>
      </rPr>
      <t>)</t>
    </r>
  </si>
  <si>
    <r>
      <t>Gas transfer rate for NH</t>
    </r>
    <r>
      <rPr>
        <vertAlign val="subscript"/>
        <sz val="11"/>
        <color rgb="FF000000"/>
        <rFont val="Calibri"/>
        <family val="2"/>
        <scheme val="minor"/>
      </rPr>
      <t>3</t>
    </r>
    <r>
      <rPr>
        <sz val="11"/>
        <color rgb="FF000000"/>
        <rFont val="Calibri"/>
        <family val="2"/>
        <charset val="238"/>
        <scheme val="minor"/>
      </rPr>
      <t xml:space="preserve"> - bubbles</t>
    </r>
  </si>
  <si>
    <r>
      <t>k</t>
    </r>
    <r>
      <rPr>
        <vertAlign val="subscript"/>
        <sz val="11"/>
        <rFont val="Calibri"/>
        <family val="2"/>
      </rPr>
      <t>L</t>
    </r>
    <r>
      <rPr>
        <sz val="11"/>
        <rFont val="Calibri"/>
        <family val="2"/>
      </rPr>
      <t>a</t>
    </r>
    <r>
      <rPr>
        <vertAlign val="subscript"/>
        <sz val="11"/>
        <rFont val="Calibri"/>
        <family val="2"/>
      </rPr>
      <t>GNH3,bub</t>
    </r>
    <r>
      <rPr>
        <sz val="11"/>
        <rFont val="Calibri"/>
        <family val="2"/>
      </rPr>
      <t>*(S</t>
    </r>
    <r>
      <rPr>
        <vertAlign val="subscript"/>
        <sz val="11"/>
        <rFont val="Calibri"/>
        <family val="2"/>
      </rPr>
      <t>GNH3,bub,sat</t>
    </r>
    <r>
      <rPr>
        <sz val="11"/>
        <rFont val="Calibri"/>
        <family val="2"/>
      </rPr>
      <t xml:space="preserve"> - [NH</t>
    </r>
    <r>
      <rPr>
        <vertAlign val="subscript"/>
        <sz val="11"/>
        <rFont val="Calibri"/>
        <family val="2"/>
      </rPr>
      <t>3</t>
    </r>
    <r>
      <rPr>
        <sz val="11"/>
        <rFont val="Calibri"/>
        <family val="2"/>
      </rPr>
      <t>]*MM</t>
    </r>
    <r>
      <rPr>
        <vertAlign val="subscript"/>
        <sz val="11"/>
        <rFont val="Calibri"/>
        <family val="2"/>
      </rPr>
      <t>EQ,GNH3</t>
    </r>
    <r>
      <rPr>
        <sz val="11"/>
        <rFont val="Calibri"/>
        <family val="2"/>
      </rPr>
      <t>*c</t>
    </r>
    <r>
      <rPr>
        <vertAlign val="subscript"/>
        <sz val="11"/>
        <rFont val="Calibri"/>
        <family val="2"/>
      </rPr>
      <t>L,m3</t>
    </r>
    <r>
      <rPr>
        <sz val="11"/>
        <rFont val="Calibri"/>
        <family val="2"/>
      </rPr>
      <t>)</t>
    </r>
  </si>
  <si>
    <r>
      <t>Gas transfer rate for CO</t>
    </r>
    <r>
      <rPr>
        <vertAlign val="subscript"/>
        <sz val="11"/>
        <color rgb="FF000000"/>
        <rFont val="Calibri"/>
        <family val="2"/>
        <scheme val="minor"/>
      </rPr>
      <t>2</t>
    </r>
    <r>
      <rPr>
        <sz val="11"/>
        <color rgb="FF000000"/>
        <rFont val="Calibri"/>
        <family val="2"/>
        <charset val="238"/>
        <scheme val="minor"/>
      </rPr>
      <t xml:space="preserve"> - surface</t>
    </r>
  </si>
  <si>
    <r>
      <t>Gas transfer rate for NH</t>
    </r>
    <r>
      <rPr>
        <vertAlign val="subscript"/>
        <sz val="11"/>
        <color rgb="FF000000"/>
        <rFont val="Calibri"/>
        <family val="2"/>
        <scheme val="minor"/>
      </rPr>
      <t>3</t>
    </r>
    <r>
      <rPr>
        <sz val="11"/>
        <color rgb="FF000000"/>
        <rFont val="Calibri"/>
        <family val="2"/>
        <charset val="238"/>
        <scheme val="minor"/>
      </rPr>
      <t xml:space="preserve"> - surface</t>
    </r>
  </si>
  <si>
    <r>
      <t>T+T</t>
    </r>
    <r>
      <rPr>
        <vertAlign val="subscript"/>
        <sz val="11"/>
        <rFont val="Calibri"/>
        <family val="2"/>
        <scheme val="minor"/>
      </rPr>
      <t>STP,K</t>
    </r>
  </si>
  <si>
    <t>Other parameters - gas transfer via bubbles</t>
  </si>
  <si>
    <r>
      <t>k</t>
    </r>
    <r>
      <rPr>
        <vertAlign val="subscript"/>
        <sz val="11"/>
        <rFont val="Calibri"/>
        <family val="2"/>
      </rPr>
      <t>L</t>
    </r>
    <r>
      <rPr>
        <sz val="11"/>
        <rFont val="Calibri"/>
        <family val="2"/>
      </rPr>
      <t>a</t>
    </r>
    <r>
      <rPr>
        <vertAlign val="subscript"/>
        <sz val="11"/>
        <rFont val="Calibri"/>
        <family val="2"/>
        <charset val="238"/>
      </rPr>
      <t>GH2S</t>
    </r>
    <r>
      <rPr>
        <vertAlign val="subscript"/>
        <sz val="11"/>
        <rFont val="Calibri"/>
        <family val="2"/>
      </rPr>
      <t>,bub</t>
    </r>
  </si>
  <si>
    <t>H2S mass transfer coefficient for gas bubbles from PU code</t>
  </si>
  <si>
    <r>
      <t>d</t>
    </r>
    <r>
      <rPr>
        <vertAlign val="superscript"/>
        <sz val="11"/>
        <rFont val="Calibri"/>
        <family val="2"/>
        <charset val="238"/>
      </rPr>
      <t>-1</t>
    </r>
  </si>
  <si>
    <r>
      <t>k</t>
    </r>
    <r>
      <rPr>
        <vertAlign val="subscript"/>
        <sz val="11"/>
        <rFont val="Calibri"/>
        <family val="2"/>
      </rPr>
      <t>L</t>
    </r>
    <r>
      <rPr>
        <sz val="11"/>
        <rFont val="Calibri"/>
        <family val="2"/>
      </rPr>
      <t>a</t>
    </r>
    <r>
      <rPr>
        <vertAlign val="subscript"/>
        <sz val="11"/>
        <rFont val="Calibri"/>
        <family val="2"/>
        <charset val="238"/>
      </rPr>
      <t>G</t>
    </r>
    <r>
      <rPr>
        <vertAlign val="subscript"/>
        <sz val="11"/>
        <rFont val="Calibri"/>
        <family val="2"/>
      </rPr>
      <t>O2,bub</t>
    </r>
  </si>
  <si>
    <t>O2 mass transfer coefficient for gas bubbles from PU code</t>
  </si>
  <si>
    <r>
      <t>k</t>
    </r>
    <r>
      <rPr>
        <vertAlign val="subscript"/>
        <sz val="11"/>
        <rFont val="Calibri"/>
        <family val="2"/>
      </rPr>
      <t>L</t>
    </r>
    <r>
      <rPr>
        <sz val="11"/>
        <rFont val="Calibri"/>
        <family val="2"/>
      </rPr>
      <t>a</t>
    </r>
    <r>
      <rPr>
        <vertAlign val="subscript"/>
        <sz val="11"/>
        <rFont val="Calibri"/>
        <family val="2"/>
        <charset val="238"/>
      </rPr>
      <t>GC</t>
    </r>
    <r>
      <rPr>
        <vertAlign val="subscript"/>
        <sz val="11"/>
        <rFont val="Calibri"/>
        <family val="2"/>
      </rPr>
      <t>O2,bub</t>
    </r>
  </si>
  <si>
    <t>CO2 mass transfer coefficient for gas bubbles from PU code</t>
  </si>
  <si>
    <r>
      <t>k</t>
    </r>
    <r>
      <rPr>
        <vertAlign val="subscript"/>
        <sz val="11"/>
        <rFont val="Calibri"/>
        <family val="2"/>
      </rPr>
      <t>L</t>
    </r>
    <r>
      <rPr>
        <sz val="11"/>
        <rFont val="Calibri"/>
        <family val="2"/>
      </rPr>
      <t>a</t>
    </r>
    <r>
      <rPr>
        <vertAlign val="subscript"/>
        <sz val="11"/>
        <rFont val="Calibri"/>
        <family val="2"/>
        <charset val="238"/>
      </rPr>
      <t>GCH4</t>
    </r>
    <r>
      <rPr>
        <vertAlign val="subscript"/>
        <sz val="11"/>
        <rFont val="Calibri"/>
        <family val="2"/>
      </rPr>
      <t>,bub</t>
    </r>
  </si>
  <si>
    <t>CH4 mass transfer coefficient for gas bubbles from PU code</t>
  </si>
  <si>
    <r>
      <t>k</t>
    </r>
    <r>
      <rPr>
        <vertAlign val="subscript"/>
        <sz val="11"/>
        <rFont val="Calibri"/>
        <family val="2"/>
      </rPr>
      <t>L</t>
    </r>
    <r>
      <rPr>
        <sz val="11"/>
        <rFont val="Calibri"/>
        <family val="2"/>
      </rPr>
      <t>a</t>
    </r>
    <r>
      <rPr>
        <vertAlign val="subscript"/>
        <sz val="11"/>
        <rFont val="Calibri"/>
        <family val="2"/>
        <charset val="238"/>
      </rPr>
      <t>GH2</t>
    </r>
    <r>
      <rPr>
        <vertAlign val="subscript"/>
        <sz val="11"/>
        <rFont val="Calibri"/>
        <family val="2"/>
      </rPr>
      <t>,bub</t>
    </r>
  </si>
  <si>
    <t>H2 mass transfer coefficient for gas bubbles from PU code</t>
  </si>
  <si>
    <r>
      <t>k</t>
    </r>
    <r>
      <rPr>
        <vertAlign val="subscript"/>
        <sz val="11"/>
        <rFont val="Calibri"/>
        <family val="2"/>
      </rPr>
      <t>L</t>
    </r>
    <r>
      <rPr>
        <sz val="11"/>
        <rFont val="Calibri"/>
        <family val="2"/>
      </rPr>
      <t>a</t>
    </r>
    <r>
      <rPr>
        <vertAlign val="subscript"/>
        <sz val="11"/>
        <rFont val="Calibri"/>
        <family val="2"/>
        <charset val="238"/>
      </rPr>
      <t>GNH3</t>
    </r>
    <r>
      <rPr>
        <vertAlign val="subscript"/>
        <sz val="11"/>
        <rFont val="Calibri"/>
        <family val="2"/>
      </rPr>
      <t>,bub</t>
    </r>
  </si>
  <si>
    <t>NH3 mass transfer coefficient for gas bubbles from PU code</t>
  </si>
  <si>
    <r>
      <t>k</t>
    </r>
    <r>
      <rPr>
        <vertAlign val="subscript"/>
        <sz val="11"/>
        <rFont val="Calibri"/>
        <family val="2"/>
      </rPr>
      <t>L</t>
    </r>
    <r>
      <rPr>
        <sz val="11"/>
        <rFont val="Calibri"/>
        <family val="2"/>
      </rPr>
      <t>a</t>
    </r>
    <r>
      <rPr>
        <vertAlign val="subscript"/>
        <sz val="11"/>
        <rFont val="Calibri"/>
        <family val="2"/>
        <charset val="238"/>
      </rPr>
      <t>GN2</t>
    </r>
    <r>
      <rPr>
        <vertAlign val="subscript"/>
        <sz val="11"/>
        <rFont val="Calibri"/>
        <family val="2"/>
      </rPr>
      <t>,bub</t>
    </r>
  </si>
  <si>
    <t>N2 mass transfer coefficient for gas bubbles from PU code</t>
  </si>
  <si>
    <r>
      <t>S</t>
    </r>
    <r>
      <rPr>
        <vertAlign val="subscript"/>
        <sz val="11"/>
        <rFont val="Calibri"/>
        <family val="2"/>
        <charset val="238"/>
      </rPr>
      <t>G</t>
    </r>
    <r>
      <rPr>
        <vertAlign val="subscript"/>
        <sz val="11"/>
        <rFont val="Calibri"/>
        <family val="2"/>
      </rPr>
      <t>H2S,bub,sat</t>
    </r>
  </si>
  <si>
    <t>H2S saturation concentration at gas bubble interface</t>
  </si>
  <si>
    <r>
      <t>S</t>
    </r>
    <r>
      <rPr>
        <vertAlign val="subscript"/>
        <sz val="11"/>
        <rFont val="Calibri"/>
        <family val="2"/>
        <charset val="238"/>
      </rPr>
      <t>G</t>
    </r>
    <r>
      <rPr>
        <vertAlign val="subscript"/>
        <sz val="11"/>
        <rFont val="Calibri"/>
        <family val="2"/>
      </rPr>
      <t>O2,bub,sat</t>
    </r>
  </si>
  <si>
    <t>O2 saturation concentration at gas bubble interface</t>
  </si>
  <si>
    <r>
      <t>S</t>
    </r>
    <r>
      <rPr>
        <vertAlign val="subscript"/>
        <sz val="11"/>
        <rFont val="Calibri"/>
        <family val="2"/>
        <charset val="238"/>
      </rPr>
      <t>G</t>
    </r>
    <r>
      <rPr>
        <vertAlign val="subscript"/>
        <sz val="11"/>
        <rFont val="Calibri"/>
        <family val="2"/>
      </rPr>
      <t>CO2,bub,sat</t>
    </r>
  </si>
  <si>
    <t>CO2 saturation concentration at gas bubble interface</t>
  </si>
  <si>
    <r>
      <t>S</t>
    </r>
    <r>
      <rPr>
        <vertAlign val="subscript"/>
        <sz val="11"/>
        <rFont val="Calibri"/>
        <family val="2"/>
        <charset val="238"/>
      </rPr>
      <t>G</t>
    </r>
    <r>
      <rPr>
        <vertAlign val="subscript"/>
        <sz val="11"/>
        <rFont val="Calibri"/>
        <family val="2"/>
      </rPr>
      <t>CH4,bub,sat</t>
    </r>
  </si>
  <si>
    <t>CH4 saturation concentration at gas bubble interface</t>
  </si>
  <si>
    <r>
      <t>S</t>
    </r>
    <r>
      <rPr>
        <vertAlign val="subscript"/>
        <sz val="11"/>
        <rFont val="Calibri"/>
        <family val="2"/>
        <charset val="238"/>
      </rPr>
      <t>G</t>
    </r>
    <r>
      <rPr>
        <vertAlign val="subscript"/>
        <sz val="11"/>
        <rFont val="Calibri"/>
        <family val="2"/>
      </rPr>
      <t>H2,bub,sat</t>
    </r>
  </si>
  <si>
    <t>H2 saturation concentration at gas bubble interface</t>
  </si>
  <si>
    <r>
      <t>S</t>
    </r>
    <r>
      <rPr>
        <vertAlign val="subscript"/>
        <sz val="11"/>
        <rFont val="Calibri"/>
        <family val="2"/>
        <charset val="238"/>
      </rPr>
      <t>G</t>
    </r>
    <r>
      <rPr>
        <vertAlign val="subscript"/>
        <sz val="11"/>
        <rFont val="Calibri"/>
        <family val="2"/>
      </rPr>
      <t>NH3,bub,sat</t>
    </r>
  </si>
  <si>
    <t>NH3 saturation concentration at gas bubble interface</t>
  </si>
  <si>
    <r>
      <t>S</t>
    </r>
    <r>
      <rPr>
        <vertAlign val="subscript"/>
        <sz val="11"/>
        <rFont val="Calibri"/>
        <family val="2"/>
        <charset val="238"/>
      </rPr>
      <t>G</t>
    </r>
    <r>
      <rPr>
        <vertAlign val="subscript"/>
        <sz val="11"/>
        <rFont val="Calibri"/>
        <family val="2"/>
      </rPr>
      <t>N2,bub,sat</t>
    </r>
  </si>
  <si>
    <t>N2 saturation concentration at gas bubble interface</t>
  </si>
  <si>
    <t>Other parameters - gas transfer via reactor surface</t>
  </si>
  <si>
    <r>
      <t>k</t>
    </r>
    <r>
      <rPr>
        <vertAlign val="subscript"/>
        <sz val="11"/>
        <rFont val="Calibri"/>
        <family val="2"/>
      </rPr>
      <t>L</t>
    </r>
    <r>
      <rPr>
        <sz val="11"/>
        <rFont val="Calibri"/>
        <family val="2"/>
      </rPr>
      <t>a</t>
    </r>
    <r>
      <rPr>
        <vertAlign val="subscript"/>
        <sz val="11"/>
        <rFont val="Calibri"/>
        <family val="2"/>
        <charset val="238"/>
      </rPr>
      <t>GH2S</t>
    </r>
    <r>
      <rPr>
        <vertAlign val="subscript"/>
        <sz val="11"/>
        <rFont val="Calibri"/>
        <family val="2"/>
      </rPr>
      <t>,sur</t>
    </r>
  </si>
  <si>
    <t>H2S mass transfer coefficient at liquid surface from PU code</t>
  </si>
  <si>
    <r>
      <t>k</t>
    </r>
    <r>
      <rPr>
        <vertAlign val="subscript"/>
        <sz val="11"/>
        <rFont val="Calibri"/>
        <family val="2"/>
      </rPr>
      <t>L</t>
    </r>
    <r>
      <rPr>
        <sz val="11"/>
        <rFont val="Calibri"/>
        <family val="2"/>
      </rPr>
      <t>a</t>
    </r>
    <r>
      <rPr>
        <vertAlign val="subscript"/>
        <sz val="11"/>
        <rFont val="Calibri"/>
        <family val="2"/>
        <charset val="238"/>
      </rPr>
      <t>G</t>
    </r>
    <r>
      <rPr>
        <vertAlign val="subscript"/>
        <sz val="11"/>
        <rFont val="Calibri"/>
        <family val="2"/>
      </rPr>
      <t>O2,sur</t>
    </r>
  </si>
  <si>
    <t>O2 mass transfer coefficient at liquid surface from PU code</t>
  </si>
  <si>
    <r>
      <t>k</t>
    </r>
    <r>
      <rPr>
        <vertAlign val="subscript"/>
        <sz val="11"/>
        <rFont val="Calibri"/>
        <family val="2"/>
      </rPr>
      <t>L</t>
    </r>
    <r>
      <rPr>
        <sz val="11"/>
        <rFont val="Calibri"/>
        <family val="2"/>
      </rPr>
      <t>a</t>
    </r>
    <r>
      <rPr>
        <vertAlign val="subscript"/>
        <sz val="11"/>
        <rFont val="Calibri"/>
        <family val="2"/>
        <charset val="238"/>
      </rPr>
      <t>GC</t>
    </r>
    <r>
      <rPr>
        <vertAlign val="subscript"/>
        <sz val="11"/>
        <rFont val="Calibri"/>
        <family val="2"/>
      </rPr>
      <t>O2,sur</t>
    </r>
  </si>
  <si>
    <t>CO2 mass transfer coefficient at liquid surface from PU code</t>
  </si>
  <si>
    <r>
      <t>k</t>
    </r>
    <r>
      <rPr>
        <vertAlign val="subscript"/>
        <sz val="11"/>
        <rFont val="Calibri"/>
        <family val="2"/>
      </rPr>
      <t>L</t>
    </r>
    <r>
      <rPr>
        <sz val="11"/>
        <rFont val="Calibri"/>
        <family val="2"/>
      </rPr>
      <t>a</t>
    </r>
    <r>
      <rPr>
        <vertAlign val="subscript"/>
        <sz val="11"/>
        <rFont val="Calibri"/>
        <family val="2"/>
        <charset val="238"/>
      </rPr>
      <t>GCH4</t>
    </r>
    <r>
      <rPr>
        <vertAlign val="subscript"/>
        <sz val="11"/>
        <rFont val="Calibri"/>
        <family val="2"/>
      </rPr>
      <t>,sur</t>
    </r>
  </si>
  <si>
    <t>CH4 mass transfer coefficient at liquid surface from PU code</t>
  </si>
  <si>
    <r>
      <t>k</t>
    </r>
    <r>
      <rPr>
        <vertAlign val="subscript"/>
        <sz val="11"/>
        <rFont val="Calibri"/>
        <family val="2"/>
      </rPr>
      <t>L</t>
    </r>
    <r>
      <rPr>
        <sz val="11"/>
        <rFont val="Calibri"/>
        <family val="2"/>
      </rPr>
      <t>a</t>
    </r>
    <r>
      <rPr>
        <vertAlign val="subscript"/>
        <sz val="11"/>
        <rFont val="Calibri"/>
        <family val="2"/>
        <charset val="238"/>
      </rPr>
      <t>GH2</t>
    </r>
    <r>
      <rPr>
        <vertAlign val="subscript"/>
        <sz val="11"/>
        <rFont val="Calibri"/>
        <family val="2"/>
      </rPr>
      <t>,sur</t>
    </r>
  </si>
  <si>
    <t>H2 mass transfer coefficient at liquid surface from PU code</t>
  </si>
  <si>
    <r>
      <t>k</t>
    </r>
    <r>
      <rPr>
        <vertAlign val="subscript"/>
        <sz val="11"/>
        <rFont val="Calibri"/>
        <family val="2"/>
      </rPr>
      <t>L</t>
    </r>
    <r>
      <rPr>
        <sz val="11"/>
        <rFont val="Calibri"/>
        <family val="2"/>
      </rPr>
      <t>a</t>
    </r>
    <r>
      <rPr>
        <vertAlign val="subscript"/>
        <sz val="11"/>
        <rFont val="Calibri"/>
        <family val="2"/>
        <charset val="238"/>
      </rPr>
      <t>GNH3</t>
    </r>
    <r>
      <rPr>
        <vertAlign val="subscript"/>
        <sz val="11"/>
        <rFont val="Calibri"/>
        <family val="2"/>
      </rPr>
      <t>,sur</t>
    </r>
  </si>
  <si>
    <t>NH3 mass transfer coefficient at liquid surface from PU code</t>
  </si>
  <si>
    <r>
      <t>k</t>
    </r>
    <r>
      <rPr>
        <vertAlign val="subscript"/>
        <sz val="11"/>
        <rFont val="Calibri"/>
        <family val="2"/>
      </rPr>
      <t>L</t>
    </r>
    <r>
      <rPr>
        <sz val="11"/>
        <rFont val="Calibri"/>
        <family val="2"/>
      </rPr>
      <t>a</t>
    </r>
    <r>
      <rPr>
        <vertAlign val="subscript"/>
        <sz val="11"/>
        <rFont val="Calibri"/>
        <family val="2"/>
        <charset val="238"/>
      </rPr>
      <t>GN2</t>
    </r>
    <r>
      <rPr>
        <vertAlign val="subscript"/>
        <sz val="11"/>
        <rFont val="Calibri"/>
        <family val="2"/>
      </rPr>
      <t>,sur</t>
    </r>
  </si>
  <si>
    <t>N2 mass transfer coefficient at liquid surface from PU code</t>
  </si>
  <si>
    <r>
      <t>S</t>
    </r>
    <r>
      <rPr>
        <vertAlign val="subscript"/>
        <sz val="11"/>
        <rFont val="Calibri"/>
        <family val="2"/>
        <charset val="238"/>
      </rPr>
      <t>G</t>
    </r>
    <r>
      <rPr>
        <vertAlign val="subscript"/>
        <sz val="11"/>
        <rFont val="Calibri"/>
        <family val="2"/>
      </rPr>
      <t>H2S,sur,sat</t>
    </r>
  </si>
  <si>
    <t>H2S saturation concentration at atmospheric interface</t>
  </si>
  <si>
    <r>
      <t>f(G</t>
    </r>
    <r>
      <rPr>
        <vertAlign val="subscript"/>
        <sz val="11"/>
        <rFont val="Calibri"/>
        <family val="2"/>
      </rPr>
      <t>H2S,atm</t>
    </r>
    <r>
      <rPr>
        <sz val="11"/>
        <rFont val="Calibri"/>
        <family val="2"/>
      </rPr>
      <t>)</t>
    </r>
  </si>
  <si>
    <r>
      <t>S</t>
    </r>
    <r>
      <rPr>
        <vertAlign val="subscript"/>
        <sz val="11"/>
        <rFont val="Calibri"/>
        <family val="2"/>
        <charset val="238"/>
      </rPr>
      <t>G</t>
    </r>
    <r>
      <rPr>
        <vertAlign val="subscript"/>
        <sz val="11"/>
        <rFont val="Calibri"/>
        <family val="2"/>
      </rPr>
      <t>O2,sur,sat</t>
    </r>
  </si>
  <si>
    <t>O2 saturation concentration at atmospheric interface</t>
  </si>
  <si>
    <r>
      <t>f(G</t>
    </r>
    <r>
      <rPr>
        <vertAlign val="subscript"/>
        <sz val="11"/>
        <rFont val="Calibri"/>
        <family val="2"/>
      </rPr>
      <t>O2,atm</t>
    </r>
    <r>
      <rPr>
        <sz val="11"/>
        <rFont val="Calibri"/>
        <family val="2"/>
      </rPr>
      <t>)</t>
    </r>
  </si>
  <si>
    <r>
      <t>S</t>
    </r>
    <r>
      <rPr>
        <vertAlign val="subscript"/>
        <sz val="11"/>
        <rFont val="Calibri"/>
        <family val="2"/>
        <charset val="238"/>
      </rPr>
      <t>G</t>
    </r>
    <r>
      <rPr>
        <vertAlign val="subscript"/>
        <sz val="11"/>
        <rFont val="Calibri"/>
        <family val="2"/>
      </rPr>
      <t>CO2,sur,sat</t>
    </r>
  </si>
  <si>
    <t>CO2 saturation concentration at atmospheric interface</t>
  </si>
  <si>
    <r>
      <t>f(G</t>
    </r>
    <r>
      <rPr>
        <vertAlign val="subscript"/>
        <sz val="11"/>
        <rFont val="Calibri"/>
        <family val="2"/>
      </rPr>
      <t>CO2,atm</t>
    </r>
    <r>
      <rPr>
        <sz val="11"/>
        <rFont val="Calibri"/>
        <family val="2"/>
      </rPr>
      <t>)</t>
    </r>
  </si>
  <si>
    <r>
      <t>S</t>
    </r>
    <r>
      <rPr>
        <vertAlign val="subscript"/>
        <sz val="11"/>
        <rFont val="Calibri"/>
        <family val="2"/>
        <charset val="238"/>
      </rPr>
      <t>G</t>
    </r>
    <r>
      <rPr>
        <vertAlign val="subscript"/>
        <sz val="11"/>
        <rFont val="Calibri"/>
        <family val="2"/>
      </rPr>
      <t>CH4,sur,sat</t>
    </r>
  </si>
  <si>
    <t>CH4 saturation concentration at atmospheric interface</t>
  </si>
  <si>
    <r>
      <t>f(G</t>
    </r>
    <r>
      <rPr>
        <vertAlign val="subscript"/>
        <sz val="11"/>
        <rFont val="Calibri"/>
        <family val="2"/>
      </rPr>
      <t>CH4,atm</t>
    </r>
    <r>
      <rPr>
        <sz val="11"/>
        <rFont val="Calibri"/>
        <family val="2"/>
      </rPr>
      <t>)</t>
    </r>
  </si>
  <si>
    <r>
      <t>S</t>
    </r>
    <r>
      <rPr>
        <vertAlign val="subscript"/>
        <sz val="11"/>
        <rFont val="Calibri"/>
        <family val="2"/>
        <charset val="238"/>
      </rPr>
      <t>G</t>
    </r>
    <r>
      <rPr>
        <vertAlign val="subscript"/>
        <sz val="11"/>
        <rFont val="Calibri"/>
        <family val="2"/>
      </rPr>
      <t>H2,sur,sat</t>
    </r>
  </si>
  <si>
    <t>H2 saturation concentration at atmospheric interface</t>
  </si>
  <si>
    <r>
      <t>f(G</t>
    </r>
    <r>
      <rPr>
        <vertAlign val="subscript"/>
        <sz val="11"/>
        <rFont val="Calibri"/>
        <family val="2"/>
      </rPr>
      <t>H2,atm</t>
    </r>
    <r>
      <rPr>
        <sz val="11"/>
        <rFont val="Calibri"/>
        <family val="2"/>
      </rPr>
      <t>)</t>
    </r>
  </si>
  <si>
    <r>
      <t>S</t>
    </r>
    <r>
      <rPr>
        <vertAlign val="subscript"/>
        <sz val="11"/>
        <rFont val="Calibri"/>
        <family val="2"/>
        <charset val="238"/>
      </rPr>
      <t>G</t>
    </r>
    <r>
      <rPr>
        <vertAlign val="subscript"/>
        <sz val="11"/>
        <rFont val="Calibri"/>
        <family val="2"/>
      </rPr>
      <t>NH3,sur,sat</t>
    </r>
  </si>
  <si>
    <t>NH3 saturation concentration at atmospheric interface</t>
  </si>
  <si>
    <r>
      <t>f(G</t>
    </r>
    <r>
      <rPr>
        <vertAlign val="subscript"/>
        <sz val="11"/>
        <rFont val="Calibri"/>
        <family val="2"/>
      </rPr>
      <t>NH3,atm</t>
    </r>
    <r>
      <rPr>
        <sz val="11"/>
        <rFont val="Calibri"/>
        <family val="2"/>
      </rPr>
      <t>)</t>
    </r>
  </si>
  <si>
    <r>
      <t>S</t>
    </r>
    <r>
      <rPr>
        <vertAlign val="subscript"/>
        <sz val="11"/>
        <rFont val="Calibri"/>
        <family val="2"/>
        <charset val="238"/>
      </rPr>
      <t>G</t>
    </r>
    <r>
      <rPr>
        <vertAlign val="subscript"/>
        <sz val="11"/>
        <rFont val="Calibri"/>
        <family val="2"/>
      </rPr>
      <t>N2,sur,sat</t>
    </r>
  </si>
  <si>
    <t>N2 saturation concentration at atmospheric interface</t>
  </si>
  <si>
    <r>
      <t>f(G</t>
    </r>
    <r>
      <rPr>
        <vertAlign val="subscript"/>
        <sz val="11"/>
        <rFont val="Calibri"/>
        <family val="2"/>
      </rPr>
      <t>N2,atm</t>
    </r>
    <r>
      <rPr>
        <sz val="11"/>
        <rFont val="Calibri"/>
        <family val="2"/>
      </rPr>
      <t>)</t>
    </r>
  </si>
  <si>
    <t>Standard barometric pressure</t>
  </si>
  <si>
    <r>
      <t>D</t>
    </r>
    <r>
      <rPr>
        <vertAlign val="subscript"/>
        <sz val="11"/>
        <rFont val="Calibri"/>
        <family val="2"/>
        <scheme val="minor"/>
      </rPr>
      <t>GO2,25</t>
    </r>
  </si>
  <si>
    <r>
      <t>D</t>
    </r>
    <r>
      <rPr>
        <vertAlign val="subscript"/>
        <sz val="11"/>
        <rFont val="Calibri"/>
        <family val="2"/>
        <scheme val="minor"/>
      </rPr>
      <t>GN2,25</t>
    </r>
  </si>
  <si>
    <r>
      <t>D</t>
    </r>
    <r>
      <rPr>
        <vertAlign val="subscript"/>
        <sz val="11"/>
        <rFont val="Calibri"/>
        <family val="2"/>
        <scheme val="minor"/>
      </rPr>
      <t>GNH3,25</t>
    </r>
  </si>
  <si>
    <r>
      <t>D</t>
    </r>
    <r>
      <rPr>
        <vertAlign val="subscript"/>
        <sz val="11"/>
        <rFont val="Calibri"/>
        <family val="2"/>
        <scheme val="minor"/>
      </rPr>
      <t>GCO2,25</t>
    </r>
  </si>
  <si>
    <r>
      <t>D</t>
    </r>
    <r>
      <rPr>
        <vertAlign val="subscript"/>
        <sz val="11"/>
        <rFont val="Calibri"/>
        <family val="2"/>
      </rPr>
      <t>GH2,25</t>
    </r>
  </si>
  <si>
    <r>
      <t>D</t>
    </r>
    <r>
      <rPr>
        <vertAlign val="subscript"/>
        <sz val="11"/>
        <rFont val="Calibri"/>
        <family val="2"/>
      </rPr>
      <t>GCH4,25</t>
    </r>
  </si>
  <si>
    <r>
      <t>D</t>
    </r>
    <r>
      <rPr>
        <vertAlign val="subscript"/>
        <sz val="11"/>
        <rFont val="Calibri"/>
        <family val="2"/>
      </rPr>
      <t>GNO,25</t>
    </r>
  </si>
  <si>
    <r>
      <t>D</t>
    </r>
    <r>
      <rPr>
        <vertAlign val="subscript"/>
        <sz val="11"/>
        <rFont val="Calibri"/>
        <family val="2"/>
      </rPr>
      <t>GN2O,25</t>
    </r>
  </si>
  <si>
    <r>
      <t>D</t>
    </r>
    <r>
      <rPr>
        <vertAlign val="subscript"/>
        <sz val="11"/>
        <rFont val="Calibri"/>
        <family val="2"/>
        <scheme val="minor"/>
      </rPr>
      <t>GH2S,25</t>
    </r>
  </si>
  <si>
    <r>
      <t>σ</t>
    </r>
    <r>
      <rPr>
        <vertAlign val="subscript"/>
        <sz val="11"/>
        <rFont val="Calibri"/>
        <family val="2"/>
        <charset val="238"/>
      </rPr>
      <t>H2O</t>
    </r>
  </si>
  <si>
    <t>Water/air surface tension</t>
  </si>
  <si>
    <r>
      <t>N.m</t>
    </r>
    <r>
      <rPr>
        <vertAlign val="superscript"/>
        <sz val="11"/>
        <rFont val="Calibri"/>
        <family val="2"/>
        <charset val="238"/>
        <scheme val="minor"/>
      </rPr>
      <t>-1</t>
    </r>
  </si>
  <si>
    <t>Density of water</t>
  </si>
  <si>
    <t>Dynamic viscosity of water</t>
  </si>
  <si>
    <r>
      <rPr>
        <sz val="11"/>
        <rFont val="Calibri"/>
        <family val="2"/>
      </rPr>
      <t>ρ</t>
    </r>
    <r>
      <rPr>
        <vertAlign val="subscript"/>
        <sz val="11"/>
        <rFont val="Calibri"/>
        <family val="2"/>
        <scheme val="minor"/>
      </rPr>
      <t>air</t>
    </r>
  </si>
  <si>
    <t>Density of air</t>
  </si>
  <si>
    <r>
      <t>p</t>
    </r>
    <r>
      <rPr>
        <vertAlign val="subscript"/>
        <sz val="11"/>
        <rFont val="Calibri"/>
        <family val="2"/>
      </rPr>
      <t>STP</t>
    </r>
  </si>
  <si>
    <t>Normal barometric pressure</t>
  </si>
  <si>
    <r>
      <t>Carbon dioxide gas (CO</t>
    </r>
    <r>
      <rPr>
        <vertAlign val="subscript"/>
        <sz val="11"/>
        <rFont val="Calibri"/>
        <family val="2"/>
      </rPr>
      <t>2</t>
    </r>
    <r>
      <rPr>
        <sz val="11"/>
        <rFont val="Calibri"/>
        <family val="2"/>
      </rPr>
      <t>)</t>
    </r>
  </si>
  <si>
    <r>
      <t>Methane gas (CH</t>
    </r>
    <r>
      <rPr>
        <vertAlign val="subscript"/>
        <sz val="11"/>
        <color rgb="FF000000"/>
        <rFont val="Calibri"/>
        <family val="2"/>
        <scheme val="minor"/>
      </rPr>
      <t>4</t>
    </r>
    <r>
      <rPr>
        <sz val="11"/>
        <color rgb="FF000000"/>
        <rFont val="Calibri"/>
        <family val="2"/>
        <charset val="238"/>
        <scheme val="minor"/>
      </rPr>
      <t>)</t>
    </r>
  </si>
  <si>
    <r>
      <t>Hydrogen gas (H</t>
    </r>
    <r>
      <rPr>
        <vertAlign val="subscript"/>
        <sz val="11"/>
        <color rgb="FF000000"/>
        <rFont val="Calibri"/>
        <family val="2"/>
        <scheme val="minor"/>
      </rPr>
      <t>2</t>
    </r>
    <r>
      <rPr>
        <sz val="11"/>
        <color rgb="FF000000"/>
        <rFont val="Calibri"/>
        <family val="2"/>
        <charset val="238"/>
        <scheme val="minor"/>
      </rPr>
      <t>)</t>
    </r>
  </si>
  <si>
    <r>
      <t>Oxygen gas (O</t>
    </r>
    <r>
      <rPr>
        <vertAlign val="subscript"/>
        <sz val="11"/>
        <color rgb="FF000000"/>
        <rFont val="Calibri"/>
        <family val="2"/>
        <scheme val="minor"/>
      </rPr>
      <t>2</t>
    </r>
    <r>
      <rPr>
        <sz val="11"/>
        <color rgb="FF000000"/>
        <rFont val="Calibri"/>
        <family val="2"/>
        <charset val="238"/>
        <scheme val="minor"/>
      </rPr>
      <t>)</t>
    </r>
  </si>
  <si>
    <r>
      <t>Ammonia gas (NH</t>
    </r>
    <r>
      <rPr>
        <vertAlign val="subscript"/>
        <sz val="11"/>
        <rFont val="Calibri"/>
        <family val="2"/>
      </rPr>
      <t>3</t>
    </r>
    <r>
      <rPr>
        <sz val="11"/>
        <rFont val="Calibri"/>
        <family val="2"/>
      </rPr>
      <t>)</t>
    </r>
  </si>
  <si>
    <r>
      <t>Nitrogen gas (N</t>
    </r>
    <r>
      <rPr>
        <vertAlign val="subscript"/>
        <sz val="11"/>
        <color rgb="FF000000"/>
        <rFont val="Calibri"/>
        <family val="2"/>
        <scheme val="minor"/>
      </rPr>
      <t>2</t>
    </r>
    <r>
      <rPr>
        <sz val="11"/>
        <color rgb="FF000000"/>
        <rFont val="Calibri"/>
        <family val="2"/>
        <charset val="238"/>
        <scheme val="minor"/>
      </rPr>
      <t>)</t>
    </r>
  </si>
  <si>
    <r>
      <t>Δ</t>
    </r>
    <r>
      <rPr>
        <vertAlign val="subscript"/>
        <sz val="11"/>
        <rFont val="Calibri"/>
        <family val="2"/>
      </rPr>
      <t>atm</t>
    </r>
  </si>
  <si>
    <t>Arbitrary atmosphere ratio</t>
  </si>
  <si>
    <r>
      <t>%v/v / g/m</t>
    </r>
    <r>
      <rPr>
        <vertAlign val="superscript"/>
        <sz val="11"/>
        <rFont val="Calibri"/>
        <family val="2"/>
      </rPr>
      <t>3</t>
    </r>
  </si>
  <si>
    <t>Only used for mass balance check since mass changes in the atmosphere are not calculated</t>
  </si>
  <si>
    <r>
      <t>T</t>
    </r>
    <r>
      <rPr>
        <vertAlign val="subscript"/>
        <sz val="11"/>
        <rFont val="Calibri"/>
        <family val="2"/>
        <scheme val="minor"/>
      </rPr>
      <t>st,K</t>
    </r>
  </si>
  <si>
    <t>Standard ambient air temperature - 25°C in Kelvin</t>
  </si>
  <si>
    <t>25°C at 101325 Pa: SATP (Standard Ambient Temperature and Pressure) - EPA</t>
  </si>
  <si>
    <r>
      <t>T</t>
    </r>
    <r>
      <rPr>
        <vertAlign val="subscript"/>
        <sz val="11"/>
        <rFont val="Calibri"/>
        <family val="2"/>
        <scheme val="minor"/>
      </rPr>
      <t>NTP,K</t>
    </r>
  </si>
  <si>
    <t>Normal condition (NTP) temperature - 20°C in Kelvin</t>
  </si>
  <si>
    <t>20°C at 101325 Pa: NTP (Normal Temperature and Pressure) - EPA, NIST</t>
  </si>
  <si>
    <r>
      <t>T</t>
    </r>
    <r>
      <rPr>
        <vertAlign val="subscript"/>
        <sz val="11"/>
        <rFont val="Calibri"/>
        <family val="2"/>
        <scheme val="minor"/>
      </rPr>
      <t>STP,K</t>
    </r>
  </si>
  <si>
    <t>Standard condition (STP) temperature - 0°C in Kelvin</t>
  </si>
  <si>
    <t>0°C at 101325 Pa: IUPAC STP called Normal condition - NIST, ISO10780</t>
  </si>
  <si>
    <r>
      <t>H</t>
    </r>
    <r>
      <rPr>
        <vertAlign val="subscript"/>
        <sz val="11"/>
        <rFont val="Calibri"/>
        <family val="2"/>
        <scheme val="minor"/>
      </rPr>
      <t>STP</t>
    </r>
  </si>
  <si>
    <r>
      <t>MM</t>
    </r>
    <r>
      <rPr>
        <vertAlign val="subscript"/>
        <sz val="11"/>
        <rFont val="Calibri"/>
        <family val="2"/>
        <scheme val="minor"/>
      </rPr>
      <t>FeOH3</t>
    </r>
  </si>
  <si>
    <r>
      <t>MM</t>
    </r>
    <r>
      <rPr>
        <vertAlign val="subscript"/>
        <sz val="11"/>
        <rFont val="Calibri"/>
        <family val="2"/>
        <scheme val="minor"/>
      </rPr>
      <t>AlOH3</t>
    </r>
  </si>
  <si>
    <r>
      <t>MM</t>
    </r>
    <r>
      <rPr>
        <vertAlign val="subscript"/>
        <sz val="11"/>
        <rFont val="Calibri"/>
        <family val="2"/>
        <scheme val="minor"/>
      </rPr>
      <t>AlPO4</t>
    </r>
  </si>
  <si>
    <r>
      <t>K</t>
    </r>
    <r>
      <rPr>
        <vertAlign val="subscript"/>
        <sz val="11"/>
        <rFont val="Calibri"/>
        <family val="2"/>
        <charset val="238"/>
        <scheme val="minor"/>
      </rPr>
      <t>NH3,param</t>
    </r>
  </si>
  <si>
    <r>
      <t>K</t>
    </r>
    <r>
      <rPr>
        <vertAlign val="subscript"/>
        <sz val="11"/>
        <rFont val="Calibri"/>
        <family val="2"/>
        <charset val="238"/>
        <scheme val="minor"/>
      </rPr>
      <t>NO2,param</t>
    </r>
  </si>
  <si>
    <r>
      <t>K</t>
    </r>
    <r>
      <rPr>
        <vertAlign val="subscript"/>
        <sz val="11"/>
        <rFont val="Calibri"/>
        <family val="2"/>
        <charset val="238"/>
        <scheme val="minor"/>
      </rPr>
      <t>Ac,param</t>
    </r>
  </si>
  <si>
    <r>
      <t>K</t>
    </r>
    <r>
      <rPr>
        <vertAlign val="subscript"/>
        <sz val="11"/>
        <rFont val="Calibri"/>
        <family val="2"/>
        <charset val="238"/>
        <scheme val="minor"/>
      </rPr>
      <t>H2S,param</t>
    </r>
  </si>
  <si>
    <r>
      <t>D</t>
    </r>
    <r>
      <rPr>
        <vertAlign val="subscript"/>
        <sz val="11"/>
        <rFont val="Calibri"/>
        <family val="2"/>
        <charset val="238"/>
        <scheme val="minor"/>
      </rPr>
      <t>SVFA</t>
    </r>
  </si>
  <si>
    <r>
      <t>cm</t>
    </r>
    <r>
      <rPr>
        <vertAlign val="superscript"/>
        <sz val="11"/>
        <rFont val="Calibri"/>
        <family val="2"/>
        <charset val="238"/>
        <scheme val="minor"/>
      </rPr>
      <t>2</t>
    </r>
    <r>
      <rPr>
        <sz val="11"/>
        <rFont val="Calibri"/>
        <family val="2"/>
        <scheme val="minor"/>
      </rPr>
      <t>.s</t>
    </r>
    <r>
      <rPr>
        <vertAlign val="superscript"/>
        <sz val="11"/>
        <rFont val="Calibri"/>
        <family val="2"/>
        <charset val="238"/>
        <scheme val="minor"/>
      </rPr>
      <t>-1</t>
    </r>
  </si>
  <si>
    <r>
      <t>D</t>
    </r>
    <r>
      <rPr>
        <vertAlign val="subscript"/>
        <sz val="11"/>
        <rFont val="Calibri"/>
        <family val="2"/>
        <charset val="238"/>
        <scheme val="minor"/>
      </rPr>
      <t>SA</t>
    </r>
  </si>
  <si>
    <r>
      <t>D</t>
    </r>
    <r>
      <rPr>
        <vertAlign val="subscript"/>
        <sz val="11"/>
        <rFont val="Calibri"/>
        <family val="2"/>
        <charset val="238"/>
        <scheme val="minor"/>
      </rPr>
      <t>SBSA</t>
    </r>
  </si>
  <si>
    <r>
      <t>D</t>
    </r>
    <r>
      <rPr>
        <vertAlign val="subscript"/>
        <sz val="11"/>
        <rFont val="Calibri"/>
        <family val="2"/>
        <charset val="238"/>
        <scheme val="minor"/>
      </rPr>
      <t>SB</t>
    </r>
  </si>
  <si>
    <r>
      <t>D</t>
    </r>
    <r>
      <rPr>
        <vertAlign val="subscript"/>
        <sz val="11"/>
        <rFont val="Calibri"/>
        <family val="2"/>
        <charset val="238"/>
        <scheme val="minor"/>
      </rPr>
      <t>SB,mono</t>
    </r>
  </si>
  <si>
    <r>
      <t>D</t>
    </r>
    <r>
      <rPr>
        <vertAlign val="subscript"/>
        <sz val="11"/>
        <rFont val="Calibri"/>
        <family val="2"/>
        <charset val="238"/>
        <scheme val="minor"/>
      </rPr>
      <t>SB,poly</t>
    </r>
  </si>
  <si>
    <r>
      <t>D</t>
    </r>
    <r>
      <rPr>
        <vertAlign val="subscript"/>
        <sz val="11"/>
        <rFont val="Calibri"/>
        <family val="2"/>
        <charset val="238"/>
        <scheme val="minor"/>
      </rPr>
      <t>SS</t>
    </r>
  </si>
  <si>
    <r>
      <t>D</t>
    </r>
    <r>
      <rPr>
        <vertAlign val="subscript"/>
        <sz val="11"/>
        <rFont val="Calibri"/>
        <family val="2"/>
        <charset val="238"/>
        <scheme val="minor"/>
      </rPr>
      <t>SF</t>
    </r>
  </si>
  <si>
    <r>
      <t>D</t>
    </r>
    <r>
      <rPr>
        <vertAlign val="subscript"/>
        <sz val="11"/>
        <rFont val="Calibri"/>
        <family val="2"/>
        <charset val="238"/>
        <scheme val="minor"/>
      </rPr>
      <t>SBSC</t>
    </r>
  </si>
  <si>
    <r>
      <t>D</t>
    </r>
    <r>
      <rPr>
        <vertAlign val="subscript"/>
        <sz val="11"/>
        <rFont val="Calibri"/>
        <family val="2"/>
        <charset val="238"/>
        <scheme val="minor"/>
      </rPr>
      <t>SMEOL</t>
    </r>
  </si>
  <si>
    <r>
      <t>D</t>
    </r>
    <r>
      <rPr>
        <vertAlign val="subscript"/>
        <sz val="11"/>
        <rFont val="Calibri"/>
        <family val="2"/>
        <charset val="238"/>
        <scheme val="minor"/>
      </rPr>
      <t>SU</t>
    </r>
  </si>
  <si>
    <r>
      <t>D</t>
    </r>
    <r>
      <rPr>
        <vertAlign val="subscript"/>
        <sz val="11"/>
        <rFont val="Calibri"/>
        <family val="2"/>
        <charset val="238"/>
        <scheme val="minor"/>
      </rPr>
      <t>SI</t>
    </r>
  </si>
  <si>
    <r>
      <t>D</t>
    </r>
    <r>
      <rPr>
        <vertAlign val="subscript"/>
        <sz val="11"/>
        <rFont val="Calibri"/>
        <family val="2"/>
        <charset val="238"/>
        <scheme val="minor"/>
      </rPr>
      <t>SNHx</t>
    </r>
  </si>
  <si>
    <r>
      <t>D</t>
    </r>
    <r>
      <rPr>
        <vertAlign val="subscript"/>
        <sz val="11"/>
        <rFont val="Calibri"/>
        <family val="2"/>
        <charset val="238"/>
        <scheme val="minor"/>
      </rPr>
      <t>SNH4</t>
    </r>
  </si>
  <si>
    <r>
      <t>D</t>
    </r>
    <r>
      <rPr>
        <vertAlign val="subscript"/>
        <sz val="11"/>
        <rFont val="Calibri"/>
        <family val="2"/>
        <charset val="238"/>
        <scheme val="minor"/>
      </rPr>
      <t>SNH</t>
    </r>
  </si>
  <si>
    <r>
      <t>D</t>
    </r>
    <r>
      <rPr>
        <vertAlign val="subscript"/>
        <sz val="11"/>
        <rFont val="Calibri"/>
        <family val="2"/>
        <charset val="238"/>
        <scheme val="minor"/>
      </rPr>
      <t>NH3</t>
    </r>
  </si>
  <si>
    <r>
      <t>D</t>
    </r>
    <r>
      <rPr>
        <vertAlign val="subscript"/>
        <sz val="11"/>
        <rFont val="Calibri"/>
        <family val="2"/>
        <charset val="238"/>
        <scheme val="minor"/>
      </rPr>
      <t>NO3</t>
    </r>
  </si>
  <si>
    <r>
      <t>D</t>
    </r>
    <r>
      <rPr>
        <vertAlign val="subscript"/>
        <sz val="11"/>
        <rFont val="Calibri"/>
        <family val="2"/>
        <charset val="238"/>
        <scheme val="minor"/>
      </rPr>
      <t>PO4</t>
    </r>
  </si>
  <si>
    <r>
      <t>D</t>
    </r>
    <r>
      <rPr>
        <vertAlign val="subscript"/>
        <sz val="11"/>
        <rFont val="Calibri"/>
        <family val="2"/>
        <charset val="238"/>
        <scheme val="minor"/>
      </rPr>
      <t>SN2</t>
    </r>
  </si>
  <si>
    <r>
      <t>D</t>
    </r>
    <r>
      <rPr>
        <vertAlign val="subscript"/>
        <sz val="11"/>
        <rFont val="Calibri"/>
        <family val="2"/>
        <charset val="238"/>
        <scheme val="minor"/>
      </rPr>
      <t>NUS</t>
    </r>
  </si>
  <si>
    <r>
      <t>D</t>
    </r>
    <r>
      <rPr>
        <vertAlign val="subscript"/>
        <sz val="11"/>
        <rFont val="Calibri"/>
        <family val="2"/>
        <charset val="238"/>
        <scheme val="minor"/>
      </rPr>
      <t>NBS</t>
    </r>
  </si>
  <si>
    <r>
      <t>D</t>
    </r>
    <r>
      <rPr>
        <vertAlign val="subscript"/>
        <sz val="11"/>
        <rFont val="Calibri"/>
        <family val="2"/>
        <charset val="238"/>
        <scheme val="minor"/>
      </rPr>
      <t>SUS</t>
    </r>
  </si>
  <si>
    <r>
      <t>D</t>
    </r>
    <r>
      <rPr>
        <vertAlign val="subscript"/>
        <sz val="11"/>
        <rFont val="Calibri"/>
        <family val="2"/>
        <charset val="238"/>
        <scheme val="minor"/>
      </rPr>
      <t>SNOx</t>
    </r>
  </si>
  <si>
    <r>
      <t>D</t>
    </r>
    <r>
      <rPr>
        <vertAlign val="subscript"/>
        <sz val="11"/>
        <rFont val="Calibri"/>
        <family val="2"/>
        <charset val="238"/>
        <scheme val="minor"/>
      </rPr>
      <t>SNO2</t>
    </r>
  </si>
  <si>
    <r>
      <t>D</t>
    </r>
    <r>
      <rPr>
        <vertAlign val="subscript"/>
        <sz val="11"/>
        <rFont val="Calibri"/>
        <family val="2"/>
        <charset val="238"/>
        <scheme val="minor"/>
      </rPr>
      <t>SNO3</t>
    </r>
  </si>
  <si>
    <r>
      <t>D</t>
    </r>
    <r>
      <rPr>
        <vertAlign val="subscript"/>
        <sz val="11"/>
        <rFont val="Calibri"/>
        <family val="2"/>
        <charset val="238"/>
        <scheme val="minor"/>
      </rPr>
      <t>SN,B</t>
    </r>
  </si>
  <si>
    <r>
      <t>D</t>
    </r>
    <r>
      <rPr>
        <vertAlign val="subscript"/>
        <sz val="11"/>
        <rFont val="Calibri"/>
        <family val="2"/>
        <charset val="238"/>
        <scheme val="minor"/>
      </rPr>
      <t>SND</t>
    </r>
  </si>
  <si>
    <r>
      <t>D</t>
    </r>
    <r>
      <rPr>
        <vertAlign val="subscript"/>
        <sz val="11"/>
        <rFont val="Calibri"/>
        <family val="2"/>
        <charset val="238"/>
        <scheme val="minor"/>
      </rPr>
      <t>SPO4</t>
    </r>
  </si>
  <si>
    <r>
      <t>D</t>
    </r>
    <r>
      <rPr>
        <vertAlign val="subscript"/>
        <sz val="11"/>
        <rFont val="Calibri"/>
        <family val="2"/>
        <charset val="238"/>
        <scheme val="minor"/>
      </rPr>
      <t>SPO</t>
    </r>
  </si>
  <si>
    <r>
      <t>D</t>
    </r>
    <r>
      <rPr>
        <vertAlign val="subscript"/>
        <sz val="11"/>
        <rFont val="Calibri"/>
        <family val="2"/>
        <charset val="238"/>
        <scheme val="minor"/>
      </rPr>
      <t>SP,B</t>
    </r>
  </si>
  <si>
    <r>
      <t>D</t>
    </r>
    <r>
      <rPr>
        <vertAlign val="subscript"/>
        <sz val="11"/>
        <rFont val="Calibri"/>
        <family val="2"/>
        <charset val="238"/>
        <scheme val="minor"/>
      </rPr>
      <t>SO2</t>
    </r>
  </si>
  <si>
    <r>
      <t>D</t>
    </r>
    <r>
      <rPr>
        <vertAlign val="subscript"/>
        <sz val="11"/>
        <rFont val="Calibri"/>
        <family val="2"/>
        <charset val="238"/>
        <scheme val="minor"/>
      </rPr>
      <t>SCH4</t>
    </r>
  </si>
  <si>
    <r>
      <t>D</t>
    </r>
    <r>
      <rPr>
        <vertAlign val="subscript"/>
        <sz val="11"/>
        <rFont val="Calibri"/>
        <family val="2"/>
        <charset val="238"/>
        <scheme val="minor"/>
      </rPr>
      <t>SH2</t>
    </r>
  </si>
  <si>
    <r>
      <t>D</t>
    </r>
    <r>
      <rPr>
        <vertAlign val="subscript"/>
        <sz val="11"/>
        <rFont val="Calibri"/>
        <family val="2"/>
        <charset val="238"/>
        <scheme val="minor"/>
      </rPr>
      <t>SCO2</t>
    </r>
  </si>
  <si>
    <r>
      <t>D</t>
    </r>
    <r>
      <rPr>
        <vertAlign val="subscript"/>
        <sz val="11"/>
        <rFont val="Calibri"/>
        <family val="2"/>
        <charset val="238"/>
        <scheme val="minor"/>
      </rPr>
      <t>SK</t>
    </r>
  </si>
  <si>
    <r>
      <t>D</t>
    </r>
    <r>
      <rPr>
        <vertAlign val="subscript"/>
        <sz val="11"/>
        <rFont val="Calibri"/>
        <family val="2"/>
        <charset val="238"/>
        <scheme val="minor"/>
      </rPr>
      <t>SCa</t>
    </r>
  </si>
  <si>
    <r>
      <t>D</t>
    </r>
    <r>
      <rPr>
        <vertAlign val="subscript"/>
        <sz val="11"/>
        <rFont val="Calibri"/>
        <family val="2"/>
        <charset val="238"/>
        <scheme val="minor"/>
      </rPr>
      <t>SMg</t>
    </r>
  </si>
  <si>
    <r>
      <t>D</t>
    </r>
    <r>
      <rPr>
        <vertAlign val="subscript"/>
        <sz val="11"/>
        <rFont val="Calibri"/>
        <family val="2"/>
        <charset val="238"/>
        <scheme val="minor"/>
      </rPr>
      <t>SCAT</t>
    </r>
  </si>
  <si>
    <r>
      <t>D</t>
    </r>
    <r>
      <rPr>
        <vertAlign val="subscript"/>
        <sz val="11"/>
        <rFont val="Calibri"/>
        <family val="2"/>
        <charset val="238"/>
        <scheme val="minor"/>
      </rPr>
      <t>SAN</t>
    </r>
  </si>
  <si>
    <r>
      <t>D</t>
    </r>
    <r>
      <rPr>
        <vertAlign val="subscript"/>
        <sz val="11"/>
        <rFont val="Calibri"/>
        <family val="2"/>
        <charset val="238"/>
        <scheme val="minor"/>
      </rPr>
      <t>SH2S</t>
    </r>
  </si>
  <si>
    <r>
      <t>D</t>
    </r>
    <r>
      <rPr>
        <vertAlign val="subscript"/>
        <sz val="11"/>
        <rFont val="Calibri"/>
        <family val="2"/>
        <charset val="238"/>
        <scheme val="minor"/>
      </rPr>
      <t>SSO4</t>
    </r>
  </si>
  <si>
    <r>
      <t>D</t>
    </r>
    <r>
      <rPr>
        <vertAlign val="subscript"/>
        <sz val="11"/>
        <rFont val="Calibri"/>
        <family val="2"/>
        <charset val="238"/>
        <scheme val="minor"/>
      </rPr>
      <t>SFe2</t>
    </r>
  </si>
  <si>
    <r>
      <t>D</t>
    </r>
    <r>
      <rPr>
        <vertAlign val="subscript"/>
        <sz val="11"/>
        <rFont val="Calibri"/>
        <family val="2"/>
        <charset val="238"/>
        <scheme val="minor"/>
      </rPr>
      <t>SALK</t>
    </r>
  </si>
  <si>
    <r>
      <t>D</t>
    </r>
    <r>
      <rPr>
        <vertAlign val="subscript"/>
        <sz val="11"/>
        <rFont val="Calibri"/>
        <family val="2"/>
        <charset val="238"/>
        <scheme val="minor"/>
      </rPr>
      <t>SMM,index</t>
    </r>
  </si>
  <si>
    <r>
      <t>D</t>
    </r>
    <r>
      <rPr>
        <vertAlign val="subscript"/>
        <sz val="11"/>
        <rFont val="Calibri"/>
        <family val="2"/>
        <charset val="238"/>
        <scheme val="minor"/>
      </rPr>
      <t>CB</t>
    </r>
  </si>
  <si>
    <r>
      <t>D</t>
    </r>
    <r>
      <rPr>
        <vertAlign val="subscript"/>
        <sz val="11"/>
        <rFont val="Calibri"/>
        <family val="2"/>
        <charset val="238"/>
        <scheme val="minor"/>
      </rPr>
      <t>CU</t>
    </r>
  </si>
  <si>
    <r>
      <t>EEQ</t>
    </r>
    <r>
      <rPr>
        <vertAlign val="subscript"/>
        <sz val="11"/>
        <rFont val="Calibri"/>
        <family val="2"/>
        <scheme val="minor"/>
      </rPr>
      <t>H2S</t>
    </r>
    <r>
      <rPr>
        <sz val="11"/>
        <rFont val="Calibri"/>
        <family val="2"/>
        <scheme val="minor"/>
      </rPr>
      <t>/Δ</t>
    </r>
    <r>
      <rPr>
        <vertAlign val="subscript"/>
        <sz val="11"/>
        <rFont val="Calibri"/>
        <family val="2"/>
        <scheme val="minor"/>
      </rPr>
      <t>atm</t>
    </r>
  </si>
  <si>
    <r>
      <t>K</t>
    </r>
    <r>
      <rPr>
        <vertAlign val="subscript"/>
        <sz val="11"/>
        <rFont val="Calibri"/>
        <family val="2"/>
        <scheme val="minor"/>
      </rPr>
      <t>W,param</t>
    </r>
    <r>
      <rPr>
        <sz val="11"/>
        <rFont val="Calibri"/>
        <family val="2"/>
        <scheme val="minor"/>
      </rPr>
      <t>*Exp(dH</t>
    </r>
    <r>
      <rPr>
        <vertAlign val="subscript"/>
        <sz val="11"/>
        <rFont val="Calibri"/>
        <family val="2"/>
        <scheme val="minor"/>
      </rPr>
      <t>diss,H2O</t>
    </r>
    <r>
      <rPr>
        <sz val="11"/>
        <rFont val="Calibri"/>
        <family val="2"/>
        <scheme val="minor"/>
      </rPr>
      <t>/R*(1/T</t>
    </r>
    <r>
      <rPr>
        <vertAlign val="subscript"/>
        <sz val="11"/>
        <rFont val="Calibri"/>
        <family val="2"/>
        <scheme val="minor"/>
      </rPr>
      <t>st,K</t>
    </r>
    <r>
      <rPr>
        <sz val="11"/>
        <rFont val="Calibri"/>
        <family val="2"/>
        <scheme val="minor"/>
      </rPr>
      <t>-1/T</t>
    </r>
    <r>
      <rPr>
        <vertAlign val="subscript"/>
        <sz val="11"/>
        <rFont val="Calibri"/>
        <family val="2"/>
        <scheme val="minor"/>
      </rPr>
      <t>K</t>
    </r>
    <r>
      <rPr>
        <sz val="11"/>
        <rFont val="Calibri"/>
        <family val="2"/>
        <scheme val="minor"/>
      </rPr>
      <t>))</t>
    </r>
  </si>
  <si>
    <r>
      <t>K</t>
    </r>
    <r>
      <rPr>
        <vertAlign val="subscript"/>
        <sz val="11"/>
        <rFont val="Calibri"/>
        <family val="2"/>
        <scheme val="minor"/>
      </rPr>
      <t>P3,param</t>
    </r>
    <r>
      <rPr>
        <sz val="11"/>
        <rFont val="Calibri"/>
        <family val="2"/>
        <scheme val="minor"/>
      </rPr>
      <t>*Exp(dH</t>
    </r>
    <r>
      <rPr>
        <vertAlign val="subscript"/>
        <sz val="11"/>
        <rFont val="Calibri"/>
        <family val="2"/>
        <scheme val="minor"/>
      </rPr>
      <t>diss,PO4,3</t>
    </r>
    <r>
      <rPr>
        <sz val="11"/>
        <rFont val="Calibri"/>
        <family val="2"/>
        <scheme val="minor"/>
      </rPr>
      <t>/R*(1/T</t>
    </r>
    <r>
      <rPr>
        <vertAlign val="subscript"/>
        <sz val="11"/>
        <rFont val="Calibri"/>
        <family val="2"/>
        <scheme val="minor"/>
      </rPr>
      <t>st,K</t>
    </r>
    <r>
      <rPr>
        <sz val="11"/>
        <rFont val="Calibri"/>
        <family val="2"/>
        <scheme val="minor"/>
      </rPr>
      <t>-1/T</t>
    </r>
    <r>
      <rPr>
        <vertAlign val="subscript"/>
        <sz val="11"/>
        <rFont val="Calibri"/>
        <family val="2"/>
        <scheme val="minor"/>
      </rPr>
      <t>K</t>
    </r>
    <r>
      <rPr>
        <sz val="11"/>
        <rFont val="Calibri"/>
        <family val="2"/>
        <scheme val="minor"/>
      </rPr>
      <t>))</t>
    </r>
  </si>
  <si>
    <r>
      <t>K</t>
    </r>
    <r>
      <rPr>
        <vertAlign val="subscript"/>
        <sz val="11"/>
        <rFont val="Calibri"/>
        <family val="2"/>
        <scheme val="minor"/>
      </rPr>
      <t>S1,param</t>
    </r>
    <r>
      <rPr>
        <sz val="11"/>
        <rFont val="Calibri"/>
        <family val="2"/>
        <scheme val="minor"/>
      </rPr>
      <t>*Exp(dH</t>
    </r>
    <r>
      <rPr>
        <vertAlign val="subscript"/>
        <sz val="11"/>
        <rFont val="Calibri"/>
        <family val="2"/>
        <scheme val="minor"/>
      </rPr>
      <t>diss,S,1</t>
    </r>
    <r>
      <rPr>
        <sz val="11"/>
        <rFont val="Calibri"/>
        <family val="2"/>
        <scheme val="minor"/>
      </rPr>
      <t>/R*(1/T</t>
    </r>
    <r>
      <rPr>
        <vertAlign val="subscript"/>
        <sz val="11"/>
        <rFont val="Calibri"/>
        <family val="2"/>
        <scheme val="minor"/>
      </rPr>
      <t>st,K</t>
    </r>
    <r>
      <rPr>
        <sz val="11"/>
        <rFont val="Calibri"/>
        <family val="2"/>
        <scheme val="minor"/>
      </rPr>
      <t>-1/T</t>
    </r>
    <r>
      <rPr>
        <vertAlign val="subscript"/>
        <sz val="11"/>
        <rFont val="Calibri"/>
        <family val="2"/>
        <scheme val="minor"/>
      </rPr>
      <t>K</t>
    </r>
    <r>
      <rPr>
        <sz val="11"/>
        <rFont val="Calibri"/>
        <family val="2"/>
        <scheme val="minor"/>
      </rPr>
      <t>))</t>
    </r>
  </si>
  <si>
    <r>
      <t>K</t>
    </r>
    <r>
      <rPr>
        <vertAlign val="subscript"/>
        <sz val="11"/>
        <rFont val="Calibri"/>
        <family val="2"/>
        <scheme val="minor"/>
      </rPr>
      <t>S2,param</t>
    </r>
    <r>
      <rPr>
        <sz val="11"/>
        <rFont val="Calibri"/>
        <family val="2"/>
        <scheme val="minor"/>
      </rPr>
      <t>*Exp(dH</t>
    </r>
    <r>
      <rPr>
        <vertAlign val="subscript"/>
        <sz val="11"/>
        <rFont val="Calibri"/>
        <family val="2"/>
        <scheme val="minor"/>
      </rPr>
      <t>diss,S,2</t>
    </r>
    <r>
      <rPr>
        <sz val="11"/>
        <rFont val="Calibri"/>
        <family val="2"/>
        <scheme val="minor"/>
      </rPr>
      <t>/R*(1/T</t>
    </r>
    <r>
      <rPr>
        <vertAlign val="subscript"/>
        <sz val="11"/>
        <rFont val="Calibri"/>
        <family val="2"/>
        <scheme val="minor"/>
      </rPr>
      <t>st,K</t>
    </r>
    <r>
      <rPr>
        <sz val="11"/>
        <rFont val="Calibri"/>
        <family val="2"/>
        <scheme val="minor"/>
      </rPr>
      <t>-1/T</t>
    </r>
    <r>
      <rPr>
        <vertAlign val="subscript"/>
        <sz val="11"/>
        <rFont val="Calibri"/>
        <family val="2"/>
        <scheme val="minor"/>
      </rPr>
      <t>K</t>
    </r>
    <r>
      <rPr>
        <sz val="11"/>
        <rFont val="Calibri"/>
        <family val="2"/>
        <scheme val="minor"/>
      </rPr>
      <t>))</t>
    </r>
  </si>
  <si>
    <r>
      <t>K</t>
    </r>
    <r>
      <rPr>
        <vertAlign val="subscript"/>
        <sz val="11"/>
        <rFont val="Calibri"/>
        <family val="2"/>
        <scheme val="minor"/>
      </rPr>
      <t>SO41,param</t>
    </r>
    <r>
      <rPr>
        <sz val="11"/>
        <rFont val="Calibri"/>
        <family val="2"/>
        <scheme val="minor"/>
      </rPr>
      <t>*Exp(dH</t>
    </r>
    <r>
      <rPr>
        <vertAlign val="subscript"/>
        <sz val="11"/>
        <rFont val="Calibri"/>
        <family val="2"/>
        <scheme val="minor"/>
      </rPr>
      <t>diss,SO4,1</t>
    </r>
    <r>
      <rPr>
        <sz val="11"/>
        <rFont val="Calibri"/>
        <family val="2"/>
        <scheme val="minor"/>
      </rPr>
      <t>/R*(1/T</t>
    </r>
    <r>
      <rPr>
        <vertAlign val="subscript"/>
        <sz val="11"/>
        <rFont val="Calibri"/>
        <family val="2"/>
        <scheme val="minor"/>
      </rPr>
      <t>st,K</t>
    </r>
    <r>
      <rPr>
        <sz val="11"/>
        <rFont val="Calibri"/>
        <family val="2"/>
        <scheme val="minor"/>
      </rPr>
      <t>-1/T</t>
    </r>
    <r>
      <rPr>
        <vertAlign val="subscript"/>
        <sz val="11"/>
        <rFont val="Calibri"/>
        <family val="2"/>
        <scheme val="minor"/>
      </rPr>
      <t>K</t>
    </r>
    <r>
      <rPr>
        <sz val="11"/>
        <rFont val="Calibri"/>
        <family val="2"/>
        <scheme val="minor"/>
      </rPr>
      <t>))</t>
    </r>
  </si>
  <si>
    <r>
      <t>K</t>
    </r>
    <r>
      <rPr>
        <vertAlign val="subscript"/>
        <sz val="11"/>
        <rFont val="Calibri"/>
        <family val="2"/>
        <scheme val="minor"/>
      </rPr>
      <t>SO42,param</t>
    </r>
    <r>
      <rPr>
        <sz val="11"/>
        <rFont val="Calibri"/>
        <family val="2"/>
        <scheme val="minor"/>
      </rPr>
      <t>*Exp(dH</t>
    </r>
    <r>
      <rPr>
        <vertAlign val="subscript"/>
        <sz val="11"/>
        <rFont val="Calibri"/>
        <family val="2"/>
        <scheme val="minor"/>
      </rPr>
      <t>diss,SO4,2</t>
    </r>
    <r>
      <rPr>
        <sz val="11"/>
        <rFont val="Calibri"/>
        <family val="2"/>
        <scheme val="minor"/>
      </rPr>
      <t>/R*(1/T</t>
    </r>
    <r>
      <rPr>
        <vertAlign val="subscript"/>
        <sz val="11"/>
        <rFont val="Calibri"/>
        <family val="2"/>
        <scheme val="minor"/>
      </rPr>
      <t>st,K</t>
    </r>
    <r>
      <rPr>
        <sz val="11"/>
        <rFont val="Calibri"/>
        <family val="2"/>
        <scheme val="minor"/>
      </rPr>
      <t>-1/T</t>
    </r>
    <r>
      <rPr>
        <vertAlign val="subscript"/>
        <sz val="11"/>
        <rFont val="Calibri"/>
        <family val="2"/>
        <scheme val="minor"/>
      </rPr>
      <t>K</t>
    </r>
    <r>
      <rPr>
        <sz val="11"/>
        <rFont val="Calibri"/>
        <family val="2"/>
        <scheme val="minor"/>
      </rPr>
      <t>))</t>
    </r>
  </si>
  <si>
    <r>
      <t>K</t>
    </r>
    <r>
      <rPr>
        <vertAlign val="subscript"/>
        <sz val="11"/>
        <rFont val="Calibri"/>
        <family val="2"/>
        <scheme val="minor"/>
      </rPr>
      <t>NO2,param</t>
    </r>
    <r>
      <rPr>
        <sz val="11"/>
        <rFont val="Calibri"/>
        <family val="2"/>
        <scheme val="minor"/>
      </rPr>
      <t>*Exp(dH</t>
    </r>
    <r>
      <rPr>
        <vertAlign val="subscript"/>
        <sz val="11"/>
        <rFont val="Calibri"/>
        <family val="2"/>
        <scheme val="minor"/>
      </rPr>
      <t>diss,NO2</t>
    </r>
    <r>
      <rPr>
        <sz val="11"/>
        <rFont val="Calibri"/>
        <family val="2"/>
        <scheme val="minor"/>
      </rPr>
      <t>/R*(1/T</t>
    </r>
    <r>
      <rPr>
        <vertAlign val="subscript"/>
        <sz val="11"/>
        <rFont val="Calibri"/>
        <family val="2"/>
        <scheme val="minor"/>
      </rPr>
      <t>st,K</t>
    </r>
    <r>
      <rPr>
        <sz val="11"/>
        <rFont val="Calibri"/>
        <family val="2"/>
        <scheme val="minor"/>
      </rPr>
      <t>-1/T</t>
    </r>
    <r>
      <rPr>
        <vertAlign val="subscript"/>
        <sz val="11"/>
        <rFont val="Calibri"/>
        <family val="2"/>
        <scheme val="minor"/>
      </rPr>
      <t>K</t>
    </r>
    <r>
      <rPr>
        <sz val="11"/>
        <rFont val="Calibri"/>
        <family val="2"/>
        <scheme val="minor"/>
      </rPr>
      <t>))</t>
    </r>
  </si>
  <si>
    <r>
      <t>g N</t>
    </r>
    <r>
      <rPr>
        <sz val="11"/>
        <color theme="1"/>
        <rFont val="Calibri"/>
        <family val="2"/>
        <scheme val="minor"/>
      </rPr>
      <t>.m</t>
    </r>
    <r>
      <rPr>
        <vertAlign val="superscript"/>
        <sz val="11"/>
        <color theme="1"/>
        <rFont val="Calibri"/>
        <family val="2"/>
        <scheme val="minor"/>
      </rPr>
      <t>-3</t>
    </r>
  </si>
  <si>
    <r>
      <t>Slope</t>
    </r>
    <r>
      <rPr>
        <vertAlign val="subscript"/>
        <sz val="11"/>
        <rFont val="Calibri"/>
        <family val="2"/>
        <scheme val="minor"/>
      </rPr>
      <t>IS,corr</t>
    </r>
  </si>
  <si>
    <t>Slope of correction</t>
  </si>
  <si>
    <r>
      <t>y</t>
    </r>
    <r>
      <rPr>
        <vertAlign val="subscript"/>
        <sz val="11"/>
        <rFont val="Calibri"/>
        <family val="2"/>
        <scheme val="minor"/>
      </rPr>
      <t>fmono</t>
    </r>
  </si>
  <si>
    <r>
      <t>Intercept of f</t>
    </r>
    <r>
      <rPr>
        <vertAlign val="subscript"/>
        <sz val="11"/>
        <color rgb="FF000000"/>
        <rFont val="Calibri"/>
        <family val="2"/>
        <scheme val="minor"/>
      </rPr>
      <t>mono</t>
    </r>
    <r>
      <rPr>
        <sz val="11"/>
        <color rgb="FF000000"/>
        <rFont val="Calibri"/>
        <family val="2"/>
        <charset val="238"/>
        <scheme val="minor"/>
      </rPr>
      <t xml:space="preserve"> correction</t>
    </r>
  </si>
  <si>
    <r>
      <t>f</t>
    </r>
    <r>
      <rPr>
        <vertAlign val="subscript"/>
        <sz val="11"/>
        <rFont val="Calibri"/>
        <family val="2"/>
        <scheme val="minor"/>
      </rPr>
      <t>mono,ISlim</t>
    </r>
    <r>
      <rPr>
        <sz val="11"/>
        <rFont val="Calibri"/>
        <family val="2"/>
        <scheme val="minor"/>
      </rPr>
      <t xml:space="preserve"> - IS</t>
    </r>
    <r>
      <rPr>
        <vertAlign val="subscript"/>
        <sz val="11"/>
        <rFont val="Calibri"/>
        <family val="2"/>
        <scheme val="minor"/>
      </rPr>
      <t>lim</t>
    </r>
    <r>
      <rPr>
        <sz val="11"/>
        <rFont val="Calibri"/>
        <family val="2"/>
        <scheme val="minor"/>
      </rPr>
      <t>*Slope</t>
    </r>
    <r>
      <rPr>
        <vertAlign val="subscript"/>
        <sz val="11"/>
        <rFont val="Calibri"/>
        <family val="2"/>
        <scheme val="minor"/>
      </rPr>
      <t>IS,corr</t>
    </r>
  </si>
  <si>
    <r>
      <t>y</t>
    </r>
    <r>
      <rPr>
        <vertAlign val="subscript"/>
        <sz val="11"/>
        <rFont val="Calibri"/>
        <family val="2"/>
        <scheme val="minor"/>
      </rPr>
      <t>fdi</t>
    </r>
  </si>
  <si>
    <r>
      <t>Intercept of f</t>
    </r>
    <r>
      <rPr>
        <vertAlign val="subscript"/>
        <sz val="11"/>
        <color rgb="FF000000"/>
        <rFont val="Calibri"/>
        <family val="2"/>
        <scheme val="minor"/>
      </rPr>
      <t>di</t>
    </r>
    <r>
      <rPr>
        <sz val="11"/>
        <color rgb="FF000000"/>
        <rFont val="Calibri"/>
        <family val="2"/>
        <charset val="238"/>
        <scheme val="minor"/>
      </rPr>
      <t xml:space="preserve"> correction</t>
    </r>
  </si>
  <si>
    <r>
      <t>f</t>
    </r>
    <r>
      <rPr>
        <vertAlign val="subscript"/>
        <sz val="11"/>
        <rFont val="Calibri"/>
        <family val="2"/>
        <scheme val="minor"/>
      </rPr>
      <t>di,ISlim</t>
    </r>
    <r>
      <rPr>
        <sz val="11"/>
        <rFont val="Calibri"/>
        <family val="2"/>
        <scheme val="minor"/>
      </rPr>
      <t xml:space="preserve"> - IS</t>
    </r>
    <r>
      <rPr>
        <vertAlign val="subscript"/>
        <sz val="11"/>
        <rFont val="Calibri"/>
        <family val="2"/>
        <scheme val="minor"/>
      </rPr>
      <t>lim</t>
    </r>
    <r>
      <rPr>
        <sz val="11"/>
        <rFont val="Calibri"/>
        <family val="2"/>
        <scheme val="minor"/>
      </rPr>
      <t>*Slope</t>
    </r>
    <r>
      <rPr>
        <vertAlign val="subscript"/>
        <sz val="11"/>
        <rFont val="Calibri"/>
        <family val="2"/>
        <scheme val="minor"/>
      </rPr>
      <t>IS,corr</t>
    </r>
  </si>
  <si>
    <r>
      <t>y</t>
    </r>
    <r>
      <rPr>
        <vertAlign val="subscript"/>
        <sz val="11"/>
        <rFont val="Calibri"/>
        <family val="2"/>
        <scheme val="minor"/>
      </rPr>
      <t>ftri</t>
    </r>
  </si>
  <si>
    <r>
      <t>Intercept of f</t>
    </r>
    <r>
      <rPr>
        <vertAlign val="subscript"/>
        <sz val="11"/>
        <color rgb="FF000000"/>
        <rFont val="Calibri"/>
        <family val="2"/>
        <scheme val="minor"/>
      </rPr>
      <t>tri</t>
    </r>
    <r>
      <rPr>
        <sz val="11"/>
        <color rgb="FF000000"/>
        <rFont val="Calibri"/>
        <family val="2"/>
        <charset val="238"/>
        <scheme val="minor"/>
      </rPr>
      <t xml:space="preserve"> correction</t>
    </r>
  </si>
  <si>
    <r>
      <t>f</t>
    </r>
    <r>
      <rPr>
        <vertAlign val="subscript"/>
        <sz val="11"/>
        <rFont val="Calibri"/>
        <family val="2"/>
        <scheme val="minor"/>
      </rPr>
      <t>tri,ISlim</t>
    </r>
    <r>
      <rPr>
        <sz val="11"/>
        <rFont val="Calibri"/>
        <family val="2"/>
        <scheme val="minor"/>
      </rPr>
      <t xml:space="preserve"> - IS</t>
    </r>
    <r>
      <rPr>
        <vertAlign val="subscript"/>
        <sz val="11"/>
        <rFont val="Calibri"/>
        <family val="2"/>
        <scheme val="minor"/>
      </rPr>
      <t>lim</t>
    </r>
    <r>
      <rPr>
        <sz val="11"/>
        <rFont val="Calibri"/>
        <family val="2"/>
        <scheme val="minor"/>
      </rPr>
      <t>*Slope</t>
    </r>
    <r>
      <rPr>
        <vertAlign val="subscript"/>
        <sz val="11"/>
        <rFont val="Calibri"/>
        <family val="2"/>
        <scheme val="minor"/>
      </rPr>
      <t>IS,corr</t>
    </r>
  </si>
  <si>
    <r>
      <t>f</t>
    </r>
    <r>
      <rPr>
        <vertAlign val="subscript"/>
        <sz val="11"/>
        <rFont val="Calibri"/>
        <family val="2"/>
        <scheme val="minor"/>
      </rPr>
      <t>mono,ISlim</t>
    </r>
  </si>
  <si>
    <r>
      <t>Monovalent activity coefficient at IS</t>
    </r>
    <r>
      <rPr>
        <vertAlign val="subscript"/>
        <sz val="11"/>
        <rFont val="Calibri"/>
        <family val="2"/>
        <scheme val="minor"/>
      </rPr>
      <t>lim</t>
    </r>
  </si>
  <si>
    <r>
      <t>f</t>
    </r>
    <r>
      <rPr>
        <vertAlign val="subscript"/>
        <sz val="11"/>
        <rFont val="Calibri"/>
        <family val="2"/>
        <scheme val="minor"/>
      </rPr>
      <t>di,ISlim</t>
    </r>
  </si>
  <si>
    <r>
      <t>Divalent activity coefficient at IS</t>
    </r>
    <r>
      <rPr>
        <vertAlign val="subscript"/>
        <sz val="11"/>
        <rFont val="Calibri"/>
        <family val="2"/>
        <scheme val="minor"/>
      </rPr>
      <t>lim</t>
    </r>
  </si>
  <si>
    <r>
      <t>f</t>
    </r>
    <r>
      <rPr>
        <vertAlign val="subscript"/>
        <sz val="11"/>
        <rFont val="Calibri"/>
        <family val="2"/>
        <scheme val="minor"/>
      </rPr>
      <t>tri,ISlim</t>
    </r>
  </si>
  <si>
    <r>
      <t>Trivalent activity coefficient at IS</t>
    </r>
    <r>
      <rPr>
        <vertAlign val="subscript"/>
        <sz val="11"/>
        <rFont val="Calibri"/>
        <family val="2"/>
        <scheme val="minor"/>
      </rPr>
      <t>lim</t>
    </r>
  </si>
  <si>
    <r>
      <t>If(IS &lt; IS</t>
    </r>
    <r>
      <rPr>
        <vertAlign val="subscript"/>
        <sz val="11"/>
        <rFont val="Calibri"/>
        <family val="2"/>
        <scheme val="minor"/>
      </rPr>
      <t>lim</t>
    </r>
    <r>
      <rPr>
        <sz val="11"/>
        <rFont val="Calibri"/>
        <family val="2"/>
        <scheme val="minor"/>
      </rPr>
      <t>; 10^(-A</t>
    </r>
    <r>
      <rPr>
        <vertAlign val="subscript"/>
        <sz val="11"/>
        <rFont val="Calibri"/>
        <family val="2"/>
        <scheme val="minor"/>
      </rPr>
      <t>Davies</t>
    </r>
    <r>
      <rPr>
        <sz val="11"/>
        <rFont val="Calibri"/>
        <family val="2"/>
        <scheme val="minor"/>
      </rPr>
      <t>*1^(2)*(IS^(0.5)/(1+1.5*IS^(0.5))-0.3*IS)); Slope</t>
    </r>
    <r>
      <rPr>
        <vertAlign val="subscript"/>
        <sz val="11"/>
        <rFont val="Calibri"/>
        <family val="2"/>
        <scheme val="minor"/>
      </rPr>
      <t>IS,corr</t>
    </r>
    <r>
      <rPr>
        <sz val="11"/>
        <rFont val="Calibri"/>
        <family val="2"/>
        <scheme val="minor"/>
      </rPr>
      <t xml:space="preserve"> * IS + y</t>
    </r>
    <r>
      <rPr>
        <vertAlign val="subscript"/>
        <sz val="11"/>
        <rFont val="Calibri"/>
        <family val="2"/>
        <scheme val="minor"/>
      </rPr>
      <t>fmono</t>
    </r>
    <r>
      <rPr>
        <sz val="11"/>
        <rFont val="Calibri"/>
        <family val="2"/>
        <scheme val="minor"/>
      </rPr>
      <t>)</t>
    </r>
  </si>
  <si>
    <r>
      <t>If(IS &lt; IS</t>
    </r>
    <r>
      <rPr>
        <vertAlign val="subscript"/>
        <sz val="11"/>
        <rFont val="Calibri"/>
        <family val="2"/>
        <scheme val="minor"/>
      </rPr>
      <t>lim</t>
    </r>
    <r>
      <rPr>
        <sz val="11"/>
        <rFont val="Calibri"/>
        <family val="2"/>
        <scheme val="minor"/>
      </rPr>
      <t>; 10^(-A</t>
    </r>
    <r>
      <rPr>
        <vertAlign val="subscript"/>
        <sz val="11"/>
        <rFont val="Calibri"/>
        <family val="2"/>
        <scheme val="minor"/>
      </rPr>
      <t>Davies</t>
    </r>
    <r>
      <rPr>
        <sz val="11"/>
        <rFont val="Calibri"/>
        <family val="2"/>
        <scheme val="minor"/>
      </rPr>
      <t>*2^(2)*(IS^(0.5)/(1+1.5*IS^(0.5))-0.3*IS)); Slope</t>
    </r>
    <r>
      <rPr>
        <vertAlign val="subscript"/>
        <sz val="11"/>
        <rFont val="Calibri"/>
        <family val="2"/>
        <scheme val="minor"/>
      </rPr>
      <t>IS,corr</t>
    </r>
    <r>
      <rPr>
        <sz val="11"/>
        <rFont val="Calibri"/>
        <family val="2"/>
        <scheme val="minor"/>
      </rPr>
      <t xml:space="preserve"> * IS + y</t>
    </r>
    <r>
      <rPr>
        <vertAlign val="subscript"/>
        <sz val="11"/>
        <rFont val="Calibri"/>
        <family val="2"/>
        <scheme val="minor"/>
      </rPr>
      <t>fdi</t>
    </r>
    <r>
      <rPr>
        <sz val="11"/>
        <rFont val="Calibri"/>
        <family val="2"/>
        <scheme val="minor"/>
      </rPr>
      <t>)</t>
    </r>
  </si>
  <si>
    <r>
      <t>If(IS &lt; IS</t>
    </r>
    <r>
      <rPr>
        <vertAlign val="subscript"/>
        <sz val="11"/>
        <rFont val="Calibri"/>
        <family val="2"/>
        <scheme val="minor"/>
      </rPr>
      <t>lim</t>
    </r>
    <r>
      <rPr>
        <sz val="11"/>
        <rFont val="Calibri"/>
        <family val="2"/>
        <scheme val="minor"/>
      </rPr>
      <t>; 10^(-A</t>
    </r>
    <r>
      <rPr>
        <vertAlign val="subscript"/>
        <sz val="11"/>
        <rFont val="Calibri"/>
        <family val="2"/>
        <scheme val="minor"/>
      </rPr>
      <t>Davies</t>
    </r>
    <r>
      <rPr>
        <sz val="11"/>
        <rFont val="Calibri"/>
        <family val="2"/>
        <scheme val="minor"/>
      </rPr>
      <t>*3^(2)*(IS^(0.5)/(1+1.5*IS^(0.5))-0.3*IS)); Slope</t>
    </r>
    <r>
      <rPr>
        <vertAlign val="subscript"/>
        <sz val="11"/>
        <rFont val="Calibri"/>
        <family val="2"/>
        <scheme val="minor"/>
      </rPr>
      <t>IS,corr</t>
    </r>
    <r>
      <rPr>
        <sz val="11"/>
        <rFont val="Calibri"/>
        <family val="2"/>
        <scheme val="minor"/>
      </rPr>
      <t xml:space="preserve"> * IS + y</t>
    </r>
    <r>
      <rPr>
        <vertAlign val="subscript"/>
        <sz val="11"/>
        <rFont val="Calibri"/>
        <family val="2"/>
        <scheme val="minor"/>
      </rPr>
      <t>ftri</t>
    </r>
    <r>
      <rPr>
        <sz val="11"/>
        <rFont val="Calibri"/>
        <family val="2"/>
        <scheme val="minor"/>
      </rPr>
      <t>)</t>
    </r>
  </si>
  <si>
    <r>
      <t>MJ.m</t>
    </r>
    <r>
      <rPr>
        <vertAlign val="superscript"/>
        <sz val="11"/>
        <rFont val="Calibri"/>
        <family val="2"/>
        <scheme val="minor"/>
      </rPr>
      <t>-3</t>
    </r>
    <r>
      <rPr>
        <sz val="11"/>
        <rFont val="Calibri"/>
        <family val="2"/>
        <scheme val="minor"/>
      </rPr>
      <t>.K</t>
    </r>
    <r>
      <rPr>
        <vertAlign val="superscript"/>
        <sz val="11"/>
        <rFont val="Calibri"/>
        <family val="2"/>
        <scheme val="minor"/>
      </rPr>
      <t>-1</t>
    </r>
  </si>
  <si>
    <r>
      <t>rate</t>
    </r>
    <r>
      <rPr>
        <vertAlign val="subscript"/>
        <sz val="11"/>
        <rFont val="Calibri"/>
        <family val="2"/>
      </rPr>
      <t>FLOC,CB,polymer</t>
    </r>
  </si>
  <si>
    <t>Rate of flocculation of colloidal biodegradable substrate with polymers</t>
  </si>
  <si>
    <r>
      <t>f(C</t>
    </r>
    <r>
      <rPr>
        <vertAlign val="subscript"/>
        <sz val="11"/>
        <rFont val="Calibri"/>
        <family val="2"/>
      </rPr>
      <t>B</t>
    </r>
    <r>
      <rPr>
        <sz val="11"/>
        <rFont val="Calibri"/>
        <family val="2"/>
      </rPr>
      <t>)</t>
    </r>
  </si>
  <si>
    <t>only if polymers are added, calculated in three compartments clarifier and primary</t>
  </si>
  <si>
    <r>
      <t>rate</t>
    </r>
    <r>
      <rPr>
        <vertAlign val="subscript"/>
        <sz val="11"/>
        <rFont val="Calibri"/>
        <family val="2"/>
      </rPr>
      <t>FLOC,CU,polymer</t>
    </r>
  </si>
  <si>
    <t>Rate of flocculation of colloidal unbiodegradable substrate with polymers</t>
  </si>
  <si>
    <r>
      <t>f(C</t>
    </r>
    <r>
      <rPr>
        <vertAlign val="subscript"/>
        <sz val="11"/>
        <rFont val="Calibri"/>
        <family val="2"/>
      </rPr>
      <t>U</t>
    </r>
    <r>
      <rPr>
        <sz val="11"/>
        <rFont val="Calibri"/>
        <family val="2"/>
      </rPr>
      <t>)</t>
    </r>
  </si>
  <si>
    <t>Flocculation of colloidal biodegradable substrate with polymers</t>
  </si>
  <si>
    <t>Flocculation of colloidal unbiodegradable organics with polymers</t>
  </si>
  <si>
    <t>r117</t>
  </si>
  <si>
    <t>r118</t>
  </si>
  <si>
    <t>Polymer</t>
  </si>
  <si>
    <r>
      <t>q</t>
    </r>
    <r>
      <rPr>
        <vertAlign val="subscript"/>
        <sz val="11"/>
        <rFont val="Calibri"/>
        <family val="2"/>
        <scheme val="minor"/>
      </rPr>
      <t>HFOH,DESORP</t>
    </r>
  </si>
  <si>
    <r>
      <t>Rate of X</t>
    </r>
    <r>
      <rPr>
        <vertAlign val="subscript"/>
        <sz val="11"/>
        <color rgb="FF000000"/>
        <rFont val="Calibri"/>
        <family val="2"/>
        <scheme val="minor"/>
      </rPr>
      <t>HFO,H,P</t>
    </r>
    <r>
      <rPr>
        <sz val="11"/>
        <color rgb="FF000000"/>
        <rFont val="Calibri"/>
        <family val="2"/>
        <charset val="238"/>
        <scheme val="minor"/>
      </rPr>
      <t xml:space="preserve"> desorption</t>
    </r>
  </si>
  <si>
    <r>
      <t>q</t>
    </r>
    <r>
      <rPr>
        <vertAlign val="subscript"/>
        <sz val="11"/>
        <rFont val="Calibri"/>
        <family val="2"/>
        <scheme val="minor"/>
      </rPr>
      <t>HFOL,DESORP</t>
    </r>
  </si>
  <si>
    <r>
      <t>Rate of X</t>
    </r>
    <r>
      <rPr>
        <vertAlign val="subscript"/>
        <sz val="11"/>
        <color rgb="FF000000"/>
        <rFont val="Calibri"/>
        <family val="2"/>
        <scheme val="minor"/>
      </rPr>
      <t>HFO,L,P</t>
    </r>
    <r>
      <rPr>
        <sz val="11"/>
        <color rgb="FF000000"/>
        <rFont val="Calibri"/>
        <family val="2"/>
        <charset val="238"/>
        <scheme val="minor"/>
      </rPr>
      <t xml:space="preserve"> desorption</t>
    </r>
  </si>
  <si>
    <r>
      <t>q</t>
    </r>
    <r>
      <rPr>
        <vertAlign val="subscript"/>
        <sz val="11"/>
        <rFont val="Calibri"/>
        <family val="2"/>
        <scheme val="minor"/>
      </rPr>
      <t>HFO,DISS</t>
    </r>
  </si>
  <si>
    <r>
      <t>Rate of X</t>
    </r>
    <r>
      <rPr>
        <vertAlign val="subscript"/>
        <sz val="11"/>
        <color rgb="FF000000"/>
        <rFont val="Calibri"/>
        <family val="2"/>
        <scheme val="minor"/>
      </rPr>
      <t>HFO,H,P,old</t>
    </r>
    <r>
      <rPr>
        <sz val="11"/>
        <color rgb="FF000000"/>
        <rFont val="Calibri"/>
        <family val="2"/>
        <charset val="238"/>
        <scheme val="minor"/>
      </rPr>
      <t xml:space="preserve"> and X</t>
    </r>
    <r>
      <rPr>
        <vertAlign val="subscript"/>
        <sz val="11"/>
        <color rgb="FF000000"/>
        <rFont val="Calibri"/>
        <family val="2"/>
        <scheme val="minor"/>
      </rPr>
      <t>HFO,L,P,old</t>
    </r>
    <r>
      <rPr>
        <sz val="11"/>
        <color rgb="FF000000"/>
        <rFont val="Calibri"/>
        <family val="2"/>
        <charset val="238"/>
        <scheme val="minor"/>
      </rPr>
      <t xml:space="preserve"> redissolution</t>
    </r>
  </si>
  <si>
    <r>
      <t>Half-inhibition of PO</t>
    </r>
    <r>
      <rPr>
        <vertAlign val="subscript"/>
        <sz val="11"/>
        <color rgb="FF000000"/>
        <rFont val="Calibri"/>
        <family val="2"/>
        <scheme val="minor"/>
      </rPr>
      <t>4</t>
    </r>
    <r>
      <rPr>
        <sz val="11"/>
        <color rgb="FF000000"/>
        <rFont val="Calibri"/>
        <family val="2"/>
        <charset val="238"/>
        <scheme val="minor"/>
      </rPr>
      <t xml:space="preserve"> in HFO desorption</t>
    </r>
  </si>
  <si>
    <t>r119</t>
  </si>
  <si>
    <r>
      <t>Desorption of P from X</t>
    </r>
    <r>
      <rPr>
        <vertAlign val="subscript"/>
        <sz val="11"/>
        <color rgb="FF000000"/>
        <rFont val="Calibri"/>
        <family val="2"/>
        <scheme val="minor"/>
      </rPr>
      <t>HFO,H,P</t>
    </r>
  </si>
  <si>
    <r>
      <t>Desorption of P from X</t>
    </r>
    <r>
      <rPr>
        <vertAlign val="subscript"/>
        <sz val="11"/>
        <color rgb="FF000000"/>
        <rFont val="Calibri"/>
        <family val="2"/>
        <scheme val="minor"/>
      </rPr>
      <t>HFO,L,P</t>
    </r>
  </si>
  <si>
    <r>
      <t>Dissolution of P from X</t>
    </r>
    <r>
      <rPr>
        <vertAlign val="subscript"/>
        <sz val="11"/>
        <color rgb="FF000000"/>
        <rFont val="Calibri"/>
        <family val="2"/>
        <scheme val="minor"/>
      </rPr>
      <t>HFO,H,P,old</t>
    </r>
    <r>
      <rPr>
        <sz val="11"/>
        <color rgb="FF000000"/>
        <rFont val="Calibri"/>
        <family val="2"/>
        <charset val="238"/>
        <scheme val="minor"/>
      </rPr>
      <t xml:space="preserve"> and X</t>
    </r>
    <r>
      <rPr>
        <vertAlign val="subscript"/>
        <sz val="11"/>
        <color rgb="FF000000"/>
        <rFont val="Calibri"/>
        <family val="2"/>
        <scheme val="minor"/>
      </rPr>
      <t>HFO,L,P,old</t>
    </r>
  </si>
  <si>
    <r>
      <t>-X</t>
    </r>
    <r>
      <rPr>
        <vertAlign val="subscript"/>
        <sz val="11"/>
        <rFont val="Calibri"/>
        <family val="2"/>
      </rPr>
      <t>HFO,H,P,old</t>
    </r>
    <r>
      <rPr>
        <sz val="11"/>
        <rFont val="Calibri"/>
        <family val="2"/>
      </rPr>
      <t>/(X</t>
    </r>
    <r>
      <rPr>
        <vertAlign val="subscript"/>
        <sz val="11"/>
        <rFont val="Calibri"/>
        <family val="2"/>
      </rPr>
      <t>HFO,H,P,old</t>
    </r>
    <r>
      <rPr>
        <sz val="11"/>
        <rFont val="Calibri"/>
        <family val="2"/>
      </rPr>
      <t>+X</t>
    </r>
    <r>
      <rPr>
        <vertAlign val="subscript"/>
        <sz val="11"/>
        <rFont val="Calibri"/>
        <family val="2"/>
      </rPr>
      <t>HFO,L,P,old</t>
    </r>
    <r>
      <rPr>
        <sz val="11"/>
        <rFont val="Calibri"/>
        <family val="2"/>
      </rPr>
      <t>)</t>
    </r>
  </si>
  <si>
    <r>
      <t>-X</t>
    </r>
    <r>
      <rPr>
        <vertAlign val="subscript"/>
        <sz val="11"/>
        <rFont val="Calibri"/>
        <family val="2"/>
      </rPr>
      <t>HFO,L,P,old</t>
    </r>
    <r>
      <rPr>
        <sz val="11"/>
        <rFont val="Calibri"/>
        <family val="2"/>
      </rPr>
      <t>/(X</t>
    </r>
    <r>
      <rPr>
        <vertAlign val="subscript"/>
        <sz val="11"/>
        <rFont val="Calibri"/>
        <family val="2"/>
      </rPr>
      <t>HFO,H,P,old</t>
    </r>
    <r>
      <rPr>
        <sz val="11"/>
        <rFont val="Calibri"/>
        <family val="2"/>
      </rPr>
      <t>+X</t>
    </r>
    <r>
      <rPr>
        <vertAlign val="subscript"/>
        <sz val="11"/>
        <rFont val="Calibri"/>
        <family val="2"/>
      </rPr>
      <t>HFO,L,P,old</t>
    </r>
    <r>
      <rPr>
        <sz val="11"/>
        <rFont val="Calibri"/>
        <family val="2"/>
      </rPr>
      <t>)</t>
    </r>
  </si>
  <si>
    <r>
      <t>Inhibition term for PO</t>
    </r>
    <r>
      <rPr>
        <vertAlign val="subscript"/>
        <sz val="11"/>
        <color rgb="FF000000"/>
        <rFont val="Calibri"/>
        <family val="2"/>
        <scheme val="minor"/>
      </rPr>
      <t>4</t>
    </r>
    <r>
      <rPr>
        <sz val="11"/>
        <color rgb="FF000000"/>
        <rFont val="Calibri"/>
        <family val="2"/>
        <charset val="238"/>
        <scheme val="minor"/>
      </rPr>
      <t xml:space="preserve"> in desorption of HFO</t>
    </r>
  </si>
  <si>
    <r>
      <t>q</t>
    </r>
    <r>
      <rPr>
        <vertAlign val="subscript"/>
        <sz val="11"/>
        <rFont val="Calibri"/>
        <family val="2"/>
      </rPr>
      <t>HFOH,AGING</t>
    </r>
    <r>
      <rPr>
        <sz val="11"/>
        <rFont val="Calibri"/>
        <family val="2"/>
      </rPr>
      <t xml:space="preserve"> *(X</t>
    </r>
    <r>
      <rPr>
        <vertAlign val="subscript"/>
        <sz val="11"/>
        <rFont val="Calibri"/>
        <family val="2"/>
      </rPr>
      <t>HFO,H</t>
    </r>
    <r>
      <rPr>
        <sz val="11"/>
        <rFont val="Calibri"/>
        <family val="2"/>
      </rPr>
      <t>+X</t>
    </r>
    <r>
      <rPr>
        <vertAlign val="subscript"/>
        <sz val="11"/>
        <rFont val="Calibri"/>
        <family val="2"/>
      </rPr>
      <t>HFO,H,P</t>
    </r>
    <r>
      <rPr>
        <sz val="11"/>
        <rFont val="Calibri"/>
        <family val="2"/>
      </rPr>
      <t>)</t>
    </r>
  </si>
  <si>
    <r>
      <t>q</t>
    </r>
    <r>
      <rPr>
        <vertAlign val="subscript"/>
        <sz val="11"/>
        <rFont val="Calibri"/>
        <family val="2"/>
      </rPr>
      <t>HFOL,AGING</t>
    </r>
    <r>
      <rPr>
        <sz val="11"/>
        <rFont val="Calibri"/>
        <family val="2"/>
      </rPr>
      <t xml:space="preserve"> *(X</t>
    </r>
    <r>
      <rPr>
        <vertAlign val="subscript"/>
        <sz val="11"/>
        <rFont val="Calibri"/>
        <family val="2"/>
      </rPr>
      <t>HFO,L</t>
    </r>
    <r>
      <rPr>
        <sz val="11"/>
        <rFont val="Calibri"/>
        <family val="2"/>
      </rPr>
      <t>+X</t>
    </r>
    <r>
      <rPr>
        <vertAlign val="subscript"/>
        <sz val="11"/>
        <rFont val="Calibri"/>
        <family val="2"/>
      </rPr>
      <t>HFO,L,P</t>
    </r>
    <r>
      <rPr>
        <sz val="11"/>
        <rFont val="Calibri"/>
        <family val="2"/>
      </rPr>
      <t>)</t>
    </r>
  </si>
  <si>
    <r>
      <t>q</t>
    </r>
    <r>
      <rPr>
        <vertAlign val="subscript"/>
        <sz val="11"/>
        <rFont val="Calibri"/>
        <family val="2"/>
      </rPr>
      <t>Fe2,OX,T</t>
    </r>
    <r>
      <rPr>
        <sz val="11"/>
        <rFont val="Calibri"/>
        <family val="2"/>
      </rPr>
      <t>*S</t>
    </r>
    <r>
      <rPr>
        <vertAlign val="subscript"/>
        <sz val="11"/>
        <rFont val="Calibri"/>
        <family val="2"/>
      </rPr>
      <t>Fe2</t>
    </r>
    <r>
      <rPr>
        <sz val="11"/>
        <rFont val="Calibri"/>
        <family val="2"/>
      </rPr>
      <t>*Msat</t>
    </r>
    <r>
      <rPr>
        <vertAlign val="subscript"/>
        <sz val="11"/>
        <rFont val="Calibri"/>
        <family val="2"/>
      </rPr>
      <t>SO2,KO2,OHO</t>
    </r>
  </si>
  <si>
    <r>
      <t>q</t>
    </r>
    <r>
      <rPr>
        <vertAlign val="subscript"/>
        <sz val="11"/>
        <rFont val="Calibri"/>
        <family val="2"/>
      </rPr>
      <t>FeS,OX,T</t>
    </r>
    <r>
      <rPr>
        <sz val="11"/>
        <rFont val="Calibri"/>
        <family val="2"/>
      </rPr>
      <t>*X</t>
    </r>
    <r>
      <rPr>
        <vertAlign val="subscript"/>
        <sz val="11"/>
        <rFont val="Calibri"/>
        <family val="2"/>
      </rPr>
      <t>FeS</t>
    </r>
    <r>
      <rPr>
        <sz val="11"/>
        <rFont val="Calibri"/>
        <family val="2"/>
      </rPr>
      <t>*Msat</t>
    </r>
    <r>
      <rPr>
        <vertAlign val="subscript"/>
        <sz val="11"/>
        <rFont val="Calibri"/>
        <family val="2"/>
      </rPr>
      <t>SO2,KO2,OHO</t>
    </r>
  </si>
  <si>
    <r>
      <t>CO</t>
    </r>
    <r>
      <rPr>
        <vertAlign val="subscript"/>
        <sz val="11"/>
        <color indexed="8"/>
        <rFont val="Calibri"/>
        <family val="2"/>
        <scheme val="minor"/>
      </rPr>
      <t>2</t>
    </r>
    <r>
      <rPr>
        <sz val="11"/>
        <color indexed="8"/>
        <rFont val="Calibri"/>
        <family val="2"/>
        <scheme val="minor"/>
      </rPr>
      <t xml:space="preserve"> and NH</t>
    </r>
    <r>
      <rPr>
        <vertAlign val="subscript"/>
        <sz val="11"/>
        <color indexed="8"/>
        <rFont val="Calibri"/>
        <family val="2"/>
        <scheme val="minor"/>
      </rPr>
      <t>3</t>
    </r>
    <r>
      <rPr>
        <sz val="11"/>
        <color indexed="8"/>
        <rFont val="Calibri"/>
        <family val="2"/>
        <scheme val="minor"/>
      </rPr>
      <t xml:space="preserve"> gas transfer depends on pH one equilibrium species: H2CO3 and NH3 for CO2 and NH3, respectively. </t>
    </r>
  </si>
  <si>
    <t>These components are calculated for a pH of 7 when pH is disabled,</t>
  </si>
  <si>
    <t>Carbonic acid and free ammonia calculation when pH is off</t>
  </si>
  <si>
    <r>
      <t>k</t>
    </r>
    <r>
      <rPr>
        <vertAlign val="subscript"/>
        <sz val="11"/>
        <rFont val="Calibri"/>
        <family val="2"/>
      </rPr>
      <t>L</t>
    </r>
    <r>
      <rPr>
        <sz val="11"/>
        <rFont val="Calibri"/>
        <family val="2"/>
      </rPr>
      <t>a</t>
    </r>
    <r>
      <rPr>
        <vertAlign val="subscript"/>
        <sz val="11"/>
        <rFont val="Calibri"/>
        <family val="2"/>
      </rPr>
      <t>GCO2,sur</t>
    </r>
    <r>
      <rPr>
        <sz val="11"/>
        <rFont val="Calibri"/>
        <family val="2"/>
      </rPr>
      <t>*(S</t>
    </r>
    <r>
      <rPr>
        <vertAlign val="subscript"/>
        <sz val="11"/>
        <rFont val="Calibri"/>
        <family val="2"/>
      </rPr>
      <t>GCO2,sur,sat</t>
    </r>
    <r>
      <rPr>
        <sz val="11"/>
        <rFont val="Calibri"/>
        <family val="2"/>
      </rPr>
      <t xml:space="preserve"> - [H</t>
    </r>
    <r>
      <rPr>
        <vertAlign val="subscript"/>
        <sz val="11"/>
        <rFont val="Calibri"/>
        <family val="2"/>
      </rPr>
      <t>2</t>
    </r>
    <r>
      <rPr>
        <sz val="11"/>
        <rFont val="Calibri"/>
        <family val="2"/>
      </rPr>
      <t>CO</t>
    </r>
    <r>
      <rPr>
        <vertAlign val="subscript"/>
        <sz val="11"/>
        <rFont val="Calibri"/>
        <family val="2"/>
      </rPr>
      <t>3</t>
    </r>
    <r>
      <rPr>
        <sz val="11"/>
        <rFont val="Calibri"/>
        <family val="2"/>
      </rPr>
      <t>]*MM</t>
    </r>
    <r>
      <rPr>
        <vertAlign val="subscript"/>
        <sz val="11"/>
        <rFont val="Calibri"/>
        <family val="2"/>
      </rPr>
      <t>EQ,GCO2</t>
    </r>
    <r>
      <rPr>
        <sz val="11"/>
        <rFont val="Calibri"/>
        <family val="2"/>
      </rPr>
      <t>*c</t>
    </r>
    <r>
      <rPr>
        <vertAlign val="subscript"/>
        <sz val="11"/>
        <rFont val="Calibri"/>
        <family val="2"/>
      </rPr>
      <t>L,m3</t>
    </r>
    <r>
      <rPr>
        <sz val="11"/>
        <rFont val="Calibri"/>
        <family val="2"/>
      </rPr>
      <t>)</t>
    </r>
  </si>
  <si>
    <r>
      <t>k</t>
    </r>
    <r>
      <rPr>
        <vertAlign val="subscript"/>
        <sz val="11"/>
        <rFont val="Calibri"/>
        <family val="2"/>
      </rPr>
      <t>L</t>
    </r>
    <r>
      <rPr>
        <sz val="11"/>
        <rFont val="Calibri"/>
        <family val="2"/>
      </rPr>
      <t>a</t>
    </r>
    <r>
      <rPr>
        <vertAlign val="subscript"/>
        <sz val="11"/>
        <rFont val="Calibri"/>
        <family val="2"/>
      </rPr>
      <t>GNH3,sur</t>
    </r>
    <r>
      <rPr>
        <sz val="11"/>
        <rFont val="Calibri"/>
        <family val="2"/>
      </rPr>
      <t>*(S</t>
    </r>
    <r>
      <rPr>
        <vertAlign val="subscript"/>
        <sz val="11"/>
        <rFont val="Calibri"/>
        <family val="2"/>
      </rPr>
      <t>GNH3,sur,sat</t>
    </r>
    <r>
      <rPr>
        <sz val="11"/>
        <rFont val="Calibri"/>
        <family val="2"/>
      </rPr>
      <t xml:space="preserve"> - [NH</t>
    </r>
    <r>
      <rPr>
        <vertAlign val="subscript"/>
        <sz val="11"/>
        <rFont val="Calibri"/>
        <family val="2"/>
      </rPr>
      <t>3</t>
    </r>
    <r>
      <rPr>
        <sz val="11"/>
        <rFont val="Calibri"/>
        <family val="2"/>
      </rPr>
      <t>]*MM</t>
    </r>
    <r>
      <rPr>
        <vertAlign val="subscript"/>
        <sz val="11"/>
        <rFont val="Calibri"/>
        <family val="2"/>
      </rPr>
      <t>EQ,GNH3</t>
    </r>
    <r>
      <rPr>
        <sz val="11"/>
        <rFont val="Calibri"/>
        <family val="2"/>
      </rPr>
      <t>*c</t>
    </r>
    <r>
      <rPr>
        <vertAlign val="subscript"/>
        <sz val="11"/>
        <rFont val="Calibri"/>
        <family val="2"/>
      </rPr>
      <t>L,m3</t>
    </r>
    <r>
      <rPr>
        <sz val="11"/>
        <rFont val="Calibri"/>
        <family val="2"/>
      </rPr>
      <t>)</t>
    </r>
  </si>
  <si>
    <r>
      <t>Gas transfer rate for H</t>
    </r>
    <r>
      <rPr>
        <vertAlign val="subscript"/>
        <sz val="11"/>
        <color rgb="FF000000"/>
        <rFont val="Calibri"/>
        <family val="2"/>
        <scheme val="minor"/>
      </rPr>
      <t>2</t>
    </r>
    <r>
      <rPr>
        <sz val="11"/>
        <color rgb="FF000000"/>
        <rFont val="Calibri"/>
        <family val="2"/>
        <charset val="238"/>
        <scheme val="minor"/>
      </rPr>
      <t>S - bubbles</t>
    </r>
  </si>
  <si>
    <r>
      <t>k</t>
    </r>
    <r>
      <rPr>
        <vertAlign val="subscript"/>
        <sz val="11"/>
        <color indexed="8"/>
        <rFont val="Calibri"/>
        <family val="2"/>
        <scheme val="minor"/>
      </rPr>
      <t>L</t>
    </r>
    <r>
      <rPr>
        <sz val="11"/>
        <color indexed="8"/>
        <rFont val="Calibri"/>
        <family val="2"/>
        <scheme val="minor"/>
      </rPr>
      <t>a</t>
    </r>
    <r>
      <rPr>
        <vertAlign val="subscript"/>
        <sz val="11"/>
        <color indexed="8"/>
        <rFont val="Calibri"/>
        <family val="2"/>
        <scheme val="minor"/>
      </rPr>
      <t xml:space="preserve">GH2S,bub </t>
    </r>
    <r>
      <rPr>
        <sz val="11"/>
        <color indexed="8"/>
        <rFont val="Calibri"/>
        <family val="2"/>
        <scheme val="minor"/>
      </rPr>
      <t>* (S</t>
    </r>
    <r>
      <rPr>
        <vertAlign val="subscript"/>
        <sz val="11"/>
        <color indexed="8"/>
        <rFont val="Calibri"/>
        <family val="2"/>
        <scheme val="minor"/>
      </rPr>
      <t xml:space="preserve">GH2S,bub,sat </t>
    </r>
    <r>
      <rPr>
        <sz val="11"/>
        <color indexed="8"/>
        <rFont val="Calibri"/>
        <family val="2"/>
        <scheme val="minor"/>
      </rPr>
      <t>- [H</t>
    </r>
    <r>
      <rPr>
        <vertAlign val="subscript"/>
        <sz val="11"/>
        <color indexed="8"/>
        <rFont val="Calibri"/>
        <family val="2"/>
        <scheme val="minor"/>
      </rPr>
      <t>2</t>
    </r>
    <r>
      <rPr>
        <sz val="11"/>
        <color indexed="8"/>
        <rFont val="Calibri"/>
        <family val="2"/>
        <scheme val="minor"/>
      </rPr>
      <t>S]*MM</t>
    </r>
    <r>
      <rPr>
        <vertAlign val="subscript"/>
        <sz val="11"/>
        <color indexed="8"/>
        <rFont val="Calibri"/>
        <family val="2"/>
        <scheme val="minor"/>
      </rPr>
      <t>EQ,GH2S</t>
    </r>
    <r>
      <rPr>
        <sz val="11"/>
        <color indexed="8"/>
        <rFont val="Calibri"/>
        <family val="2"/>
        <scheme val="minor"/>
      </rPr>
      <t>*c</t>
    </r>
    <r>
      <rPr>
        <vertAlign val="subscript"/>
        <sz val="11"/>
        <color indexed="8"/>
        <rFont val="Calibri"/>
        <family val="2"/>
        <scheme val="minor"/>
      </rPr>
      <t>L,m3</t>
    </r>
    <r>
      <rPr>
        <sz val="11"/>
        <color indexed="8"/>
        <rFont val="Calibri"/>
        <family val="2"/>
        <scheme val="minor"/>
      </rPr>
      <t>)</t>
    </r>
  </si>
  <si>
    <r>
      <t>Gas transfer rate for H</t>
    </r>
    <r>
      <rPr>
        <vertAlign val="subscript"/>
        <sz val="11"/>
        <color rgb="FF000000"/>
        <rFont val="Calibri"/>
        <family val="2"/>
        <scheme val="minor"/>
      </rPr>
      <t>2</t>
    </r>
    <r>
      <rPr>
        <sz val="11"/>
        <color rgb="FF000000"/>
        <rFont val="Calibri"/>
        <family val="2"/>
        <charset val="238"/>
        <scheme val="minor"/>
      </rPr>
      <t>S - surface</t>
    </r>
  </si>
  <si>
    <r>
      <t>k</t>
    </r>
    <r>
      <rPr>
        <vertAlign val="subscript"/>
        <sz val="11"/>
        <color indexed="8"/>
        <rFont val="Calibri"/>
        <family val="2"/>
        <scheme val="minor"/>
      </rPr>
      <t>L</t>
    </r>
    <r>
      <rPr>
        <sz val="11"/>
        <color indexed="8"/>
        <rFont val="Calibri"/>
        <family val="2"/>
        <scheme val="minor"/>
      </rPr>
      <t>a</t>
    </r>
    <r>
      <rPr>
        <vertAlign val="subscript"/>
        <sz val="11"/>
        <color indexed="8"/>
        <rFont val="Calibri"/>
        <family val="2"/>
        <scheme val="minor"/>
      </rPr>
      <t xml:space="preserve">GH2S,sur </t>
    </r>
    <r>
      <rPr>
        <sz val="11"/>
        <color indexed="8"/>
        <rFont val="Calibri"/>
        <family val="2"/>
        <scheme val="minor"/>
      </rPr>
      <t>* (S</t>
    </r>
    <r>
      <rPr>
        <vertAlign val="subscript"/>
        <sz val="11"/>
        <color indexed="8"/>
        <rFont val="Calibri"/>
        <family val="2"/>
        <scheme val="minor"/>
      </rPr>
      <t xml:space="preserve">GH2S,sur,sat </t>
    </r>
    <r>
      <rPr>
        <sz val="11"/>
        <color indexed="8"/>
        <rFont val="Calibri"/>
        <family val="2"/>
        <scheme val="minor"/>
      </rPr>
      <t>- [H</t>
    </r>
    <r>
      <rPr>
        <vertAlign val="subscript"/>
        <sz val="11"/>
        <color indexed="8"/>
        <rFont val="Calibri"/>
        <family val="2"/>
        <scheme val="minor"/>
      </rPr>
      <t>2</t>
    </r>
    <r>
      <rPr>
        <sz val="11"/>
        <color indexed="8"/>
        <rFont val="Calibri"/>
        <family val="2"/>
        <scheme val="minor"/>
      </rPr>
      <t>S] * MM</t>
    </r>
    <r>
      <rPr>
        <vertAlign val="subscript"/>
        <sz val="11"/>
        <color indexed="8"/>
        <rFont val="Calibri"/>
        <family val="2"/>
        <scheme val="minor"/>
      </rPr>
      <t xml:space="preserve">EQ,GH2S </t>
    </r>
    <r>
      <rPr>
        <sz val="11"/>
        <color indexed="8"/>
        <rFont val="Calibri"/>
        <family val="2"/>
        <scheme val="minor"/>
      </rPr>
      <t>* c</t>
    </r>
    <r>
      <rPr>
        <vertAlign val="subscript"/>
        <sz val="11"/>
        <color indexed="8"/>
        <rFont val="Calibri"/>
        <family val="2"/>
        <scheme val="minor"/>
      </rPr>
      <t>L,m3</t>
    </r>
    <r>
      <rPr>
        <sz val="11"/>
        <color indexed="8"/>
        <rFont val="Calibri"/>
        <family val="2"/>
        <scheme val="minor"/>
      </rPr>
      <t>)</t>
    </r>
  </si>
  <si>
    <t>pH in process unit</t>
  </si>
  <si>
    <t>IS in process unit (pH off)</t>
  </si>
  <si>
    <t>Non-pH; Digester</t>
  </si>
  <si>
    <r>
      <t>K</t>
    </r>
    <r>
      <rPr>
        <vertAlign val="subscript"/>
        <sz val="11"/>
        <rFont val="Calibri"/>
        <family val="2"/>
        <scheme val="minor"/>
      </rPr>
      <t>S1,T</t>
    </r>
    <r>
      <rPr>
        <sz val="11"/>
        <rFont val="Calibri"/>
        <family val="2"/>
        <scheme val="minor"/>
      </rPr>
      <t>/f</t>
    </r>
    <r>
      <rPr>
        <vertAlign val="subscript"/>
        <sz val="11"/>
        <rFont val="Calibri"/>
        <family val="2"/>
        <scheme val="minor"/>
      </rPr>
      <t>mono,field</t>
    </r>
    <r>
      <rPr>
        <sz val="11"/>
        <rFont val="Calibri"/>
        <family val="2"/>
        <scheme val="minor"/>
      </rPr>
      <t>^2</t>
    </r>
  </si>
  <si>
    <r>
      <t>K</t>
    </r>
    <r>
      <rPr>
        <vertAlign val="subscript"/>
        <sz val="11"/>
        <rFont val="Calibri"/>
        <family val="2"/>
        <scheme val="minor"/>
      </rPr>
      <t>S2,T</t>
    </r>
    <r>
      <rPr>
        <sz val="11"/>
        <rFont val="Calibri"/>
        <family val="2"/>
        <scheme val="minor"/>
      </rPr>
      <t>/f</t>
    </r>
    <r>
      <rPr>
        <vertAlign val="subscript"/>
        <sz val="11"/>
        <rFont val="Calibri"/>
        <family val="2"/>
        <scheme val="minor"/>
      </rPr>
      <t>di,field</t>
    </r>
  </si>
  <si>
    <r>
      <t>K</t>
    </r>
    <r>
      <rPr>
        <vertAlign val="subscript"/>
        <sz val="11"/>
        <rFont val="Calibri"/>
        <family val="2"/>
        <scheme val="minor"/>
      </rPr>
      <t>C1,T</t>
    </r>
    <r>
      <rPr>
        <sz val="11"/>
        <rFont val="Calibri"/>
        <family val="2"/>
        <scheme val="minor"/>
      </rPr>
      <t>/f</t>
    </r>
    <r>
      <rPr>
        <vertAlign val="subscript"/>
        <sz val="11"/>
        <rFont val="Calibri"/>
        <family val="2"/>
        <scheme val="minor"/>
      </rPr>
      <t>mono,field</t>
    </r>
    <r>
      <rPr>
        <sz val="11"/>
        <rFont val="Calibri"/>
        <family val="2"/>
        <scheme val="minor"/>
      </rPr>
      <t>^2</t>
    </r>
  </si>
  <si>
    <r>
      <t>K</t>
    </r>
    <r>
      <rPr>
        <vertAlign val="subscript"/>
        <sz val="11"/>
        <rFont val="Calibri"/>
        <family val="2"/>
        <scheme val="minor"/>
      </rPr>
      <t>C2,T</t>
    </r>
    <r>
      <rPr>
        <sz val="11"/>
        <rFont val="Calibri"/>
        <family val="2"/>
        <scheme val="minor"/>
      </rPr>
      <t>/f</t>
    </r>
    <r>
      <rPr>
        <vertAlign val="subscript"/>
        <sz val="11"/>
        <rFont val="Calibri"/>
        <family val="2"/>
        <scheme val="minor"/>
      </rPr>
      <t>di,field</t>
    </r>
  </si>
  <si>
    <r>
      <t>f</t>
    </r>
    <r>
      <rPr>
        <vertAlign val="subscript"/>
        <sz val="11"/>
        <rFont val="Calibri"/>
        <family val="2"/>
        <scheme val="minor"/>
      </rPr>
      <t>mono,field</t>
    </r>
  </si>
  <si>
    <r>
      <t>f</t>
    </r>
    <r>
      <rPr>
        <vertAlign val="subscript"/>
        <sz val="11"/>
        <rFont val="Calibri"/>
        <family val="2"/>
        <scheme val="minor"/>
      </rPr>
      <t>di,field</t>
    </r>
  </si>
  <si>
    <r>
      <t>IS</t>
    </r>
    <r>
      <rPr>
        <vertAlign val="subscript"/>
        <sz val="11"/>
        <rFont val="Calibri"/>
        <family val="2"/>
        <scheme val="minor"/>
      </rPr>
      <t>field</t>
    </r>
  </si>
  <si>
    <r>
      <t>10^(-A</t>
    </r>
    <r>
      <rPr>
        <vertAlign val="subscript"/>
        <sz val="11"/>
        <rFont val="Calibri"/>
        <family val="2"/>
        <scheme val="minor"/>
      </rPr>
      <t>Davies</t>
    </r>
    <r>
      <rPr>
        <sz val="11"/>
        <rFont val="Calibri"/>
        <family val="2"/>
        <scheme val="minor"/>
      </rPr>
      <t>*1^(2)*(IS</t>
    </r>
    <r>
      <rPr>
        <vertAlign val="subscript"/>
        <sz val="11"/>
        <rFont val="Calibri"/>
        <family val="2"/>
        <scheme val="minor"/>
      </rPr>
      <t>field</t>
    </r>
    <r>
      <rPr>
        <sz val="11"/>
        <rFont val="Calibri"/>
        <family val="2"/>
        <scheme val="minor"/>
      </rPr>
      <t>^(0.5)/(1+1.5*IS</t>
    </r>
    <r>
      <rPr>
        <vertAlign val="subscript"/>
        <sz val="11"/>
        <rFont val="Calibri"/>
        <family val="2"/>
        <scheme val="minor"/>
      </rPr>
      <t>field</t>
    </r>
    <r>
      <rPr>
        <sz val="11"/>
        <rFont val="Calibri"/>
        <family val="2"/>
        <scheme val="minor"/>
      </rPr>
      <t>^(0.5))-0.3*IS</t>
    </r>
    <r>
      <rPr>
        <vertAlign val="subscript"/>
        <sz val="11"/>
        <rFont val="Calibri"/>
        <family val="2"/>
        <scheme val="minor"/>
      </rPr>
      <t>field</t>
    </r>
    <r>
      <rPr>
        <sz val="11"/>
        <rFont val="Calibri"/>
        <family val="2"/>
        <scheme val="minor"/>
      </rPr>
      <t>))</t>
    </r>
  </si>
  <si>
    <r>
      <t>10^(-A</t>
    </r>
    <r>
      <rPr>
        <vertAlign val="subscript"/>
        <sz val="11"/>
        <rFont val="Calibri"/>
        <family val="2"/>
        <scheme val="minor"/>
      </rPr>
      <t>Davies</t>
    </r>
    <r>
      <rPr>
        <sz val="11"/>
        <rFont val="Calibri"/>
        <family val="2"/>
        <scheme val="minor"/>
      </rPr>
      <t>*2^(2)*(IS</t>
    </r>
    <r>
      <rPr>
        <vertAlign val="subscript"/>
        <sz val="11"/>
        <rFont val="Calibri"/>
        <family val="2"/>
        <scheme val="minor"/>
      </rPr>
      <t>field</t>
    </r>
    <r>
      <rPr>
        <sz val="11"/>
        <rFont val="Calibri"/>
        <family val="2"/>
        <scheme val="minor"/>
      </rPr>
      <t>^(0.5)/(1+1.5*IS</t>
    </r>
    <r>
      <rPr>
        <vertAlign val="subscript"/>
        <sz val="11"/>
        <rFont val="Calibri"/>
        <family val="2"/>
        <scheme val="minor"/>
      </rPr>
      <t>field</t>
    </r>
    <r>
      <rPr>
        <sz val="11"/>
        <rFont val="Calibri"/>
        <family val="2"/>
        <scheme val="minor"/>
      </rPr>
      <t>^(0.5))-0.3*IS</t>
    </r>
    <r>
      <rPr>
        <vertAlign val="subscript"/>
        <sz val="11"/>
        <rFont val="Calibri"/>
        <family val="2"/>
        <scheme val="minor"/>
      </rPr>
      <t>field</t>
    </r>
    <r>
      <rPr>
        <sz val="11"/>
        <rFont val="Calibri"/>
        <family val="2"/>
        <scheme val="minor"/>
      </rPr>
      <t>))</t>
    </r>
  </si>
  <si>
    <r>
      <t>pH</t>
    </r>
    <r>
      <rPr>
        <vertAlign val="subscript"/>
        <sz val="11"/>
        <rFont val="Calibri"/>
        <family val="2"/>
        <scheme val="minor"/>
      </rPr>
      <t>field</t>
    </r>
  </si>
  <si>
    <t>pH calculation - pH specified, for other process units (pHSet, NonInput)</t>
  </si>
  <si>
    <t>Non-Input; pHSet; pH</t>
  </si>
  <si>
    <t>Input; pHSet; pH</t>
  </si>
  <si>
    <t>Error calculation</t>
  </si>
  <si>
    <t>Key(1190)</t>
  </si>
  <si>
    <t>BOD stoichiometry</t>
  </si>
  <si>
    <t>Cations and anions calculation revised, for other process units (NonInput)</t>
  </si>
  <si>
    <r>
      <t>S</t>
    </r>
    <r>
      <rPr>
        <vertAlign val="subscript"/>
        <sz val="11"/>
        <rFont val="Calibri"/>
        <family val="2"/>
        <scheme val="minor"/>
      </rPr>
      <t>CAT,add</t>
    </r>
  </si>
  <si>
    <r>
      <t>If(SIC&gt; 0; S</t>
    </r>
    <r>
      <rPr>
        <vertAlign val="subscript"/>
        <sz val="11"/>
        <color indexed="8"/>
        <rFont val="Calibri"/>
        <family val="2"/>
      </rPr>
      <t>IC</t>
    </r>
    <r>
      <rPr>
        <sz val="11"/>
        <color indexed="8"/>
        <rFont val="Calibri"/>
        <family val="2"/>
      </rPr>
      <t>*(AM</t>
    </r>
    <r>
      <rPr>
        <vertAlign val="subscript"/>
        <sz val="11"/>
        <color indexed="8"/>
        <rFont val="Calibri"/>
        <family val="2"/>
      </rPr>
      <t>Na</t>
    </r>
    <r>
      <rPr>
        <sz val="11"/>
        <color indexed="8"/>
        <rFont val="Calibri"/>
        <family val="2"/>
      </rPr>
      <t>*1000);0)</t>
    </r>
  </si>
  <si>
    <t>pHSet; pH; Non-Input</t>
  </si>
  <si>
    <r>
      <t>S</t>
    </r>
    <r>
      <rPr>
        <vertAlign val="subscript"/>
        <sz val="11"/>
        <rFont val="Calibri"/>
        <family val="2"/>
        <scheme val="minor"/>
      </rPr>
      <t>AN,add</t>
    </r>
  </si>
  <si>
    <r>
      <t>If(SIC&lt; 0; - S</t>
    </r>
    <r>
      <rPr>
        <vertAlign val="subscript"/>
        <sz val="11"/>
        <color indexed="8"/>
        <rFont val="Calibri"/>
        <family val="2"/>
      </rPr>
      <t>IC</t>
    </r>
    <r>
      <rPr>
        <sz val="11"/>
        <color indexed="8"/>
        <rFont val="Calibri"/>
        <family val="2"/>
      </rPr>
      <t>*(AM</t>
    </r>
    <r>
      <rPr>
        <vertAlign val="subscript"/>
        <sz val="11"/>
        <color indexed="8"/>
        <rFont val="Calibri"/>
        <family val="2"/>
      </rPr>
      <t>Cl</t>
    </r>
    <r>
      <rPr>
        <sz val="11"/>
        <color indexed="8"/>
        <rFont val="Calibri"/>
        <family val="2"/>
      </rPr>
      <t>*1000);0)</t>
    </r>
  </si>
  <si>
    <r>
      <t>S</t>
    </r>
    <r>
      <rPr>
        <vertAlign val="subscript"/>
        <sz val="11"/>
        <color theme="1"/>
        <rFont val="Calibri"/>
        <family val="2"/>
        <scheme val="minor"/>
      </rPr>
      <t>CAT,ini</t>
    </r>
    <r>
      <rPr>
        <sz val="11"/>
        <color theme="1"/>
        <rFont val="Calibri"/>
        <family val="2"/>
        <scheme val="minor"/>
      </rPr>
      <t>+S</t>
    </r>
    <r>
      <rPr>
        <vertAlign val="subscript"/>
        <sz val="11"/>
        <color theme="1"/>
        <rFont val="Calibri"/>
        <family val="2"/>
        <scheme val="minor"/>
      </rPr>
      <t>CAT,add</t>
    </r>
  </si>
  <si>
    <r>
      <t>S</t>
    </r>
    <r>
      <rPr>
        <vertAlign val="subscript"/>
        <sz val="11"/>
        <color theme="1"/>
        <rFont val="Calibri"/>
        <family val="2"/>
        <scheme val="minor"/>
      </rPr>
      <t>AN,ini</t>
    </r>
    <r>
      <rPr>
        <sz val="11"/>
        <color theme="1"/>
        <rFont val="Calibri"/>
        <family val="2"/>
        <scheme val="minor"/>
      </rPr>
      <t>+S</t>
    </r>
    <r>
      <rPr>
        <vertAlign val="subscript"/>
        <sz val="11"/>
        <color theme="1"/>
        <rFont val="Calibri"/>
        <family val="2"/>
        <scheme val="minor"/>
      </rPr>
      <t>AN,add</t>
    </r>
  </si>
  <si>
    <t>Cations and anions calculation revised for influents (Input)</t>
  </si>
  <si>
    <t>pHSet; pH; Input</t>
  </si>
  <si>
    <r>
      <t>S</t>
    </r>
    <r>
      <rPr>
        <vertAlign val="subscript"/>
        <sz val="11"/>
        <rFont val="Calibri"/>
        <family val="2"/>
      </rPr>
      <t>NO3</t>
    </r>
    <r>
      <rPr>
        <sz val="11"/>
        <rFont val="Calibri"/>
        <family val="2"/>
      </rPr>
      <t>/(AM</t>
    </r>
    <r>
      <rPr>
        <vertAlign val="subscript"/>
        <sz val="11"/>
        <rFont val="Calibri"/>
        <family val="2"/>
      </rPr>
      <t>N</t>
    </r>
    <r>
      <rPr>
        <sz val="11"/>
        <rFont val="Calibri"/>
        <family val="2"/>
      </rPr>
      <t>*1000)</t>
    </r>
  </si>
  <si>
    <t>Diffusion coefficients for gas phase state variables</t>
  </si>
  <si>
    <t>heat capacity ratio</t>
  </si>
  <si>
    <t>Molar mass of ammonium ion</t>
  </si>
  <si>
    <t>Molar mass of nitrite ion</t>
  </si>
  <si>
    <t>Molar mass of nitrate ion</t>
  </si>
  <si>
    <t>Solubility  constant of CaCO3</t>
  </si>
  <si>
    <t>Solubility  constant of struvite</t>
  </si>
  <si>
    <r>
      <t>c</t>
    </r>
    <r>
      <rPr>
        <vertAlign val="subscript"/>
        <sz val="11"/>
        <rFont val="Calibri"/>
        <family val="2"/>
        <scheme val="minor"/>
      </rPr>
      <t>min,h</t>
    </r>
  </si>
  <si>
    <t>Conversion coefficient between minutes and hours</t>
  </si>
  <si>
    <r>
      <t>min.h</t>
    </r>
    <r>
      <rPr>
        <vertAlign val="superscript"/>
        <sz val="11"/>
        <rFont val="Calibri"/>
        <family val="2"/>
        <scheme val="minor"/>
      </rPr>
      <t>-1</t>
    </r>
  </si>
  <si>
    <r>
      <t>c</t>
    </r>
    <r>
      <rPr>
        <vertAlign val="subscript"/>
        <sz val="11"/>
        <rFont val="Calibri"/>
        <family val="2"/>
        <scheme val="minor"/>
      </rPr>
      <t>h,d</t>
    </r>
  </si>
  <si>
    <t>Conversion coefficient between hours and days</t>
  </si>
  <si>
    <r>
      <t>h.d</t>
    </r>
    <r>
      <rPr>
        <vertAlign val="superscript"/>
        <sz val="11"/>
        <rFont val="Calibri"/>
        <family val="2"/>
        <scheme val="minor"/>
      </rPr>
      <t>-1</t>
    </r>
  </si>
  <si>
    <r>
      <t>c</t>
    </r>
    <r>
      <rPr>
        <vertAlign val="subscript"/>
        <sz val="11"/>
        <rFont val="Calibri"/>
        <family val="2"/>
        <scheme val="minor"/>
      </rPr>
      <t>ms,min</t>
    </r>
  </si>
  <si>
    <t>Conversion coefficient between milliseconds and minutes</t>
  </si>
  <si>
    <r>
      <t>ms.min</t>
    </r>
    <r>
      <rPr>
        <vertAlign val="superscript"/>
        <sz val="11"/>
        <rFont val="Calibri"/>
        <family val="2"/>
        <scheme val="minor"/>
      </rPr>
      <t>-1</t>
    </r>
  </si>
  <si>
    <r>
      <t>c</t>
    </r>
    <r>
      <rPr>
        <vertAlign val="subscript"/>
        <sz val="11"/>
        <rFont val="Calibri"/>
        <family val="2"/>
        <scheme val="minor"/>
      </rPr>
      <t>kJ,MJ</t>
    </r>
  </si>
  <si>
    <t>Conversion coefficient between kilojoules and megajoules</t>
  </si>
  <si>
    <r>
      <t>kJ.MJ</t>
    </r>
    <r>
      <rPr>
        <vertAlign val="superscript"/>
        <sz val="11"/>
        <rFont val="Calibri"/>
        <family val="2"/>
        <scheme val="minor"/>
      </rPr>
      <t>-1</t>
    </r>
  </si>
  <si>
    <r>
      <t>c</t>
    </r>
    <r>
      <rPr>
        <vertAlign val="subscript"/>
        <sz val="11"/>
        <rFont val="Calibri"/>
        <family val="2"/>
        <scheme val="minor"/>
      </rPr>
      <t>cm,m</t>
    </r>
  </si>
  <si>
    <t>Conversion coefficient between centimeters and meters</t>
  </si>
  <si>
    <t>Standard enthalpy of Magnesium ion</t>
  </si>
  <si>
    <t>Diffusion coefficients for liquid phase state variables</t>
  </si>
  <si>
    <t>Sulfate reduction rate (SRR)</t>
  </si>
  <si>
    <t>SRR</t>
  </si>
  <si>
    <r>
      <rPr>
        <sz val="11"/>
        <rFont val="Calibri"/>
        <family val="2"/>
        <scheme val="minor"/>
      </rPr>
      <t>f</t>
    </r>
    <r>
      <rPr>
        <vertAlign val="subscript"/>
        <sz val="11"/>
        <rFont val="Calibri"/>
        <family val="2"/>
        <scheme val="minor"/>
      </rPr>
      <t>KS</t>
    </r>
  </si>
  <si>
    <r>
      <t>K</t>
    </r>
    <r>
      <rPr>
        <vertAlign val="subscript"/>
        <sz val="11"/>
        <rFont val="Calibri"/>
        <family val="2"/>
      </rPr>
      <t>NHx,AOB,AS</t>
    </r>
    <r>
      <rPr>
        <sz val="11"/>
        <rFont val="Calibri"/>
        <family val="2"/>
      </rPr>
      <t>*f</t>
    </r>
    <r>
      <rPr>
        <vertAlign val="subscript"/>
        <sz val="11"/>
        <rFont val="Calibri"/>
        <family val="2"/>
      </rPr>
      <t>KS</t>
    </r>
  </si>
  <si>
    <r>
      <t>K</t>
    </r>
    <r>
      <rPr>
        <vertAlign val="subscript"/>
        <sz val="11"/>
        <rFont val="Calibri"/>
        <family val="2"/>
      </rPr>
      <t>O2,AOB,AS</t>
    </r>
    <r>
      <rPr>
        <sz val="11"/>
        <rFont val="Calibri"/>
        <family val="2"/>
      </rPr>
      <t>*f</t>
    </r>
    <r>
      <rPr>
        <vertAlign val="subscript"/>
        <sz val="11"/>
        <rFont val="Calibri"/>
        <family val="2"/>
      </rPr>
      <t>KS</t>
    </r>
  </si>
  <si>
    <r>
      <t>K</t>
    </r>
    <r>
      <rPr>
        <vertAlign val="subscript"/>
        <sz val="11"/>
        <rFont val="Calibri"/>
        <family val="2"/>
      </rPr>
      <t>NOx,AOB,AS</t>
    </r>
    <r>
      <rPr>
        <sz val="11"/>
        <rFont val="Calibri"/>
        <family val="2"/>
      </rPr>
      <t>*f</t>
    </r>
    <r>
      <rPr>
        <vertAlign val="subscript"/>
        <sz val="11"/>
        <rFont val="Calibri"/>
        <family val="2"/>
      </rPr>
      <t>KS</t>
    </r>
  </si>
  <si>
    <r>
      <t>Ki</t>
    </r>
    <r>
      <rPr>
        <vertAlign val="subscript"/>
        <sz val="11"/>
        <rFont val="Calibri"/>
        <family val="2"/>
      </rPr>
      <t>HNO2,AOB,pH,AS</t>
    </r>
    <r>
      <rPr>
        <sz val="11"/>
        <rFont val="Calibri"/>
        <family val="2"/>
      </rPr>
      <t>*f</t>
    </r>
    <r>
      <rPr>
        <vertAlign val="subscript"/>
        <sz val="11"/>
        <rFont val="Calibri"/>
        <family val="2"/>
      </rPr>
      <t>KS</t>
    </r>
  </si>
  <si>
    <r>
      <t>K</t>
    </r>
    <r>
      <rPr>
        <vertAlign val="subscript"/>
        <sz val="11"/>
        <rFont val="Calibri"/>
        <family val="2"/>
      </rPr>
      <t>NO2,NOB,AS</t>
    </r>
    <r>
      <rPr>
        <sz val="11"/>
        <rFont val="Calibri"/>
        <family val="2"/>
      </rPr>
      <t>*f</t>
    </r>
    <r>
      <rPr>
        <vertAlign val="subscript"/>
        <sz val="11"/>
        <rFont val="Calibri"/>
        <family val="2"/>
      </rPr>
      <t>KS</t>
    </r>
  </si>
  <si>
    <r>
      <t>K</t>
    </r>
    <r>
      <rPr>
        <vertAlign val="subscript"/>
        <sz val="11"/>
        <rFont val="Calibri"/>
        <family val="2"/>
      </rPr>
      <t>O2,NOB,AS</t>
    </r>
    <r>
      <rPr>
        <sz val="11"/>
        <rFont val="Calibri"/>
        <family val="2"/>
      </rPr>
      <t>*f</t>
    </r>
    <r>
      <rPr>
        <vertAlign val="subscript"/>
        <sz val="11"/>
        <rFont val="Calibri"/>
        <family val="2"/>
      </rPr>
      <t>KS</t>
    </r>
  </si>
  <si>
    <r>
      <t>K</t>
    </r>
    <r>
      <rPr>
        <vertAlign val="subscript"/>
        <sz val="11"/>
        <rFont val="Calibri"/>
        <family val="2"/>
      </rPr>
      <t>NOx,NOB,AS</t>
    </r>
    <r>
      <rPr>
        <sz val="11"/>
        <rFont val="Calibri"/>
        <family val="2"/>
      </rPr>
      <t>*f</t>
    </r>
    <r>
      <rPr>
        <vertAlign val="subscript"/>
        <sz val="11"/>
        <rFont val="Calibri"/>
        <family val="2"/>
      </rPr>
      <t>KS</t>
    </r>
  </si>
  <si>
    <r>
      <t>Ki</t>
    </r>
    <r>
      <rPr>
        <vertAlign val="subscript"/>
        <sz val="11"/>
        <rFont val="Calibri"/>
        <family val="2"/>
      </rPr>
      <t>NH3,NOB,pH,AS</t>
    </r>
    <r>
      <rPr>
        <sz val="11"/>
        <rFont val="Calibri"/>
        <family val="2"/>
      </rPr>
      <t>*f</t>
    </r>
    <r>
      <rPr>
        <vertAlign val="subscript"/>
        <sz val="11"/>
        <rFont val="Calibri"/>
        <family val="2"/>
      </rPr>
      <t>KS</t>
    </r>
  </si>
  <si>
    <r>
      <t>K</t>
    </r>
    <r>
      <rPr>
        <vertAlign val="subscript"/>
        <sz val="11"/>
        <rFont val="Calibri"/>
        <family val="2"/>
      </rPr>
      <t>NHx,AMX,AS</t>
    </r>
    <r>
      <rPr>
        <sz val="11"/>
        <rFont val="Calibri"/>
        <family val="2"/>
      </rPr>
      <t>*f</t>
    </r>
    <r>
      <rPr>
        <vertAlign val="subscript"/>
        <sz val="11"/>
        <rFont val="Calibri"/>
        <family val="2"/>
      </rPr>
      <t>KS</t>
    </r>
  </si>
  <si>
    <r>
      <t>K</t>
    </r>
    <r>
      <rPr>
        <vertAlign val="subscript"/>
        <sz val="11"/>
        <rFont val="Calibri"/>
        <family val="2"/>
      </rPr>
      <t>NO2,AMX,AS</t>
    </r>
    <r>
      <rPr>
        <sz val="11"/>
        <rFont val="Calibri"/>
        <family val="2"/>
      </rPr>
      <t>*f</t>
    </r>
    <r>
      <rPr>
        <vertAlign val="subscript"/>
        <sz val="11"/>
        <rFont val="Calibri"/>
        <family val="2"/>
      </rPr>
      <t>KS</t>
    </r>
  </si>
  <si>
    <r>
      <t>K</t>
    </r>
    <r>
      <rPr>
        <vertAlign val="subscript"/>
        <sz val="11"/>
        <rFont val="Calibri"/>
        <family val="2"/>
      </rPr>
      <t>NOx,AMX,AS</t>
    </r>
    <r>
      <rPr>
        <sz val="11"/>
        <rFont val="Calibri"/>
        <family val="2"/>
      </rPr>
      <t>*f</t>
    </r>
    <r>
      <rPr>
        <vertAlign val="subscript"/>
        <sz val="11"/>
        <rFont val="Calibri"/>
        <family val="2"/>
      </rPr>
      <t>KS</t>
    </r>
  </si>
  <si>
    <r>
      <t>Ki</t>
    </r>
    <r>
      <rPr>
        <vertAlign val="subscript"/>
        <sz val="11"/>
        <rFont val="Calibri"/>
        <family val="2"/>
      </rPr>
      <t>HNO2,AMX,pH,AS</t>
    </r>
    <r>
      <rPr>
        <sz val="11"/>
        <rFont val="Calibri"/>
        <family val="2"/>
      </rPr>
      <t>*f</t>
    </r>
    <r>
      <rPr>
        <vertAlign val="subscript"/>
        <sz val="11"/>
        <rFont val="Calibri"/>
        <family val="2"/>
      </rPr>
      <t>KS</t>
    </r>
  </si>
  <si>
    <r>
      <t>K</t>
    </r>
    <r>
      <rPr>
        <vertAlign val="subscript"/>
        <sz val="11"/>
        <rFont val="Calibri"/>
        <family val="2"/>
        <scheme val="minor"/>
      </rPr>
      <t>SB,AS</t>
    </r>
    <r>
      <rPr>
        <sz val="11"/>
        <rFont val="Calibri"/>
        <family val="2"/>
        <scheme val="minor"/>
      </rPr>
      <t>*f</t>
    </r>
    <r>
      <rPr>
        <vertAlign val="subscript"/>
        <sz val="11"/>
        <rFont val="Calibri"/>
        <family val="2"/>
        <scheme val="minor"/>
      </rPr>
      <t>KS</t>
    </r>
  </si>
  <si>
    <r>
      <t>K</t>
    </r>
    <r>
      <rPr>
        <vertAlign val="subscript"/>
        <sz val="11"/>
        <rFont val="Calibri"/>
        <family val="2"/>
        <scheme val="minor"/>
      </rPr>
      <t>VFA,AS</t>
    </r>
    <r>
      <rPr>
        <sz val="11"/>
        <rFont val="Calibri"/>
        <family val="2"/>
        <scheme val="minor"/>
      </rPr>
      <t>*f</t>
    </r>
    <r>
      <rPr>
        <vertAlign val="subscript"/>
        <sz val="11"/>
        <rFont val="Calibri"/>
        <family val="2"/>
        <scheme val="minor"/>
      </rPr>
      <t>KS</t>
    </r>
  </si>
  <si>
    <r>
      <t>K</t>
    </r>
    <r>
      <rPr>
        <vertAlign val="subscript"/>
        <sz val="11"/>
        <rFont val="Calibri"/>
        <family val="2"/>
        <scheme val="minor"/>
      </rPr>
      <t>O2,OHO,AS</t>
    </r>
    <r>
      <rPr>
        <sz val="11"/>
        <rFont val="Calibri"/>
        <family val="2"/>
        <scheme val="minor"/>
      </rPr>
      <t>*f</t>
    </r>
    <r>
      <rPr>
        <vertAlign val="subscript"/>
        <sz val="11"/>
        <rFont val="Calibri"/>
        <family val="2"/>
        <scheme val="minor"/>
      </rPr>
      <t>KS</t>
    </r>
  </si>
  <si>
    <r>
      <t>K</t>
    </r>
    <r>
      <rPr>
        <vertAlign val="subscript"/>
        <sz val="11"/>
        <rFont val="Calibri"/>
        <family val="2"/>
        <scheme val="minor"/>
      </rPr>
      <t>MEOL,OHO,AS</t>
    </r>
    <r>
      <rPr>
        <sz val="11"/>
        <rFont val="Calibri"/>
        <family val="2"/>
        <scheme val="minor"/>
      </rPr>
      <t>*f</t>
    </r>
    <r>
      <rPr>
        <vertAlign val="subscript"/>
        <sz val="11"/>
        <rFont val="Calibri"/>
        <family val="2"/>
        <scheme val="minor"/>
      </rPr>
      <t>KS</t>
    </r>
  </si>
  <si>
    <r>
      <t>K</t>
    </r>
    <r>
      <rPr>
        <vertAlign val="subscript"/>
        <sz val="11"/>
        <rFont val="Calibri"/>
        <family val="2"/>
      </rPr>
      <t>NO2,OHO,AS</t>
    </r>
    <r>
      <rPr>
        <sz val="11"/>
        <rFont val="Calibri"/>
        <family val="2"/>
      </rPr>
      <t>*f</t>
    </r>
    <r>
      <rPr>
        <vertAlign val="subscript"/>
        <sz val="11"/>
        <rFont val="Calibri"/>
        <family val="2"/>
      </rPr>
      <t>KS</t>
    </r>
  </si>
  <si>
    <r>
      <t>K</t>
    </r>
    <r>
      <rPr>
        <vertAlign val="subscript"/>
        <sz val="11"/>
        <rFont val="Calibri"/>
        <family val="2"/>
        <scheme val="minor"/>
      </rPr>
      <t>NO3,OHO,AS</t>
    </r>
    <r>
      <rPr>
        <sz val="11"/>
        <rFont val="Calibri"/>
        <family val="2"/>
        <scheme val="minor"/>
      </rPr>
      <t>*f</t>
    </r>
    <r>
      <rPr>
        <vertAlign val="subscript"/>
        <sz val="11"/>
        <rFont val="Calibri"/>
        <family val="2"/>
        <scheme val="minor"/>
      </rPr>
      <t>KS</t>
    </r>
  </si>
  <si>
    <r>
      <t>K</t>
    </r>
    <r>
      <rPr>
        <vertAlign val="subscript"/>
        <sz val="11"/>
        <rFont val="Calibri"/>
        <family val="2"/>
        <scheme val="minor"/>
      </rPr>
      <t>VFA,FERM,AS</t>
    </r>
    <r>
      <rPr>
        <sz val="11"/>
        <rFont val="Calibri"/>
        <family val="2"/>
        <scheme val="minor"/>
      </rPr>
      <t>*f</t>
    </r>
    <r>
      <rPr>
        <vertAlign val="subscript"/>
        <sz val="11"/>
        <rFont val="Calibri"/>
        <family val="2"/>
        <scheme val="minor"/>
      </rPr>
      <t>KS</t>
    </r>
  </si>
  <si>
    <r>
      <t>K</t>
    </r>
    <r>
      <rPr>
        <vertAlign val="subscript"/>
        <sz val="11"/>
        <rFont val="Calibri"/>
        <family val="2"/>
        <scheme val="minor"/>
      </rPr>
      <t>SB,ana,AS</t>
    </r>
    <r>
      <rPr>
        <sz val="11"/>
        <rFont val="Calibri"/>
        <family val="2"/>
        <scheme val="minor"/>
      </rPr>
      <t>*f</t>
    </r>
    <r>
      <rPr>
        <vertAlign val="subscript"/>
        <sz val="11"/>
        <rFont val="Calibri"/>
        <family val="2"/>
        <scheme val="minor"/>
      </rPr>
      <t>KS</t>
    </r>
  </si>
  <si>
    <r>
      <t>K</t>
    </r>
    <r>
      <rPr>
        <vertAlign val="subscript"/>
        <sz val="11"/>
        <rFont val="Calibri"/>
        <family val="2"/>
        <scheme val="minor"/>
      </rPr>
      <t>MEOL,AS</t>
    </r>
    <r>
      <rPr>
        <sz val="11"/>
        <rFont val="Calibri"/>
        <family val="2"/>
        <scheme val="minor"/>
      </rPr>
      <t>*f</t>
    </r>
    <r>
      <rPr>
        <vertAlign val="subscript"/>
        <sz val="11"/>
        <rFont val="Calibri"/>
        <family val="2"/>
        <scheme val="minor"/>
      </rPr>
      <t>KS</t>
    </r>
  </si>
  <si>
    <r>
      <t>K</t>
    </r>
    <r>
      <rPr>
        <vertAlign val="subscript"/>
        <sz val="11"/>
        <rFont val="Calibri"/>
        <family val="2"/>
      </rPr>
      <t>NO2,MEOLO,AS</t>
    </r>
    <r>
      <rPr>
        <sz val="11"/>
        <rFont val="Calibri"/>
        <family val="2"/>
      </rPr>
      <t>*f</t>
    </r>
    <r>
      <rPr>
        <vertAlign val="subscript"/>
        <sz val="11"/>
        <rFont val="Calibri"/>
        <family val="2"/>
      </rPr>
      <t>KS</t>
    </r>
  </si>
  <si>
    <r>
      <t>K</t>
    </r>
    <r>
      <rPr>
        <vertAlign val="subscript"/>
        <sz val="11"/>
        <rFont val="Calibri"/>
        <family val="2"/>
        <scheme val="minor"/>
      </rPr>
      <t>NO3,MEOLO,AS</t>
    </r>
    <r>
      <rPr>
        <sz val="11"/>
        <rFont val="Calibri"/>
        <family val="2"/>
        <scheme val="minor"/>
      </rPr>
      <t>*f</t>
    </r>
    <r>
      <rPr>
        <vertAlign val="subscript"/>
        <sz val="11"/>
        <rFont val="Calibri"/>
        <family val="2"/>
        <scheme val="minor"/>
      </rPr>
      <t>KS</t>
    </r>
  </si>
  <si>
    <r>
      <t>K</t>
    </r>
    <r>
      <rPr>
        <vertAlign val="subscript"/>
        <sz val="11"/>
        <rFont val="Calibri"/>
        <family val="2"/>
        <scheme val="minor"/>
      </rPr>
      <t>PO4,PAO,AS</t>
    </r>
    <r>
      <rPr>
        <sz val="11"/>
        <rFont val="Calibri"/>
        <family val="2"/>
        <scheme val="minor"/>
      </rPr>
      <t>*f</t>
    </r>
    <r>
      <rPr>
        <vertAlign val="subscript"/>
        <sz val="11"/>
        <rFont val="Calibri"/>
        <family val="2"/>
        <scheme val="minor"/>
      </rPr>
      <t>KS</t>
    </r>
  </si>
  <si>
    <r>
      <t>K</t>
    </r>
    <r>
      <rPr>
        <vertAlign val="subscript"/>
        <sz val="11"/>
        <rFont val="Calibri"/>
        <family val="2"/>
        <scheme val="minor"/>
      </rPr>
      <t>Mg,PAO,AS</t>
    </r>
    <r>
      <rPr>
        <sz val="11"/>
        <rFont val="Calibri"/>
        <family val="2"/>
        <scheme val="minor"/>
      </rPr>
      <t>*f</t>
    </r>
    <r>
      <rPr>
        <vertAlign val="subscript"/>
        <sz val="11"/>
        <rFont val="Calibri"/>
        <family val="2"/>
        <scheme val="minor"/>
      </rPr>
      <t>KS</t>
    </r>
  </si>
  <si>
    <r>
      <t>K</t>
    </r>
    <r>
      <rPr>
        <vertAlign val="subscript"/>
        <sz val="11"/>
        <rFont val="Calibri"/>
        <family val="2"/>
        <scheme val="minor"/>
      </rPr>
      <t>K,PAO,AS</t>
    </r>
    <r>
      <rPr>
        <sz val="11"/>
        <rFont val="Calibri"/>
        <family val="2"/>
        <scheme val="minor"/>
      </rPr>
      <t>*f</t>
    </r>
    <r>
      <rPr>
        <vertAlign val="subscript"/>
        <sz val="11"/>
        <rFont val="Calibri"/>
        <family val="2"/>
        <scheme val="minor"/>
      </rPr>
      <t>KS</t>
    </r>
  </si>
  <si>
    <r>
      <t>K</t>
    </r>
    <r>
      <rPr>
        <vertAlign val="subscript"/>
        <sz val="11"/>
        <rFont val="Calibri"/>
        <family val="2"/>
        <scheme val="minor"/>
      </rPr>
      <t>Ca,PAO,AS</t>
    </r>
    <r>
      <rPr>
        <sz val="11"/>
        <rFont val="Calibri"/>
        <family val="2"/>
        <scheme val="minor"/>
      </rPr>
      <t>*f</t>
    </r>
    <r>
      <rPr>
        <vertAlign val="subscript"/>
        <sz val="11"/>
        <rFont val="Calibri"/>
        <family val="2"/>
        <scheme val="minor"/>
      </rPr>
      <t>KS</t>
    </r>
  </si>
  <si>
    <r>
      <t>Ki</t>
    </r>
    <r>
      <rPr>
        <vertAlign val="subscript"/>
        <sz val="11"/>
        <rFont val="Calibri"/>
        <family val="2"/>
        <scheme val="minor"/>
      </rPr>
      <t>PO4,lim,AS</t>
    </r>
    <r>
      <rPr>
        <sz val="11"/>
        <rFont val="Calibri"/>
        <family val="2"/>
        <scheme val="minor"/>
      </rPr>
      <t>*f</t>
    </r>
    <r>
      <rPr>
        <vertAlign val="subscript"/>
        <sz val="11"/>
        <rFont val="Calibri"/>
        <family val="2"/>
        <scheme val="minor"/>
      </rPr>
      <t>KS</t>
    </r>
  </si>
  <si>
    <r>
      <t>K</t>
    </r>
    <r>
      <rPr>
        <vertAlign val="subscript"/>
        <sz val="11"/>
        <rFont val="Calibri"/>
        <family val="2"/>
        <scheme val="minor"/>
      </rPr>
      <t>VFA,AMETO,AS</t>
    </r>
    <r>
      <rPr>
        <sz val="11"/>
        <rFont val="Calibri"/>
        <family val="2"/>
        <scheme val="minor"/>
      </rPr>
      <t>*f</t>
    </r>
    <r>
      <rPr>
        <vertAlign val="subscript"/>
        <sz val="11"/>
        <rFont val="Calibri"/>
        <family val="2"/>
        <scheme val="minor"/>
      </rPr>
      <t>KS</t>
    </r>
  </si>
  <si>
    <r>
      <t>Ki</t>
    </r>
    <r>
      <rPr>
        <vertAlign val="subscript"/>
        <sz val="11"/>
        <rFont val="Calibri"/>
        <family val="2"/>
        <scheme val="minor"/>
      </rPr>
      <t>VFA,AMETO,AS</t>
    </r>
    <r>
      <rPr>
        <sz val="11"/>
        <rFont val="Calibri"/>
        <family val="2"/>
        <scheme val="minor"/>
      </rPr>
      <t>*f</t>
    </r>
    <r>
      <rPr>
        <vertAlign val="subscript"/>
        <sz val="11"/>
        <rFont val="Calibri"/>
        <family val="2"/>
        <scheme val="minor"/>
      </rPr>
      <t>KS</t>
    </r>
  </si>
  <si>
    <r>
      <t>K</t>
    </r>
    <r>
      <rPr>
        <vertAlign val="subscript"/>
        <sz val="11"/>
        <rFont val="Calibri"/>
        <family val="2"/>
        <scheme val="minor"/>
      </rPr>
      <t>NOx,AMETO,AS</t>
    </r>
    <r>
      <rPr>
        <sz val="11"/>
        <rFont val="Calibri"/>
        <family val="2"/>
        <scheme val="minor"/>
      </rPr>
      <t>*f</t>
    </r>
    <r>
      <rPr>
        <vertAlign val="subscript"/>
        <sz val="11"/>
        <rFont val="Calibri"/>
        <family val="2"/>
        <scheme val="minor"/>
      </rPr>
      <t>KS</t>
    </r>
  </si>
  <si>
    <r>
      <t>K</t>
    </r>
    <r>
      <rPr>
        <vertAlign val="subscript"/>
        <sz val="11"/>
        <rFont val="Calibri"/>
        <family val="2"/>
        <scheme val="minor"/>
      </rPr>
      <t>H2,HMETO,AS</t>
    </r>
    <r>
      <rPr>
        <sz val="11"/>
        <rFont val="Calibri"/>
        <family val="2"/>
        <scheme val="minor"/>
      </rPr>
      <t>*f</t>
    </r>
    <r>
      <rPr>
        <vertAlign val="subscript"/>
        <sz val="11"/>
        <rFont val="Calibri"/>
        <family val="2"/>
        <scheme val="minor"/>
      </rPr>
      <t>KS</t>
    </r>
  </si>
  <si>
    <r>
      <t>K</t>
    </r>
    <r>
      <rPr>
        <vertAlign val="subscript"/>
        <sz val="11"/>
        <rFont val="Calibri"/>
        <family val="2"/>
        <scheme val="minor"/>
      </rPr>
      <t>NOx,HMETO,AS</t>
    </r>
    <r>
      <rPr>
        <sz val="11"/>
        <rFont val="Calibri"/>
        <family val="2"/>
        <scheme val="minor"/>
      </rPr>
      <t>*f</t>
    </r>
    <r>
      <rPr>
        <vertAlign val="subscript"/>
        <sz val="11"/>
        <rFont val="Calibri"/>
        <family val="2"/>
        <scheme val="minor"/>
      </rPr>
      <t>KS</t>
    </r>
  </si>
  <si>
    <r>
      <t>K</t>
    </r>
    <r>
      <rPr>
        <vertAlign val="subscript"/>
        <sz val="11"/>
        <rFont val="Calibri"/>
        <family val="2"/>
        <scheme val="minor"/>
      </rPr>
      <t>VFA,ASRO,AS</t>
    </r>
    <r>
      <rPr>
        <sz val="11"/>
        <rFont val="Calibri"/>
        <family val="2"/>
        <scheme val="minor"/>
      </rPr>
      <t>*f</t>
    </r>
    <r>
      <rPr>
        <vertAlign val="subscript"/>
        <sz val="11"/>
        <rFont val="Calibri"/>
        <family val="2"/>
        <scheme val="minor"/>
      </rPr>
      <t>KS</t>
    </r>
  </si>
  <si>
    <r>
      <t>K</t>
    </r>
    <r>
      <rPr>
        <vertAlign val="subscript"/>
        <sz val="11"/>
        <rFont val="Calibri"/>
        <family val="2"/>
        <scheme val="minor"/>
      </rPr>
      <t>SO4,ASRO,AS</t>
    </r>
    <r>
      <rPr>
        <sz val="11"/>
        <rFont val="Calibri"/>
        <family val="2"/>
        <scheme val="minor"/>
      </rPr>
      <t>*f</t>
    </r>
    <r>
      <rPr>
        <vertAlign val="subscript"/>
        <sz val="11"/>
        <rFont val="Calibri"/>
        <family val="2"/>
        <scheme val="minor"/>
      </rPr>
      <t>KS</t>
    </r>
  </si>
  <si>
    <r>
      <t>Ki</t>
    </r>
    <r>
      <rPr>
        <vertAlign val="subscript"/>
        <sz val="11"/>
        <rFont val="Calibri"/>
        <family val="2"/>
        <scheme val="minor"/>
      </rPr>
      <t>H2S,ASRO,AS</t>
    </r>
    <r>
      <rPr>
        <sz val="11"/>
        <rFont val="Calibri"/>
        <family val="2"/>
        <scheme val="minor"/>
      </rPr>
      <t>*f</t>
    </r>
    <r>
      <rPr>
        <vertAlign val="subscript"/>
        <sz val="11"/>
        <rFont val="Calibri"/>
        <family val="2"/>
        <scheme val="minor"/>
      </rPr>
      <t>KS</t>
    </r>
  </si>
  <si>
    <r>
      <t>K</t>
    </r>
    <r>
      <rPr>
        <vertAlign val="subscript"/>
        <sz val="11"/>
        <rFont val="Calibri"/>
        <family val="2"/>
        <scheme val="minor"/>
      </rPr>
      <t>NOx,ASRO,AS</t>
    </r>
    <r>
      <rPr>
        <sz val="11"/>
        <rFont val="Calibri"/>
        <family val="2"/>
        <scheme val="minor"/>
      </rPr>
      <t>*f</t>
    </r>
    <r>
      <rPr>
        <vertAlign val="subscript"/>
        <sz val="11"/>
        <rFont val="Calibri"/>
        <family val="2"/>
        <scheme val="minor"/>
      </rPr>
      <t>KS</t>
    </r>
  </si>
  <si>
    <r>
      <t>K</t>
    </r>
    <r>
      <rPr>
        <vertAlign val="subscript"/>
        <sz val="11"/>
        <rFont val="Calibri"/>
        <family val="2"/>
        <scheme val="minor"/>
      </rPr>
      <t>H2,HSRO,AS</t>
    </r>
    <r>
      <rPr>
        <sz val="11"/>
        <rFont val="Calibri"/>
        <family val="2"/>
        <scheme val="minor"/>
      </rPr>
      <t>*f</t>
    </r>
    <r>
      <rPr>
        <vertAlign val="subscript"/>
        <sz val="11"/>
        <rFont val="Calibri"/>
        <family val="2"/>
        <scheme val="minor"/>
      </rPr>
      <t>KS</t>
    </r>
  </si>
  <si>
    <r>
      <t>K</t>
    </r>
    <r>
      <rPr>
        <vertAlign val="subscript"/>
        <sz val="11"/>
        <rFont val="Calibri"/>
        <family val="2"/>
        <scheme val="minor"/>
      </rPr>
      <t>SO4,HSRO,AS</t>
    </r>
    <r>
      <rPr>
        <sz val="11"/>
        <rFont val="Calibri"/>
        <family val="2"/>
        <scheme val="minor"/>
      </rPr>
      <t>*f</t>
    </r>
    <r>
      <rPr>
        <vertAlign val="subscript"/>
        <sz val="11"/>
        <rFont val="Calibri"/>
        <family val="2"/>
        <scheme val="minor"/>
      </rPr>
      <t>KS</t>
    </r>
  </si>
  <si>
    <r>
      <t>Ki</t>
    </r>
    <r>
      <rPr>
        <vertAlign val="subscript"/>
        <sz val="11"/>
        <rFont val="Calibri"/>
        <family val="2"/>
        <scheme val="minor"/>
      </rPr>
      <t>H2S,HSRO,AS</t>
    </r>
    <r>
      <rPr>
        <sz val="11"/>
        <rFont val="Calibri"/>
        <family val="2"/>
        <scheme val="minor"/>
      </rPr>
      <t>*f</t>
    </r>
    <r>
      <rPr>
        <vertAlign val="subscript"/>
        <sz val="11"/>
        <rFont val="Calibri"/>
        <family val="2"/>
        <scheme val="minor"/>
      </rPr>
      <t>KS</t>
    </r>
  </si>
  <si>
    <r>
      <t>K</t>
    </r>
    <r>
      <rPr>
        <vertAlign val="subscript"/>
        <sz val="11"/>
        <rFont val="Calibri"/>
        <family val="2"/>
        <scheme val="minor"/>
      </rPr>
      <t>NOx,HSRO,AS</t>
    </r>
    <r>
      <rPr>
        <sz val="11"/>
        <rFont val="Calibri"/>
        <family val="2"/>
        <scheme val="minor"/>
      </rPr>
      <t>*f</t>
    </r>
    <r>
      <rPr>
        <vertAlign val="subscript"/>
        <sz val="11"/>
        <rFont val="Calibri"/>
        <family val="2"/>
        <scheme val="minor"/>
      </rPr>
      <t>KS</t>
    </r>
  </si>
  <si>
    <r>
      <t>K</t>
    </r>
    <r>
      <rPr>
        <vertAlign val="subscript"/>
        <sz val="11"/>
        <rFont val="Calibri"/>
        <family val="2"/>
        <scheme val="minor"/>
      </rPr>
      <t>O2,H2S,SOO,AS</t>
    </r>
    <r>
      <rPr>
        <sz val="11"/>
        <rFont val="Calibri"/>
        <family val="2"/>
        <scheme val="minor"/>
      </rPr>
      <t>*f</t>
    </r>
    <r>
      <rPr>
        <vertAlign val="subscript"/>
        <sz val="11"/>
        <rFont val="Calibri"/>
        <family val="2"/>
        <scheme val="minor"/>
      </rPr>
      <t>KS</t>
    </r>
  </si>
  <si>
    <r>
      <t>K</t>
    </r>
    <r>
      <rPr>
        <vertAlign val="subscript"/>
        <sz val="11"/>
        <rFont val="Calibri"/>
        <family val="2"/>
        <scheme val="minor"/>
      </rPr>
      <t>NO2,H2S,SOO,AS</t>
    </r>
    <r>
      <rPr>
        <sz val="11"/>
        <rFont val="Calibri"/>
        <family val="2"/>
        <scheme val="minor"/>
      </rPr>
      <t>*f</t>
    </r>
    <r>
      <rPr>
        <vertAlign val="subscript"/>
        <sz val="11"/>
        <rFont val="Calibri"/>
        <family val="2"/>
        <scheme val="minor"/>
      </rPr>
      <t>KS</t>
    </r>
  </si>
  <si>
    <r>
      <t>K</t>
    </r>
    <r>
      <rPr>
        <vertAlign val="subscript"/>
        <sz val="11"/>
        <rFont val="Calibri"/>
        <family val="2"/>
        <scheme val="minor"/>
      </rPr>
      <t>NO3,H2S,SOO,AS</t>
    </r>
    <r>
      <rPr>
        <sz val="11"/>
        <rFont val="Calibri"/>
        <family val="2"/>
        <scheme val="minor"/>
      </rPr>
      <t>*f</t>
    </r>
    <r>
      <rPr>
        <vertAlign val="subscript"/>
        <sz val="11"/>
        <rFont val="Calibri"/>
        <family val="2"/>
        <scheme val="minor"/>
      </rPr>
      <t>KS</t>
    </r>
  </si>
  <si>
    <r>
      <t>K</t>
    </r>
    <r>
      <rPr>
        <vertAlign val="subscript"/>
        <sz val="11"/>
        <rFont val="Calibri"/>
        <family val="2"/>
        <scheme val="minor"/>
      </rPr>
      <t>O2,S,SOO,AS</t>
    </r>
    <r>
      <rPr>
        <sz val="11"/>
        <rFont val="Calibri"/>
        <family val="2"/>
        <scheme val="minor"/>
      </rPr>
      <t>*f</t>
    </r>
    <r>
      <rPr>
        <vertAlign val="subscript"/>
        <sz val="11"/>
        <rFont val="Calibri"/>
        <family val="2"/>
        <scheme val="minor"/>
      </rPr>
      <t>KS</t>
    </r>
  </si>
  <si>
    <r>
      <t>K</t>
    </r>
    <r>
      <rPr>
        <vertAlign val="subscript"/>
        <sz val="11"/>
        <rFont val="Calibri"/>
        <family val="2"/>
        <scheme val="minor"/>
      </rPr>
      <t>NO2,S,SOO,AS</t>
    </r>
    <r>
      <rPr>
        <sz val="11"/>
        <rFont val="Calibri"/>
        <family val="2"/>
        <scheme val="minor"/>
      </rPr>
      <t>*f</t>
    </r>
    <r>
      <rPr>
        <vertAlign val="subscript"/>
        <sz val="11"/>
        <rFont val="Calibri"/>
        <family val="2"/>
        <scheme val="minor"/>
      </rPr>
      <t>KS</t>
    </r>
  </si>
  <si>
    <r>
      <t>K</t>
    </r>
    <r>
      <rPr>
        <vertAlign val="subscript"/>
        <sz val="11"/>
        <rFont val="Calibri"/>
        <family val="2"/>
        <scheme val="minor"/>
      </rPr>
      <t>NO3,S,SOO,AS</t>
    </r>
    <r>
      <rPr>
        <sz val="11"/>
        <rFont val="Calibri"/>
        <family val="2"/>
        <scheme val="minor"/>
      </rPr>
      <t>*f</t>
    </r>
    <r>
      <rPr>
        <vertAlign val="subscript"/>
        <sz val="11"/>
        <rFont val="Calibri"/>
        <family val="2"/>
        <scheme val="minor"/>
      </rPr>
      <t>KS</t>
    </r>
  </si>
  <si>
    <r>
      <t>K</t>
    </r>
    <r>
      <rPr>
        <vertAlign val="subscript"/>
        <sz val="11"/>
        <rFont val="Calibri"/>
        <family val="2"/>
        <scheme val="minor"/>
      </rPr>
      <t>H2S,SOO,AS</t>
    </r>
    <r>
      <rPr>
        <sz val="11"/>
        <rFont val="Calibri"/>
        <family val="2"/>
        <scheme val="minor"/>
      </rPr>
      <t>*f</t>
    </r>
    <r>
      <rPr>
        <vertAlign val="subscript"/>
        <sz val="11"/>
        <rFont val="Calibri"/>
        <family val="2"/>
        <scheme val="minor"/>
      </rPr>
      <t>KS</t>
    </r>
  </si>
  <si>
    <r>
      <t>Ki</t>
    </r>
    <r>
      <rPr>
        <vertAlign val="subscript"/>
        <sz val="11"/>
        <rFont val="Calibri"/>
        <family val="2"/>
        <scheme val="minor"/>
      </rPr>
      <t>H2S,SOO,AS</t>
    </r>
    <r>
      <rPr>
        <sz val="11"/>
        <rFont val="Calibri"/>
        <family val="2"/>
        <scheme val="minor"/>
      </rPr>
      <t>*f</t>
    </r>
    <r>
      <rPr>
        <vertAlign val="subscript"/>
        <sz val="11"/>
        <rFont val="Calibri"/>
        <family val="2"/>
        <scheme val="minor"/>
      </rPr>
      <t>KS</t>
    </r>
  </si>
  <si>
    <r>
      <t>K</t>
    </r>
    <r>
      <rPr>
        <vertAlign val="subscript"/>
        <sz val="11"/>
        <rFont val="Calibri"/>
        <family val="2"/>
        <scheme val="minor"/>
      </rPr>
      <t>S,SOO,AS</t>
    </r>
    <r>
      <rPr>
        <sz val="11"/>
        <rFont val="Calibri"/>
        <family val="2"/>
        <scheme val="minor"/>
      </rPr>
      <t>*f</t>
    </r>
    <r>
      <rPr>
        <vertAlign val="subscript"/>
        <sz val="11"/>
        <rFont val="Calibri"/>
        <family val="2"/>
        <scheme val="minor"/>
      </rPr>
      <t>KS</t>
    </r>
  </si>
  <si>
    <r>
      <t>K</t>
    </r>
    <r>
      <rPr>
        <vertAlign val="subscript"/>
        <sz val="11"/>
        <rFont val="Calibri"/>
        <family val="2"/>
        <scheme val="minor"/>
      </rPr>
      <t>NHx,BIO,AS</t>
    </r>
    <r>
      <rPr>
        <sz val="11"/>
        <rFont val="Calibri"/>
        <family val="2"/>
        <scheme val="minor"/>
      </rPr>
      <t>*f</t>
    </r>
    <r>
      <rPr>
        <vertAlign val="subscript"/>
        <sz val="11"/>
        <rFont val="Calibri"/>
        <family val="2"/>
        <scheme val="minor"/>
      </rPr>
      <t>KS</t>
    </r>
  </si>
  <si>
    <r>
      <t>K</t>
    </r>
    <r>
      <rPr>
        <vertAlign val="subscript"/>
        <sz val="11"/>
        <rFont val="Calibri"/>
        <family val="2"/>
        <scheme val="minor"/>
      </rPr>
      <t>PO4,BIO,AS</t>
    </r>
    <r>
      <rPr>
        <sz val="11"/>
        <rFont val="Calibri"/>
        <family val="2"/>
        <scheme val="minor"/>
      </rPr>
      <t>*f</t>
    </r>
    <r>
      <rPr>
        <vertAlign val="subscript"/>
        <sz val="11"/>
        <rFont val="Calibri"/>
        <family val="2"/>
        <scheme val="minor"/>
      </rPr>
      <t>KS</t>
    </r>
  </si>
  <si>
    <r>
      <t>K</t>
    </r>
    <r>
      <rPr>
        <vertAlign val="subscript"/>
        <sz val="11"/>
        <rFont val="Calibri"/>
        <family val="2"/>
        <scheme val="minor"/>
      </rPr>
      <t>SO4,BIO,AS</t>
    </r>
    <r>
      <rPr>
        <sz val="11"/>
        <rFont val="Calibri"/>
        <family val="2"/>
        <scheme val="minor"/>
      </rPr>
      <t>*f</t>
    </r>
    <r>
      <rPr>
        <vertAlign val="subscript"/>
        <sz val="11"/>
        <rFont val="Calibri"/>
        <family val="2"/>
        <scheme val="minor"/>
      </rPr>
      <t>KS</t>
    </r>
  </si>
  <si>
    <r>
      <t>K</t>
    </r>
    <r>
      <rPr>
        <vertAlign val="subscript"/>
        <sz val="11"/>
        <rFont val="Calibri"/>
        <family val="2"/>
        <scheme val="minor"/>
      </rPr>
      <t>CO2,BIO,AS</t>
    </r>
    <r>
      <rPr>
        <sz val="11"/>
        <rFont val="Calibri"/>
        <family val="2"/>
        <scheme val="minor"/>
      </rPr>
      <t>*f</t>
    </r>
    <r>
      <rPr>
        <vertAlign val="subscript"/>
        <sz val="11"/>
        <rFont val="Calibri"/>
        <family val="2"/>
        <scheme val="minor"/>
      </rPr>
      <t>KS</t>
    </r>
  </si>
  <si>
    <r>
      <t>K</t>
    </r>
    <r>
      <rPr>
        <vertAlign val="subscript"/>
        <sz val="11"/>
        <rFont val="Calibri"/>
        <family val="2"/>
        <scheme val="minor"/>
      </rPr>
      <t>CAT,AS</t>
    </r>
    <r>
      <rPr>
        <sz val="11"/>
        <rFont val="Calibri"/>
        <family val="2"/>
        <scheme val="minor"/>
      </rPr>
      <t>*f</t>
    </r>
    <r>
      <rPr>
        <vertAlign val="subscript"/>
        <sz val="11"/>
        <rFont val="Calibri"/>
        <family val="2"/>
        <scheme val="minor"/>
      </rPr>
      <t>KS</t>
    </r>
  </si>
  <si>
    <r>
      <t>K</t>
    </r>
    <r>
      <rPr>
        <vertAlign val="subscript"/>
        <sz val="11"/>
        <rFont val="Calibri"/>
        <family val="2"/>
        <scheme val="minor"/>
      </rPr>
      <t>AN,AS</t>
    </r>
    <r>
      <rPr>
        <sz val="11"/>
        <rFont val="Calibri"/>
        <family val="2"/>
        <scheme val="minor"/>
      </rPr>
      <t>*f</t>
    </r>
    <r>
      <rPr>
        <vertAlign val="subscript"/>
        <sz val="11"/>
        <rFont val="Calibri"/>
        <family val="2"/>
        <scheme val="minor"/>
      </rPr>
      <t>KS</t>
    </r>
  </si>
  <si>
    <r>
      <t>K</t>
    </r>
    <r>
      <rPr>
        <vertAlign val="subscript"/>
        <sz val="11"/>
        <rFont val="Calibri"/>
        <family val="2"/>
        <scheme val="minor"/>
      </rPr>
      <t>HYD,AS</t>
    </r>
    <r>
      <rPr>
        <sz val="11"/>
        <rFont val="Calibri"/>
        <family val="2"/>
        <scheme val="minor"/>
      </rPr>
      <t>*f</t>
    </r>
    <r>
      <rPr>
        <vertAlign val="subscript"/>
        <sz val="11"/>
        <rFont val="Calibri"/>
        <family val="2"/>
        <scheme val="minor"/>
      </rPr>
      <t>KS</t>
    </r>
  </si>
  <si>
    <r>
      <t>Ki</t>
    </r>
    <r>
      <rPr>
        <vertAlign val="subscript"/>
        <sz val="11"/>
        <rFont val="Calibri"/>
        <family val="2"/>
        <scheme val="minor"/>
      </rPr>
      <t>NHx,ASSIM,AS</t>
    </r>
    <r>
      <rPr>
        <sz val="11"/>
        <rFont val="Calibri"/>
        <family val="2"/>
        <scheme val="minor"/>
      </rPr>
      <t>*f</t>
    </r>
    <r>
      <rPr>
        <vertAlign val="subscript"/>
        <sz val="11"/>
        <rFont val="Calibri"/>
        <family val="2"/>
        <scheme val="minor"/>
      </rPr>
      <t>KS</t>
    </r>
  </si>
  <si>
    <r>
      <t>K</t>
    </r>
    <r>
      <rPr>
        <vertAlign val="subscript"/>
        <sz val="11"/>
        <rFont val="Calibri"/>
        <family val="2"/>
        <scheme val="minor"/>
      </rPr>
      <t>NO2,ASSIM,AS</t>
    </r>
    <r>
      <rPr>
        <sz val="11"/>
        <rFont val="Calibri"/>
        <family val="2"/>
        <scheme val="minor"/>
      </rPr>
      <t>*f</t>
    </r>
    <r>
      <rPr>
        <vertAlign val="subscript"/>
        <sz val="11"/>
        <rFont val="Calibri"/>
        <family val="2"/>
        <scheme val="minor"/>
      </rPr>
      <t>KS</t>
    </r>
  </si>
  <si>
    <r>
      <t>K</t>
    </r>
    <r>
      <rPr>
        <vertAlign val="subscript"/>
        <sz val="11"/>
        <rFont val="Calibri"/>
        <family val="2"/>
        <scheme val="minor"/>
      </rPr>
      <t>NO3,ASSIM,AS</t>
    </r>
    <r>
      <rPr>
        <sz val="11"/>
        <rFont val="Calibri"/>
        <family val="2"/>
        <scheme val="minor"/>
      </rPr>
      <t>*f</t>
    </r>
    <r>
      <rPr>
        <vertAlign val="subscript"/>
        <sz val="11"/>
        <rFont val="Calibri"/>
        <family val="2"/>
        <scheme val="minor"/>
      </rPr>
      <t>KS</t>
    </r>
  </si>
  <si>
    <r>
      <t>Ki</t>
    </r>
    <r>
      <rPr>
        <vertAlign val="subscript"/>
        <sz val="11"/>
        <rFont val="Calibri"/>
        <family val="2"/>
        <scheme val="minor"/>
      </rPr>
      <t>SO4,ASSIM,AS</t>
    </r>
    <r>
      <rPr>
        <sz val="11"/>
        <rFont val="Calibri"/>
        <family val="2"/>
        <scheme val="minor"/>
      </rPr>
      <t>*f</t>
    </r>
    <r>
      <rPr>
        <vertAlign val="subscript"/>
        <sz val="11"/>
        <rFont val="Calibri"/>
        <family val="2"/>
        <scheme val="minor"/>
      </rPr>
      <t>KS</t>
    </r>
  </si>
  <si>
    <r>
      <t>K</t>
    </r>
    <r>
      <rPr>
        <vertAlign val="subscript"/>
        <sz val="11"/>
        <rFont val="Calibri"/>
        <family val="2"/>
        <scheme val="minor"/>
      </rPr>
      <t>H2S,ASSIM,AS</t>
    </r>
    <r>
      <rPr>
        <sz val="11"/>
        <rFont val="Calibri"/>
        <family val="2"/>
        <scheme val="minor"/>
      </rPr>
      <t>*f</t>
    </r>
    <r>
      <rPr>
        <vertAlign val="subscript"/>
        <sz val="11"/>
        <rFont val="Calibri"/>
        <family val="2"/>
        <scheme val="minor"/>
      </rPr>
      <t>KS</t>
    </r>
  </si>
  <si>
    <t>fKS=1 in bulk and fKS,biofilm in biofilm</t>
  </si>
  <si>
    <r>
      <t>S</t>
    </r>
    <r>
      <rPr>
        <vertAlign val="subscript"/>
        <sz val="11"/>
        <rFont val="Calibri"/>
        <family val="2"/>
        <scheme val="minor"/>
      </rPr>
      <t>KN</t>
    </r>
  </si>
  <si>
    <t>Soluble Kjeldahl nitrogen (SKN)</t>
  </si>
  <si>
    <r>
      <t>S</t>
    </r>
    <r>
      <rPr>
        <vertAlign val="subscript"/>
        <sz val="11"/>
        <rFont val="Calibri"/>
        <family val="2"/>
        <scheme val="minor"/>
      </rPr>
      <t>NHx</t>
    </r>
    <r>
      <rPr>
        <sz val="11"/>
        <rFont val="Calibri"/>
        <family val="2"/>
        <scheme val="minor"/>
      </rPr>
      <t xml:space="preserve"> + S</t>
    </r>
    <r>
      <rPr>
        <vertAlign val="subscript"/>
        <sz val="11"/>
        <rFont val="Calibri"/>
        <family val="2"/>
        <scheme val="minor"/>
      </rPr>
      <t>N,B</t>
    </r>
    <r>
      <rPr>
        <sz val="11"/>
        <rFont val="Calibri"/>
        <family val="2"/>
        <scheme val="minor"/>
      </rPr>
      <t xml:space="preserve"> + i</t>
    </r>
    <r>
      <rPr>
        <vertAlign val="subscript"/>
        <sz val="11"/>
        <rFont val="Calibri"/>
        <family val="2"/>
        <scheme val="minor"/>
      </rPr>
      <t>N,CB</t>
    </r>
    <r>
      <rPr>
        <sz val="11"/>
        <rFont val="Calibri"/>
        <family val="2"/>
        <scheme val="minor"/>
      </rPr>
      <t>*C</t>
    </r>
    <r>
      <rPr>
        <vertAlign val="subscript"/>
        <sz val="11"/>
        <rFont val="Calibri"/>
        <family val="2"/>
        <scheme val="minor"/>
      </rPr>
      <t>B</t>
    </r>
    <r>
      <rPr>
        <sz val="11"/>
        <rFont val="Calibri"/>
        <family val="2"/>
        <scheme val="minor"/>
      </rPr>
      <t xml:space="preserve"> + i</t>
    </r>
    <r>
      <rPr>
        <vertAlign val="subscript"/>
        <sz val="11"/>
        <rFont val="Calibri"/>
        <family val="2"/>
        <scheme val="minor"/>
      </rPr>
      <t>N,SU</t>
    </r>
    <r>
      <rPr>
        <sz val="11"/>
        <rFont val="Calibri"/>
        <family val="2"/>
        <scheme val="minor"/>
      </rPr>
      <t>*S</t>
    </r>
    <r>
      <rPr>
        <vertAlign val="subscript"/>
        <sz val="11"/>
        <rFont val="Calibri"/>
        <family val="2"/>
        <scheme val="minor"/>
      </rPr>
      <t>U</t>
    </r>
    <r>
      <rPr>
        <sz val="11"/>
        <rFont val="Calibri"/>
        <family val="2"/>
        <scheme val="minor"/>
      </rPr>
      <t xml:space="preserve"> +i</t>
    </r>
    <r>
      <rPr>
        <vertAlign val="subscript"/>
        <sz val="11"/>
        <rFont val="Calibri"/>
        <family val="2"/>
        <scheme val="minor"/>
      </rPr>
      <t>N,CU</t>
    </r>
    <r>
      <rPr>
        <sz val="11"/>
        <rFont val="Calibri"/>
        <family val="2"/>
        <scheme val="minor"/>
      </rPr>
      <t>*C</t>
    </r>
    <r>
      <rPr>
        <vertAlign val="subscript"/>
        <sz val="11"/>
        <rFont val="Calibri"/>
        <family val="2"/>
        <scheme val="minor"/>
      </rPr>
      <t>U</t>
    </r>
  </si>
  <si>
    <r>
      <t>S</t>
    </r>
    <r>
      <rPr>
        <vertAlign val="subscript"/>
        <sz val="11"/>
        <rFont val="Calibri"/>
        <family val="2"/>
        <scheme val="minor"/>
      </rPr>
      <t>P</t>
    </r>
  </si>
  <si>
    <t>Soluble phosphorus</t>
  </si>
  <si>
    <r>
      <t>S</t>
    </r>
    <r>
      <rPr>
        <vertAlign val="subscript"/>
        <sz val="11"/>
        <rFont val="Calibri"/>
        <family val="2"/>
        <scheme val="minor"/>
      </rPr>
      <t>PO4</t>
    </r>
    <r>
      <rPr>
        <sz val="11"/>
        <rFont val="Calibri"/>
        <family val="2"/>
        <scheme val="minor"/>
      </rPr>
      <t xml:space="preserve"> + S</t>
    </r>
    <r>
      <rPr>
        <vertAlign val="subscript"/>
        <sz val="11"/>
        <rFont val="Calibri"/>
        <family val="2"/>
        <scheme val="minor"/>
      </rPr>
      <t>P,B</t>
    </r>
    <r>
      <rPr>
        <sz val="11"/>
        <rFont val="Calibri"/>
        <family val="2"/>
        <scheme val="minor"/>
      </rPr>
      <t xml:space="preserve"> + i</t>
    </r>
    <r>
      <rPr>
        <vertAlign val="subscript"/>
        <sz val="11"/>
        <rFont val="Calibri"/>
        <family val="2"/>
        <scheme val="minor"/>
      </rPr>
      <t>P,CB</t>
    </r>
    <r>
      <rPr>
        <sz val="11"/>
        <rFont val="Calibri"/>
        <family val="2"/>
        <scheme val="minor"/>
      </rPr>
      <t>*C</t>
    </r>
    <r>
      <rPr>
        <vertAlign val="subscript"/>
        <sz val="11"/>
        <rFont val="Calibri"/>
        <family val="2"/>
        <scheme val="minor"/>
      </rPr>
      <t>B</t>
    </r>
    <r>
      <rPr>
        <sz val="11"/>
        <rFont val="Calibri"/>
        <family val="2"/>
        <scheme val="minor"/>
      </rPr>
      <t xml:space="preserve"> + i</t>
    </r>
    <r>
      <rPr>
        <vertAlign val="subscript"/>
        <sz val="11"/>
        <rFont val="Calibri"/>
        <family val="2"/>
        <scheme val="minor"/>
      </rPr>
      <t>P,SU</t>
    </r>
    <r>
      <rPr>
        <sz val="11"/>
        <rFont val="Calibri"/>
        <family val="2"/>
        <scheme val="minor"/>
      </rPr>
      <t>*S</t>
    </r>
    <r>
      <rPr>
        <vertAlign val="subscript"/>
        <sz val="11"/>
        <rFont val="Calibri"/>
        <family val="2"/>
        <scheme val="minor"/>
      </rPr>
      <t>U</t>
    </r>
    <r>
      <rPr>
        <sz val="11"/>
        <rFont val="Calibri"/>
        <family val="2"/>
        <scheme val="minor"/>
      </rPr>
      <t xml:space="preserve"> + i</t>
    </r>
    <r>
      <rPr>
        <vertAlign val="subscript"/>
        <sz val="11"/>
        <rFont val="Calibri"/>
        <family val="2"/>
        <scheme val="minor"/>
      </rPr>
      <t>P,CU</t>
    </r>
    <r>
      <rPr>
        <sz val="11"/>
        <rFont val="Calibri"/>
        <family val="2"/>
        <scheme val="minor"/>
      </rPr>
      <t>*C</t>
    </r>
    <r>
      <rPr>
        <vertAlign val="subscript"/>
        <sz val="11"/>
        <rFont val="Calibri"/>
        <family val="2"/>
        <scheme val="minor"/>
      </rPr>
      <t>U</t>
    </r>
  </si>
  <si>
    <r>
      <t>Ki</t>
    </r>
    <r>
      <rPr>
        <vertAlign val="subscript"/>
        <sz val="11"/>
        <rFont val="Calibri"/>
        <family val="2"/>
        <scheme val="minor"/>
      </rPr>
      <t>O2,MEOLO,AS</t>
    </r>
  </si>
  <si>
    <r>
      <t>Half-inhibition of O</t>
    </r>
    <r>
      <rPr>
        <vertAlign val="subscript"/>
        <sz val="11"/>
        <color rgb="FF000000"/>
        <rFont val="Calibri"/>
        <family val="2"/>
        <scheme val="minor"/>
      </rPr>
      <t>2</t>
    </r>
    <r>
      <rPr>
        <sz val="11"/>
        <color rgb="FF000000"/>
        <rFont val="Calibri"/>
        <family val="2"/>
        <charset val="238"/>
        <scheme val="minor"/>
      </rPr>
      <t xml:space="preserve"> for MEOLOs (AS)</t>
    </r>
  </si>
  <si>
    <r>
      <t>mV</t>
    </r>
    <r>
      <rPr>
        <vertAlign val="superscript"/>
        <sz val="11"/>
        <rFont val="Calibri"/>
        <family val="2"/>
        <scheme val="minor"/>
      </rPr>
      <t>-1</t>
    </r>
  </si>
  <si>
    <r>
      <t>Ki</t>
    </r>
    <r>
      <rPr>
        <vertAlign val="subscript"/>
        <sz val="11"/>
        <color indexed="8"/>
        <rFont val="Calibri"/>
        <family val="2"/>
        <scheme val="minor"/>
      </rPr>
      <t>O2,AMX,AS</t>
    </r>
  </si>
  <si>
    <t>Half-inhibition of O2 for AMX (AS)</t>
  </si>
  <si>
    <r>
      <t>Half-inhibition of O</t>
    </r>
    <r>
      <rPr>
        <vertAlign val="subscript"/>
        <sz val="11"/>
        <color rgb="FF000000"/>
        <rFont val="Calibri"/>
        <family val="2"/>
        <scheme val="minor"/>
      </rPr>
      <t>2</t>
    </r>
    <r>
      <rPr>
        <sz val="11"/>
        <color rgb="FF000000"/>
        <rFont val="Calibri"/>
        <family val="2"/>
        <charset val="238"/>
        <scheme val="minor"/>
      </rPr>
      <t xml:space="preserve"> for AMETOs (AS)</t>
    </r>
  </si>
  <si>
    <r>
      <t>Ki</t>
    </r>
    <r>
      <rPr>
        <vertAlign val="subscript"/>
        <sz val="11"/>
        <rFont val="Calibri"/>
        <family val="2"/>
        <scheme val="minor"/>
      </rPr>
      <t>O2,AMETO,AS</t>
    </r>
  </si>
  <si>
    <r>
      <t>Ki</t>
    </r>
    <r>
      <rPr>
        <vertAlign val="subscript"/>
        <sz val="11"/>
        <color indexed="8"/>
        <rFont val="Calibri"/>
        <family val="2"/>
        <scheme val="minor"/>
      </rPr>
      <t>O2,HMETO,AS</t>
    </r>
  </si>
  <si>
    <r>
      <t>Half-inhibition of O</t>
    </r>
    <r>
      <rPr>
        <vertAlign val="subscript"/>
        <sz val="11"/>
        <color rgb="FF000000"/>
        <rFont val="Calibri"/>
        <family val="2"/>
        <scheme val="minor"/>
      </rPr>
      <t>2</t>
    </r>
    <r>
      <rPr>
        <sz val="11"/>
        <color rgb="FF000000"/>
        <rFont val="Calibri"/>
        <family val="2"/>
        <charset val="238"/>
        <scheme val="minor"/>
      </rPr>
      <t xml:space="preserve"> for HMETOs (AS)</t>
    </r>
  </si>
  <si>
    <r>
      <t>Ki</t>
    </r>
    <r>
      <rPr>
        <vertAlign val="subscript"/>
        <sz val="11"/>
        <color indexed="8"/>
        <rFont val="Calibri"/>
        <family val="2"/>
        <scheme val="minor"/>
      </rPr>
      <t>O2,ASRO,AS</t>
    </r>
  </si>
  <si>
    <r>
      <t>Half-inhibition of O</t>
    </r>
    <r>
      <rPr>
        <vertAlign val="subscript"/>
        <sz val="11"/>
        <color rgb="FF000000"/>
        <rFont val="Calibri"/>
        <family val="2"/>
        <scheme val="minor"/>
      </rPr>
      <t>2</t>
    </r>
    <r>
      <rPr>
        <sz val="11"/>
        <color rgb="FF000000"/>
        <rFont val="Calibri"/>
        <family val="2"/>
        <charset val="238"/>
        <scheme val="minor"/>
      </rPr>
      <t xml:space="preserve"> for ASROs (AS)</t>
    </r>
  </si>
  <si>
    <r>
      <t>Half-inhibition of O</t>
    </r>
    <r>
      <rPr>
        <vertAlign val="subscript"/>
        <sz val="11"/>
        <color rgb="FF000000"/>
        <rFont val="Calibri"/>
        <family val="2"/>
        <scheme val="minor"/>
      </rPr>
      <t>2</t>
    </r>
    <r>
      <rPr>
        <sz val="11"/>
        <color rgb="FF000000"/>
        <rFont val="Calibri"/>
        <family val="2"/>
        <charset val="238"/>
        <scheme val="minor"/>
      </rPr>
      <t xml:space="preserve"> for HSROs (AS)</t>
    </r>
  </si>
  <si>
    <r>
      <t>Ki</t>
    </r>
    <r>
      <rPr>
        <vertAlign val="subscript"/>
        <sz val="11"/>
        <color indexed="8"/>
        <rFont val="Calibri"/>
        <family val="2"/>
        <scheme val="minor"/>
      </rPr>
      <t>O2,HSRO,AS</t>
    </r>
  </si>
  <si>
    <r>
      <t>b</t>
    </r>
    <r>
      <rPr>
        <vertAlign val="subscript"/>
        <sz val="11"/>
        <rFont val="Calibri"/>
        <family val="2"/>
      </rPr>
      <t>MEOLO,T</t>
    </r>
    <r>
      <rPr>
        <sz val="11"/>
        <rFont val="Calibri"/>
        <family val="2"/>
      </rPr>
      <t>*X</t>
    </r>
    <r>
      <rPr>
        <vertAlign val="subscript"/>
        <sz val="11"/>
        <rFont val="Calibri"/>
        <family val="2"/>
      </rPr>
      <t>MEOLO</t>
    </r>
    <r>
      <rPr>
        <sz val="11"/>
        <rFont val="Calibri"/>
        <family val="2"/>
      </rPr>
      <t>*(Msat</t>
    </r>
    <r>
      <rPr>
        <vertAlign val="subscript"/>
        <sz val="11"/>
        <rFont val="Calibri"/>
        <family val="2"/>
      </rPr>
      <t>SO2,KiO2,MEOLO</t>
    </r>
    <r>
      <rPr>
        <sz val="11"/>
        <rFont val="Calibri"/>
        <family val="2"/>
      </rPr>
      <t>+η</t>
    </r>
    <r>
      <rPr>
        <vertAlign val="subscript"/>
        <sz val="11"/>
        <rFont val="Calibri"/>
        <family val="2"/>
      </rPr>
      <t>b,anox</t>
    </r>
    <r>
      <rPr>
        <sz val="11"/>
        <rFont val="Calibri"/>
        <family val="2"/>
      </rPr>
      <t>*Msat</t>
    </r>
    <r>
      <rPr>
        <vertAlign val="subscript"/>
        <sz val="11"/>
        <rFont val="Calibri"/>
        <family val="2"/>
      </rPr>
      <t>SNO2,KNO2,MEOLO</t>
    </r>
    <r>
      <rPr>
        <sz val="11"/>
        <rFont val="Calibri"/>
        <family val="2"/>
      </rPr>
      <t>*Minh</t>
    </r>
    <r>
      <rPr>
        <vertAlign val="subscript"/>
        <sz val="11"/>
        <rFont val="Calibri"/>
        <family val="2"/>
      </rPr>
      <t>SO2,KiO2,MEOLO</t>
    </r>
    <r>
      <rPr>
        <sz val="11"/>
        <rFont val="Calibri"/>
        <family val="2"/>
      </rPr>
      <t>+m</t>
    </r>
    <r>
      <rPr>
        <vertAlign val="subscript"/>
        <sz val="11"/>
        <rFont val="Calibri"/>
        <family val="2"/>
      </rPr>
      <t>tox,anox</t>
    </r>
    <r>
      <rPr>
        <sz val="11"/>
        <rFont val="Calibri"/>
        <family val="2"/>
      </rPr>
      <t>*Msat</t>
    </r>
    <r>
      <rPr>
        <vertAlign val="subscript"/>
        <sz val="11"/>
        <rFont val="Calibri"/>
        <family val="2"/>
      </rPr>
      <t>SNO3,KNO3,MEOLO</t>
    </r>
    <r>
      <rPr>
        <sz val="11"/>
        <rFont val="Calibri"/>
        <family val="2"/>
      </rPr>
      <t>*Minh</t>
    </r>
    <r>
      <rPr>
        <vertAlign val="subscript"/>
        <sz val="11"/>
        <rFont val="Calibri"/>
        <family val="2"/>
      </rPr>
      <t>SNO2,KNO2,MEOLO</t>
    </r>
    <r>
      <rPr>
        <sz val="11"/>
        <rFont val="Calibri"/>
        <family val="2"/>
      </rPr>
      <t>*Minh</t>
    </r>
    <r>
      <rPr>
        <vertAlign val="subscript"/>
        <sz val="11"/>
        <rFont val="Calibri"/>
        <family val="2"/>
      </rPr>
      <t>SO2,KiO2,MEOLO</t>
    </r>
    <r>
      <rPr>
        <sz val="11"/>
        <rFont val="Calibri"/>
        <family val="2"/>
      </rPr>
      <t>)</t>
    </r>
  </si>
  <si>
    <r>
      <t>b</t>
    </r>
    <r>
      <rPr>
        <vertAlign val="subscript"/>
        <sz val="11"/>
        <rFont val="Calibri"/>
        <family val="2"/>
      </rPr>
      <t>MEOLO,T</t>
    </r>
    <r>
      <rPr>
        <sz val="11"/>
        <rFont val="Calibri"/>
        <family val="2"/>
      </rPr>
      <t>*X</t>
    </r>
    <r>
      <rPr>
        <vertAlign val="subscript"/>
        <sz val="11"/>
        <rFont val="Calibri"/>
        <family val="2"/>
      </rPr>
      <t>MEOLO</t>
    </r>
    <r>
      <rPr>
        <sz val="11"/>
        <rFont val="Calibri"/>
        <family val="2"/>
      </rPr>
      <t>*(η</t>
    </r>
    <r>
      <rPr>
        <vertAlign val="subscript"/>
        <sz val="11"/>
        <rFont val="Calibri"/>
        <family val="2"/>
      </rPr>
      <t>b,ana</t>
    </r>
    <r>
      <rPr>
        <sz val="11"/>
        <rFont val="Calibri"/>
        <family val="2"/>
      </rPr>
      <t>*Minh</t>
    </r>
    <r>
      <rPr>
        <vertAlign val="subscript"/>
        <sz val="11"/>
        <rFont val="Calibri"/>
        <family val="2"/>
      </rPr>
      <t>SNO2,KNO2,MEOLO</t>
    </r>
    <r>
      <rPr>
        <sz val="11"/>
        <rFont val="Calibri"/>
        <family val="2"/>
      </rPr>
      <t>*Minh</t>
    </r>
    <r>
      <rPr>
        <vertAlign val="subscript"/>
        <sz val="11"/>
        <rFont val="Calibri"/>
        <family val="2"/>
      </rPr>
      <t>SNO3,KNO3,MEOLO</t>
    </r>
    <r>
      <rPr>
        <sz val="11"/>
        <rFont val="Calibri"/>
        <family val="2"/>
      </rPr>
      <t>*Minh</t>
    </r>
    <r>
      <rPr>
        <vertAlign val="subscript"/>
        <sz val="11"/>
        <rFont val="Calibri"/>
        <family val="2"/>
      </rPr>
      <t>SO2,KiO2,MEOLO</t>
    </r>
    <r>
      <rPr>
        <sz val="11"/>
        <rFont val="Calibri"/>
        <family val="2"/>
      </rPr>
      <t>+m</t>
    </r>
    <r>
      <rPr>
        <vertAlign val="subscript"/>
        <sz val="11"/>
        <rFont val="Calibri"/>
        <family val="2"/>
      </rPr>
      <t>tox,ana</t>
    </r>
    <r>
      <rPr>
        <sz val="11"/>
        <rFont val="Calibri"/>
        <family val="2"/>
      </rPr>
      <t>)</t>
    </r>
  </si>
  <si>
    <r>
      <t>b</t>
    </r>
    <r>
      <rPr>
        <vertAlign val="subscript"/>
        <sz val="11"/>
        <rFont val="Calibri"/>
        <family val="2"/>
      </rPr>
      <t>AMETO,T</t>
    </r>
    <r>
      <rPr>
        <sz val="11"/>
        <rFont val="Calibri"/>
        <family val="2"/>
      </rPr>
      <t>*X</t>
    </r>
    <r>
      <rPr>
        <vertAlign val="subscript"/>
        <sz val="11"/>
        <rFont val="Calibri"/>
        <family val="2"/>
      </rPr>
      <t>AMETO</t>
    </r>
    <r>
      <rPr>
        <sz val="11"/>
        <rFont val="Calibri"/>
        <family val="2"/>
      </rPr>
      <t>*(m</t>
    </r>
    <r>
      <rPr>
        <i/>
        <vertAlign val="subscript"/>
        <sz val="11"/>
        <rFont val="Calibri"/>
        <family val="2"/>
      </rPr>
      <t>tox,aer</t>
    </r>
    <r>
      <rPr>
        <sz val="11"/>
        <rFont val="Calibri"/>
        <family val="2"/>
      </rPr>
      <t>*Msat</t>
    </r>
    <r>
      <rPr>
        <vertAlign val="subscript"/>
        <sz val="11"/>
        <rFont val="Calibri"/>
        <family val="2"/>
      </rPr>
      <t>SO2,KiO2,AMETO</t>
    </r>
    <r>
      <rPr>
        <sz val="11"/>
        <rFont val="Calibri"/>
        <family val="2"/>
      </rPr>
      <t>+m</t>
    </r>
    <r>
      <rPr>
        <vertAlign val="subscript"/>
        <sz val="11"/>
        <rFont val="Calibri"/>
        <family val="2"/>
      </rPr>
      <t>tox,anox</t>
    </r>
    <r>
      <rPr>
        <sz val="11"/>
        <rFont val="Calibri"/>
        <family val="2"/>
      </rPr>
      <t>*Msat</t>
    </r>
    <r>
      <rPr>
        <vertAlign val="subscript"/>
        <sz val="11"/>
        <rFont val="Calibri"/>
        <family val="2"/>
      </rPr>
      <t>SNOx,KNO3,AMETO</t>
    </r>
    <r>
      <rPr>
        <sz val="11"/>
        <rFont val="Calibri"/>
        <family val="2"/>
      </rPr>
      <t>*Minh</t>
    </r>
    <r>
      <rPr>
        <vertAlign val="subscript"/>
        <sz val="11"/>
        <rFont val="Calibri"/>
        <family val="2"/>
      </rPr>
      <t>SO2,KiO2,AMETO</t>
    </r>
    <r>
      <rPr>
        <sz val="11"/>
        <rFont val="Calibri"/>
        <family val="2"/>
      </rPr>
      <t>)</t>
    </r>
  </si>
  <si>
    <r>
      <t>b</t>
    </r>
    <r>
      <rPr>
        <vertAlign val="subscript"/>
        <sz val="11"/>
        <rFont val="Calibri"/>
        <family val="2"/>
      </rPr>
      <t>AMETO,T</t>
    </r>
    <r>
      <rPr>
        <sz val="11"/>
        <rFont val="Calibri"/>
        <family val="2"/>
      </rPr>
      <t>*X</t>
    </r>
    <r>
      <rPr>
        <vertAlign val="subscript"/>
        <sz val="11"/>
        <rFont val="Calibri"/>
        <family val="2"/>
      </rPr>
      <t>AMETO</t>
    </r>
    <r>
      <rPr>
        <sz val="11"/>
        <rFont val="Calibri"/>
        <family val="2"/>
      </rPr>
      <t>*Minh</t>
    </r>
    <r>
      <rPr>
        <vertAlign val="subscript"/>
        <sz val="11"/>
        <rFont val="Calibri"/>
        <family val="2"/>
      </rPr>
      <t>SNOx,KNO3,AMETO</t>
    </r>
    <r>
      <rPr>
        <sz val="11"/>
        <rFont val="Calibri"/>
        <family val="2"/>
      </rPr>
      <t>*Minh</t>
    </r>
    <r>
      <rPr>
        <vertAlign val="subscript"/>
        <sz val="11"/>
        <rFont val="Calibri"/>
        <family val="2"/>
      </rPr>
      <t>SO2,KiO2,AMETO</t>
    </r>
  </si>
  <si>
    <r>
      <t>b</t>
    </r>
    <r>
      <rPr>
        <vertAlign val="subscript"/>
        <sz val="11"/>
        <rFont val="Calibri"/>
        <family val="2"/>
      </rPr>
      <t>HMETO,T</t>
    </r>
    <r>
      <rPr>
        <sz val="11"/>
        <rFont val="Calibri"/>
        <family val="2"/>
      </rPr>
      <t>*X</t>
    </r>
    <r>
      <rPr>
        <vertAlign val="subscript"/>
        <sz val="11"/>
        <rFont val="Calibri"/>
        <family val="2"/>
      </rPr>
      <t>HMETO</t>
    </r>
    <r>
      <rPr>
        <sz val="11"/>
        <rFont val="Calibri"/>
        <family val="2"/>
      </rPr>
      <t>*(m</t>
    </r>
    <r>
      <rPr>
        <vertAlign val="subscript"/>
        <sz val="11"/>
        <rFont val="Calibri"/>
        <family val="2"/>
      </rPr>
      <t>tox,aer</t>
    </r>
    <r>
      <rPr>
        <sz val="11"/>
        <rFont val="Calibri"/>
        <family val="2"/>
      </rPr>
      <t>*Msat</t>
    </r>
    <r>
      <rPr>
        <vertAlign val="subscript"/>
        <sz val="11"/>
        <rFont val="Calibri"/>
        <family val="2"/>
      </rPr>
      <t>SO2,KiO2,HMETO</t>
    </r>
    <r>
      <rPr>
        <sz val="11"/>
        <rFont val="Calibri"/>
        <family val="2"/>
      </rPr>
      <t>+m</t>
    </r>
    <r>
      <rPr>
        <vertAlign val="subscript"/>
        <sz val="11"/>
        <rFont val="Calibri"/>
        <family val="2"/>
      </rPr>
      <t>tox,anox</t>
    </r>
    <r>
      <rPr>
        <sz val="11"/>
        <rFont val="Calibri"/>
        <family val="2"/>
      </rPr>
      <t>*Msat</t>
    </r>
    <r>
      <rPr>
        <vertAlign val="subscript"/>
        <sz val="11"/>
        <rFont val="Calibri"/>
        <family val="2"/>
      </rPr>
      <t>SNOx,KNO3,HMETO</t>
    </r>
    <r>
      <rPr>
        <sz val="11"/>
        <rFont val="Calibri"/>
        <family val="2"/>
      </rPr>
      <t>*Minh</t>
    </r>
    <r>
      <rPr>
        <vertAlign val="subscript"/>
        <sz val="11"/>
        <rFont val="Calibri"/>
        <family val="2"/>
      </rPr>
      <t>SO2,KiO2,HMETO</t>
    </r>
    <r>
      <rPr>
        <sz val="11"/>
        <rFont val="Calibri"/>
        <family val="2"/>
      </rPr>
      <t>)</t>
    </r>
  </si>
  <si>
    <r>
      <t>b</t>
    </r>
    <r>
      <rPr>
        <vertAlign val="subscript"/>
        <sz val="11"/>
        <rFont val="Calibri"/>
        <family val="2"/>
      </rPr>
      <t>HMETO,T</t>
    </r>
    <r>
      <rPr>
        <sz val="11"/>
        <rFont val="Calibri"/>
        <family val="2"/>
      </rPr>
      <t>*X</t>
    </r>
    <r>
      <rPr>
        <vertAlign val="subscript"/>
        <sz val="11"/>
        <rFont val="Calibri"/>
        <family val="2"/>
      </rPr>
      <t>HMETO</t>
    </r>
    <r>
      <rPr>
        <sz val="11"/>
        <rFont val="Calibri"/>
        <family val="2"/>
      </rPr>
      <t>*(Minh</t>
    </r>
    <r>
      <rPr>
        <vertAlign val="subscript"/>
        <sz val="11"/>
        <rFont val="Calibri"/>
        <family val="2"/>
      </rPr>
      <t>SNOx,KNO3,HMETO</t>
    </r>
    <r>
      <rPr>
        <sz val="11"/>
        <rFont val="Calibri"/>
        <family val="2"/>
      </rPr>
      <t>*Minh</t>
    </r>
    <r>
      <rPr>
        <vertAlign val="subscript"/>
        <sz val="11"/>
        <rFont val="Calibri"/>
        <family val="2"/>
      </rPr>
      <t>SO2,KiO2,HMETO</t>
    </r>
    <r>
      <rPr>
        <sz val="11"/>
        <rFont val="Calibri"/>
        <family val="2"/>
      </rPr>
      <t>)</t>
    </r>
  </si>
  <si>
    <r>
      <t>Ki</t>
    </r>
    <r>
      <rPr>
        <vertAlign val="subscript"/>
        <sz val="11"/>
        <rFont val="Calibri"/>
        <family val="2"/>
        <scheme val="minor"/>
      </rPr>
      <t>O2,AMX</t>
    </r>
  </si>
  <si>
    <r>
      <t>Half-inhibition of O</t>
    </r>
    <r>
      <rPr>
        <vertAlign val="subscript"/>
        <sz val="11"/>
        <color rgb="FF000000"/>
        <rFont val="Calibri"/>
        <family val="2"/>
        <scheme val="minor"/>
      </rPr>
      <t>2</t>
    </r>
    <r>
      <rPr>
        <sz val="11"/>
        <color rgb="FF000000"/>
        <rFont val="Calibri"/>
        <family val="2"/>
        <charset val="238"/>
        <scheme val="minor"/>
      </rPr>
      <t xml:space="preserve"> for AMX</t>
    </r>
  </si>
  <si>
    <r>
      <t>Ki</t>
    </r>
    <r>
      <rPr>
        <vertAlign val="subscript"/>
        <sz val="11"/>
        <rFont val="Calibri"/>
        <family val="2"/>
      </rPr>
      <t>O2,AMX,AS</t>
    </r>
  </si>
  <si>
    <r>
      <t>Ki</t>
    </r>
    <r>
      <rPr>
        <vertAlign val="subscript"/>
        <sz val="11"/>
        <rFont val="Calibri"/>
        <family val="2"/>
      </rPr>
      <t>O2,AMX,AS</t>
    </r>
    <r>
      <rPr>
        <sz val="11"/>
        <rFont val="Calibri"/>
        <family val="2"/>
      </rPr>
      <t>*f</t>
    </r>
    <r>
      <rPr>
        <vertAlign val="subscript"/>
        <sz val="11"/>
        <rFont val="Calibri"/>
        <family val="2"/>
      </rPr>
      <t>KS</t>
    </r>
  </si>
  <si>
    <r>
      <t>Ki</t>
    </r>
    <r>
      <rPr>
        <vertAlign val="subscript"/>
        <sz val="11"/>
        <rFont val="Calibri"/>
        <family val="2"/>
        <scheme val="minor"/>
      </rPr>
      <t>O2,MEOLO</t>
    </r>
  </si>
  <si>
    <r>
      <t>Half-inhibition of O</t>
    </r>
    <r>
      <rPr>
        <vertAlign val="subscript"/>
        <sz val="11"/>
        <color rgb="FF000000"/>
        <rFont val="Calibri"/>
        <family val="2"/>
        <scheme val="minor"/>
      </rPr>
      <t>2</t>
    </r>
    <r>
      <rPr>
        <sz val="11"/>
        <color rgb="FF000000"/>
        <rFont val="Calibri"/>
        <family val="2"/>
        <charset val="238"/>
        <scheme val="minor"/>
      </rPr>
      <t xml:space="preserve"> for MEOLOs</t>
    </r>
  </si>
  <si>
    <r>
      <t>Ki</t>
    </r>
    <r>
      <rPr>
        <vertAlign val="subscript"/>
        <sz val="11"/>
        <rFont val="Calibri"/>
        <family val="2"/>
        <scheme val="minor"/>
      </rPr>
      <t>O2,MEOLO,AS</t>
    </r>
    <r>
      <rPr>
        <sz val="11"/>
        <rFont val="Calibri"/>
        <family val="2"/>
        <scheme val="minor"/>
      </rPr>
      <t>*f</t>
    </r>
    <r>
      <rPr>
        <vertAlign val="subscript"/>
        <sz val="11"/>
        <rFont val="Calibri"/>
        <family val="2"/>
        <scheme val="minor"/>
      </rPr>
      <t>KS</t>
    </r>
  </si>
  <si>
    <r>
      <t>Ki</t>
    </r>
    <r>
      <rPr>
        <vertAlign val="subscript"/>
        <sz val="11"/>
        <rFont val="Calibri"/>
        <family val="2"/>
        <scheme val="minor"/>
      </rPr>
      <t>O2,AMETO</t>
    </r>
  </si>
  <si>
    <r>
      <t>Half-inhibition of O</t>
    </r>
    <r>
      <rPr>
        <vertAlign val="subscript"/>
        <sz val="11"/>
        <color rgb="FF000000"/>
        <rFont val="Calibri"/>
        <family val="2"/>
        <scheme val="minor"/>
      </rPr>
      <t>2</t>
    </r>
    <r>
      <rPr>
        <sz val="11"/>
        <color rgb="FF000000"/>
        <rFont val="Calibri"/>
        <family val="2"/>
        <charset val="238"/>
        <scheme val="minor"/>
      </rPr>
      <t xml:space="preserve"> for AMETOs</t>
    </r>
  </si>
  <si>
    <r>
      <t>Ki</t>
    </r>
    <r>
      <rPr>
        <vertAlign val="subscript"/>
        <sz val="11"/>
        <rFont val="Calibri"/>
        <family val="2"/>
        <scheme val="minor"/>
      </rPr>
      <t>O2,AMETO,AS</t>
    </r>
    <r>
      <rPr>
        <sz val="11"/>
        <rFont val="Calibri"/>
        <family val="2"/>
        <scheme val="minor"/>
      </rPr>
      <t>*f</t>
    </r>
    <r>
      <rPr>
        <vertAlign val="subscript"/>
        <sz val="11"/>
        <rFont val="Calibri"/>
        <family val="2"/>
        <scheme val="minor"/>
      </rPr>
      <t>KS</t>
    </r>
  </si>
  <si>
    <r>
      <t>Ki</t>
    </r>
    <r>
      <rPr>
        <vertAlign val="subscript"/>
        <sz val="11"/>
        <rFont val="Calibri"/>
        <family val="2"/>
        <scheme val="minor"/>
      </rPr>
      <t>O2,HMETO</t>
    </r>
  </si>
  <si>
    <r>
      <t>Half-inhibition of O</t>
    </r>
    <r>
      <rPr>
        <vertAlign val="subscript"/>
        <sz val="11"/>
        <color rgb="FF000000"/>
        <rFont val="Calibri"/>
        <family val="2"/>
        <scheme val="minor"/>
      </rPr>
      <t>2</t>
    </r>
    <r>
      <rPr>
        <sz val="11"/>
        <color rgb="FF000000"/>
        <rFont val="Calibri"/>
        <family val="2"/>
        <charset val="238"/>
        <scheme val="minor"/>
      </rPr>
      <t xml:space="preserve"> for HMETOs</t>
    </r>
  </si>
  <si>
    <r>
      <t>Ki</t>
    </r>
    <r>
      <rPr>
        <vertAlign val="subscript"/>
        <sz val="11"/>
        <rFont val="Calibri"/>
        <family val="2"/>
        <scheme val="minor"/>
      </rPr>
      <t>O2,HMETO,AS</t>
    </r>
  </si>
  <si>
    <r>
      <t>Ki</t>
    </r>
    <r>
      <rPr>
        <vertAlign val="subscript"/>
        <sz val="11"/>
        <rFont val="Calibri"/>
        <family val="2"/>
        <scheme val="minor"/>
      </rPr>
      <t>O2,HMETO,AS</t>
    </r>
    <r>
      <rPr>
        <sz val="11"/>
        <rFont val="Calibri"/>
        <family val="2"/>
        <scheme val="minor"/>
      </rPr>
      <t>*f</t>
    </r>
    <r>
      <rPr>
        <vertAlign val="subscript"/>
        <sz val="11"/>
        <rFont val="Calibri"/>
        <family val="2"/>
        <scheme val="minor"/>
      </rPr>
      <t>KS</t>
    </r>
  </si>
  <si>
    <r>
      <t>Ki</t>
    </r>
    <r>
      <rPr>
        <vertAlign val="subscript"/>
        <sz val="11"/>
        <rFont val="Calibri"/>
        <family val="2"/>
        <scheme val="minor"/>
      </rPr>
      <t>O2,ASRO</t>
    </r>
  </si>
  <si>
    <r>
      <t>Half-inhibition of O</t>
    </r>
    <r>
      <rPr>
        <vertAlign val="subscript"/>
        <sz val="11"/>
        <color rgb="FF000000"/>
        <rFont val="Calibri"/>
        <family val="2"/>
        <scheme val="minor"/>
      </rPr>
      <t>2</t>
    </r>
    <r>
      <rPr>
        <sz val="11"/>
        <color rgb="FF000000"/>
        <rFont val="Calibri"/>
        <family val="2"/>
        <charset val="238"/>
        <scheme val="minor"/>
      </rPr>
      <t xml:space="preserve"> for ASROs</t>
    </r>
  </si>
  <si>
    <r>
      <t>Ki</t>
    </r>
    <r>
      <rPr>
        <vertAlign val="subscript"/>
        <sz val="11"/>
        <rFont val="Calibri"/>
        <family val="2"/>
        <scheme val="minor"/>
      </rPr>
      <t>O2,ASRO,AS</t>
    </r>
  </si>
  <si>
    <r>
      <t>Ki</t>
    </r>
    <r>
      <rPr>
        <vertAlign val="subscript"/>
        <sz val="11"/>
        <rFont val="Calibri"/>
        <family val="2"/>
        <scheme val="minor"/>
      </rPr>
      <t>O2,ASRO,AS</t>
    </r>
    <r>
      <rPr>
        <sz val="11"/>
        <rFont val="Calibri"/>
        <family val="2"/>
        <scheme val="minor"/>
      </rPr>
      <t>*f</t>
    </r>
    <r>
      <rPr>
        <vertAlign val="subscript"/>
        <sz val="11"/>
        <rFont val="Calibri"/>
        <family val="2"/>
        <scheme val="minor"/>
      </rPr>
      <t>KS</t>
    </r>
  </si>
  <si>
    <r>
      <t>Ki</t>
    </r>
    <r>
      <rPr>
        <vertAlign val="subscript"/>
        <sz val="11"/>
        <rFont val="Calibri"/>
        <family val="2"/>
        <scheme val="minor"/>
      </rPr>
      <t>O2,HSRO</t>
    </r>
  </si>
  <si>
    <r>
      <t>Half-inhibition of O</t>
    </r>
    <r>
      <rPr>
        <vertAlign val="subscript"/>
        <sz val="11"/>
        <color rgb="FF000000"/>
        <rFont val="Calibri"/>
        <family val="2"/>
        <scheme val="minor"/>
      </rPr>
      <t>2</t>
    </r>
    <r>
      <rPr>
        <sz val="11"/>
        <color rgb="FF000000"/>
        <rFont val="Calibri"/>
        <family val="2"/>
        <charset val="238"/>
        <scheme val="minor"/>
      </rPr>
      <t xml:space="preserve"> for HSROs</t>
    </r>
  </si>
  <si>
    <r>
      <t>Ki</t>
    </r>
    <r>
      <rPr>
        <vertAlign val="subscript"/>
        <sz val="11"/>
        <rFont val="Calibri"/>
        <family val="2"/>
        <scheme val="minor"/>
      </rPr>
      <t>O2,HSRO,AS</t>
    </r>
  </si>
  <si>
    <r>
      <t>Ki</t>
    </r>
    <r>
      <rPr>
        <vertAlign val="subscript"/>
        <sz val="11"/>
        <rFont val="Calibri"/>
        <family val="2"/>
        <scheme val="minor"/>
      </rPr>
      <t>O2,HSRO,AS</t>
    </r>
    <r>
      <rPr>
        <sz val="11"/>
        <rFont val="Calibri"/>
        <family val="2"/>
        <scheme val="minor"/>
      </rPr>
      <t>*f</t>
    </r>
    <r>
      <rPr>
        <vertAlign val="subscript"/>
        <sz val="11"/>
        <rFont val="Calibri"/>
        <family val="2"/>
        <scheme val="minor"/>
      </rPr>
      <t>KS</t>
    </r>
  </si>
  <si>
    <r>
      <t>Minh</t>
    </r>
    <r>
      <rPr>
        <vertAlign val="subscript"/>
        <sz val="11"/>
        <rFont val="Calibri"/>
        <family val="2"/>
        <scheme val="minor"/>
      </rPr>
      <t>SO2,KiO2,MEOLO</t>
    </r>
  </si>
  <si>
    <r>
      <t>Minh(S</t>
    </r>
    <r>
      <rPr>
        <vertAlign val="subscript"/>
        <sz val="11"/>
        <rFont val="Calibri"/>
        <family val="2"/>
        <scheme val="minor"/>
      </rPr>
      <t>O2</t>
    </r>
    <r>
      <rPr>
        <sz val="11"/>
        <rFont val="Calibri"/>
        <family val="2"/>
        <scheme val="minor"/>
      </rPr>
      <t>;Ki</t>
    </r>
    <r>
      <rPr>
        <vertAlign val="subscript"/>
        <sz val="11"/>
        <rFont val="Calibri"/>
        <family val="2"/>
        <scheme val="minor"/>
      </rPr>
      <t>O2,MEOLO</t>
    </r>
    <r>
      <rPr>
        <sz val="11"/>
        <rFont val="Calibri"/>
        <family val="2"/>
        <scheme val="minor"/>
      </rPr>
      <t>)</t>
    </r>
  </si>
  <si>
    <r>
      <t>Msat</t>
    </r>
    <r>
      <rPr>
        <vertAlign val="subscript"/>
        <sz val="11"/>
        <rFont val="Calibri"/>
        <family val="2"/>
        <scheme val="minor"/>
      </rPr>
      <t>SO2,KiO2,MEOLO</t>
    </r>
  </si>
  <si>
    <r>
      <t>Msat(S</t>
    </r>
    <r>
      <rPr>
        <vertAlign val="subscript"/>
        <sz val="11"/>
        <rFont val="Calibri"/>
        <family val="2"/>
        <scheme val="minor"/>
      </rPr>
      <t>O2</t>
    </r>
    <r>
      <rPr>
        <sz val="11"/>
        <rFont val="Calibri"/>
        <family val="2"/>
        <scheme val="minor"/>
      </rPr>
      <t>;Ki</t>
    </r>
    <r>
      <rPr>
        <vertAlign val="subscript"/>
        <sz val="11"/>
        <rFont val="Calibri"/>
        <family val="2"/>
        <scheme val="minor"/>
      </rPr>
      <t>O2,MEOLO</t>
    </r>
    <r>
      <rPr>
        <sz val="11"/>
        <rFont val="Calibri"/>
        <family val="2"/>
        <scheme val="minor"/>
      </rPr>
      <t>)</t>
    </r>
  </si>
  <si>
    <r>
      <t>Minh</t>
    </r>
    <r>
      <rPr>
        <vertAlign val="subscript"/>
        <sz val="11"/>
        <rFont val="Calibri"/>
        <family val="2"/>
      </rPr>
      <t>SO2,KiO2,AMX</t>
    </r>
  </si>
  <si>
    <r>
      <t>Minh(S</t>
    </r>
    <r>
      <rPr>
        <vertAlign val="subscript"/>
        <sz val="11"/>
        <rFont val="Calibri"/>
        <family val="2"/>
      </rPr>
      <t>O2</t>
    </r>
    <r>
      <rPr>
        <sz val="11"/>
        <rFont val="Calibri"/>
        <family val="2"/>
      </rPr>
      <t>;Ki</t>
    </r>
    <r>
      <rPr>
        <vertAlign val="subscript"/>
        <sz val="11"/>
        <rFont val="Calibri"/>
        <family val="2"/>
      </rPr>
      <t>O2,AMX</t>
    </r>
    <r>
      <rPr>
        <sz val="11"/>
        <rFont val="Calibri"/>
        <family val="2"/>
      </rPr>
      <t>)</t>
    </r>
  </si>
  <si>
    <r>
      <t>Msat</t>
    </r>
    <r>
      <rPr>
        <vertAlign val="subscript"/>
        <sz val="11"/>
        <rFont val="Calibri"/>
        <family val="2"/>
      </rPr>
      <t>SO2,KiO2,AMX</t>
    </r>
  </si>
  <si>
    <r>
      <t>Msat(S</t>
    </r>
    <r>
      <rPr>
        <vertAlign val="subscript"/>
        <sz val="11"/>
        <rFont val="Calibri"/>
        <family val="2"/>
      </rPr>
      <t>O2</t>
    </r>
    <r>
      <rPr>
        <sz val="11"/>
        <rFont val="Calibri"/>
        <family val="2"/>
      </rPr>
      <t>;Ki</t>
    </r>
    <r>
      <rPr>
        <vertAlign val="subscript"/>
        <sz val="11"/>
        <rFont val="Calibri"/>
        <family val="2"/>
      </rPr>
      <t>O2,AMX</t>
    </r>
    <r>
      <rPr>
        <sz val="11"/>
        <rFont val="Calibri"/>
        <family val="2"/>
      </rPr>
      <t>)</t>
    </r>
  </si>
  <si>
    <r>
      <t>Minh</t>
    </r>
    <r>
      <rPr>
        <vertAlign val="subscript"/>
        <sz val="11"/>
        <rFont val="Calibri"/>
        <family val="2"/>
        <scheme val="minor"/>
      </rPr>
      <t>SO2,KiO2,AMETO</t>
    </r>
  </si>
  <si>
    <r>
      <t>Minh(S</t>
    </r>
    <r>
      <rPr>
        <vertAlign val="subscript"/>
        <sz val="11"/>
        <rFont val="Calibri"/>
        <family val="2"/>
        <scheme val="minor"/>
      </rPr>
      <t>O2</t>
    </r>
    <r>
      <rPr>
        <sz val="11"/>
        <rFont val="Calibri"/>
        <family val="2"/>
        <scheme val="minor"/>
      </rPr>
      <t>;Ki</t>
    </r>
    <r>
      <rPr>
        <vertAlign val="subscript"/>
        <sz val="11"/>
        <rFont val="Calibri"/>
        <family val="2"/>
        <scheme val="minor"/>
      </rPr>
      <t>O2,AMETO</t>
    </r>
    <r>
      <rPr>
        <sz val="11"/>
        <rFont val="Calibri"/>
        <family val="2"/>
        <scheme val="minor"/>
      </rPr>
      <t>)</t>
    </r>
  </si>
  <si>
    <r>
      <t>Msat</t>
    </r>
    <r>
      <rPr>
        <vertAlign val="subscript"/>
        <sz val="11"/>
        <rFont val="Calibri"/>
        <family val="2"/>
        <scheme val="minor"/>
      </rPr>
      <t>SO2,KiO2,AMETO</t>
    </r>
  </si>
  <si>
    <r>
      <t>Msat(S</t>
    </r>
    <r>
      <rPr>
        <vertAlign val="subscript"/>
        <sz val="11"/>
        <rFont val="Calibri"/>
        <family val="2"/>
        <scheme val="minor"/>
      </rPr>
      <t>O2</t>
    </r>
    <r>
      <rPr>
        <sz val="11"/>
        <rFont val="Calibri"/>
        <family val="2"/>
        <scheme val="minor"/>
      </rPr>
      <t>;Ki</t>
    </r>
    <r>
      <rPr>
        <vertAlign val="subscript"/>
        <sz val="11"/>
        <rFont val="Calibri"/>
        <family val="2"/>
        <scheme val="minor"/>
      </rPr>
      <t>O2,AMETO</t>
    </r>
    <r>
      <rPr>
        <sz val="11"/>
        <rFont val="Calibri"/>
        <family val="2"/>
        <scheme val="minor"/>
      </rPr>
      <t>)</t>
    </r>
  </si>
  <si>
    <r>
      <t>Minh</t>
    </r>
    <r>
      <rPr>
        <vertAlign val="subscript"/>
        <sz val="11"/>
        <rFont val="Calibri"/>
        <family val="2"/>
        <scheme val="minor"/>
      </rPr>
      <t>SO2,KiO2,HMETO</t>
    </r>
  </si>
  <si>
    <r>
      <t>Minh(S</t>
    </r>
    <r>
      <rPr>
        <vertAlign val="subscript"/>
        <sz val="11"/>
        <rFont val="Calibri"/>
        <family val="2"/>
        <scheme val="minor"/>
      </rPr>
      <t>O2</t>
    </r>
    <r>
      <rPr>
        <sz val="11"/>
        <rFont val="Calibri"/>
        <family val="2"/>
        <scheme val="minor"/>
      </rPr>
      <t>;Ki</t>
    </r>
    <r>
      <rPr>
        <vertAlign val="subscript"/>
        <sz val="11"/>
        <rFont val="Calibri"/>
        <family val="2"/>
        <scheme val="minor"/>
      </rPr>
      <t>O2,HMETO</t>
    </r>
    <r>
      <rPr>
        <sz val="11"/>
        <rFont val="Calibri"/>
        <family val="2"/>
        <scheme val="minor"/>
      </rPr>
      <t>)</t>
    </r>
  </si>
  <si>
    <r>
      <t>Msat</t>
    </r>
    <r>
      <rPr>
        <vertAlign val="subscript"/>
        <sz val="11"/>
        <rFont val="Calibri"/>
        <family val="2"/>
        <scheme val="minor"/>
      </rPr>
      <t>SO2,KiO2,HMETO</t>
    </r>
  </si>
  <si>
    <r>
      <t>Msat(S</t>
    </r>
    <r>
      <rPr>
        <vertAlign val="subscript"/>
        <sz val="11"/>
        <rFont val="Calibri"/>
        <family val="2"/>
        <scheme val="minor"/>
      </rPr>
      <t>O2</t>
    </r>
    <r>
      <rPr>
        <sz val="11"/>
        <rFont val="Calibri"/>
        <family val="2"/>
        <scheme val="minor"/>
      </rPr>
      <t>;Ki</t>
    </r>
    <r>
      <rPr>
        <vertAlign val="subscript"/>
        <sz val="11"/>
        <rFont val="Calibri"/>
        <family val="2"/>
        <scheme val="minor"/>
      </rPr>
      <t>O2,HMETO</t>
    </r>
    <r>
      <rPr>
        <sz val="11"/>
        <rFont val="Calibri"/>
        <family val="2"/>
        <scheme val="minor"/>
      </rPr>
      <t>)</t>
    </r>
  </si>
  <si>
    <r>
      <t>Msat</t>
    </r>
    <r>
      <rPr>
        <vertAlign val="subscript"/>
        <sz val="11"/>
        <rFont val="Calibri"/>
        <family val="2"/>
        <scheme val="minor"/>
      </rPr>
      <t>SO2,KiO2,ASRO</t>
    </r>
  </si>
  <si>
    <r>
      <t>Minh</t>
    </r>
    <r>
      <rPr>
        <vertAlign val="subscript"/>
        <sz val="11"/>
        <rFont val="Calibri"/>
        <family val="2"/>
        <scheme val="minor"/>
      </rPr>
      <t>SO2,KiO2,ASRO</t>
    </r>
  </si>
  <si>
    <r>
      <t>Msat(S</t>
    </r>
    <r>
      <rPr>
        <vertAlign val="subscript"/>
        <sz val="11"/>
        <rFont val="Calibri"/>
        <family val="2"/>
        <scheme val="minor"/>
      </rPr>
      <t>O2</t>
    </r>
    <r>
      <rPr>
        <sz val="11"/>
        <rFont val="Calibri"/>
        <family val="2"/>
        <scheme val="minor"/>
      </rPr>
      <t>;Ki</t>
    </r>
    <r>
      <rPr>
        <vertAlign val="subscript"/>
        <sz val="11"/>
        <rFont val="Calibri"/>
        <family val="2"/>
        <scheme val="minor"/>
      </rPr>
      <t>O2,ASRO</t>
    </r>
    <r>
      <rPr>
        <sz val="11"/>
        <rFont val="Calibri"/>
        <family val="2"/>
        <scheme val="minor"/>
      </rPr>
      <t>)</t>
    </r>
  </si>
  <si>
    <r>
      <t>Minh(S</t>
    </r>
    <r>
      <rPr>
        <vertAlign val="subscript"/>
        <sz val="11"/>
        <rFont val="Calibri"/>
        <family val="2"/>
        <scheme val="minor"/>
      </rPr>
      <t>O2</t>
    </r>
    <r>
      <rPr>
        <sz val="11"/>
        <rFont val="Calibri"/>
        <family val="2"/>
        <scheme val="minor"/>
      </rPr>
      <t>;Ki</t>
    </r>
    <r>
      <rPr>
        <vertAlign val="subscript"/>
        <sz val="11"/>
        <rFont val="Calibri"/>
        <family val="2"/>
        <scheme val="minor"/>
      </rPr>
      <t>O2,ASRO</t>
    </r>
    <r>
      <rPr>
        <sz val="11"/>
        <rFont val="Calibri"/>
        <family val="2"/>
        <scheme val="minor"/>
      </rPr>
      <t>)</t>
    </r>
  </si>
  <si>
    <r>
      <t>Msat</t>
    </r>
    <r>
      <rPr>
        <vertAlign val="subscript"/>
        <sz val="11"/>
        <rFont val="Calibri"/>
        <family val="2"/>
        <scheme val="minor"/>
      </rPr>
      <t>SO2,KiO2,HSRO</t>
    </r>
  </si>
  <si>
    <r>
      <t>Minh</t>
    </r>
    <r>
      <rPr>
        <vertAlign val="subscript"/>
        <sz val="11"/>
        <rFont val="Calibri"/>
        <family val="2"/>
        <scheme val="minor"/>
      </rPr>
      <t>SO2,KiO2,HSRO</t>
    </r>
  </si>
  <si>
    <r>
      <t>Msat(S</t>
    </r>
    <r>
      <rPr>
        <vertAlign val="subscript"/>
        <sz val="11"/>
        <rFont val="Calibri"/>
        <family val="2"/>
        <scheme val="minor"/>
      </rPr>
      <t>O2</t>
    </r>
    <r>
      <rPr>
        <sz val="11"/>
        <rFont val="Calibri"/>
        <family val="2"/>
        <scheme val="minor"/>
      </rPr>
      <t>;Ki</t>
    </r>
    <r>
      <rPr>
        <vertAlign val="subscript"/>
        <sz val="11"/>
        <rFont val="Calibri"/>
        <family val="2"/>
        <scheme val="minor"/>
      </rPr>
      <t>O2,HSRO</t>
    </r>
    <r>
      <rPr>
        <sz val="11"/>
        <rFont val="Calibri"/>
        <family val="2"/>
        <scheme val="minor"/>
      </rPr>
      <t>)</t>
    </r>
  </si>
  <si>
    <r>
      <t>Minh(S</t>
    </r>
    <r>
      <rPr>
        <vertAlign val="subscript"/>
        <sz val="11"/>
        <rFont val="Calibri"/>
        <family val="2"/>
        <scheme val="minor"/>
      </rPr>
      <t>O2</t>
    </r>
    <r>
      <rPr>
        <sz val="11"/>
        <rFont val="Calibri"/>
        <family val="2"/>
        <scheme val="minor"/>
      </rPr>
      <t>;Ki</t>
    </r>
    <r>
      <rPr>
        <vertAlign val="subscript"/>
        <sz val="11"/>
        <rFont val="Calibri"/>
        <family val="2"/>
        <scheme val="minor"/>
      </rPr>
      <t>O2,HSRO</t>
    </r>
    <r>
      <rPr>
        <sz val="11"/>
        <rFont val="Calibri"/>
        <family val="2"/>
        <scheme val="minor"/>
      </rPr>
      <t>)</t>
    </r>
  </si>
  <si>
    <t>unused</t>
  </si>
  <si>
    <t>Balances per processes</t>
  </si>
  <si>
    <r>
      <t>MJ.m</t>
    </r>
    <r>
      <rPr>
        <vertAlign val="superscript"/>
        <sz val="11"/>
        <rFont val="Calibri"/>
        <family val="2"/>
      </rPr>
      <t>-3</t>
    </r>
  </si>
  <si>
    <r>
      <t>k</t>
    </r>
    <r>
      <rPr>
        <vertAlign val="subscript"/>
        <sz val="11"/>
        <rFont val="Calibri"/>
        <family val="2"/>
      </rPr>
      <t>L,GO2,bub</t>
    </r>
  </si>
  <si>
    <r>
      <t>k</t>
    </r>
    <r>
      <rPr>
        <vertAlign val="subscript"/>
        <sz val="11"/>
        <rFont val="Calibri"/>
        <family val="2"/>
      </rPr>
      <t>L,GO2,sur</t>
    </r>
  </si>
  <si>
    <r>
      <t>Liquid-side mass transfer coefficient of O</t>
    </r>
    <r>
      <rPr>
        <vertAlign val="subscript"/>
        <sz val="11"/>
        <color rgb="FF000000"/>
        <rFont val="Calibri"/>
        <family val="2"/>
        <scheme val="minor"/>
      </rPr>
      <t>2</t>
    </r>
    <r>
      <rPr>
        <sz val="11"/>
        <rFont val="Calibri"/>
        <family val="2"/>
        <scheme val="minor"/>
      </rPr>
      <t xml:space="preserve"> for gas bubbles</t>
    </r>
  </si>
  <si>
    <r>
      <t>Liquid-side mass transfer coefficient of O</t>
    </r>
    <r>
      <rPr>
        <vertAlign val="subscript"/>
        <sz val="11"/>
        <color rgb="FF000000"/>
        <rFont val="Calibri"/>
        <family val="2"/>
        <scheme val="minor"/>
      </rPr>
      <t>2</t>
    </r>
    <r>
      <rPr>
        <sz val="11"/>
        <rFont val="Calibri"/>
        <family val="2"/>
        <scheme val="minor"/>
      </rPr>
      <t xml:space="preserve"> at liquid surface</t>
    </r>
  </si>
  <si>
    <r>
      <t>k</t>
    </r>
    <r>
      <rPr>
        <vertAlign val="subscript"/>
        <sz val="11"/>
        <rFont val="Calibri"/>
        <family val="2"/>
        <scheme val="minor"/>
      </rPr>
      <t>L,GH2S,bub</t>
    </r>
  </si>
  <si>
    <r>
      <t>k</t>
    </r>
    <r>
      <rPr>
        <vertAlign val="subscript"/>
        <sz val="11"/>
        <rFont val="Calibri"/>
        <family val="2"/>
        <scheme val="minor"/>
      </rPr>
      <t>L,GN2,bub</t>
    </r>
  </si>
  <si>
    <r>
      <t>k</t>
    </r>
    <r>
      <rPr>
        <vertAlign val="subscript"/>
        <sz val="11"/>
        <rFont val="Calibri"/>
        <family val="2"/>
        <scheme val="minor"/>
      </rPr>
      <t>L,GCO2,bub</t>
    </r>
  </si>
  <si>
    <r>
      <t>k</t>
    </r>
    <r>
      <rPr>
        <vertAlign val="subscript"/>
        <sz val="11"/>
        <rFont val="Calibri"/>
        <family val="2"/>
        <scheme val="minor"/>
      </rPr>
      <t>L,GCH4,bub</t>
    </r>
  </si>
  <si>
    <r>
      <t>k</t>
    </r>
    <r>
      <rPr>
        <vertAlign val="subscript"/>
        <sz val="11"/>
        <rFont val="Calibri"/>
        <family val="2"/>
        <scheme val="minor"/>
      </rPr>
      <t>L,GH2,bub</t>
    </r>
  </si>
  <si>
    <r>
      <t>k</t>
    </r>
    <r>
      <rPr>
        <vertAlign val="subscript"/>
        <sz val="11"/>
        <rFont val="Calibri"/>
        <family val="2"/>
        <scheme val="minor"/>
      </rPr>
      <t>L,GNH3,bub</t>
    </r>
  </si>
  <si>
    <r>
      <t>Liquid-side mass transfer coefficient of H</t>
    </r>
    <r>
      <rPr>
        <vertAlign val="subscript"/>
        <sz val="11"/>
        <color rgb="FF000000"/>
        <rFont val="Calibri"/>
        <family val="2"/>
        <scheme val="minor"/>
      </rPr>
      <t>2</t>
    </r>
    <r>
      <rPr>
        <sz val="11"/>
        <color rgb="FF000000"/>
        <rFont val="Calibri"/>
        <family val="2"/>
        <charset val="238"/>
        <scheme val="minor"/>
      </rPr>
      <t>S</t>
    </r>
    <r>
      <rPr>
        <sz val="11"/>
        <rFont val="Calibri"/>
        <family val="2"/>
        <scheme val="minor"/>
      </rPr>
      <t xml:space="preserve"> for gas bubbles</t>
    </r>
  </si>
  <si>
    <r>
      <t>Liquid-side mass transfer coefficient of N</t>
    </r>
    <r>
      <rPr>
        <vertAlign val="subscript"/>
        <sz val="11"/>
        <color rgb="FF000000"/>
        <rFont val="Calibri"/>
        <family val="2"/>
        <scheme val="minor"/>
      </rPr>
      <t>2</t>
    </r>
    <r>
      <rPr>
        <sz val="11"/>
        <rFont val="Calibri"/>
        <family val="2"/>
        <scheme val="minor"/>
      </rPr>
      <t xml:space="preserve"> for gas bubbles</t>
    </r>
  </si>
  <si>
    <r>
      <t>Liquid-side mass transfer coefficient of CO</t>
    </r>
    <r>
      <rPr>
        <vertAlign val="subscript"/>
        <sz val="11"/>
        <color rgb="FF000000"/>
        <rFont val="Calibri"/>
        <family val="2"/>
        <scheme val="minor"/>
      </rPr>
      <t>2</t>
    </r>
    <r>
      <rPr>
        <sz val="11"/>
        <rFont val="Calibri"/>
        <family val="2"/>
        <scheme val="minor"/>
      </rPr>
      <t xml:space="preserve"> for gas bubbles</t>
    </r>
  </si>
  <si>
    <r>
      <t>Liquid-side mass transfer coefficient of CH</t>
    </r>
    <r>
      <rPr>
        <vertAlign val="subscript"/>
        <sz val="11"/>
        <color rgb="FF000000"/>
        <rFont val="Calibri"/>
        <family val="2"/>
        <scheme val="minor"/>
      </rPr>
      <t>4</t>
    </r>
    <r>
      <rPr>
        <sz val="11"/>
        <rFont val="Calibri"/>
        <family val="2"/>
        <scheme val="minor"/>
      </rPr>
      <t xml:space="preserve"> for gas bubbles</t>
    </r>
  </si>
  <si>
    <r>
      <t>Liquid-side mass transfer coefficient of H</t>
    </r>
    <r>
      <rPr>
        <vertAlign val="subscript"/>
        <sz val="11"/>
        <color rgb="FF000000"/>
        <rFont val="Calibri"/>
        <family val="2"/>
        <scheme val="minor"/>
      </rPr>
      <t>2</t>
    </r>
    <r>
      <rPr>
        <sz val="11"/>
        <rFont val="Calibri"/>
        <family val="2"/>
        <scheme val="minor"/>
      </rPr>
      <t xml:space="preserve"> for gas bubbles</t>
    </r>
  </si>
  <si>
    <r>
      <t>Liquid-side mass transfer coefficient of NH</t>
    </r>
    <r>
      <rPr>
        <vertAlign val="subscript"/>
        <sz val="11"/>
        <color rgb="FF000000"/>
        <rFont val="Calibri"/>
        <family val="2"/>
        <scheme val="minor"/>
      </rPr>
      <t>3</t>
    </r>
    <r>
      <rPr>
        <sz val="11"/>
        <rFont val="Calibri"/>
        <family val="2"/>
        <scheme val="minor"/>
      </rPr>
      <t xml:space="preserve"> for gas bubbles</t>
    </r>
  </si>
  <si>
    <r>
      <t>f</t>
    </r>
    <r>
      <rPr>
        <vertAlign val="subscript"/>
        <sz val="11"/>
        <rFont val="Calibri"/>
        <family val="2"/>
        <scheme val="minor"/>
      </rPr>
      <t>kL,GH2S</t>
    </r>
    <r>
      <rPr>
        <sz val="11"/>
        <rFont val="Calibri"/>
        <family val="2"/>
        <scheme val="minor"/>
      </rPr>
      <t>*(D</t>
    </r>
    <r>
      <rPr>
        <vertAlign val="subscript"/>
        <sz val="11"/>
        <rFont val="Calibri"/>
        <family val="2"/>
        <scheme val="minor"/>
      </rPr>
      <t>GH2S,25</t>
    </r>
    <r>
      <rPr>
        <sz val="11"/>
        <rFont val="Calibri"/>
        <family val="2"/>
        <scheme val="minor"/>
      </rPr>
      <t>/D</t>
    </r>
    <r>
      <rPr>
        <vertAlign val="subscript"/>
        <sz val="11"/>
        <rFont val="Calibri"/>
        <family val="2"/>
        <scheme val="minor"/>
      </rPr>
      <t>GO2,25</t>
    </r>
    <r>
      <rPr>
        <sz val="11"/>
        <rFont val="Calibri"/>
        <family val="2"/>
        <scheme val="minor"/>
      </rPr>
      <t>)^0.5*k</t>
    </r>
    <r>
      <rPr>
        <vertAlign val="subscript"/>
        <sz val="11"/>
        <rFont val="Calibri"/>
        <family val="2"/>
        <scheme val="minor"/>
      </rPr>
      <t>L,GO2,bub</t>
    </r>
  </si>
  <si>
    <r>
      <t>f</t>
    </r>
    <r>
      <rPr>
        <vertAlign val="subscript"/>
        <sz val="11"/>
        <rFont val="Calibri"/>
        <family val="2"/>
        <scheme val="minor"/>
      </rPr>
      <t>kL,GN2</t>
    </r>
    <r>
      <rPr>
        <sz val="11"/>
        <rFont val="Calibri"/>
        <family val="2"/>
        <scheme val="minor"/>
      </rPr>
      <t>*(D</t>
    </r>
    <r>
      <rPr>
        <vertAlign val="subscript"/>
        <sz val="11"/>
        <rFont val="Calibri"/>
        <family val="2"/>
        <charset val="238"/>
        <scheme val="minor"/>
      </rPr>
      <t>G</t>
    </r>
    <r>
      <rPr>
        <vertAlign val="subscript"/>
        <sz val="11"/>
        <rFont val="Calibri"/>
        <family val="2"/>
        <scheme val="minor"/>
      </rPr>
      <t>N2,25</t>
    </r>
    <r>
      <rPr>
        <sz val="11"/>
        <rFont val="Calibri"/>
        <family val="2"/>
        <scheme val="minor"/>
      </rPr>
      <t>/D</t>
    </r>
    <r>
      <rPr>
        <vertAlign val="subscript"/>
        <sz val="11"/>
        <rFont val="Calibri"/>
        <family val="2"/>
        <charset val="238"/>
        <scheme val="minor"/>
      </rPr>
      <t>G</t>
    </r>
    <r>
      <rPr>
        <vertAlign val="subscript"/>
        <sz val="11"/>
        <rFont val="Calibri"/>
        <family val="2"/>
        <scheme val="minor"/>
      </rPr>
      <t>O2,25</t>
    </r>
    <r>
      <rPr>
        <sz val="11"/>
        <rFont val="Calibri"/>
        <family val="2"/>
        <scheme val="minor"/>
      </rPr>
      <t>)^0.5*k</t>
    </r>
    <r>
      <rPr>
        <vertAlign val="subscript"/>
        <sz val="11"/>
        <rFont val="Calibri"/>
        <family val="2"/>
        <scheme val="minor"/>
      </rPr>
      <t>L,GO2,bub</t>
    </r>
  </si>
  <si>
    <r>
      <t>f</t>
    </r>
    <r>
      <rPr>
        <vertAlign val="subscript"/>
        <sz val="11"/>
        <rFont val="Calibri"/>
        <family val="2"/>
        <scheme val="minor"/>
      </rPr>
      <t>kL,GCO2</t>
    </r>
    <r>
      <rPr>
        <sz val="11"/>
        <rFont val="Calibri"/>
        <family val="2"/>
        <scheme val="minor"/>
      </rPr>
      <t>*(D</t>
    </r>
    <r>
      <rPr>
        <vertAlign val="subscript"/>
        <sz val="11"/>
        <rFont val="Calibri"/>
        <family val="2"/>
        <charset val="238"/>
        <scheme val="minor"/>
      </rPr>
      <t>G</t>
    </r>
    <r>
      <rPr>
        <vertAlign val="subscript"/>
        <sz val="11"/>
        <rFont val="Calibri"/>
        <family val="2"/>
        <scheme val="minor"/>
      </rPr>
      <t>CO2,25</t>
    </r>
    <r>
      <rPr>
        <sz val="11"/>
        <rFont val="Calibri"/>
        <family val="2"/>
        <scheme val="minor"/>
      </rPr>
      <t>/D</t>
    </r>
    <r>
      <rPr>
        <vertAlign val="subscript"/>
        <sz val="11"/>
        <rFont val="Calibri"/>
        <family val="2"/>
        <charset val="238"/>
        <scheme val="minor"/>
      </rPr>
      <t>G</t>
    </r>
    <r>
      <rPr>
        <vertAlign val="subscript"/>
        <sz val="11"/>
        <rFont val="Calibri"/>
        <family val="2"/>
        <scheme val="minor"/>
      </rPr>
      <t>O2,25</t>
    </r>
    <r>
      <rPr>
        <sz val="11"/>
        <rFont val="Calibri"/>
        <family val="2"/>
        <scheme val="minor"/>
      </rPr>
      <t>)^0.5*k</t>
    </r>
    <r>
      <rPr>
        <vertAlign val="subscript"/>
        <sz val="11"/>
        <rFont val="Calibri"/>
        <family val="2"/>
        <scheme val="minor"/>
      </rPr>
      <t>L,GO2,bub</t>
    </r>
  </si>
  <si>
    <r>
      <t>f</t>
    </r>
    <r>
      <rPr>
        <vertAlign val="subscript"/>
        <sz val="11"/>
        <rFont val="Calibri"/>
        <family val="2"/>
        <scheme val="minor"/>
      </rPr>
      <t>kL,GCH4</t>
    </r>
    <r>
      <rPr>
        <sz val="11"/>
        <rFont val="Calibri"/>
        <family val="2"/>
        <scheme val="minor"/>
      </rPr>
      <t>*(D</t>
    </r>
    <r>
      <rPr>
        <vertAlign val="subscript"/>
        <sz val="11"/>
        <rFont val="Calibri"/>
        <family val="2"/>
        <charset val="238"/>
        <scheme val="minor"/>
      </rPr>
      <t>G</t>
    </r>
    <r>
      <rPr>
        <vertAlign val="subscript"/>
        <sz val="11"/>
        <rFont val="Calibri"/>
        <family val="2"/>
        <scheme val="minor"/>
      </rPr>
      <t>CH4,25</t>
    </r>
    <r>
      <rPr>
        <sz val="11"/>
        <rFont val="Calibri"/>
        <family val="2"/>
        <scheme val="minor"/>
      </rPr>
      <t>/D</t>
    </r>
    <r>
      <rPr>
        <vertAlign val="subscript"/>
        <sz val="11"/>
        <rFont val="Calibri"/>
        <family val="2"/>
        <charset val="238"/>
        <scheme val="minor"/>
      </rPr>
      <t>G</t>
    </r>
    <r>
      <rPr>
        <vertAlign val="subscript"/>
        <sz val="11"/>
        <rFont val="Calibri"/>
        <family val="2"/>
        <scheme val="minor"/>
      </rPr>
      <t>O2,25</t>
    </r>
    <r>
      <rPr>
        <sz val="11"/>
        <rFont val="Calibri"/>
        <family val="2"/>
        <scheme val="minor"/>
      </rPr>
      <t>)^0.5*k</t>
    </r>
    <r>
      <rPr>
        <vertAlign val="subscript"/>
        <sz val="11"/>
        <rFont val="Calibri"/>
        <family val="2"/>
        <scheme val="minor"/>
      </rPr>
      <t>L,GO2,bub</t>
    </r>
  </si>
  <si>
    <r>
      <t>f</t>
    </r>
    <r>
      <rPr>
        <vertAlign val="subscript"/>
        <sz val="11"/>
        <rFont val="Calibri"/>
        <family val="2"/>
        <scheme val="minor"/>
      </rPr>
      <t>kL,GH2</t>
    </r>
    <r>
      <rPr>
        <sz val="11"/>
        <rFont val="Calibri"/>
        <family val="2"/>
        <scheme val="minor"/>
      </rPr>
      <t>*(D</t>
    </r>
    <r>
      <rPr>
        <vertAlign val="subscript"/>
        <sz val="11"/>
        <rFont val="Calibri"/>
        <family val="2"/>
        <charset val="238"/>
        <scheme val="minor"/>
      </rPr>
      <t>G</t>
    </r>
    <r>
      <rPr>
        <vertAlign val="subscript"/>
        <sz val="11"/>
        <rFont val="Calibri"/>
        <family val="2"/>
        <scheme val="minor"/>
      </rPr>
      <t>H2,25</t>
    </r>
    <r>
      <rPr>
        <sz val="11"/>
        <rFont val="Calibri"/>
        <family val="2"/>
        <scheme val="minor"/>
      </rPr>
      <t>/D</t>
    </r>
    <r>
      <rPr>
        <vertAlign val="subscript"/>
        <sz val="11"/>
        <rFont val="Calibri"/>
        <family val="2"/>
        <charset val="238"/>
        <scheme val="minor"/>
      </rPr>
      <t>G</t>
    </r>
    <r>
      <rPr>
        <vertAlign val="subscript"/>
        <sz val="11"/>
        <rFont val="Calibri"/>
        <family val="2"/>
        <scheme val="minor"/>
      </rPr>
      <t>O2,25</t>
    </r>
    <r>
      <rPr>
        <sz val="11"/>
        <rFont val="Calibri"/>
        <family val="2"/>
        <scheme val="minor"/>
      </rPr>
      <t>)^0.5*k</t>
    </r>
    <r>
      <rPr>
        <vertAlign val="subscript"/>
        <sz val="11"/>
        <rFont val="Calibri"/>
        <family val="2"/>
        <scheme val="minor"/>
      </rPr>
      <t>L,GO2,bub</t>
    </r>
  </si>
  <si>
    <r>
      <t>f</t>
    </r>
    <r>
      <rPr>
        <vertAlign val="subscript"/>
        <sz val="11"/>
        <rFont val="Calibri"/>
        <family val="2"/>
        <scheme val="minor"/>
      </rPr>
      <t>kL,GNH3</t>
    </r>
    <r>
      <rPr>
        <sz val="11"/>
        <rFont val="Calibri"/>
        <family val="2"/>
        <scheme val="minor"/>
      </rPr>
      <t>*(D</t>
    </r>
    <r>
      <rPr>
        <vertAlign val="subscript"/>
        <sz val="11"/>
        <rFont val="Calibri"/>
        <family val="2"/>
        <charset val="238"/>
        <scheme val="minor"/>
      </rPr>
      <t>G</t>
    </r>
    <r>
      <rPr>
        <vertAlign val="subscript"/>
        <sz val="11"/>
        <rFont val="Calibri"/>
        <family val="2"/>
        <scheme val="minor"/>
      </rPr>
      <t>NH3,25</t>
    </r>
    <r>
      <rPr>
        <sz val="11"/>
        <rFont val="Calibri"/>
        <family val="2"/>
        <scheme val="minor"/>
      </rPr>
      <t>/D</t>
    </r>
    <r>
      <rPr>
        <vertAlign val="subscript"/>
        <sz val="11"/>
        <rFont val="Calibri"/>
        <family val="2"/>
        <charset val="238"/>
        <scheme val="minor"/>
      </rPr>
      <t>G</t>
    </r>
    <r>
      <rPr>
        <vertAlign val="subscript"/>
        <sz val="11"/>
        <rFont val="Calibri"/>
        <family val="2"/>
        <scheme val="minor"/>
      </rPr>
      <t>O2,25</t>
    </r>
    <r>
      <rPr>
        <sz val="11"/>
        <rFont val="Calibri"/>
        <family val="2"/>
        <scheme val="minor"/>
      </rPr>
      <t>)^0.5*k</t>
    </r>
    <r>
      <rPr>
        <vertAlign val="subscript"/>
        <sz val="11"/>
        <rFont val="Calibri"/>
        <family val="2"/>
        <scheme val="minor"/>
      </rPr>
      <t>L,GO2,bub</t>
    </r>
  </si>
  <si>
    <r>
      <t>k</t>
    </r>
    <r>
      <rPr>
        <vertAlign val="subscript"/>
        <sz val="11"/>
        <rFont val="Calibri"/>
        <family val="2"/>
        <scheme val="minor"/>
      </rPr>
      <t>L,GH2S,sur</t>
    </r>
  </si>
  <si>
    <r>
      <t>k</t>
    </r>
    <r>
      <rPr>
        <vertAlign val="subscript"/>
        <sz val="11"/>
        <rFont val="Calibri"/>
        <family val="2"/>
        <scheme val="minor"/>
      </rPr>
      <t>L,GN2,sur</t>
    </r>
  </si>
  <si>
    <r>
      <t>k</t>
    </r>
    <r>
      <rPr>
        <vertAlign val="subscript"/>
        <sz val="11"/>
        <rFont val="Calibri"/>
        <family val="2"/>
        <scheme val="minor"/>
      </rPr>
      <t>L,GCO2,sur</t>
    </r>
  </si>
  <si>
    <r>
      <t>k</t>
    </r>
    <r>
      <rPr>
        <vertAlign val="subscript"/>
        <sz val="11"/>
        <rFont val="Calibri"/>
        <family val="2"/>
        <scheme val="minor"/>
      </rPr>
      <t>L,GCH4,sur</t>
    </r>
  </si>
  <si>
    <r>
      <t>k</t>
    </r>
    <r>
      <rPr>
        <vertAlign val="subscript"/>
        <sz val="11"/>
        <rFont val="Calibri"/>
        <family val="2"/>
        <scheme val="minor"/>
      </rPr>
      <t>L,GH2,sur</t>
    </r>
  </si>
  <si>
    <r>
      <t>k</t>
    </r>
    <r>
      <rPr>
        <vertAlign val="subscript"/>
        <sz val="11"/>
        <rFont val="Calibri"/>
        <family val="2"/>
        <scheme val="minor"/>
      </rPr>
      <t>L,GNH3,sur</t>
    </r>
  </si>
  <si>
    <r>
      <t>Liquid-side mass transfer coefficient of H</t>
    </r>
    <r>
      <rPr>
        <vertAlign val="subscript"/>
        <sz val="11"/>
        <color rgb="FF000000"/>
        <rFont val="Calibri"/>
        <family val="2"/>
        <scheme val="minor"/>
      </rPr>
      <t>2</t>
    </r>
    <r>
      <rPr>
        <sz val="11"/>
        <color rgb="FF000000"/>
        <rFont val="Calibri"/>
        <family val="2"/>
        <charset val="238"/>
        <scheme val="minor"/>
      </rPr>
      <t>S</t>
    </r>
    <r>
      <rPr>
        <sz val="11"/>
        <rFont val="Calibri"/>
        <family val="2"/>
        <scheme val="minor"/>
      </rPr>
      <t xml:space="preserve"> at liquid surface</t>
    </r>
  </si>
  <si>
    <r>
      <t>Liquid-side mass transfer coefficient of N</t>
    </r>
    <r>
      <rPr>
        <vertAlign val="subscript"/>
        <sz val="11"/>
        <color rgb="FF000000"/>
        <rFont val="Calibri"/>
        <family val="2"/>
        <scheme val="minor"/>
      </rPr>
      <t>2</t>
    </r>
    <r>
      <rPr>
        <sz val="11"/>
        <rFont val="Calibri"/>
        <family val="2"/>
        <scheme val="minor"/>
      </rPr>
      <t xml:space="preserve"> at liquid surface</t>
    </r>
  </si>
  <si>
    <r>
      <t>Liquid-side mass transfer coefficient of CO</t>
    </r>
    <r>
      <rPr>
        <vertAlign val="subscript"/>
        <sz val="11"/>
        <color rgb="FF000000"/>
        <rFont val="Calibri"/>
        <family val="2"/>
        <scheme val="minor"/>
      </rPr>
      <t>2</t>
    </r>
    <r>
      <rPr>
        <sz val="11"/>
        <rFont val="Calibri"/>
        <family val="2"/>
        <scheme val="minor"/>
      </rPr>
      <t xml:space="preserve"> at liquid surface</t>
    </r>
  </si>
  <si>
    <r>
      <t>Liquid-side mass transfer coefficient of CH</t>
    </r>
    <r>
      <rPr>
        <vertAlign val="subscript"/>
        <sz val="11"/>
        <color rgb="FF000000"/>
        <rFont val="Calibri"/>
        <family val="2"/>
        <scheme val="minor"/>
      </rPr>
      <t>4</t>
    </r>
    <r>
      <rPr>
        <sz val="11"/>
        <rFont val="Calibri"/>
        <family val="2"/>
        <scheme val="minor"/>
      </rPr>
      <t xml:space="preserve"> at liquid surface</t>
    </r>
  </si>
  <si>
    <r>
      <t>Liquid-side mass transfer coefficient of H</t>
    </r>
    <r>
      <rPr>
        <vertAlign val="subscript"/>
        <sz val="11"/>
        <color rgb="FF000000"/>
        <rFont val="Calibri"/>
        <family val="2"/>
        <scheme val="minor"/>
      </rPr>
      <t>2</t>
    </r>
    <r>
      <rPr>
        <sz val="11"/>
        <rFont val="Calibri"/>
        <family val="2"/>
        <scheme val="minor"/>
      </rPr>
      <t xml:space="preserve"> at liquid surface</t>
    </r>
  </si>
  <si>
    <r>
      <t>Liquid-side mass transfer coefficient of NH</t>
    </r>
    <r>
      <rPr>
        <vertAlign val="subscript"/>
        <sz val="11"/>
        <color rgb="FF000000"/>
        <rFont val="Calibri"/>
        <family val="2"/>
        <scheme val="minor"/>
      </rPr>
      <t>3</t>
    </r>
    <r>
      <rPr>
        <sz val="11"/>
        <rFont val="Calibri"/>
        <family val="2"/>
        <scheme val="minor"/>
      </rPr>
      <t xml:space="preserve"> at liquid surface</t>
    </r>
  </si>
  <si>
    <r>
      <t>f</t>
    </r>
    <r>
      <rPr>
        <vertAlign val="subscript"/>
        <sz val="11"/>
        <rFont val="Calibri"/>
        <family val="2"/>
        <scheme val="minor"/>
      </rPr>
      <t>kL,GH2S</t>
    </r>
    <r>
      <rPr>
        <sz val="11"/>
        <rFont val="Calibri"/>
        <family val="2"/>
        <scheme val="minor"/>
      </rPr>
      <t>*(D</t>
    </r>
    <r>
      <rPr>
        <vertAlign val="subscript"/>
        <sz val="11"/>
        <rFont val="Calibri"/>
        <family val="2"/>
        <scheme val="minor"/>
      </rPr>
      <t>GH2S,25</t>
    </r>
    <r>
      <rPr>
        <sz val="11"/>
        <rFont val="Calibri"/>
        <family val="2"/>
        <scheme val="minor"/>
      </rPr>
      <t>/D</t>
    </r>
    <r>
      <rPr>
        <vertAlign val="subscript"/>
        <sz val="11"/>
        <rFont val="Calibri"/>
        <family val="2"/>
        <scheme val="minor"/>
      </rPr>
      <t>GO2,25</t>
    </r>
    <r>
      <rPr>
        <sz val="11"/>
        <rFont val="Calibri"/>
        <family val="2"/>
        <scheme val="minor"/>
      </rPr>
      <t>)^0.5*k</t>
    </r>
    <r>
      <rPr>
        <vertAlign val="subscript"/>
        <sz val="11"/>
        <rFont val="Calibri"/>
        <family val="2"/>
        <scheme val="minor"/>
      </rPr>
      <t>L,GO2,sur</t>
    </r>
  </si>
  <si>
    <r>
      <t>f</t>
    </r>
    <r>
      <rPr>
        <vertAlign val="subscript"/>
        <sz val="11"/>
        <rFont val="Calibri"/>
        <family val="2"/>
        <scheme val="minor"/>
      </rPr>
      <t>kL,GN2</t>
    </r>
    <r>
      <rPr>
        <sz val="11"/>
        <rFont val="Calibri"/>
        <family val="2"/>
        <scheme val="minor"/>
      </rPr>
      <t>*(D</t>
    </r>
    <r>
      <rPr>
        <vertAlign val="subscript"/>
        <sz val="11"/>
        <rFont val="Calibri"/>
        <family val="2"/>
        <charset val="238"/>
        <scheme val="minor"/>
      </rPr>
      <t>G</t>
    </r>
    <r>
      <rPr>
        <vertAlign val="subscript"/>
        <sz val="11"/>
        <rFont val="Calibri"/>
        <family val="2"/>
        <scheme val="minor"/>
      </rPr>
      <t>N2,25</t>
    </r>
    <r>
      <rPr>
        <sz val="11"/>
        <rFont val="Calibri"/>
        <family val="2"/>
        <scheme val="minor"/>
      </rPr>
      <t>/D</t>
    </r>
    <r>
      <rPr>
        <vertAlign val="subscript"/>
        <sz val="11"/>
        <rFont val="Calibri"/>
        <family val="2"/>
        <charset val="238"/>
        <scheme val="minor"/>
      </rPr>
      <t>G</t>
    </r>
    <r>
      <rPr>
        <vertAlign val="subscript"/>
        <sz val="11"/>
        <rFont val="Calibri"/>
        <family val="2"/>
        <scheme val="minor"/>
      </rPr>
      <t>O2,25</t>
    </r>
    <r>
      <rPr>
        <sz val="11"/>
        <rFont val="Calibri"/>
        <family val="2"/>
        <scheme val="minor"/>
      </rPr>
      <t>)^0.5*k</t>
    </r>
    <r>
      <rPr>
        <vertAlign val="subscript"/>
        <sz val="11"/>
        <rFont val="Calibri"/>
        <family val="2"/>
        <scheme val="minor"/>
      </rPr>
      <t>L,GO2,sur</t>
    </r>
  </si>
  <si>
    <r>
      <t>f</t>
    </r>
    <r>
      <rPr>
        <vertAlign val="subscript"/>
        <sz val="11"/>
        <rFont val="Calibri"/>
        <family val="2"/>
        <scheme val="minor"/>
      </rPr>
      <t>kL,GCO2</t>
    </r>
    <r>
      <rPr>
        <sz val="11"/>
        <rFont val="Calibri"/>
        <family val="2"/>
        <scheme val="minor"/>
      </rPr>
      <t>*(D</t>
    </r>
    <r>
      <rPr>
        <vertAlign val="subscript"/>
        <sz val="11"/>
        <rFont val="Calibri"/>
        <family val="2"/>
        <charset val="238"/>
        <scheme val="minor"/>
      </rPr>
      <t>G</t>
    </r>
    <r>
      <rPr>
        <vertAlign val="subscript"/>
        <sz val="11"/>
        <rFont val="Calibri"/>
        <family val="2"/>
        <scheme val="minor"/>
      </rPr>
      <t>CO2,25</t>
    </r>
    <r>
      <rPr>
        <sz val="11"/>
        <rFont val="Calibri"/>
        <family val="2"/>
        <scheme val="minor"/>
      </rPr>
      <t>/D</t>
    </r>
    <r>
      <rPr>
        <vertAlign val="subscript"/>
        <sz val="11"/>
        <rFont val="Calibri"/>
        <family val="2"/>
        <charset val="238"/>
        <scheme val="minor"/>
      </rPr>
      <t>G</t>
    </r>
    <r>
      <rPr>
        <vertAlign val="subscript"/>
        <sz val="11"/>
        <rFont val="Calibri"/>
        <family val="2"/>
        <scheme val="minor"/>
      </rPr>
      <t>O2,25</t>
    </r>
    <r>
      <rPr>
        <sz val="11"/>
        <rFont val="Calibri"/>
        <family val="2"/>
        <scheme val="minor"/>
      </rPr>
      <t>)^0.5*k</t>
    </r>
    <r>
      <rPr>
        <vertAlign val="subscript"/>
        <sz val="11"/>
        <rFont val="Calibri"/>
        <family val="2"/>
        <scheme val="minor"/>
      </rPr>
      <t>L,GO2,sur</t>
    </r>
  </si>
  <si>
    <r>
      <t>f</t>
    </r>
    <r>
      <rPr>
        <vertAlign val="subscript"/>
        <sz val="11"/>
        <rFont val="Calibri"/>
        <family val="2"/>
        <scheme val="minor"/>
      </rPr>
      <t>kL,GCH4</t>
    </r>
    <r>
      <rPr>
        <sz val="11"/>
        <rFont val="Calibri"/>
        <family val="2"/>
        <scheme val="minor"/>
      </rPr>
      <t>*(D</t>
    </r>
    <r>
      <rPr>
        <vertAlign val="subscript"/>
        <sz val="11"/>
        <rFont val="Calibri"/>
        <family val="2"/>
        <charset val="238"/>
        <scheme val="minor"/>
      </rPr>
      <t>G</t>
    </r>
    <r>
      <rPr>
        <vertAlign val="subscript"/>
        <sz val="11"/>
        <rFont val="Calibri"/>
        <family val="2"/>
        <scheme val="minor"/>
      </rPr>
      <t>CH4,25</t>
    </r>
    <r>
      <rPr>
        <sz val="11"/>
        <rFont val="Calibri"/>
        <family val="2"/>
        <scheme val="minor"/>
      </rPr>
      <t>/D</t>
    </r>
    <r>
      <rPr>
        <vertAlign val="subscript"/>
        <sz val="11"/>
        <rFont val="Calibri"/>
        <family val="2"/>
        <charset val="238"/>
        <scheme val="minor"/>
      </rPr>
      <t>G</t>
    </r>
    <r>
      <rPr>
        <vertAlign val="subscript"/>
        <sz val="11"/>
        <rFont val="Calibri"/>
        <family val="2"/>
        <scheme val="minor"/>
      </rPr>
      <t>O2,25</t>
    </r>
    <r>
      <rPr>
        <sz val="11"/>
        <rFont val="Calibri"/>
        <family val="2"/>
        <scheme val="minor"/>
      </rPr>
      <t>)^0.5*k</t>
    </r>
    <r>
      <rPr>
        <vertAlign val="subscript"/>
        <sz val="11"/>
        <rFont val="Calibri"/>
        <family val="2"/>
        <scheme val="minor"/>
      </rPr>
      <t>L,GO2,sur</t>
    </r>
  </si>
  <si>
    <r>
      <t>f</t>
    </r>
    <r>
      <rPr>
        <vertAlign val="subscript"/>
        <sz val="11"/>
        <rFont val="Calibri"/>
        <family val="2"/>
        <scheme val="minor"/>
      </rPr>
      <t>kL,GH2</t>
    </r>
    <r>
      <rPr>
        <sz val="11"/>
        <rFont val="Calibri"/>
        <family val="2"/>
        <scheme val="minor"/>
      </rPr>
      <t>*(D</t>
    </r>
    <r>
      <rPr>
        <vertAlign val="subscript"/>
        <sz val="11"/>
        <rFont val="Calibri"/>
        <family val="2"/>
        <charset val="238"/>
        <scheme val="minor"/>
      </rPr>
      <t>G</t>
    </r>
    <r>
      <rPr>
        <vertAlign val="subscript"/>
        <sz val="11"/>
        <rFont val="Calibri"/>
        <family val="2"/>
        <scheme val="minor"/>
      </rPr>
      <t>H2,25</t>
    </r>
    <r>
      <rPr>
        <sz val="11"/>
        <rFont val="Calibri"/>
        <family val="2"/>
        <scheme val="minor"/>
      </rPr>
      <t>/D</t>
    </r>
    <r>
      <rPr>
        <vertAlign val="subscript"/>
        <sz val="11"/>
        <rFont val="Calibri"/>
        <family val="2"/>
        <charset val="238"/>
        <scheme val="minor"/>
      </rPr>
      <t>G</t>
    </r>
    <r>
      <rPr>
        <vertAlign val="subscript"/>
        <sz val="11"/>
        <rFont val="Calibri"/>
        <family val="2"/>
        <scheme val="minor"/>
      </rPr>
      <t>O2,25</t>
    </r>
    <r>
      <rPr>
        <sz val="11"/>
        <rFont val="Calibri"/>
        <family val="2"/>
        <scheme val="minor"/>
      </rPr>
      <t>)^0.5*k</t>
    </r>
    <r>
      <rPr>
        <vertAlign val="subscript"/>
        <sz val="11"/>
        <rFont val="Calibri"/>
        <family val="2"/>
        <scheme val="minor"/>
      </rPr>
      <t>L,GO2,sur</t>
    </r>
  </si>
  <si>
    <r>
      <t>f</t>
    </r>
    <r>
      <rPr>
        <vertAlign val="subscript"/>
        <sz val="11"/>
        <rFont val="Calibri"/>
        <family val="2"/>
        <scheme val="minor"/>
      </rPr>
      <t>kL,GNH3</t>
    </r>
    <r>
      <rPr>
        <sz val="11"/>
        <rFont val="Calibri"/>
        <family val="2"/>
        <scheme val="minor"/>
      </rPr>
      <t>*(D</t>
    </r>
    <r>
      <rPr>
        <vertAlign val="subscript"/>
        <sz val="11"/>
        <rFont val="Calibri"/>
        <family val="2"/>
        <charset val="238"/>
        <scheme val="minor"/>
      </rPr>
      <t>G</t>
    </r>
    <r>
      <rPr>
        <vertAlign val="subscript"/>
        <sz val="11"/>
        <rFont val="Calibri"/>
        <family val="2"/>
        <scheme val="minor"/>
      </rPr>
      <t>NH3,25</t>
    </r>
    <r>
      <rPr>
        <sz val="11"/>
        <rFont val="Calibri"/>
        <family val="2"/>
        <scheme val="minor"/>
      </rPr>
      <t>/D</t>
    </r>
    <r>
      <rPr>
        <vertAlign val="subscript"/>
        <sz val="11"/>
        <rFont val="Calibri"/>
        <family val="2"/>
        <charset val="238"/>
        <scheme val="minor"/>
      </rPr>
      <t>G</t>
    </r>
    <r>
      <rPr>
        <vertAlign val="subscript"/>
        <sz val="11"/>
        <rFont val="Calibri"/>
        <family val="2"/>
        <scheme val="minor"/>
      </rPr>
      <t>O2,25</t>
    </r>
    <r>
      <rPr>
        <sz val="11"/>
        <rFont val="Calibri"/>
        <family val="2"/>
        <scheme val="minor"/>
      </rPr>
      <t>)^0.5*k</t>
    </r>
    <r>
      <rPr>
        <vertAlign val="subscript"/>
        <sz val="11"/>
        <rFont val="Calibri"/>
        <family val="2"/>
        <scheme val="minor"/>
      </rPr>
      <t>L,GO2,sur</t>
    </r>
  </si>
  <si>
    <t>Press "Global Check" button</t>
  </si>
  <si>
    <t>In the systemcode.xlsx file</t>
  </si>
  <si>
    <t>Insert new rows for dissociation constants and enthalpies in the constant tab</t>
  </si>
  <si>
    <t>On the Calculated variables tab</t>
  </si>
  <si>
    <t>Insert new rows for "Dissociation constants - temperature correction" and "Dissociation constants - activity correction" tables</t>
  </si>
  <si>
    <t>Fill in names, other information (expression required)</t>
  </si>
  <si>
    <t>Press "calculate" and name "Value" cells from symbols (use CTRL-M [Mark Name] shortcut)</t>
  </si>
  <si>
    <t>In the Kinetic Matrix tab, insert or delete columns in the existing model matrix so that matrix columns match with States list in States Tab</t>
  </si>
  <si>
    <t>The algebraic expressions are determined based on the system of the chemical reactions and a mass balance. A symbolic solver (e.g. http://live.sympy.org/) can be used.</t>
  </si>
  <si>
    <t>Check "Alkalinity" expression and modify it if required depending on the new species added</t>
  </si>
  <si>
    <t>Custom functions can be created on functions tab (systemcode.xlsx file).</t>
  </si>
  <si>
    <t>IS cut-off threshold for Davies activity coefficient correction</t>
  </si>
  <si>
    <r>
      <t>K</t>
    </r>
    <r>
      <rPr>
        <vertAlign val="subscript"/>
        <sz val="11"/>
        <rFont val="Calibri"/>
        <family val="2"/>
        <scheme val="minor"/>
      </rPr>
      <t>Mg,BIO,AS</t>
    </r>
  </si>
  <si>
    <t>Half-saturation of Mg for biomasses (AS)</t>
  </si>
  <si>
    <r>
      <t>K</t>
    </r>
    <r>
      <rPr>
        <vertAlign val="subscript"/>
        <sz val="11"/>
        <rFont val="Calibri"/>
        <family val="2"/>
        <scheme val="minor"/>
      </rPr>
      <t>Ca,BIO,AS</t>
    </r>
  </si>
  <si>
    <t>Half-saturation of Ca for biomasses (AS)</t>
  </si>
  <si>
    <r>
      <t>i</t>
    </r>
    <r>
      <rPr>
        <vertAlign val="subscript"/>
        <sz val="11"/>
        <rFont val="Calibri"/>
        <family val="2"/>
        <scheme val="minor"/>
      </rPr>
      <t>Ca,INORG</t>
    </r>
  </si>
  <si>
    <r>
      <t>Ca content of X</t>
    </r>
    <r>
      <rPr>
        <vertAlign val="subscript"/>
        <sz val="11"/>
        <rFont val="Calibri"/>
        <family val="2"/>
        <scheme val="minor"/>
      </rPr>
      <t>INORG</t>
    </r>
  </si>
  <si>
    <r>
      <t>g Ca.g TSS</t>
    </r>
    <r>
      <rPr>
        <vertAlign val="superscript"/>
        <sz val="11"/>
        <rFont val="Calibri"/>
        <family val="2"/>
        <scheme val="minor"/>
      </rPr>
      <t>-1</t>
    </r>
  </si>
  <si>
    <r>
      <t>i</t>
    </r>
    <r>
      <rPr>
        <vertAlign val="subscript"/>
        <sz val="11"/>
        <rFont val="Calibri"/>
        <family val="2"/>
        <scheme val="minor"/>
      </rPr>
      <t>Mg,INORG</t>
    </r>
  </si>
  <si>
    <r>
      <t>Mg content of X</t>
    </r>
    <r>
      <rPr>
        <vertAlign val="subscript"/>
        <sz val="11"/>
        <rFont val="Calibri"/>
        <family val="2"/>
        <scheme val="minor"/>
      </rPr>
      <t>INORG</t>
    </r>
  </si>
  <si>
    <r>
      <t>g Mg.g TSS</t>
    </r>
    <r>
      <rPr>
        <vertAlign val="superscript"/>
        <sz val="11"/>
        <rFont val="Calibri"/>
        <family val="2"/>
        <scheme val="minor"/>
      </rPr>
      <t>-1</t>
    </r>
  </si>
  <si>
    <r>
      <t>f</t>
    </r>
    <r>
      <rPr>
        <vertAlign val="subscript"/>
        <sz val="11"/>
        <rFont val="Calibri"/>
        <family val="2"/>
        <scheme val="minor"/>
      </rPr>
      <t>VFA,DM</t>
    </r>
  </si>
  <si>
    <r>
      <t>fraction of S</t>
    </r>
    <r>
      <rPr>
        <vertAlign val="subscript"/>
        <sz val="11"/>
        <rFont val="Calibri"/>
        <family val="2"/>
        <scheme val="minor"/>
      </rPr>
      <t>VFA</t>
    </r>
    <r>
      <rPr>
        <sz val="11"/>
        <rFont val="Calibri"/>
        <family val="2"/>
        <scheme val="minor"/>
      </rPr>
      <t xml:space="preserve"> not volatilized in Dry Matter analysis</t>
    </r>
  </si>
  <si>
    <r>
      <t>Msat</t>
    </r>
    <r>
      <rPr>
        <vertAlign val="subscript"/>
        <sz val="11"/>
        <rFont val="Calibri"/>
        <family val="2"/>
        <scheme val="minor"/>
      </rPr>
      <t>SCa,KCa</t>
    </r>
  </si>
  <si>
    <t>Saturation term for Ca for BIO</t>
  </si>
  <si>
    <r>
      <t>Msat(S</t>
    </r>
    <r>
      <rPr>
        <vertAlign val="subscript"/>
        <sz val="11"/>
        <rFont val="Calibri"/>
        <family val="2"/>
        <scheme val="minor"/>
      </rPr>
      <t>Ca</t>
    </r>
    <r>
      <rPr>
        <sz val="11"/>
        <rFont val="Calibri"/>
        <family val="2"/>
        <scheme val="minor"/>
      </rPr>
      <t>;K</t>
    </r>
    <r>
      <rPr>
        <vertAlign val="subscript"/>
        <sz val="11"/>
        <rFont val="Calibri"/>
        <family val="2"/>
        <scheme val="minor"/>
      </rPr>
      <t>Ca,BIO</t>
    </r>
    <r>
      <rPr>
        <sz val="11"/>
        <rFont val="Calibri"/>
        <family val="2"/>
        <scheme val="minor"/>
      </rPr>
      <t>)</t>
    </r>
  </si>
  <si>
    <r>
      <t>Msat</t>
    </r>
    <r>
      <rPr>
        <vertAlign val="subscript"/>
        <sz val="11"/>
        <rFont val="Calibri"/>
        <family val="2"/>
        <scheme val="minor"/>
      </rPr>
      <t>SMg,KMg</t>
    </r>
  </si>
  <si>
    <t>Saturation term for Mg for BIO</t>
  </si>
  <si>
    <r>
      <t>Msat(S</t>
    </r>
    <r>
      <rPr>
        <vertAlign val="subscript"/>
        <sz val="11"/>
        <rFont val="Calibri"/>
        <family val="2"/>
        <scheme val="minor"/>
      </rPr>
      <t>Mg</t>
    </r>
    <r>
      <rPr>
        <sz val="11"/>
        <rFont val="Calibri"/>
        <family val="2"/>
        <scheme val="minor"/>
      </rPr>
      <t>;K</t>
    </r>
    <r>
      <rPr>
        <vertAlign val="subscript"/>
        <sz val="11"/>
        <rFont val="Calibri"/>
        <family val="2"/>
        <scheme val="minor"/>
      </rPr>
      <t>Mg,BIO</t>
    </r>
    <r>
      <rPr>
        <sz val="11"/>
        <rFont val="Calibri"/>
        <family val="2"/>
        <scheme val="minor"/>
      </rPr>
      <t>)</t>
    </r>
  </si>
  <si>
    <r>
      <t>K</t>
    </r>
    <r>
      <rPr>
        <vertAlign val="subscript"/>
        <sz val="11"/>
        <rFont val="Calibri"/>
        <family val="2"/>
        <scheme val="minor"/>
      </rPr>
      <t>Mg,BIO</t>
    </r>
  </si>
  <si>
    <t>Half-saturation of Mg for biomasses</t>
  </si>
  <si>
    <r>
      <t>K</t>
    </r>
    <r>
      <rPr>
        <vertAlign val="subscript"/>
        <sz val="11"/>
        <rFont val="Calibri"/>
        <family val="2"/>
        <scheme val="minor"/>
      </rPr>
      <t>Mg,BIO,AS</t>
    </r>
    <r>
      <rPr>
        <sz val="11"/>
        <rFont val="Calibri"/>
        <family val="2"/>
        <scheme val="minor"/>
      </rPr>
      <t>*f</t>
    </r>
    <r>
      <rPr>
        <vertAlign val="subscript"/>
        <sz val="11"/>
        <rFont val="Calibri"/>
        <family val="2"/>
        <scheme val="minor"/>
      </rPr>
      <t>KS</t>
    </r>
  </si>
  <si>
    <r>
      <t>K</t>
    </r>
    <r>
      <rPr>
        <vertAlign val="subscript"/>
        <sz val="11"/>
        <rFont val="Calibri"/>
        <family val="2"/>
        <scheme val="minor"/>
      </rPr>
      <t>Ca,BIO</t>
    </r>
  </si>
  <si>
    <t>Half-saturation of Ca for biomasses</t>
  </si>
  <si>
    <r>
      <t>K</t>
    </r>
    <r>
      <rPr>
        <vertAlign val="subscript"/>
        <sz val="11"/>
        <rFont val="Calibri"/>
        <family val="2"/>
        <scheme val="minor"/>
      </rPr>
      <t>Ca,BIO,AS</t>
    </r>
    <r>
      <rPr>
        <sz val="11"/>
        <rFont val="Calibri"/>
        <family val="2"/>
        <scheme val="minor"/>
      </rPr>
      <t>*f</t>
    </r>
    <r>
      <rPr>
        <vertAlign val="subscript"/>
        <sz val="11"/>
        <rFont val="Calibri"/>
        <family val="2"/>
        <scheme val="minor"/>
      </rPr>
      <t>KS</t>
    </r>
  </si>
  <si>
    <r>
      <t>X</t>
    </r>
    <r>
      <rPr>
        <vertAlign val="subscript"/>
        <sz val="11"/>
        <rFont val="Calibri"/>
        <family val="2"/>
        <scheme val="minor"/>
      </rPr>
      <t>TSS</t>
    </r>
    <r>
      <rPr>
        <sz val="11"/>
        <rFont val="Calibri"/>
        <family val="2"/>
        <scheme val="minor"/>
      </rPr>
      <t>+S</t>
    </r>
    <r>
      <rPr>
        <vertAlign val="subscript"/>
        <sz val="11"/>
        <rFont val="Calibri"/>
        <family val="2"/>
        <scheme val="minor"/>
      </rPr>
      <t>U</t>
    </r>
    <r>
      <rPr>
        <sz val="11"/>
        <rFont val="Calibri"/>
        <family val="2"/>
        <scheme val="minor"/>
      </rPr>
      <t>/i</t>
    </r>
    <r>
      <rPr>
        <vertAlign val="subscript"/>
        <sz val="11"/>
        <rFont val="Calibri"/>
        <family val="2"/>
        <scheme val="minor"/>
      </rPr>
      <t>CV,SU</t>
    </r>
    <r>
      <rPr>
        <sz val="11"/>
        <rFont val="Calibri"/>
        <family val="2"/>
        <scheme val="minor"/>
      </rPr>
      <t>+S</t>
    </r>
    <r>
      <rPr>
        <vertAlign val="subscript"/>
        <sz val="11"/>
        <rFont val="Calibri"/>
        <family val="2"/>
        <scheme val="minor"/>
      </rPr>
      <t>B</t>
    </r>
    <r>
      <rPr>
        <sz val="11"/>
        <rFont val="Calibri"/>
        <family val="2"/>
        <scheme val="minor"/>
      </rPr>
      <t>/i</t>
    </r>
    <r>
      <rPr>
        <vertAlign val="subscript"/>
        <sz val="11"/>
        <rFont val="Calibri"/>
        <family val="2"/>
        <scheme val="minor"/>
      </rPr>
      <t>CV,SB</t>
    </r>
    <r>
      <rPr>
        <sz val="11"/>
        <rFont val="Calibri"/>
        <family val="2"/>
        <scheme val="minor"/>
      </rPr>
      <t>+f</t>
    </r>
    <r>
      <rPr>
        <vertAlign val="subscript"/>
        <sz val="11"/>
        <rFont val="Calibri"/>
        <family val="2"/>
        <scheme val="minor"/>
      </rPr>
      <t>VFA,DM</t>
    </r>
    <r>
      <rPr>
        <sz val="11"/>
        <rFont val="Calibri"/>
        <family val="2"/>
        <scheme val="minor"/>
      </rPr>
      <t>*S</t>
    </r>
    <r>
      <rPr>
        <vertAlign val="subscript"/>
        <sz val="11"/>
        <rFont val="Calibri"/>
        <family val="2"/>
        <scheme val="minor"/>
      </rPr>
      <t>VFA</t>
    </r>
    <r>
      <rPr>
        <sz val="11"/>
        <rFont val="Calibri"/>
        <family val="2"/>
        <scheme val="minor"/>
      </rPr>
      <t>/i</t>
    </r>
    <r>
      <rPr>
        <vertAlign val="subscript"/>
        <sz val="11"/>
        <rFont val="Calibri"/>
        <family val="2"/>
        <scheme val="minor"/>
      </rPr>
      <t>CV,VFA</t>
    </r>
    <r>
      <rPr>
        <sz val="11"/>
        <rFont val="Calibri"/>
        <family val="2"/>
        <scheme val="minor"/>
      </rPr>
      <t>+C</t>
    </r>
    <r>
      <rPr>
        <vertAlign val="subscript"/>
        <sz val="11"/>
        <rFont val="Calibri"/>
        <family val="2"/>
        <scheme val="minor"/>
      </rPr>
      <t>B</t>
    </r>
    <r>
      <rPr>
        <sz val="11"/>
        <rFont val="Calibri"/>
        <family val="2"/>
        <scheme val="minor"/>
      </rPr>
      <t>/i</t>
    </r>
    <r>
      <rPr>
        <vertAlign val="subscript"/>
        <sz val="11"/>
        <rFont val="Calibri"/>
        <family val="2"/>
        <scheme val="minor"/>
      </rPr>
      <t>CV,CB</t>
    </r>
    <r>
      <rPr>
        <sz val="11"/>
        <rFont val="Calibri"/>
        <family val="2"/>
        <scheme val="minor"/>
      </rPr>
      <t>+C</t>
    </r>
    <r>
      <rPr>
        <vertAlign val="subscript"/>
        <sz val="11"/>
        <rFont val="Calibri"/>
        <family val="2"/>
        <scheme val="minor"/>
      </rPr>
      <t>U</t>
    </r>
    <r>
      <rPr>
        <sz val="11"/>
        <rFont val="Calibri"/>
        <family val="2"/>
        <scheme val="minor"/>
      </rPr>
      <t>/i</t>
    </r>
    <r>
      <rPr>
        <vertAlign val="subscript"/>
        <sz val="11"/>
        <rFont val="Calibri"/>
        <family val="2"/>
        <scheme val="minor"/>
      </rPr>
      <t>CV,CU</t>
    </r>
    <r>
      <rPr>
        <sz val="11"/>
        <rFont val="Calibri"/>
        <family val="2"/>
        <scheme val="minor"/>
      </rPr>
      <t>+S</t>
    </r>
    <r>
      <rPr>
        <vertAlign val="subscript"/>
        <sz val="11"/>
        <rFont val="Calibri"/>
        <family val="2"/>
        <scheme val="minor"/>
      </rPr>
      <t>NO3</t>
    </r>
    <r>
      <rPr>
        <sz val="11"/>
        <rFont val="Calibri"/>
        <family val="2"/>
        <scheme val="minor"/>
      </rPr>
      <t>*MM</t>
    </r>
    <r>
      <rPr>
        <vertAlign val="subscript"/>
        <sz val="11"/>
        <rFont val="Calibri"/>
        <family val="2"/>
        <scheme val="minor"/>
      </rPr>
      <t>NO3</t>
    </r>
    <r>
      <rPr>
        <sz val="11"/>
        <rFont val="Calibri"/>
        <family val="2"/>
        <scheme val="minor"/>
      </rPr>
      <t>/AM</t>
    </r>
    <r>
      <rPr>
        <vertAlign val="subscript"/>
        <sz val="11"/>
        <rFont val="Calibri"/>
        <family val="2"/>
        <scheme val="minor"/>
      </rPr>
      <t>N</t>
    </r>
    <r>
      <rPr>
        <sz val="11"/>
        <rFont val="Calibri"/>
        <family val="2"/>
        <scheme val="minor"/>
      </rPr>
      <t>+S</t>
    </r>
    <r>
      <rPr>
        <vertAlign val="subscript"/>
        <sz val="11"/>
        <rFont val="Calibri"/>
        <family val="2"/>
        <scheme val="minor"/>
      </rPr>
      <t>NO2</t>
    </r>
    <r>
      <rPr>
        <sz val="11"/>
        <rFont val="Calibri"/>
        <family val="2"/>
        <scheme val="minor"/>
      </rPr>
      <t>*MM</t>
    </r>
    <r>
      <rPr>
        <vertAlign val="subscript"/>
        <sz val="11"/>
        <rFont val="Calibri"/>
        <family val="2"/>
        <scheme val="minor"/>
      </rPr>
      <t>NO2</t>
    </r>
    <r>
      <rPr>
        <sz val="11"/>
        <rFont val="Calibri"/>
        <family val="2"/>
        <scheme val="minor"/>
      </rPr>
      <t>/AM</t>
    </r>
    <r>
      <rPr>
        <vertAlign val="subscript"/>
        <sz val="11"/>
        <rFont val="Calibri"/>
        <family val="2"/>
        <scheme val="minor"/>
      </rPr>
      <t>N</t>
    </r>
    <r>
      <rPr>
        <sz val="11"/>
        <rFont val="Calibri"/>
        <family val="2"/>
        <scheme val="minor"/>
      </rPr>
      <t>+S</t>
    </r>
    <r>
      <rPr>
        <vertAlign val="subscript"/>
        <sz val="11"/>
        <rFont val="Calibri"/>
        <family val="2"/>
        <scheme val="minor"/>
      </rPr>
      <t>PO4</t>
    </r>
    <r>
      <rPr>
        <sz val="11"/>
        <rFont val="Calibri"/>
        <family val="2"/>
        <scheme val="minor"/>
      </rPr>
      <t>*MM</t>
    </r>
    <r>
      <rPr>
        <vertAlign val="subscript"/>
        <sz val="11"/>
        <rFont val="Calibri"/>
        <family val="2"/>
        <scheme val="minor"/>
      </rPr>
      <t>PO4</t>
    </r>
    <r>
      <rPr>
        <sz val="11"/>
        <rFont val="Calibri"/>
        <family val="2"/>
        <scheme val="minor"/>
      </rPr>
      <t>/AM</t>
    </r>
    <r>
      <rPr>
        <vertAlign val="subscript"/>
        <sz val="11"/>
        <rFont val="Calibri"/>
        <family val="2"/>
        <scheme val="minor"/>
      </rPr>
      <t>P</t>
    </r>
    <r>
      <rPr>
        <sz val="11"/>
        <rFont val="Calibri"/>
        <family val="2"/>
        <scheme val="minor"/>
      </rPr>
      <t>+S</t>
    </r>
    <r>
      <rPr>
        <vertAlign val="subscript"/>
        <sz val="11"/>
        <rFont val="Calibri"/>
        <family val="2"/>
        <scheme val="minor"/>
      </rPr>
      <t>SO4</t>
    </r>
    <r>
      <rPr>
        <sz val="11"/>
        <rFont val="Calibri"/>
        <family val="2"/>
        <scheme val="minor"/>
      </rPr>
      <t>*MM</t>
    </r>
    <r>
      <rPr>
        <vertAlign val="subscript"/>
        <sz val="11"/>
        <rFont val="Calibri"/>
        <family val="2"/>
        <scheme val="minor"/>
      </rPr>
      <t>SO4</t>
    </r>
    <r>
      <rPr>
        <sz val="11"/>
        <rFont val="Calibri"/>
        <family val="2"/>
        <scheme val="minor"/>
      </rPr>
      <t>/AM</t>
    </r>
    <r>
      <rPr>
        <vertAlign val="subscript"/>
        <sz val="11"/>
        <rFont val="Calibri"/>
        <family val="2"/>
        <scheme val="minor"/>
      </rPr>
      <t>S</t>
    </r>
    <r>
      <rPr>
        <sz val="11"/>
        <rFont val="Calibri"/>
        <family val="2"/>
        <scheme val="minor"/>
      </rPr>
      <t>+S</t>
    </r>
    <r>
      <rPr>
        <vertAlign val="subscript"/>
        <sz val="11"/>
        <rFont val="Calibri"/>
        <family val="2"/>
        <scheme val="minor"/>
      </rPr>
      <t>CAT</t>
    </r>
    <r>
      <rPr>
        <sz val="11"/>
        <rFont val="Calibri"/>
        <family val="2"/>
        <scheme val="minor"/>
      </rPr>
      <t>+S</t>
    </r>
    <r>
      <rPr>
        <vertAlign val="subscript"/>
        <sz val="11"/>
        <rFont val="Calibri"/>
        <family val="2"/>
        <scheme val="minor"/>
      </rPr>
      <t>AN</t>
    </r>
    <r>
      <rPr>
        <sz val="11"/>
        <rFont val="Calibri"/>
        <family val="2"/>
        <scheme val="minor"/>
      </rPr>
      <t>+S</t>
    </r>
    <r>
      <rPr>
        <vertAlign val="subscript"/>
        <sz val="11"/>
        <rFont val="Calibri"/>
        <family val="2"/>
        <scheme val="minor"/>
      </rPr>
      <t>Ca</t>
    </r>
    <r>
      <rPr>
        <sz val="11"/>
        <rFont val="Calibri"/>
        <family val="2"/>
        <scheme val="minor"/>
      </rPr>
      <t>+S</t>
    </r>
    <r>
      <rPr>
        <vertAlign val="subscript"/>
        <sz val="11"/>
        <rFont val="Calibri"/>
        <family val="2"/>
        <scheme val="minor"/>
      </rPr>
      <t>Mg</t>
    </r>
    <r>
      <rPr>
        <sz val="11"/>
        <rFont val="Calibri"/>
        <family val="2"/>
        <scheme val="minor"/>
      </rPr>
      <t>+S</t>
    </r>
    <r>
      <rPr>
        <vertAlign val="subscript"/>
        <sz val="11"/>
        <rFont val="Calibri"/>
        <family val="2"/>
        <scheme val="minor"/>
      </rPr>
      <t>K</t>
    </r>
    <r>
      <rPr>
        <sz val="11"/>
        <rFont val="Calibri"/>
        <family val="2"/>
        <scheme val="minor"/>
      </rPr>
      <t>+S</t>
    </r>
    <r>
      <rPr>
        <vertAlign val="subscript"/>
        <sz val="11"/>
        <rFont val="Calibri"/>
        <family val="2"/>
        <scheme val="minor"/>
      </rPr>
      <t>Fe2</t>
    </r>
  </si>
  <si>
    <r>
      <t>-i</t>
    </r>
    <r>
      <rPr>
        <vertAlign val="subscript"/>
        <sz val="11"/>
        <rFont val="Calibri"/>
        <family val="2"/>
      </rPr>
      <t>INORG</t>
    </r>
    <r>
      <rPr>
        <sz val="11"/>
        <rFont val="Calibri"/>
        <family val="2"/>
      </rPr>
      <t>*(1-i</t>
    </r>
    <r>
      <rPr>
        <vertAlign val="subscript"/>
        <sz val="11"/>
        <rFont val="Calibri"/>
        <family val="2"/>
      </rPr>
      <t>Ca,INORG</t>
    </r>
    <r>
      <rPr>
        <sz val="11"/>
        <rFont val="Calibri"/>
        <family val="2"/>
      </rPr>
      <t>*(AM</t>
    </r>
    <r>
      <rPr>
        <vertAlign val="subscript"/>
        <sz val="11"/>
        <rFont val="Calibri"/>
        <family val="2"/>
      </rPr>
      <t>Ca</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*(AM</t>
    </r>
    <r>
      <rPr>
        <vertAlign val="subscript"/>
        <sz val="11"/>
        <rFont val="Calibri"/>
        <family val="2"/>
      </rPr>
      <t>Mg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*f</t>
    </r>
    <r>
      <rPr>
        <vertAlign val="subscript"/>
        <sz val="11"/>
        <rFont val="Calibri"/>
        <family val="2"/>
      </rPr>
      <t>Na</t>
    </r>
  </si>
  <si>
    <r>
      <t>-i</t>
    </r>
    <r>
      <rPr>
        <vertAlign val="subscript"/>
        <sz val="11"/>
        <rFont val="Calibri"/>
        <family val="2"/>
      </rPr>
      <t>INORG</t>
    </r>
    <r>
      <rPr>
        <sz val="11"/>
        <rFont val="Calibri"/>
        <family val="2"/>
      </rPr>
      <t>*(i</t>
    </r>
    <r>
      <rPr>
        <vertAlign val="subscript"/>
        <sz val="11"/>
        <rFont val="Calibri"/>
        <family val="2"/>
      </rPr>
      <t>Ca,INORG</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)-i</t>
    </r>
    <r>
      <rPr>
        <vertAlign val="subscript"/>
        <sz val="11"/>
        <rFont val="Calibri"/>
        <family val="2"/>
      </rPr>
      <t>INORG</t>
    </r>
    <r>
      <rPr>
        <sz val="11"/>
        <rFont val="Calibri"/>
        <family val="2"/>
      </rPr>
      <t>*(1-i</t>
    </r>
    <r>
      <rPr>
        <vertAlign val="subscript"/>
        <sz val="11"/>
        <rFont val="Calibri"/>
        <family val="2"/>
      </rPr>
      <t>Ca,INORG</t>
    </r>
    <r>
      <rPr>
        <sz val="11"/>
        <rFont val="Calibri"/>
        <family val="2"/>
      </rPr>
      <t>*(AM</t>
    </r>
    <r>
      <rPr>
        <vertAlign val="subscript"/>
        <sz val="11"/>
        <rFont val="Calibri"/>
        <family val="2"/>
      </rPr>
      <t>Ca</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*(AM</t>
    </r>
    <r>
      <rPr>
        <vertAlign val="subscript"/>
        <sz val="11"/>
        <rFont val="Calibri"/>
        <family val="2"/>
      </rPr>
      <t>Mg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*(1-f</t>
    </r>
    <r>
      <rPr>
        <vertAlign val="subscript"/>
        <sz val="11"/>
        <rFont val="Calibri"/>
        <family val="2"/>
      </rPr>
      <t>Na</t>
    </r>
    <r>
      <rPr>
        <sz val="11"/>
        <rFont val="Calibri"/>
        <family val="2"/>
      </rPr>
      <t>)</t>
    </r>
  </si>
  <si>
    <r>
      <t>-i</t>
    </r>
    <r>
      <rPr>
        <vertAlign val="subscript"/>
        <sz val="11"/>
        <rFont val="Calibri"/>
        <family val="2"/>
      </rPr>
      <t>INORG</t>
    </r>
    <r>
      <rPr>
        <sz val="11"/>
        <rFont val="Calibri"/>
        <family val="2"/>
      </rPr>
      <t>*i</t>
    </r>
    <r>
      <rPr>
        <vertAlign val="subscript"/>
        <sz val="11"/>
        <rFont val="Calibri"/>
        <family val="2"/>
      </rPr>
      <t>Ca,INORG</t>
    </r>
  </si>
  <si>
    <r>
      <t>-i</t>
    </r>
    <r>
      <rPr>
        <vertAlign val="subscript"/>
        <sz val="11"/>
        <rFont val="Calibri"/>
        <family val="2"/>
      </rPr>
      <t>INORG</t>
    </r>
    <r>
      <rPr>
        <sz val="11"/>
        <rFont val="Calibri"/>
        <family val="2"/>
      </rPr>
      <t>*i</t>
    </r>
    <r>
      <rPr>
        <vertAlign val="subscript"/>
        <sz val="11"/>
        <rFont val="Calibri"/>
        <family val="2"/>
      </rPr>
      <t>Mg,INORG</t>
    </r>
  </si>
  <si>
    <r>
      <t>i</t>
    </r>
    <r>
      <rPr>
        <vertAlign val="subscript"/>
        <sz val="11"/>
        <rFont val="Calibri"/>
        <family val="2"/>
      </rPr>
      <t>INORG</t>
    </r>
    <r>
      <rPr>
        <sz val="11"/>
        <rFont val="Calibri"/>
        <family val="2"/>
      </rPr>
      <t>*(1-i</t>
    </r>
    <r>
      <rPr>
        <vertAlign val="subscript"/>
        <sz val="11"/>
        <rFont val="Calibri"/>
        <family val="2"/>
      </rPr>
      <t>Ca,INORG</t>
    </r>
    <r>
      <rPr>
        <sz val="11"/>
        <rFont val="Calibri"/>
        <family val="2"/>
      </rPr>
      <t>*(AM</t>
    </r>
    <r>
      <rPr>
        <vertAlign val="subscript"/>
        <sz val="11"/>
        <rFont val="Calibri"/>
        <family val="2"/>
      </rPr>
      <t>Ca</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*(AM</t>
    </r>
    <r>
      <rPr>
        <vertAlign val="subscript"/>
        <sz val="11"/>
        <rFont val="Calibri"/>
        <family val="2"/>
      </rPr>
      <t>Mg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*f</t>
    </r>
    <r>
      <rPr>
        <vertAlign val="subscript"/>
        <sz val="11"/>
        <rFont val="Calibri"/>
        <family val="2"/>
      </rPr>
      <t>Na</t>
    </r>
  </si>
  <si>
    <r>
      <t>i</t>
    </r>
    <r>
      <rPr>
        <vertAlign val="subscript"/>
        <sz val="11"/>
        <rFont val="Calibri"/>
        <family val="2"/>
      </rPr>
      <t>INORG</t>
    </r>
    <r>
      <rPr>
        <sz val="11"/>
        <rFont val="Calibri"/>
        <family val="2"/>
      </rPr>
      <t>*(i</t>
    </r>
    <r>
      <rPr>
        <vertAlign val="subscript"/>
        <sz val="11"/>
        <rFont val="Calibri"/>
        <family val="2"/>
      </rPr>
      <t>Ca,INORG</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)+i</t>
    </r>
    <r>
      <rPr>
        <vertAlign val="subscript"/>
        <sz val="11"/>
        <rFont val="Calibri"/>
        <family val="2"/>
      </rPr>
      <t>INORG</t>
    </r>
    <r>
      <rPr>
        <sz val="11"/>
        <rFont val="Calibri"/>
        <family val="2"/>
      </rPr>
      <t>*(1-i</t>
    </r>
    <r>
      <rPr>
        <vertAlign val="subscript"/>
        <sz val="11"/>
        <rFont val="Calibri"/>
        <family val="2"/>
      </rPr>
      <t>Ca,INORG</t>
    </r>
    <r>
      <rPr>
        <sz val="11"/>
        <rFont val="Calibri"/>
        <family val="2"/>
      </rPr>
      <t>*(AM</t>
    </r>
    <r>
      <rPr>
        <vertAlign val="subscript"/>
        <sz val="11"/>
        <rFont val="Calibri"/>
        <family val="2"/>
      </rPr>
      <t>Ca</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*(AM</t>
    </r>
    <r>
      <rPr>
        <vertAlign val="subscript"/>
        <sz val="11"/>
        <rFont val="Calibri"/>
        <family val="2"/>
      </rPr>
      <t>Mg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*(1-f</t>
    </r>
    <r>
      <rPr>
        <vertAlign val="subscript"/>
        <sz val="11"/>
        <rFont val="Calibri"/>
        <family val="2"/>
      </rPr>
      <t>Na</t>
    </r>
    <r>
      <rPr>
        <sz val="11"/>
        <rFont val="Calibri"/>
        <family val="2"/>
      </rPr>
      <t>)</t>
    </r>
  </si>
  <si>
    <r>
      <t>i</t>
    </r>
    <r>
      <rPr>
        <vertAlign val="subscript"/>
        <sz val="11"/>
        <rFont val="Calibri"/>
        <family val="2"/>
      </rPr>
      <t>INORG</t>
    </r>
    <r>
      <rPr>
        <sz val="11"/>
        <rFont val="Calibri"/>
        <family val="2"/>
      </rPr>
      <t>*i</t>
    </r>
    <r>
      <rPr>
        <vertAlign val="subscript"/>
        <sz val="11"/>
        <rFont val="Calibri"/>
        <family val="2"/>
      </rPr>
      <t>Ca,INORG</t>
    </r>
  </si>
  <si>
    <r>
      <t>i</t>
    </r>
    <r>
      <rPr>
        <vertAlign val="subscript"/>
        <sz val="11"/>
        <rFont val="Calibri"/>
        <family val="2"/>
      </rPr>
      <t>INORG</t>
    </r>
    <r>
      <rPr>
        <sz val="11"/>
        <rFont val="Calibri"/>
        <family val="2"/>
      </rPr>
      <t>*i</t>
    </r>
    <r>
      <rPr>
        <vertAlign val="subscript"/>
        <sz val="11"/>
        <rFont val="Calibri"/>
        <family val="2"/>
      </rPr>
      <t>Mg,INORG</t>
    </r>
  </si>
  <si>
    <r>
      <t>-i</t>
    </r>
    <r>
      <rPr>
        <vertAlign val="subscript"/>
        <sz val="11"/>
        <rFont val="Calibri"/>
        <family val="2"/>
      </rPr>
      <t>INORG</t>
    </r>
    <r>
      <rPr>
        <sz val="11"/>
        <rFont val="Calibri"/>
        <family val="2"/>
      </rPr>
      <t>*i</t>
    </r>
    <r>
      <rPr>
        <vertAlign val="subscript"/>
        <sz val="11"/>
        <rFont val="Calibri"/>
        <family val="2"/>
      </rPr>
      <t>Ca,INORG</t>
    </r>
    <r>
      <rPr>
        <sz val="11"/>
        <rFont val="Calibri"/>
        <family val="2"/>
      </rPr>
      <t>+i</t>
    </r>
    <r>
      <rPr>
        <vertAlign val="subscript"/>
        <sz val="11"/>
        <rFont val="Calibri"/>
        <family val="2"/>
      </rPr>
      <t>Ca,PP</t>
    </r>
    <r>
      <rPr>
        <sz val="11"/>
        <rFont val="Calibri"/>
        <family val="2"/>
      </rPr>
      <t>*AM</t>
    </r>
    <r>
      <rPr>
        <vertAlign val="subscript"/>
        <sz val="11"/>
        <rFont val="Calibri"/>
        <family val="2"/>
      </rPr>
      <t>Ca</t>
    </r>
    <r>
      <rPr>
        <sz val="11"/>
        <rFont val="Calibri"/>
        <family val="2"/>
      </rPr>
      <t>/AM</t>
    </r>
    <r>
      <rPr>
        <vertAlign val="subscript"/>
        <sz val="11"/>
        <rFont val="Calibri"/>
        <family val="2"/>
      </rPr>
      <t>P</t>
    </r>
    <r>
      <rPr>
        <sz val="11"/>
        <rFont val="Calibri"/>
        <family val="2"/>
      </rPr>
      <t>*i</t>
    </r>
    <r>
      <rPr>
        <vertAlign val="subscript"/>
        <sz val="11"/>
        <rFont val="Calibri"/>
        <family val="2"/>
      </rPr>
      <t>P,BIO</t>
    </r>
  </si>
  <si>
    <r>
      <t>-i</t>
    </r>
    <r>
      <rPr>
        <vertAlign val="subscript"/>
        <sz val="11"/>
        <rFont val="Calibri"/>
        <family val="2"/>
      </rPr>
      <t>INORG</t>
    </r>
    <r>
      <rPr>
        <sz val="11"/>
        <rFont val="Calibri"/>
        <family val="2"/>
      </rPr>
      <t>*i</t>
    </r>
    <r>
      <rPr>
        <vertAlign val="subscript"/>
        <sz val="11"/>
        <rFont val="Calibri"/>
        <family val="2"/>
      </rPr>
      <t>Mg,INORG</t>
    </r>
    <r>
      <rPr>
        <sz val="11"/>
        <rFont val="Calibri"/>
        <family val="2"/>
      </rPr>
      <t>+i</t>
    </r>
    <r>
      <rPr>
        <vertAlign val="subscript"/>
        <sz val="11"/>
        <rFont val="Calibri"/>
        <family val="2"/>
      </rPr>
      <t>Mg,PP</t>
    </r>
    <r>
      <rPr>
        <sz val="11"/>
        <rFont val="Calibri"/>
        <family val="2"/>
      </rPr>
      <t>*AM</t>
    </r>
    <r>
      <rPr>
        <vertAlign val="subscript"/>
        <sz val="11"/>
        <rFont val="Calibri"/>
        <family val="2"/>
      </rPr>
      <t>Mg</t>
    </r>
    <r>
      <rPr>
        <sz val="11"/>
        <rFont val="Calibri"/>
        <family val="2"/>
      </rPr>
      <t>/AM</t>
    </r>
    <r>
      <rPr>
        <vertAlign val="subscript"/>
        <sz val="11"/>
        <rFont val="Calibri"/>
        <family val="2"/>
      </rPr>
      <t>P</t>
    </r>
    <r>
      <rPr>
        <sz val="11"/>
        <rFont val="Calibri"/>
        <family val="2"/>
      </rPr>
      <t>*i</t>
    </r>
    <r>
      <rPr>
        <vertAlign val="subscript"/>
        <sz val="11"/>
        <rFont val="Calibri"/>
        <family val="2"/>
      </rPr>
      <t>P,BIO</t>
    </r>
  </si>
  <si>
    <r>
      <t>(1-i</t>
    </r>
    <r>
      <rPr>
        <vertAlign val="subscript"/>
        <sz val="11"/>
        <rFont val="Calibri"/>
        <family val="2"/>
      </rPr>
      <t>Ca,INORG</t>
    </r>
    <r>
      <rPr>
        <sz val="11"/>
        <rFont val="Calibri"/>
        <family val="2"/>
      </rPr>
      <t>*(AM</t>
    </r>
    <r>
      <rPr>
        <vertAlign val="subscript"/>
        <sz val="11"/>
        <rFont val="Calibri"/>
        <family val="2"/>
      </rPr>
      <t>Ca</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*(AM</t>
    </r>
    <r>
      <rPr>
        <vertAlign val="subscript"/>
        <sz val="11"/>
        <rFont val="Calibri"/>
        <family val="2"/>
      </rPr>
      <t>Mg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*f</t>
    </r>
    <r>
      <rPr>
        <vertAlign val="subscript"/>
        <sz val="11"/>
        <rFont val="Calibri"/>
        <family val="2"/>
      </rPr>
      <t>Na</t>
    </r>
  </si>
  <si>
    <r>
      <t>(i</t>
    </r>
    <r>
      <rPr>
        <vertAlign val="subscript"/>
        <sz val="11"/>
        <rFont val="Calibri"/>
        <family val="2"/>
      </rPr>
      <t>Ca,INORG</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)+(1-i</t>
    </r>
    <r>
      <rPr>
        <vertAlign val="subscript"/>
        <sz val="11"/>
        <rFont val="Calibri"/>
        <family val="2"/>
      </rPr>
      <t>Ca,INORG</t>
    </r>
    <r>
      <rPr>
        <sz val="11"/>
        <rFont val="Calibri"/>
        <family val="2"/>
      </rPr>
      <t>*(AM</t>
    </r>
    <r>
      <rPr>
        <vertAlign val="subscript"/>
        <sz val="11"/>
        <rFont val="Calibri"/>
        <family val="2"/>
      </rPr>
      <t>Ca</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*(AM</t>
    </r>
    <r>
      <rPr>
        <vertAlign val="subscript"/>
        <sz val="11"/>
        <rFont val="Calibri"/>
        <family val="2"/>
      </rPr>
      <t>Mg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*(1-f</t>
    </r>
    <r>
      <rPr>
        <vertAlign val="subscript"/>
        <sz val="11"/>
        <rFont val="Calibri"/>
        <family val="2"/>
      </rPr>
      <t>Na</t>
    </r>
    <r>
      <rPr>
        <sz val="11"/>
        <rFont val="Calibri"/>
        <family val="2"/>
      </rPr>
      <t>)</t>
    </r>
  </si>
  <si>
    <r>
      <t>µ</t>
    </r>
    <r>
      <rPr>
        <vertAlign val="subscript"/>
        <sz val="11"/>
        <rFont val="Calibri"/>
        <family val="2"/>
      </rPr>
      <t>OHO,T</t>
    </r>
    <r>
      <rPr>
        <sz val="11"/>
        <rFont val="Calibri"/>
        <family val="2"/>
      </rPr>
      <t>*X</t>
    </r>
    <r>
      <rPr>
        <vertAlign val="subscript"/>
        <sz val="11"/>
        <rFont val="Calibri"/>
        <family val="2"/>
      </rPr>
      <t>OHO</t>
    </r>
    <r>
      <rPr>
        <sz val="11"/>
        <rFont val="Calibri"/>
        <family val="2"/>
      </rPr>
      <t>*Msat</t>
    </r>
    <r>
      <rPr>
        <vertAlign val="subscript"/>
        <sz val="11"/>
        <rFont val="Calibri"/>
        <family val="2"/>
      </rPr>
      <t>SVFA,KVFA</t>
    </r>
    <r>
      <rPr>
        <sz val="11"/>
        <rFont val="Calibri"/>
        <family val="2"/>
      </rPr>
      <t>*Msat</t>
    </r>
    <r>
      <rPr>
        <vertAlign val="subscript"/>
        <sz val="11"/>
        <rFont val="Calibri"/>
        <family val="2"/>
      </rPr>
      <t>SO2,KO2,OHO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*Msat</t>
    </r>
    <r>
      <rPr>
        <vertAlign val="subscript"/>
        <sz val="11"/>
        <rFont val="Calibri"/>
        <family val="2"/>
      </rPr>
      <t>SSO4,KSO4,BIO</t>
    </r>
    <r>
      <rPr>
        <sz val="11"/>
        <rFont val="Calibri"/>
        <family val="2"/>
      </rPr>
      <t>*Bellinh</t>
    </r>
    <r>
      <rPr>
        <vertAlign val="subscript"/>
        <sz val="11"/>
        <rFont val="Calibri"/>
        <family val="2"/>
      </rPr>
      <t>pH</t>
    </r>
  </si>
  <si>
    <r>
      <t>µ</t>
    </r>
    <r>
      <rPr>
        <vertAlign val="subscript"/>
        <sz val="11"/>
        <rFont val="Calibri"/>
        <family val="2"/>
      </rPr>
      <t>OHO,T</t>
    </r>
    <r>
      <rPr>
        <sz val="11"/>
        <rFont val="Calibri"/>
        <family val="2"/>
      </rPr>
      <t>*X</t>
    </r>
    <r>
      <rPr>
        <vertAlign val="subscript"/>
        <sz val="11"/>
        <rFont val="Calibri"/>
        <family val="2"/>
      </rPr>
      <t>OHO</t>
    </r>
    <r>
      <rPr>
        <sz val="11"/>
        <rFont val="Calibri"/>
        <family val="2"/>
      </rPr>
      <t>*Msat</t>
    </r>
    <r>
      <rPr>
        <vertAlign val="subscript"/>
        <sz val="11"/>
        <rFont val="Calibri"/>
        <family val="2"/>
      </rPr>
      <t>SB,KSB</t>
    </r>
    <r>
      <rPr>
        <sz val="11"/>
        <rFont val="Calibri"/>
        <family val="2"/>
      </rPr>
      <t>*Minh</t>
    </r>
    <r>
      <rPr>
        <vertAlign val="subscript"/>
        <sz val="11"/>
        <rFont val="Calibri"/>
        <family val="2"/>
      </rPr>
      <t>SVFA,KVFA</t>
    </r>
    <r>
      <rPr>
        <sz val="11"/>
        <rFont val="Calibri"/>
        <family val="2"/>
      </rPr>
      <t>*Msat</t>
    </r>
    <r>
      <rPr>
        <vertAlign val="subscript"/>
        <sz val="11"/>
        <rFont val="Calibri"/>
        <family val="2"/>
      </rPr>
      <t>SO2,KO2,OHO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*Msat</t>
    </r>
    <r>
      <rPr>
        <vertAlign val="subscript"/>
        <sz val="11"/>
        <rFont val="Calibri"/>
        <family val="2"/>
      </rPr>
      <t>SSO4,KSO4,BIO</t>
    </r>
    <r>
      <rPr>
        <sz val="11"/>
        <rFont val="Calibri"/>
        <family val="2"/>
      </rPr>
      <t>*Bellinh</t>
    </r>
    <r>
      <rPr>
        <vertAlign val="subscript"/>
        <sz val="11"/>
        <rFont val="Calibri"/>
        <family val="2"/>
      </rPr>
      <t>pH</t>
    </r>
  </si>
  <si>
    <r>
      <t>µ</t>
    </r>
    <r>
      <rPr>
        <vertAlign val="subscript"/>
        <sz val="11"/>
        <rFont val="Calibri"/>
        <family val="2"/>
      </rPr>
      <t>OHO,T</t>
    </r>
    <r>
      <rPr>
        <sz val="11"/>
        <rFont val="Calibri"/>
        <family val="2"/>
      </rPr>
      <t>*X</t>
    </r>
    <r>
      <rPr>
        <vertAlign val="subscript"/>
        <sz val="11"/>
        <rFont val="Calibri"/>
        <family val="2"/>
      </rPr>
      <t>OHO</t>
    </r>
    <r>
      <rPr>
        <sz val="11"/>
        <rFont val="Calibri"/>
        <family val="2"/>
      </rPr>
      <t>*η</t>
    </r>
    <r>
      <rPr>
        <vertAlign val="subscript"/>
        <sz val="11"/>
        <rFont val="Calibri"/>
        <family val="2"/>
      </rPr>
      <t>OHO,anox</t>
    </r>
    <r>
      <rPr>
        <sz val="11"/>
        <rFont val="Calibri"/>
        <family val="2"/>
      </rPr>
      <t>*Msat</t>
    </r>
    <r>
      <rPr>
        <vertAlign val="subscript"/>
        <sz val="11"/>
        <rFont val="Calibri"/>
        <family val="2"/>
      </rPr>
      <t>SB,KSB</t>
    </r>
    <r>
      <rPr>
        <sz val="11"/>
        <rFont val="Calibri"/>
        <family val="2"/>
      </rPr>
      <t>*Minh</t>
    </r>
    <r>
      <rPr>
        <vertAlign val="subscript"/>
        <sz val="11"/>
        <rFont val="Calibri"/>
        <family val="2"/>
      </rPr>
      <t>SVFA,KVFA</t>
    </r>
    <r>
      <rPr>
        <sz val="11"/>
        <rFont val="Calibri"/>
        <family val="2"/>
      </rPr>
      <t>*Msat</t>
    </r>
    <r>
      <rPr>
        <vertAlign val="subscript"/>
        <sz val="11"/>
        <rFont val="Calibri"/>
        <family val="2"/>
      </rPr>
      <t>SNO2,KNO2,OHO</t>
    </r>
    <r>
      <rPr>
        <sz val="11"/>
        <rFont val="Calibri"/>
        <family val="2"/>
      </rPr>
      <t>*Minh</t>
    </r>
    <r>
      <rPr>
        <vertAlign val="subscript"/>
        <sz val="11"/>
        <rFont val="Calibri"/>
        <family val="2"/>
      </rPr>
      <t>SO2,KO2,OHO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*Msat</t>
    </r>
    <r>
      <rPr>
        <vertAlign val="subscript"/>
        <sz val="11"/>
        <rFont val="Calibri"/>
        <family val="2"/>
      </rPr>
      <t>SSO4,KSO4,BIO</t>
    </r>
    <r>
      <rPr>
        <sz val="11"/>
        <rFont val="Calibri"/>
        <family val="2"/>
      </rPr>
      <t>*Bellinh</t>
    </r>
    <r>
      <rPr>
        <vertAlign val="subscript"/>
        <sz val="11"/>
        <rFont val="Calibri"/>
        <family val="2"/>
      </rPr>
      <t>pH</t>
    </r>
  </si>
  <si>
    <r>
      <t>µ</t>
    </r>
    <r>
      <rPr>
        <vertAlign val="subscript"/>
        <sz val="11"/>
        <rFont val="Calibri"/>
        <family val="2"/>
      </rPr>
      <t>OHO,T</t>
    </r>
    <r>
      <rPr>
        <sz val="11"/>
        <rFont val="Calibri"/>
        <family val="2"/>
      </rPr>
      <t>*X</t>
    </r>
    <r>
      <rPr>
        <vertAlign val="subscript"/>
        <sz val="11"/>
        <rFont val="Calibri"/>
        <family val="2"/>
      </rPr>
      <t>OHO</t>
    </r>
    <r>
      <rPr>
        <sz val="11"/>
        <rFont val="Calibri"/>
        <family val="2"/>
      </rPr>
      <t>*η</t>
    </r>
    <r>
      <rPr>
        <vertAlign val="subscript"/>
        <sz val="11"/>
        <rFont val="Calibri"/>
        <family val="2"/>
      </rPr>
      <t>OHO,anox</t>
    </r>
    <r>
      <rPr>
        <sz val="11"/>
        <rFont val="Calibri"/>
        <family val="2"/>
      </rPr>
      <t>*Msat</t>
    </r>
    <r>
      <rPr>
        <vertAlign val="subscript"/>
        <sz val="11"/>
        <rFont val="Calibri"/>
        <family val="2"/>
      </rPr>
      <t>SB,KSB</t>
    </r>
    <r>
      <rPr>
        <sz val="11"/>
        <rFont val="Calibri"/>
        <family val="2"/>
      </rPr>
      <t>*Minh</t>
    </r>
    <r>
      <rPr>
        <vertAlign val="subscript"/>
        <sz val="11"/>
        <rFont val="Calibri"/>
        <family val="2"/>
      </rPr>
      <t>SVFA,KVFA</t>
    </r>
    <r>
      <rPr>
        <sz val="11"/>
        <rFont val="Calibri"/>
        <family val="2"/>
      </rPr>
      <t>*Msat</t>
    </r>
    <r>
      <rPr>
        <vertAlign val="subscript"/>
        <sz val="11"/>
        <rFont val="Calibri"/>
        <family val="2"/>
      </rPr>
      <t>SNO3,KNO3,OHO</t>
    </r>
    <r>
      <rPr>
        <sz val="11"/>
        <rFont val="Calibri"/>
        <family val="2"/>
      </rPr>
      <t>*Minh</t>
    </r>
    <r>
      <rPr>
        <vertAlign val="subscript"/>
        <sz val="11"/>
        <rFont val="Calibri"/>
        <family val="2"/>
      </rPr>
      <t>SO2,KO2,OHO</t>
    </r>
    <r>
      <rPr>
        <sz val="11"/>
        <rFont val="Calibri"/>
        <family val="2"/>
      </rPr>
      <t>*Minh</t>
    </r>
    <r>
      <rPr>
        <vertAlign val="subscript"/>
        <sz val="11"/>
        <rFont val="Calibri"/>
        <family val="2"/>
      </rPr>
      <t>SNO2,KNO2,OHO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*Msat</t>
    </r>
    <r>
      <rPr>
        <vertAlign val="subscript"/>
        <sz val="11"/>
        <rFont val="Calibri"/>
        <family val="2"/>
      </rPr>
      <t>SSO4,KSO4,BIO</t>
    </r>
    <r>
      <rPr>
        <sz val="11"/>
        <rFont val="Calibri"/>
        <family val="2"/>
      </rPr>
      <t>*Bellinh</t>
    </r>
    <r>
      <rPr>
        <vertAlign val="subscript"/>
        <sz val="11"/>
        <rFont val="Calibri"/>
        <family val="2"/>
      </rPr>
      <t>pH</t>
    </r>
  </si>
  <si>
    <r>
      <t>µ</t>
    </r>
    <r>
      <rPr>
        <vertAlign val="subscript"/>
        <sz val="11"/>
        <rFont val="Calibri"/>
        <family val="2"/>
      </rPr>
      <t>FERM,OHO,T</t>
    </r>
    <r>
      <rPr>
        <sz val="11"/>
        <rFont val="Calibri"/>
        <family val="2"/>
      </rPr>
      <t>*X</t>
    </r>
    <r>
      <rPr>
        <vertAlign val="subscript"/>
        <sz val="11"/>
        <rFont val="Calibri"/>
        <family val="2"/>
      </rPr>
      <t>OHO</t>
    </r>
    <r>
      <rPr>
        <sz val="11"/>
        <rFont val="Calibri"/>
        <family val="2"/>
      </rPr>
      <t>*Logsat</t>
    </r>
    <r>
      <rPr>
        <vertAlign val="subscript"/>
        <sz val="11"/>
        <rFont val="Calibri"/>
        <family val="2"/>
      </rPr>
      <t>SVFA,KVFA,FERM</t>
    </r>
    <r>
      <rPr>
        <sz val="11"/>
        <rFont val="Calibri"/>
        <family val="2"/>
      </rPr>
      <t>*Msat</t>
    </r>
    <r>
      <rPr>
        <vertAlign val="subscript"/>
        <sz val="11"/>
        <rFont val="Calibri"/>
        <family val="2"/>
      </rPr>
      <t>SB,KSB,ana</t>
    </r>
    <r>
      <rPr>
        <sz val="11"/>
        <rFont val="Calibri"/>
        <family val="2"/>
      </rPr>
      <t>*Minh</t>
    </r>
    <r>
      <rPr>
        <vertAlign val="subscript"/>
        <sz val="11"/>
        <rFont val="Calibri"/>
        <family val="2"/>
      </rPr>
      <t>SO2,KO2,OHO</t>
    </r>
    <r>
      <rPr>
        <sz val="11"/>
        <rFont val="Calibri"/>
        <family val="2"/>
      </rPr>
      <t>*Minh</t>
    </r>
    <r>
      <rPr>
        <vertAlign val="subscript"/>
        <sz val="11"/>
        <rFont val="Calibri"/>
        <family val="2"/>
      </rPr>
      <t>SNO2,KNO2,OHO</t>
    </r>
    <r>
      <rPr>
        <sz val="11"/>
        <rFont val="Calibri"/>
        <family val="2"/>
      </rPr>
      <t>*Minh</t>
    </r>
    <r>
      <rPr>
        <vertAlign val="subscript"/>
        <sz val="11"/>
        <rFont val="Calibri"/>
        <family val="2"/>
      </rPr>
      <t>SNO3,KNO3,OHO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*Msat</t>
    </r>
    <r>
      <rPr>
        <vertAlign val="subscript"/>
        <sz val="11"/>
        <rFont val="Calibri"/>
        <family val="2"/>
      </rPr>
      <t>SSO4,KSO4,BIO</t>
    </r>
    <r>
      <rPr>
        <sz val="11"/>
        <rFont val="Calibri"/>
        <family val="2"/>
      </rPr>
      <t>*Bellinh</t>
    </r>
    <r>
      <rPr>
        <vertAlign val="subscript"/>
        <sz val="11"/>
        <rFont val="Calibri"/>
        <family val="2"/>
      </rPr>
      <t>pH</t>
    </r>
  </si>
  <si>
    <r>
      <t>µ</t>
    </r>
    <r>
      <rPr>
        <vertAlign val="subscript"/>
        <sz val="11"/>
        <rFont val="Calibri"/>
        <family val="2"/>
      </rPr>
      <t>FERM,OHO,T</t>
    </r>
    <r>
      <rPr>
        <sz val="11"/>
        <rFont val="Calibri"/>
        <family val="2"/>
      </rPr>
      <t>*X</t>
    </r>
    <r>
      <rPr>
        <vertAlign val="subscript"/>
        <sz val="11"/>
        <rFont val="Calibri"/>
        <family val="2"/>
      </rPr>
      <t>OHO</t>
    </r>
    <r>
      <rPr>
        <sz val="11"/>
        <rFont val="Calibri"/>
        <family val="2"/>
      </rPr>
      <t>*Loginh</t>
    </r>
    <r>
      <rPr>
        <vertAlign val="subscript"/>
        <sz val="11"/>
        <rFont val="Calibri"/>
        <family val="2"/>
      </rPr>
      <t>SVFA,KVFA,FERM</t>
    </r>
    <r>
      <rPr>
        <sz val="11"/>
        <rFont val="Calibri"/>
        <family val="2"/>
      </rPr>
      <t>*Msat</t>
    </r>
    <r>
      <rPr>
        <vertAlign val="subscript"/>
        <sz val="11"/>
        <rFont val="Calibri"/>
        <family val="2"/>
      </rPr>
      <t>SB,KSB,ana</t>
    </r>
    <r>
      <rPr>
        <sz val="11"/>
        <rFont val="Calibri"/>
        <family val="2"/>
      </rPr>
      <t>*Minh</t>
    </r>
    <r>
      <rPr>
        <vertAlign val="subscript"/>
        <sz val="11"/>
        <rFont val="Calibri"/>
        <family val="2"/>
      </rPr>
      <t>SO2,KO2,OHO</t>
    </r>
    <r>
      <rPr>
        <sz val="11"/>
        <rFont val="Calibri"/>
        <family val="2"/>
      </rPr>
      <t>*Minh</t>
    </r>
    <r>
      <rPr>
        <vertAlign val="subscript"/>
        <sz val="11"/>
        <rFont val="Calibri"/>
        <family val="2"/>
      </rPr>
      <t>SNO2,KNO2,OHO</t>
    </r>
    <r>
      <rPr>
        <sz val="11"/>
        <rFont val="Calibri"/>
        <family val="2"/>
      </rPr>
      <t>*Minh</t>
    </r>
    <r>
      <rPr>
        <vertAlign val="subscript"/>
        <sz val="11"/>
        <rFont val="Calibri"/>
        <family val="2"/>
      </rPr>
      <t>SNO3,KNO3,OHO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*Msat</t>
    </r>
    <r>
      <rPr>
        <vertAlign val="subscript"/>
        <sz val="11"/>
        <rFont val="Calibri"/>
        <family val="2"/>
      </rPr>
      <t>SCO2,KCO2,BIO</t>
    </r>
    <r>
      <rPr>
        <sz val="11"/>
        <rFont val="Calibri"/>
        <family val="2"/>
      </rPr>
      <t>*Msat</t>
    </r>
    <r>
      <rPr>
        <vertAlign val="subscript"/>
        <sz val="11"/>
        <rFont val="Calibri"/>
        <family val="2"/>
      </rPr>
      <t>SSO4,KSO4,BIO</t>
    </r>
    <r>
      <rPr>
        <sz val="11"/>
        <rFont val="Calibri"/>
        <family val="2"/>
      </rPr>
      <t>*Bellinh</t>
    </r>
    <r>
      <rPr>
        <vertAlign val="subscript"/>
        <sz val="11"/>
        <rFont val="Calibri"/>
        <family val="2"/>
      </rPr>
      <t>pH</t>
    </r>
  </si>
  <si>
    <r>
      <t>µ</t>
    </r>
    <r>
      <rPr>
        <vertAlign val="subscript"/>
        <sz val="11"/>
        <color indexed="8"/>
        <rFont val="Calibri"/>
        <family val="2"/>
        <charset val="238"/>
      </rPr>
      <t>AMX,T</t>
    </r>
    <r>
      <rPr>
        <sz val="11"/>
        <color indexed="8"/>
        <rFont val="Calibri"/>
        <family val="2"/>
      </rPr>
      <t>*X</t>
    </r>
    <r>
      <rPr>
        <vertAlign val="subscript"/>
        <sz val="11"/>
        <color indexed="8"/>
        <rFont val="Calibri"/>
        <family val="2"/>
        <charset val="238"/>
      </rPr>
      <t>AMX</t>
    </r>
    <r>
      <rPr>
        <sz val="11"/>
        <color indexed="8"/>
        <rFont val="Calibri"/>
        <family val="2"/>
      </rPr>
      <t>*Msat</t>
    </r>
    <r>
      <rPr>
        <vertAlign val="subscript"/>
        <sz val="11"/>
        <color indexed="8"/>
        <rFont val="Calibri"/>
        <family val="2"/>
        <charset val="238"/>
      </rPr>
      <t>SNHx,KNHx,AMX</t>
    </r>
    <r>
      <rPr>
        <sz val="11"/>
        <color indexed="8"/>
        <rFont val="Calibri"/>
        <family val="2"/>
      </rPr>
      <t>*Msat</t>
    </r>
    <r>
      <rPr>
        <vertAlign val="subscript"/>
        <sz val="11"/>
        <color indexed="8"/>
        <rFont val="Calibri"/>
        <family val="2"/>
        <charset val="238"/>
      </rPr>
      <t>SNO2,KNO2,AMX</t>
    </r>
    <r>
      <rPr>
        <sz val="11"/>
        <color indexed="8"/>
        <rFont val="Calibri"/>
        <family val="2"/>
      </rPr>
      <t>*Minh</t>
    </r>
    <r>
      <rPr>
        <vertAlign val="subscript"/>
        <sz val="11"/>
        <color indexed="8"/>
        <rFont val="Calibri"/>
        <family val="2"/>
        <charset val="238"/>
      </rPr>
      <t>SO2,KiO2,AMX</t>
    </r>
    <r>
      <rPr>
        <sz val="11"/>
        <color indexed="8"/>
        <rFont val="Calibri"/>
        <family val="2"/>
      </rPr>
      <t>*LogsatpH</t>
    </r>
    <r>
      <rPr>
        <vertAlign val="subscript"/>
        <sz val="11"/>
        <color indexed="8"/>
        <rFont val="Calibri"/>
        <family val="2"/>
        <charset val="238"/>
      </rPr>
      <t>CO2,AMX</t>
    </r>
    <r>
      <rPr>
        <sz val="11"/>
        <color indexed="8"/>
        <rFont val="Calibri"/>
        <family val="2"/>
      </rPr>
      <t>*Msat</t>
    </r>
    <r>
      <rPr>
        <vertAlign val="subscript"/>
        <sz val="11"/>
        <color indexed="8"/>
        <rFont val="Calibri"/>
        <family val="2"/>
        <charset val="238"/>
      </rPr>
      <t>SPO4,KPO4,BIO</t>
    </r>
    <r>
      <rPr>
        <sz val="11"/>
        <color indexed="8"/>
        <rFont val="Calibri"/>
        <family val="2"/>
      </rPr>
      <t>*Msat</t>
    </r>
    <r>
      <rPr>
        <vertAlign val="subscript"/>
        <sz val="11"/>
        <color indexed="8"/>
        <rFont val="Calibri"/>
        <family val="2"/>
        <charset val="238"/>
      </rPr>
      <t>SCAT,KCAT</t>
    </r>
    <r>
      <rPr>
        <sz val="11"/>
        <color indexed="8"/>
        <rFont val="Calibri"/>
        <family val="2"/>
      </rPr>
      <t>*Msat</t>
    </r>
    <r>
      <rPr>
        <vertAlign val="subscript"/>
        <sz val="11"/>
        <color indexed="8"/>
        <rFont val="Calibri"/>
        <family val="2"/>
        <charset val="238"/>
      </rPr>
      <t>SAN,KAN</t>
    </r>
    <r>
      <rPr>
        <sz val="11"/>
        <color rgb="FF000000"/>
        <rFont val="Calibri"/>
        <family val="2"/>
      </rPr>
      <t>*Msat</t>
    </r>
    <r>
      <rPr>
        <vertAlign val="subscript"/>
        <sz val="11"/>
        <color indexed="8"/>
        <rFont val="Calibri"/>
        <family val="2"/>
        <charset val="238"/>
      </rPr>
      <t>SCa,KCa</t>
    </r>
    <r>
      <rPr>
        <sz val="11"/>
        <color rgb="FF000000"/>
        <rFont val="Calibri"/>
        <family val="2"/>
      </rPr>
      <t>*Msat</t>
    </r>
    <r>
      <rPr>
        <vertAlign val="subscript"/>
        <sz val="11"/>
        <color indexed="8"/>
        <rFont val="Calibri"/>
        <family val="2"/>
        <charset val="238"/>
      </rPr>
      <t>SMg,KMg</t>
    </r>
    <r>
      <rPr>
        <sz val="11"/>
        <color indexed="8"/>
        <rFont val="Calibri"/>
        <family val="2"/>
      </rPr>
      <t>*Msat</t>
    </r>
    <r>
      <rPr>
        <vertAlign val="subscript"/>
        <sz val="11"/>
        <color indexed="8"/>
        <rFont val="Calibri"/>
        <family val="2"/>
        <charset val="238"/>
      </rPr>
      <t>SSO4,KSO4,BIO</t>
    </r>
    <r>
      <rPr>
        <sz val="11"/>
        <color indexed="8"/>
        <rFont val="Calibri"/>
        <family val="2"/>
      </rPr>
      <t>*Bellinh</t>
    </r>
    <r>
      <rPr>
        <vertAlign val="subscript"/>
        <sz val="11"/>
        <color indexed="8"/>
        <rFont val="Calibri"/>
        <family val="2"/>
        <charset val="238"/>
      </rPr>
      <t>pH</t>
    </r>
    <r>
      <rPr>
        <sz val="11"/>
        <color indexed="8"/>
        <rFont val="Calibri"/>
        <family val="2"/>
      </rPr>
      <t>*MinhpH</t>
    </r>
    <r>
      <rPr>
        <vertAlign val="subscript"/>
        <sz val="11"/>
        <color indexed="8"/>
        <rFont val="Calibri"/>
        <family val="2"/>
        <charset val="238"/>
      </rPr>
      <t>HNO2,AMX</t>
    </r>
  </si>
  <si>
    <r>
      <t>µ</t>
    </r>
    <r>
      <rPr>
        <vertAlign val="subscript"/>
        <sz val="11"/>
        <rFont val="Calibri"/>
        <family val="2"/>
      </rPr>
      <t>HMETO,T</t>
    </r>
    <r>
      <rPr>
        <sz val="11"/>
        <rFont val="Calibri"/>
        <family val="2"/>
      </rPr>
      <t>*X</t>
    </r>
    <r>
      <rPr>
        <vertAlign val="subscript"/>
        <sz val="11"/>
        <rFont val="Calibri"/>
        <family val="2"/>
      </rPr>
      <t>HMETO</t>
    </r>
    <r>
      <rPr>
        <sz val="11"/>
        <rFont val="Calibri"/>
        <family val="2"/>
      </rPr>
      <t>*Msat</t>
    </r>
    <r>
      <rPr>
        <vertAlign val="subscript"/>
        <sz val="11"/>
        <rFont val="Calibri"/>
        <family val="2"/>
      </rPr>
      <t>SCO2,KCO2,BIO</t>
    </r>
    <r>
      <rPr>
        <sz val="11"/>
        <rFont val="Calibri"/>
        <family val="2"/>
      </rPr>
      <t>*Msat</t>
    </r>
    <r>
      <rPr>
        <vertAlign val="subscript"/>
        <sz val="11"/>
        <rFont val="Calibri"/>
        <family val="2"/>
      </rPr>
      <t>SH2,KH2,HMETO</t>
    </r>
    <r>
      <rPr>
        <sz val="11"/>
        <rFont val="Calibri"/>
        <family val="2"/>
      </rPr>
      <t>*Minh</t>
    </r>
    <r>
      <rPr>
        <vertAlign val="subscript"/>
        <sz val="11"/>
        <rFont val="Calibri"/>
        <family val="2"/>
      </rPr>
      <t>SO2,KiO2,HMETO</t>
    </r>
    <r>
      <rPr>
        <sz val="11"/>
        <rFont val="Calibri"/>
        <family val="2"/>
      </rPr>
      <t>*Minh</t>
    </r>
    <r>
      <rPr>
        <vertAlign val="subscript"/>
        <sz val="11"/>
        <rFont val="Calibri"/>
        <family val="2"/>
      </rPr>
      <t>SNOx,KNO3,HMETO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*Msat</t>
    </r>
    <r>
      <rPr>
        <vertAlign val="subscript"/>
        <sz val="11"/>
        <rFont val="Calibri"/>
        <family val="2"/>
      </rPr>
      <t>SSO4,KSO4,BIO</t>
    </r>
    <r>
      <rPr>
        <sz val="11"/>
        <rFont val="Calibri"/>
        <family val="2"/>
      </rPr>
      <t>*Bellinh</t>
    </r>
    <r>
      <rPr>
        <vertAlign val="subscript"/>
        <sz val="11"/>
        <rFont val="Calibri"/>
        <family val="2"/>
      </rPr>
      <t>pH,HMETO</t>
    </r>
  </si>
  <si>
    <r>
      <t>µ</t>
    </r>
    <r>
      <rPr>
        <vertAlign val="subscript"/>
        <sz val="11"/>
        <rFont val="Calibri"/>
        <family val="2"/>
      </rPr>
      <t>SOO,H2S,T</t>
    </r>
    <r>
      <rPr>
        <sz val="11"/>
        <rFont val="Calibri"/>
        <family val="2"/>
      </rPr>
      <t>*X</t>
    </r>
    <r>
      <rPr>
        <vertAlign val="subscript"/>
        <sz val="11"/>
        <rFont val="Calibri"/>
        <family val="2"/>
      </rPr>
      <t>SOO</t>
    </r>
    <r>
      <rPr>
        <sz val="11"/>
        <rFont val="Calibri"/>
        <family val="2"/>
      </rPr>
      <t>*Msat</t>
    </r>
    <r>
      <rPr>
        <vertAlign val="subscript"/>
        <sz val="11"/>
        <rFont val="Calibri"/>
        <family val="2"/>
      </rPr>
      <t>SCO2,KCO2,BIO</t>
    </r>
    <r>
      <rPr>
        <sz val="11"/>
        <rFont val="Calibri"/>
        <family val="2"/>
      </rPr>
      <t>*Msat</t>
    </r>
    <r>
      <rPr>
        <vertAlign val="subscript"/>
        <sz val="11"/>
        <rFont val="Calibri"/>
        <family val="2"/>
      </rPr>
      <t>SO2,KO2,H2S,SOO</t>
    </r>
    <r>
      <rPr>
        <sz val="11"/>
        <rFont val="Calibri"/>
        <family val="2"/>
      </rPr>
      <t>*Hsat</t>
    </r>
    <r>
      <rPr>
        <vertAlign val="subscript"/>
        <sz val="11"/>
        <rFont val="Calibri"/>
        <family val="2"/>
      </rPr>
      <t>SH2S,KH2S,SOO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*Msat</t>
    </r>
    <r>
      <rPr>
        <vertAlign val="subscript"/>
        <sz val="11"/>
        <rFont val="Calibri"/>
        <family val="2"/>
      </rPr>
      <t>SSO4,KSO4,BIO</t>
    </r>
    <r>
      <rPr>
        <sz val="11"/>
        <rFont val="Calibri"/>
        <family val="2"/>
      </rPr>
      <t>*Bellinh</t>
    </r>
    <r>
      <rPr>
        <vertAlign val="subscript"/>
        <sz val="11"/>
        <rFont val="Calibri"/>
        <family val="2"/>
      </rPr>
      <t>pH</t>
    </r>
  </si>
  <si>
    <r>
      <t>µ</t>
    </r>
    <r>
      <rPr>
        <vertAlign val="subscript"/>
        <sz val="11"/>
        <rFont val="Calibri"/>
        <family val="2"/>
      </rPr>
      <t>SOO,H2S,T</t>
    </r>
    <r>
      <rPr>
        <sz val="11"/>
        <rFont val="Calibri"/>
        <family val="2"/>
      </rPr>
      <t>*X</t>
    </r>
    <r>
      <rPr>
        <vertAlign val="subscript"/>
        <sz val="11"/>
        <rFont val="Calibri"/>
        <family val="2"/>
      </rPr>
      <t>SOO</t>
    </r>
    <r>
      <rPr>
        <sz val="11"/>
        <rFont val="Calibri"/>
        <family val="2"/>
      </rPr>
      <t>*Msat</t>
    </r>
    <r>
      <rPr>
        <vertAlign val="subscript"/>
        <sz val="11"/>
        <rFont val="Calibri"/>
        <family val="2"/>
      </rPr>
      <t>SCO2,KCO2,BIO</t>
    </r>
    <r>
      <rPr>
        <sz val="11"/>
        <rFont val="Calibri"/>
        <family val="2"/>
      </rPr>
      <t>*Msat</t>
    </r>
    <r>
      <rPr>
        <vertAlign val="subscript"/>
        <sz val="11"/>
        <rFont val="Calibri"/>
        <family val="2"/>
      </rPr>
      <t>SNO2,KNO2,H2S,SOO</t>
    </r>
    <r>
      <rPr>
        <sz val="11"/>
        <rFont val="Calibri"/>
        <family val="2"/>
      </rPr>
      <t>*Hsat</t>
    </r>
    <r>
      <rPr>
        <vertAlign val="subscript"/>
        <sz val="11"/>
        <rFont val="Calibri"/>
        <family val="2"/>
      </rPr>
      <t>SH2S,KH2S,SOO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*Msat</t>
    </r>
    <r>
      <rPr>
        <vertAlign val="subscript"/>
        <sz val="11"/>
        <rFont val="Calibri"/>
        <family val="2"/>
      </rPr>
      <t>SSO4,KSO4,BIO</t>
    </r>
    <r>
      <rPr>
        <sz val="11"/>
        <rFont val="Calibri"/>
        <family val="2"/>
      </rPr>
      <t>*Minh</t>
    </r>
    <r>
      <rPr>
        <vertAlign val="subscript"/>
        <sz val="11"/>
        <rFont val="Calibri"/>
        <family val="2"/>
      </rPr>
      <t>SO2,KO2,H2S,SOO</t>
    </r>
    <r>
      <rPr>
        <sz val="11"/>
        <rFont val="Calibri"/>
        <family val="2"/>
      </rPr>
      <t>*Bellinh</t>
    </r>
    <r>
      <rPr>
        <vertAlign val="subscript"/>
        <sz val="11"/>
        <rFont val="Calibri"/>
        <family val="2"/>
      </rPr>
      <t>pH</t>
    </r>
  </si>
  <si>
    <r>
      <t>µ</t>
    </r>
    <r>
      <rPr>
        <vertAlign val="subscript"/>
        <sz val="11"/>
        <rFont val="Calibri"/>
        <family val="2"/>
      </rPr>
      <t>SOO,H2S,T</t>
    </r>
    <r>
      <rPr>
        <sz val="11"/>
        <rFont val="Calibri"/>
        <family val="2"/>
      </rPr>
      <t>*X</t>
    </r>
    <r>
      <rPr>
        <vertAlign val="subscript"/>
        <sz val="11"/>
        <rFont val="Calibri"/>
        <family val="2"/>
      </rPr>
      <t>SOO</t>
    </r>
    <r>
      <rPr>
        <sz val="11"/>
        <rFont val="Calibri"/>
        <family val="2"/>
      </rPr>
      <t>*Msat</t>
    </r>
    <r>
      <rPr>
        <vertAlign val="subscript"/>
        <sz val="11"/>
        <rFont val="Calibri"/>
        <family val="2"/>
      </rPr>
      <t>SCO2,KCO2,BIO</t>
    </r>
    <r>
      <rPr>
        <sz val="11"/>
        <rFont val="Calibri"/>
        <family val="2"/>
      </rPr>
      <t>*Msat</t>
    </r>
    <r>
      <rPr>
        <vertAlign val="subscript"/>
        <sz val="11"/>
        <rFont val="Calibri"/>
        <family val="2"/>
      </rPr>
      <t>SNO3,KNO3,H2S,SOO</t>
    </r>
    <r>
      <rPr>
        <sz val="11"/>
        <rFont val="Calibri"/>
        <family val="2"/>
      </rPr>
      <t>*Hsat</t>
    </r>
    <r>
      <rPr>
        <vertAlign val="subscript"/>
        <sz val="11"/>
        <rFont val="Calibri"/>
        <family val="2"/>
      </rPr>
      <t>SH2S,KH2S,SOO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*Msat</t>
    </r>
    <r>
      <rPr>
        <vertAlign val="subscript"/>
        <sz val="11"/>
        <rFont val="Calibri"/>
        <family val="2"/>
      </rPr>
      <t>SSO4,KSO4,BIO</t>
    </r>
    <r>
      <rPr>
        <sz val="11"/>
        <rFont val="Calibri"/>
        <family val="2"/>
      </rPr>
      <t>*Minh</t>
    </r>
    <r>
      <rPr>
        <vertAlign val="subscript"/>
        <sz val="11"/>
        <rFont val="Calibri"/>
        <family val="2"/>
      </rPr>
      <t>SO2,KO2,H2S,SOO</t>
    </r>
    <r>
      <rPr>
        <sz val="11"/>
        <rFont val="Calibri"/>
        <family val="2"/>
      </rPr>
      <t>*Minh</t>
    </r>
    <r>
      <rPr>
        <vertAlign val="subscript"/>
        <sz val="11"/>
        <rFont val="Calibri"/>
        <family val="2"/>
      </rPr>
      <t>SNO2,KNO2,H2S,SOO</t>
    </r>
    <r>
      <rPr>
        <sz val="11"/>
        <rFont val="Calibri"/>
        <family val="2"/>
      </rPr>
      <t>*Bellinh</t>
    </r>
    <r>
      <rPr>
        <vertAlign val="subscript"/>
        <sz val="11"/>
        <rFont val="Calibri"/>
        <family val="2"/>
      </rPr>
      <t>pH</t>
    </r>
  </si>
  <si>
    <r>
      <t>µ</t>
    </r>
    <r>
      <rPr>
        <vertAlign val="subscript"/>
        <sz val="11"/>
        <rFont val="Calibri"/>
        <family val="2"/>
      </rPr>
      <t>SOO,S,T</t>
    </r>
    <r>
      <rPr>
        <sz val="11"/>
        <rFont val="Calibri"/>
        <family val="2"/>
      </rPr>
      <t>*X</t>
    </r>
    <r>
      <rPr>
        <vertAlign val="subscript"/>
        <sz val="11"/>
        <rFont val="Calibri"/>
        <family val="2"/>
      </rPr>
      <t>SOO</t>
    </r>
    <r>
      <rPr>
        <sz val="11"/>
        <rFont val="Calibri"/>
        <family val="2"/>
      </rPr>
      <t>*Msat</t>
    </r>
    <r>
      <rPr>
        <vertAlign val="subscript"/>
        <sz val="11"/>
        <rFont val="Calibri"/>
        <family val="2"/>
      </rPr>
      <t>SCO2,KCO2,BIO</t>
    </r>
    <r>
      <rPr>
        <sz val="11"/>
        <rFont val="Calibri"/>
        <family val="2"/>
      </rPr>
      <t>*Msat</t>
    </r>
    <r>
      <rPr>
        <vertAlign val="subscript"/>
        <sz val="11"/>
        <rFont val="Calibri"/>
        <family val="2"/>
      </rPr>
      <t>SO2,KO2,S,SOO</t>
    </r>
    <r>
      <rPr>
        <sz val="11"/>
        <rFont val="Calibri"/>
        <family val="2"/>
      </rPr>
      <t>*Msat</t>
    </r>
    <r>
      <rPr>
        <vertAlign val="subscript"/>
        <sz val="11"/>
        <rFont val="Calibri"/>
        <family val="2"/>
      </rPr>
      <t>XS,KS,SOO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*Minh</t>
    </r>
    <r>
      <rPr>
        <vertAlign val="subscript"/>
        <sz val="11"/>
        <rFont val="Calibri"/>
        <family val="2"/>
      </rPr>
      <t>SH2S,KiH2S,SOO</t>
    </r>
    <r>
      <rPr>
        <sz val="11"/>
        <rFont val="Calibri"/>
        <family val="2"/>
      </rPr>
      <t>*Bellinh</t>
    </r>
    <r>
      <rPr>
        <vertAlign val="subscript"/>
        <sz val="11"/>
        <rFont val="Calibri"/>
        <family val="2"/>
      </rPr>
      <t>pH</t>
    </r>
  </si>
  <si>
    <r>
      <t>µ</t>
    </r>
    <r>
      <rPr>
        <vertAlign val="subscript"/>
        <sz val="11"/>
        <rFont val="Calibri"/>
        <family val="2"/>
      </rPr>
      <t>SOO,S,T</t>
    </r>
    <r>
      <rPr>
        <sz val="11"/>
        <rFont val="Calibri"/>
        <family val="2"/>
      </rPr>
      <t>*X</t>
    </r>
    <r>
      <rPr>
        <vertAlign val="subscript"/>
        <sz val="11"/>
        <rFont val="Calibri"/>
        <family val="2"/>
      </rPr>
      <t>SOO</t>
    </r>
    <r>
      <rPr>
        <sz val="11"/>
        <rFont val="Calibri"/>
        <family val="2"/>
      </rPr>
      <t>*Msat</t>
    </r>
    <r>
      <rPr>
        <vertAlign val="subscript"/>
        <sz val="11"/>
        <rFont val="Calibri"/>
        <family val="2"/>
      </rPr>
      <t>SCO2,KCO2,BIO</t>
    </r>
    <r>
      <rPr>
        <sz val="11"/>
        <rFont val="Calibri"/>
        <family val="2"/>
      </rPr>
      <t>*Msat</t>
    </r>
    <r>
      <rPr>
        <vertAlign val="subscript"/>
        <sz val="11"/>
        <rFont val="Calibri"/>
        <family val="2"/>
      </rPr>
      <t>SNO2,KNO2,S,SOO</t>
    </r>
    <r>
      <rPr>
        <sz val="11"/>
        <rFont val="Calibri"/>
        <family val="2"/>
      </rPr>
      <t>*Msat</t>
    </r>
    <r>
      <rPr>
        <vertAlign val="subscript"/>
        <sz val="11"/>
        <rFont val="Calibri"/>
        <family val="2"/>
      </rPr>
      <t>XS,KS,SOO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*Minh</t>
    </r>
    <r>
      <rPr>
        <vertAlign val="subscript"/>
        <sz val="11"/>
        <rFont val="Calibri"/>
        <family val="2"/>
      </rPr>
      <t>SH2S,KiH2S,SOO</t>
    </r>
    <r>
      <rPr>
        <sz val="11"/>
        <rFont val="Calibri"/>
        <family val="2"/>
      </rPr>
      <t>*Minh</t>
    </r>
    <r>
      <rPr>
        <vertAlign val="subscript"/>
        <sz val="11"/>
        <rFont val="Calibri"/>
        <family val="2"/>
      </rPr>
      <t>SO2,KO2,S,SOO</t>
    </r>
    <r>
      <rPr>
        <sz val="11"/>
        <rFont val="Calibri"/>
        <family val="2"/>
      </rPr>
      <t>*Bellinh</t>
    </r>
    <r>
      <rPr>
        <vertAlign val="subscript"/>
        <sz val="11"/>
        <rFont val="Calibri"/>
        <family val="2"/>
      </rPr>
      <t>pH</t>
    </r>
  </si>
  <si>
    <r>
      <t>µ</t>
    </r>
    <r>
      <rPr>
        <vertAlign val="subscript"/>
        <sz val="11"/>
        <rFont val="Calibri"/>
        <family val="2"/>
      </rPr>
      <t>SOO,S,T</t>
    </r>
    <r>
      <rPr>
        <sz val="11"/>
        <rFont val="Calibri"/>
        <family val="2"/>
      </rPr>
      <t>*X</t>
    </r>
    <r>
      <rPr>
        <vertAlign val="subscript"/>
        <sz val="11"/>
        <rFont val="Calibri"/>
        <family val="2"/>
      </rPr>
      <t>SOO</t>
    </r>
    <r>
      <rPr>
        <sz val="11"/>
        <rFont val="Calibri"/>
        <family val="2"/>
      </rPr>
      <t>*Msat</t>
    </r>
    <r>
      <rPr>
        <vertAlign val="subscript"/>
        <sz val="11"/>
        <rFont val="Calibri"/>
        <family val="2"/>
      </rPr>
      <t>SCO2,KCO2,BIO</t>
    </r>
    <r>
      <rPr>
        <sz val="11"/>
        <rFont val="Calibri"/>
        <family val="2"/>
      </rPr>
      <t>*Msat</t>
    </r>
    <r>
      <rPr>
        <vertAlign val="subscript"/>
        <sz val="11"/>
        <rFont val="Calibri"/>
        <family val="2"/>
      </rPr>
      <t>SNO3,KNO3,S,SOO</t>
    </r>
    <r>
      <rPr>
        <sz val="11"/>
        <rFont val="Calibri"/>
        <family val="2"/>
      </rPr>
      <t>*Msat</t>
    </r>
    <r>
      <rPr>
        <vertAlign val="subscript"/>
        <sz val="11"/>
        <rFont val="Calibri"/>
        <family val="2"/>
      </rPr>
      <t>XS,KS,SOO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*Minh</t>
    </r>
    <r>
      <rPr>
        <vertAlign val="subscript"/>
        <sz val="11"/>
        <rFont val="Calibri"/>
        <family val="2"/>
      </rPr>
      <t>SH2S,KiH2S,SOO</t>
    </r>
    <r>
      <rPr>
        <sz val="11"/>
        <rFont val="Calibri"/>
        <family val="2"/>
      </rPr>
      <t>*Minh</t>
    </r>
    <r>
      <rPr>
        <vertAlign val="subscript"/>
        <sz val="11"/>
        <rFont val="Calibri"/>
        <family val="2"/>
      </rPr>
      <t>SO2,KO2,S,SOO</t>
    </r>
    <r>
      <rPr>
        <sz val="11"/>
        <rFont val="Calibri"/>
        <family val="2"/>
      </rPr>
      <t>*Minh</t>
    </r>
    <r>
      <rPr>
        <vertAlign val="subscript"/>
        <sz val="11"/>
        <rFont val="Calibri"/>
        <family val="2"/>
      </rPr>
      <t>SNO2,KNO2,S,SOO</t>
    </r>
    <r>
      <rPr>
        <sz val="11"/>
        <rFont val="Calibri"/>
        <family val="2"/>
      </rPr>
      <t>*Bellinh</t>
    </r>
    <r>
      <rPr>
        <vertAlign val="subscript"/>
        <sz val="11"/>
        <rFont val="Calibri"/>
        <family val="2"/>
      </rPr>
      <t>pH</t>
    </r>
  </si>
  <si>
    <r>
      <t>µ</t>
    </r>
    <r>
      <rPr>
        <vertAlign val="subscript"/>
        <sz val="11"/>
        <rFont val="Calibri"/>
        <family val="2"/>
      </rPr>
      <t>OHO,T</t>
    </r>
    <r>
      <rPr>
        <sz val="11"/>
        <rFont val="Calibri"/>
        <family val="2"/>
      </rPr>
      <t>*X</t>
    </r>
    <r>
      <rPr>
        <vertAlign val="subscript"/>
        <sz val="11"/>
        <rFont val="Calibri"/>
        <family val="2"/>
      </rPr>
      <t>OHO</t>
    </r>
    <r>
      <rPr>
        <sz val="11"/>
        <rFont val="Calibri"/>
        <family val="2"/>
      </rPr>
      <t>*Msat</t>
    </r>
    <r>
      <rPr>
        <vertAlign val="subscript"/>
        <sz val="11"/>
        <rFont val="Calibri"/>
        <family val="2"/>
      </rPr>
      <t>SMEOL,KMEOL,OHO</t>
    </r>
    <r>
      <rPr>
        <sz val="11"/>
        <rFont val="Calibri"/>
        <family val="2"/>
      </rPr>
      <t>*Msat</t>
    </r>
    <r>
      <rPr>
        <vertAlign val="subscript"/>
        <sz val="11"/>
        <rFont val="Calibri"/>
        <family val="2"/>
      </rPr>
      <t>SO2,KO2,OHO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*Msat</t>
    </r>
    <r>
      <rPr>
        <vertAlign val="subscript"/>
        <sz val="11"/>
        <rFont val="Calibri"/>
        <family val="2"/>
      </rPr>
      <t>SSO4,KSO4,BIO</t>
    </r>
    <r>
      <rPr>
        <sz val="11"/>
        <rFont val="Calibri"/>
        <family val="2"/>
      </rPr>
      <t>*Bellinh</t>
    </r>
    <r>
      <rPr>
        <vertAlign val="subscript"/>
        <sz val="11"/>
        <rFont val="Calibri"/>
        <family val="2"/>
      </rPr>
      <t>pH</t>
    </r>
  </si>
  <si>
    <r>
      <t>error</t>
    </r>
    <r>
      <rPr>
        <vertAlign val="subscript"/>
        <sz val="11"/>
        <rFont val="Calibri"/>
        <family val="2"/>
        <charset val="238"/>
        <scheme val="minor"/>
      </rPr>
      <t>NHx,NOx</t>
    </r>
  </si>
  <si>
    <r>
      <t>N</t>
    </r>
    <r>
      <rPr>
        <sz val="11"/>
        <rFont val="Calibri"/>
        <family val="2"/>
        <charset val="238"/>
        <scheme val="minor"/>
      </rPr>
      <t>H</t>
    </r>
    <r>
      <rPr>
        <vertAlign val="subscript"/>
        <sz val="11"/>
        <rFont val="Calibri"/>
        <family val="2"/>
        <charset val="238"/>
        <scheme val="minor"/>
      </rPr>
      <t>x</t>
    </r>
    <r>
      <rPr>
        <sz val="11"/>
        <rFont val="Calibri"/>
        <family val="2"/>
        <charset val="238"/>
        <scheme val="minor"/>
      </rPr>
      <t>-NO</t>
    </r>
    <r>
      <rPr>
        <vertAlign val="subscript"/>
        <sz val="11"/>
        <rFont val="Calibri"/>
        <family val="2"/>
        <charset val="238"/>
        <scheme val="minor"/>
      </rPr>
      <t>x</t>
    </r>
    <r>
      <rPr>
        <sz val="11"/>
        <rFont val="Calibri"/>
        <family val="2"/>
        <scheme val="minor"/>
      </rPr>
      <t xml:space="preserve"> error</t>
    </r>
  </si>
  <si>
    <r>
      <t>S</t>
    </r>
    <r>
      <rPr>
        <vertAlign val="subscript"/>
        <sz val="11"/>
        <rFont val="Calibri"/>
        <family val="2"/>
        <charset val="238"/>
        <scheme val="minor"/>
      </rPr>
      <t>NHx</t>
    </r>
    <r>
      <rPr>
        <sz val="11"/>
        <rFont val="Calibri"/>
        <family val="2"/>
        <scheme val="minor"/>
      </rPr>
      <t xml:space="preserve"> - S</t>
    </r>
    <r>
      <rPr>
        <vertAlign val="subscript"/>
        <sz val="11"/>
        <rFont val="Calibri"/>
        <family val="2"/>
        <charset val="238"/>
        <scheme val="minor"/>
      </rPr>
      <t>NOx</t>
    </r>
  </si>
  <si>
    <t>SOxR</t>
  </si>
  <si>
    <t>Sulfide oxidation rate (SOxR)</t>
  </si>
  <si>
    <r>
      <t>g TS.m</t>
    </r>
    <r>
      <rPr>
        <vertAlign val="superscript"/>
        <sz val="11"/>
        <rFont val="Calibri"/>
        <family val="2"/>
        <scheme val="minor"/>
      </rPr>
      <t>-3</t>
    </r>
  </si>
  <si>
    <r>
      <t>g S.m</t>
    </r>
    <r>
      <rPr>
        <vertAlign val="superscript"/>
        <sz val="11"/>
        <rFont val="Calibri"/>
        <family val="2"/>
        <scheme val="minor"/>
      </rPr>
      <t>-3</t>
    </r>
    <r>
      <rPr>
        <sz val="11"/>
        <rFont val="Calibri"/>
        <family val="2"/>
        <scheme val="minor"/>
      </rPr>
      <t>.d</t>
    </r>
    <r>
      <rPr>
        <vertAlign val="superscript"/>
        <sz val="11"/>
        <rFont val="Calibri"/>
        <family val="2"/>
        <scheme val="minor"/>
      </rPr>
      <t>-1</t>
    </r>
  </si>
  <si>
    <t>sum of the charges of Ca, Mg and K content of PP…</t>
  </si>
  <si>
    <t>...should be equal to 1…</t>
  </si>
  <si>
    <t>...e.g.: 2*0.1 + 2*0.35 + 1*0.1=1</t>
  </si>
  <si>
    <r>
      <t>g VSS.g TSS</t>
    </r>
    <r>
      <rPr>
        <vertAlign val="superscript"/>
        <sz val="11"/>
        <rFont val="Calibri"/>
        <family val="2"/>
        <charset val="238"/>
        <scheme val="minor"/>
      </rPr>
      <t>-1</t>
    </r>
  </si>
  <si>
    <r>
      <t>S</t>
    </r>
    <r>
      <rPr>
        <vertAlign val="subscript"/>
        <sz val="11"/>
        <rFont val="Calibri"/>
        <family val="2"/>
        <scheme val="minor"/>
      </rPr>
      <t>ALK,calc</t>
    </r>
  </si>
  <si>
    <t>Reference gas composition percentages</t>
  </si>
  <si>
    <t>Input gas</t>
  </si>
  <si>
    <t>Offgas with aeration</t>
  </si>
  <si>
    <t>Offgas without aeration</t>
  </si>
  <si>
    <t>Biogas</t>
  </si>
  <si>
    <r>
      <t>G</t>
    </r>
    <r>
      <rPr>
        <vertAlign val="subscript"/>
        <sz val="11"/>
        <rFont val="Calibri"/>
        <family val="2"/>
      </rPr>
      <t>CO2</t>
    </r>
  </si>
  <si>
    <r>
      <t>Carbon dioxide gas (CO</t>
    </r>
    <r>
      <rPr>
        <vertAlign val="subscript"/>
        <sz val="11"/>
        <rFont val="Calibri"/>
        <family val="2"/>
      </rPr>
      <t>2</t>
    </r>
    <r>
      <rPr>
        <sz val="11"/>
        <rFont val="Calibri"/>
        <family val="2"/>
      </rPr>
      <t>)</t>
    </r>
    <r>
      <rPr>
        <sz val="11"/>
        <rFont val="Calibri"/>
        <family val="2"/>
        <scheme val="minor"/>
      </rPr>
      <t xml:space="preserve"> reference percentage</t>
    </r>
  </si>
  <si>
    <r>
      <t>G</t>
    </r>
    <r>
      <rPr>
        <vertAlign val="subscript"/>
        <sz val="11"/>
        <rFont val="Calibri"/>
        <family val="2"/>
      </rPr>
      <t>CH4</t>
    </r>
  </si>
  <si>
    <r>
      <t>Methane gas (CH</t>
    </r>
    <r>
      <rPr>
        <vertAlign val="subscript"/>
        <sz val="11"/>
        <rFont val="Calibri"/>
        <family val="2"/>
      </rPr>
      <t>4</t>
    </r>
    <r>
      <rPr>
        <sz val="11"/>
        <rFont val="Calibri"/>
        <family val="2"/>
      </rPr>
      <t>)</t>
    </r>
    <r>
      <rPr>
        <sz val="11"/>
        <rFont val="Calibri"/>
        <family val="2"/>
        <scheme val="minor"/>
      </rPr>
      <t xml:space="preserve"> reference percentage</t>
    </r>
  </si>
  <si>
    <r>
      <t>G</t>
    </r>
    <r>
      <rPr>
        <vertAlign val="subscript"/>
        <sz val="11"/>
        <rFont val="Calibri"/>
        <family val="2"/>
      </rPr>
      <t>H2</t>
    </r>
  </si>
  <si>
    <r>
      <t>Hydrogen gas (H</t>
    </r>
    <r>
      <rPr>
        <vertAlign val="subscript"/>
        <sz val="11"/>
        <rFont val="Calibri"/>
        <family val="2"/>
      </rPr>
      <t>2</t>
    </r>
    <r>
      <rPr>
        <sz val="11"/>
        <rFont val="Calibri"/>
        <family val="2"/>
      </rPr>
      <t>)</t>
    </r>
    <r>
      <rPr>
        <sz val="11"/>
        <rFont val="Calibri"/>
        <family val="2"/>
        <scheme val="minor"/>
      </rPr>
      <t xml:space="preserve"> reference percentage</t>
    </r>
  </si>
  <si>
    <r>
      <t>G</t>
    </r>
    <r>
      <rPr>
        <vertAlign val="subscript"/>
        <sz val="11"/>
        <rFont val="Calibri"/>
        <family val="2"/>
      </rPr>
      <t>O2</t>
    </r>
  </si>
  <si>
    <r>
      <t>Oxygen gas (O</t>
    </r>
    <r>
      <rPr>
        <vertAlign val="subscript"/>
        <sz val="11"/>
        <rFont val="Calibri"/>
        <family val="2"/>
      </rPr>
      <t>2</t>
    </r>
    <r>
      <rPr>
        <sz val="11"/>
        <rFont val="Calibri"/>
        <family val="2"/>
      </rPr>
      <t>)</t>
    </r>
    <r>
      <rPr>
        <sz val="11"/>
        <rFont val="Calibri"/>
        <family val="2"/>
        <scheme val="minor"/>
      </rPr>
      <t xml:space="preserve"> reference percentage</t>
    </r>
  </si>
  <si>
    <r>
      <t>G</t>
    </r>
    <r>
      <rPr>
        <vertAlign val="subscript"/>
        <sz val="11"/>
        <rFont val="Calibri"/>
        <family val="2"/>
      </rPr>
      <t>NH3</t>
    </r>
  </si>
  <si>
    <r>
      <t>Ammonia gas (NH</t>
    </r>
    <r>
      <rPr>
        <vertAlign val="subscript"/>
        <sz val="11"/>
        <rFont val="Calibri"/>
        <family val="2"/>
      </rPr>
      <t>3</t>
    </r>
    <r>
      <rPr>
        <sz val="11"/>
        <rFont val="Calibri"/>
        <family val="2"/>
      </rPr>
      <t>)</t>
    </r>
    <r>
      <rPr>
        <sz val="11"/>
        <rFont val="Calibri"/>
        <family val="2"/>
        <scheme val="minor"/>
      </rPr>
      <t xml:space="preserve"> reference percentage</t>
    </r>
  </si>
  <si>
    <r>
      <t>G</t>
    </r>
    <r>
      <rPr>
        <vertAlign val="subscript"/>
        <sz val="11"/>
        <rFont val="Calibri"/>
        <family val="2"/>
      </rPr>
      <t>N2</t>
    </r>
  </si>
  <si>
    <r>
      <t>Nitrogen gas (N</t>
    </r>
    <r>
      <rPr>
        <vertAlign val="subscript"/>
        <sz val="11"/>
        <rFont val="Calibri"/>
        <family val="2"/>
      </rPr>
      <t>2</t>
    </r>
    <r>
      <rPr>
        <sz val="11"/>
        <rFont val="Calibri"/>
        <family val="2"/>
      </rPr>
      <t>)</t>
    </r>
    <r>
      <rPr>
        <sz val="11"/>
        <rFont val="Calibri"/>
        <family val="2"/>
        <scheme val="minor"/>
      </rPr>
      <t xml:space="preserve"> reference percentage</t>
    </r>
  </si>
  <si>
    <r>
      <t>G</t>
    </r>
    <r>
      <rPr>
        <vertAlign val="subscript"/>
        <sz val="11"/>
        <rFont val="Calibri"/>
        <family val="2"/>
        <charset val="238"/>
      </rPr>
      <t>H2S</t>
    </r>
  </si>
  <si>
    <t>Hydrogen sulfide (H2S) reference percentage</t>
  </si>
  <si>
    <r>
      <t>([Fe</t>
    </r>
    <r>
      <rPr>
        <vertAlign val="superscript"/>
        <sz val="11"/>
        <color theme="1"/>
        <rFont val="Calibri"/>
        <family val="2"/>
        <scheme val="minor"/>
      </rPr>
      <t>2+</t>
    </r>
    <r>
      <rPr>
        <sz val="11"/>
        <color theme="1"/>
        <rFont val="Calibri"/>
        <family val="2"/>
        <scheme val="minor"/>
      </rPr>
      <t>]</t>
    </r>
    <r>
      <rPr>
        <vertAlign val="superscript"/>
        <sz val="11"/>
        <color theme="1"/>
        <rFont val="Calibri"/>
        <family val="2"/>
        <scheme val="minor"/>
      </rPr>
      <t>^(0.5)</t>
    </r>
    <r>
      <rPr>
        <sz val="11"/>
        <color theme="1"/>
        <rFont val="Calibri"/>
        <family val="2"/>
        <scheme val="minor"/>
      </rPr>
      <t xml:space="preserve"> * [HS</t>
    </r>
    <r>
      <rPr>
        <vertAlign val="superscript"/>
        <sz val="11"/>
        <color theme="1"/>
        <rFont val="Calibri"/>
        <family val="2"/>
        <scheme val="minor"/>
      </rPr>
      <t>-</t>
    </r>
    <r>
      <rPr>
        <sz val="11"/>
        <color theme="1"/>
        <rFont val="Calibri"/>
        <family val="2"/>
        <scheme val="minor"/>
      </rPr>
      <t>]</t>
    </r>
    <r>
      <rPr>
        <vertAlign val="superscript"/>
        <sz val="11"/>
        <color theme="1"/>
        <rFont val="Calibri"/>
        <family val="2"/>
        <scheme val="minor"/>
      </rPr>
      <t>^(0.5)</t>
    </r>
    <r>
      <rPr>
        <sz val="11"/>
        <color theme="1"/>
        <rFont val="Calibri"/>
        <family val="2"/>
        <scheme val="minor"/>
      </rPr>
      <t xml:space="preserve"> - K</t>
    </r>
    <r>
      <rPr>
        <vertAlign val="subscript"/>
        <sz val="11"/>
        <color theme="1"/>
        <rFont val="Calibri"/>
        <family val="2"/>
        <scheme val="minor"/>
      </rPr>
      <t>sp,FeS</t>
    </r>
    <r>
      <rPr>
        <vertAlign val="superscript"/>
        <sz val="11"/>
        <color theme="1"/>
        <rFont val="Calibri"/>
        <family val="2"/>
        <scheme val="minor"/>
      </rPr>
      <t>^(0.5)</t>
    </r>
    <r>
      <rPr>
        <sz val="11"/>
        <color theme="1"/>
        <rFont val="Calibri"/>
        <family val="2"/>
        <scheme val="minor"/>
      </rPr>
      <t>)/K</t>
    </r>
    <r>
      <rPr>
        <vertAlign val="subscript"/>
        <sz val="11"/>
        <color theme="1"/>
        <rFont val="Calibri"/>
        <family val="2"/>
        <scheme val="minor"/>
      </rPr>
      <t>sp,FeS</t>
    </r>
    <r>
      <rPr>
        <vertAlign val="superscript"/>
        <sz val="11"/>
        <color theme="1"/>
        <rFont val="Calibri"/>
        <family val="2"/>
        <scheme val="minor"/>
      </rPr>
      <t>^(0.5)</t>
    </r>
  </si>
  <si>
    <t>High purity oxygen</t>
  </si>
  <si>
    <r>
      <t>f</t>
    </r>
    <r>
      <rPr>
        <vertAlign val="subscript"/>
        <sz val="11"/>
        <rFont val="Calibri"/>
        <family val="2"/>
        <scheme val="minor"/>
      </rPr>
      <t>bw,floc</t>
    </r>
  </si>
  <si>
    <t>Fraction of bound water</t>
  </si>
  <si>
    <r>
      <t>g H2O.g VS</t>
    </r>
    <r>
      <rPr>
        <vertAlign val="superscript"/>
        <sz val="11"/>
        <rFont val="Calibri"/>
        <family val="2"/>
        <scheme val="minor"/>
      </rPr>
      <t>-1</t>
    </r>
  </si>
  <si>
    <t>Interstitial water content</t>
  </si>
  <si>
    <r>
      <t>i</t>
    </r>
    <r>
      <rPr>
        <vertAlign val="subscript"/>
        <sz val="11"/>
        <rFont val="Calibri"/>
        <family val="2"/>
        <scheme val="minor"/>
      </rPr>
      <t>iw,BIO</t>
    </r>
  </si>
  <si>
    <t>Vicinal water content</t>
  </si>
  <si>
    <r>
      <t>i</t>
    </r>
    <r>
      <rPr>
        <vertAlign val="subscript"/>
        <sz val="11"/>
        <rFont val="Calibri"/>
        <family val="2"/>
        <scheme val="minor"/>
      </rPr>
      <t>vw,XB</t>
    </r>
  </si>
  <si>
    <t>Vicinal water of biodegradable substrate in volatile solids</t>
  </si>
  <si>
    <t>Assuming 5% of H2O is associated with vicinal water for these organics</t>
  </si>
  <si>
    <r>
      <t>i</t>
    </r>
    <r>
      <rPr>
        <vertAlign val="subscript"/>
        <sz val="11"/>
        <rFont val="Calibri"/>
        <family val="2"/>
        <scheme val="minor"/>
      </rPr>
      <t>vw,XU</t>
    </r>
  </si>
  <si>
    <t>Vicinal water of particulate unbiodegradable organics in volatile solids</t>
  </si>
  <si>
    <r>
      <t>i</t>
    </r>
    <r>
      <rPr>
        <vertAlign val="subscript"/>
        <sz val="11"/>
        <rFont val="Calibri"/>
        <family val="2"/>
        <scheme val="minor"/>
      </rPr>
      <t>vw,BIO</t>
    </r>
  </si>
  <si>
    <t>Vicinal water of biomass in volatile solids</t>
  </si>
  <si>
    <r>
      <t>i</t>
    </r>
    <r>
      <rPr>
        <vertAlign val="subscript"/>
        <sz val="11"/>
        <rFont val="Calibri"/>
        <family val="2"/>
        <scheme val="minor"/>
      </rPr>
      <t>vw,XE</t>
    </r>
  </si>
  <si>
    <t>Vicinal water of endogenous products in volatile solids</t>
  </si>
  <si>
    <r>
      <t>i</t>
    </r>
    <r>
      <rPr>
        <vertAlign val="subscript"/>
        <sz val="11"/>
        <rFont val="Calibri"/>
        <family val="2"/>
        <scheme val="minor"/>
      </rPr>
      <t>vw,CB</t>
    </r>
  </si>
  <si>
    <t>Vicinal water of colloidal biodegradable substrate in volatile solids</t>
  </si>
  <si>
    <r>
      <t>i</t>
    </r>
    <r>
      <rPr>
        <vertAlign val="subscript"/>
        <sz val="11"/>
        <rFont val="Calibri"/>
        <family val="2"/>
        <scheme val="minor"/>
      </rPr>
      <t>vw,CU</t>
    </r>
  </si>
  <si>
    <t>Vicinal water of colloidal unbiodegradable organics in volatile solids</t>
  </si>
  <si>
    <r>
      <t>i</t>
    </r>
    <r>
      <rPr>
        <vertAlign val="subscript"/>
        <sz val="11"/>
        <rFont val="Calibri"/>
        <family val="2"/>
        <scheme val="minor"/>
      </rPr>
      <t>vw,PHA</t>
    </r>
  </si>
  <si>
    <t>Vicinal water of PHA in volatile solids</t>
  </si>
  <si>
    <r>
      <t>i</t>
    </r>
    <r>
      <rPr>
        <vertAlign val="subscript"/>
        <sz val="11"/>
        <rFont val="Calibri"/>
        <family val="2"/>
        <scheme val="minor"/>
      </rPr>
      <t>vw,EPS</t>
    </r>
  </si>
  <si>
    <t>Vicinal water correction of EPS in volatile solids</t>
  </si>
  <si>
    <t>Water of Hydration content</t>
  </si>
  <si>
    <r>
      <t>i</t>
    </r>
    <r>
      <rPr>
        <vertAlign val="subscript"/>
        <sz val="11"/>
        <rFont val="Calibri"/>
        <family val="2"/>
        <scheme val="minor"/>
      </rPr>
      <t>wh,XB</t>
    </r>
  </si>
  <si>
    <t>Water of hydration of biodegradable substrate in volatile solids</t>
  </si>
  <si>
    <t>Assuming 10% of H2O is associated with water of hydration</t>
  </si>
  <si>
    <r>
      <t>i</t>
    </r>
    <r>
      <rPr>
        <vertAlign val="subscript"/>
        <sz val="11"/>
        <rFont val="Calibri"/>
        <family val="2"/>
        <scheme val="minor"/>
      </rPr>
      <t>wh,XU</t>
    </r>
  </si>
  <si>
    <t>Water of hydration of particulate unbiodegradable organics in volatile solids</t>
  </si>
  <si>
    <r>
      <t>i</t>
    </r>
    <r>
      <rPr>
        <vertAlign val="subscript"/>
        <sz val="11"/>
        <rFont val="Calibri"/>
        <family val="2"/>
        <scheme val="minor"/>
      </rPr>
      <t>wh,BIO</t>
    </r>
  </si>
  <si>
    <t>Water of hydration of biomass in volatile solids</t>
  </si>
  <si>
    <r>
      <t>i</t>
    </r>
    <r>
      <rPr>
        <vertAlign val="subscript"/>
        <sz val="11"/>
        <rFont val="Calibri"/>
        <family val="2"/>
        <scheme val="minor"/>
      </rPr>
      <t>wh,XE</t>
    </r>
  </si>
  <si>
    <t>Water of hydration of endogenous products in volatile solids</t>
  </si>
  <si>
    <r>
      <t>i</t>
    </r>
    <r>
      <rPr>
        <vertAlign val="subscript"/>
        <sz val="11"/>
        <rFont val="Calibri"/>
        <family val="2"/>
        <scheme val="minor"/>
      </rPr>
      <t>wh,PHA</t>
    </r>
  </si>
  <si>
    <t>Water of hydration of PHA in volatile solids</t>
  </si>
  <si>
    <t>Assuming 15% of H2O is associated with water of hydration</t>
  </si>
  <si>
    <r>
      <t>i</t>
    </r>
    <r>
      <rPr>
        <vertAlign val="subscript"/>
        <sz val="11"/>
        <rFont val="Calibri"/>
        <family val="2"/>
        <scheme val="minor"/>
      </rPr>
      <t>wh,EPS</t>
    </r>
  </si>
  <si>
    <t>Water of hydration correction of EPS in volatile solids</t>
  </si>
  <si>
    <t>Assuming 25% of H2O is associated with water of hydration</t>
  </si>
  <si>
    <r>
      <t>i</t>
    </r>
    <r>
      <rPr>
        <vertAlign val="subscript"/>
        <sz val="11"/>
        <rFont val="Calibri"/>
        <family val="2"/>
      </rPr>
      <t>S,XB</t>
    </r>
    <r>
      <rPr>
        <sz val="11"/>
        <rFont val="Calibri"/>
        <family val="2"/>
      </rPr>
      <t>-i</t>
    </r>
    <r>
      <rPr>
        <vertAlign val="subscript"/>
        <sz val="11"/>
        <rFont val="Calibri"/>
        <family val="2"/>
      </rPr>
      <t>S,SB</t>
    </r>
  </si>
  <si>
    <r>
      <t>i</t>
    </r>
    <r>
      <rPr>
        <vertAlign val="subscript"/>
        <sz val="11"/>
        <rFont val="Calibri"/>
        <family val="2"/>
      </rPr>
      <t>S,CB</t>
    </r>
    <r>
      <rPr>
        <sz val="11"/>
        <rFont val="Calibri"/>
        <family val="2"/>
      </rPr>
      <t>-i</t>
    </r>
    <r>
      <rPr>
        <vertAlign val="subscript"/>
        <sz val="11"/>
        <rFont val="Calibri"/>
        <family val="2"/>
      </rPr>
      <t>S,XB</t>
    </r>
  </si>
  <si>
    <r>
      <t>i</t>
    </r>
    <r>
      <rPr>
        <vertAlign val="subscript"/>
        <sz val="11"/>
        <rFont val="Calibri"/>
        <family val="2"/>
      </rPr>
      <t>S,CU</t>
    </r>
    <r>
      <rPr>
        <sz val="11"/>
        <rFont val="Calibri"/>
        <family val="2"/>
      </rPr>
      <t>-i</t>
    </r>
    <r>
      <rPr>
        <vertAlign val="subscript"/>
        <sz val="11"/>
        <rFont val="Calibri"/>
        <family val="2"/>
      </rPr>
      <t>S,XU</t>
    </r>
  </si>
  <si>
    <t>MABR offgas</t>
  </si>
  <si>
    <t>Active hydrous aluminium oxide, high surface (HAO,H)</t>
  </si>
  <si>
    <r>
      <t>g Al.m</t>
    </r>
    <r>
      <rPr>
        <vertAlign val="superscript"/>
        <sz val="11"/>
        <rFont val="Calibri"/>
        <family val="2"/>
      </rPr>
      <t>-3</t>
    </r>
  </si>
  <si>
    <t>Active hydrous aluminium oxide, low surface (HAO,L)</t>
  </si>
  <si>
    <t>Aged unused hydrous aluminium oxide (HAO,old)</t>
  </si>
  <si>
    <t>P-bound hydrous aluminium oxide, high surface (HAO,H,P)</t>
  </si>
  <si>
    <t>P-bound hydrous aluminium oxide, low surface (HAO,L,P)</t>
  </si>
  <si>
    <t>Aged P-bound hydrous aluminium oxide, high surface (HAO,H,P,old)</t>
  </si>
  <si>
    <t>Aged P-bound hydrous aluminium oxide, low surface (HAO,L,P,old)</t>
  </si>
  <si>
    <t>Brushite (BSH)</t>
  </si>
  <si>
    <r>
      <t>X</t>
    </r>
    <r>
      <rPr>
        <b/>
        <vertAlign val="subscript"/>
        <sz val="11"/>
        <rFont val="Calibri"/>
        <family val="2"/>
        <scheme val="minor"/>
      </rPr>
      <t>HAO,H</t>
    </r>
  </si>
  <si>
    <r>
      <t>X</t>
    </r>
    <r>
      <rPr>
        <b/>
        <vertAlign val="subscript"/>
        <sz val="11"/>
        <rFont val="Calibri"/>
        <family val="2"/>
        <scheme val="minor"/>
      </rPr>
      <t>HAO,L</t>
    </r>
  </si>
  <si>
    <r>
      <t>X</t>
    </r>
    <r>
      <rPr>
        <b/>
        <vertAlign val="subscript"/>
        <sz val="11"/>
        <rFont val="Calibri"/>
        <family val="2"/>
        <scheme val="minor"/>
      </rPr>
      <t>HAO,old</t>
    </r>
  </si>
  <si>
    <r>
      <t>X</t>
    </r>
    <r>
      <rPr>
        <b/>
        <vertAlign val="subscript"/>
        <sz val="11"/>
        <rFont val="Calibri"/>
        <family val="2"/>
        <scheme val="minor"/>
      </rPr>
      <t>HAO,H,P</t>
    </r>
  </si>
  <si>
    <r>
      <t>X</t>
    </r>
    <r>
      <rPr>
        <b/>
        <vertAlign val="subscript"/>
        <sz val="11"/>
        <rFont val="Calibri"/>
        <family val="2"/>
        <scheme val="minor"/>
      </rPr>
      <t>HAO,L,P</t>
    </r>
  </si>
  <si>
    <r>
      <t>X</t>
    </r>
    <r>
      <rPr>
        <b/>
        <vertAlign val="subscript"/>
        <sz val="11"/>
        <rFont val="Calibri"/>
        <family val="2"/>
      </rPr>
      <t>HAO,H,P,old</t>
    </r>
  </si>
  <si>
    <r>
      <t>X</t>
    </r>
    <r>
      <rPr>
        <b/>
        <vertAlign val="subscript"/>
        <sz val="11"/>
        <rFont val="Calibri"/>
        <family val="2"/>
      </rPr>
      <t>HAO,L,P,old</t>
    </r>
  </si>
  <si>
    <r>
      <t>X</t>
    </r>
    <r>
      <rPr>
        <b/>
        <vertAlign val="subscript"/>
        <sz val="11"/>
        <rFont val="Calibri"/>
        <family val="2"/>
        <scheme val="minor"/>
      </rPr>
      <t>BSH</t>
    </r>
  </si>
  <si>
    <r>
      <t>X</t>
    </r>
    <r>
      <rPr>
        <b/>
        <vertAlign val="subscript"/>
        <sz val="12"/>
        <rFont val="Calibri"/>
        <family val="2"/>
        <scheme val="minor"/>
      </rPr>
      <t>BSH</t>
    </r>
  </si>
  <si>
    <r>
      <t>AM</t>
    </r>
    <r>
      <rPr>
        <vertAlign val="subscript"/>
        <sz val="11"/>
        <rFont val="Calibri"/>
        <family val="2"/>
        <scheme val="minor"/>
      </rPr>
      <t>P</t>
    </r>
    <r>
      <rPr>
        <sz val="11"/>
        <rFont val="Calibri"/>
        <family val="2"/>
        <scheme val="minor"/>
      </rPr>
      <t>/MM</t>
    </r>
    <r>
      <rPr>
        <vertAlign val="subscript"/>
        <sz val="11"/>
        <rFont val="Calibri"/>
        <family val="2"/>
        <scheme val="minor"/>
      </rPr>
      <t>BSH</t>
    </r>
  </si>
  <si>
    <r>
      <t>AM</t>
    </r>
    <r>
      <rPr>
        <vertAlign val="subscript"/>
        <sz val="11"/>
        <rFont val="Calibri"/>
        <family val="2"/>
        <scheme val="minor"/>
      </rPr>
      <t>Ca</t>
    </r>
    <r>
      <rPr>
        <sz val="11"/>
        <rFont val="Calibri"/>
        <family val="2"/>
        <scheme val="minor"/>
      </rPr>
      <t>/MM</t>
    </r>
    <r>
      <rPr>
        <vertAlign val="subscript"/>
        <sz val="11"/>
        <rFont val="Calibri"/>
        <family val="2"/>
        <scheme val="minor"/>
      </rPr>
      <t>BSH</t>
    </r>
  </si>
  <si>
    <r>
      <t>ASF</t>
    </r>
    <r>
      <rPr>
        <vertAlign val="subscript"/>
        <sz val="11"/>
        <rFont val="Calibri"/>
        <family val="2"/>
        <scheme val="minor"/>
      </rPr>
      <t>HFO,H</t>
    </r>
    <r>
      <rPr>
        <sz val="11"/>
        <rFont val="Calibri"/>
        <family val="2"/>
        <scheme val="minor"/>
      </rPr>
      <t>*(AM</t>
    </r>
    <r>
      <rPr>
        <vertAlign val="subscript"/>
        <sz val="11"/>
        <rFont val="Calibri"/>
        <family val="2"/>
        <scheme val="minor"/>
      </rPr>
      <t>P</t>
    </r>
    <r>
      <rPr>
        <sz val="11"/>
        <rFont val="Calibri"/>
        <family val="2"/>
        <scheme val="minor"/>
      </rPr>
      <t>/AM</t>
    </r>
    <r>
      <rPr>
        <vertAlign val="subscript"/>
        <sz val="11"/>
        <rFont val="Calibri"/>
        <family val="2"/>
        <scheme val="minor"/>
      </rPr>
      <t>Fe</t>
    </r>
    <r>
      <rPr>
        <sz val="11"/>
        <rFont val="Calibri"/>
        <family val="2"/>
        <scheme val="minor"/>
      </rPr>
      <t>)</t>
    </r>
  </si>
  <si>
    <r>
      <t>ASF</t>
    </r>
    <r>
      <rPr>
        <vertAlign val="subscript"/>
        <sz val="11"/>
        <rFont val="Calibri"/>
        <family val="2"/>
        <scheme val="minor"/>
      </rPr>
      <t>HFO,L</t>
    </r>
    <r>
      <rPr>
        <sz val="11"/>
        <rFont val="Calibri"/>
        <family val="2"/>
        <scheme val="minor"/>
      </rPr>
      <t>*(AM</t>
    </r>
    <r>
      <rPr>
        <vertAlign val="subscript"/>
        <sz val="11"/>
        <rFont val="Calibri"/>
        <family val="2"/>
        <scheme val="minor"/>
      </rPr>
      <t>P</t>
    </r>
    <r>
      <rPr>
        <sz val="11"/>
        <rFont val="Calibri"/>
        <family val="2"/>
        <scheme val="minor"/>
      </rPr>
      <t>/AM</t>
    </r>
    <r>
      <rPr>
        <vertAlign val="subscript"/>
        <sz val="11"/>
        <rFont val="Calibri"/>
        <family val="2"/>
        <scheme val="minor"/>
      </rPr>
      <t>Fe</t>
    </r>
    <r>
      <rPr>
        <sz val="11"/>
        <rFont val="Calibri"/>
        <family val="2"/>
        <scheme val="minor"/>
      </rPr>
      <t>)</t>
    </r>
  </si>
  <si>
    <r>
      <t>ASF</t>
    </r>
    <r>
      <rPr>
        <vertAlign val="subscript"/>
        <sz val="11"/>
        <rFont val="Calibri"/>
        <family val="2"/>
        <scheme val="minor"/>
      </rPr>
      <t>HAO,H</t>
    </r>
    <r>
      <rPr>
        <sz val="11"/>
        <rFont val="Calibri"/>
        <family val="2"/>
        <scheme val="minor"/>
      </rPr>
      <t>*(AM</t>
    </r>
    <r>
      <rPr>
        <vertAlign val="subscript"/>
        <sz val="11"/>
        <rFont val="Calibri"/>
        <family val="2"/>
        <scheme val="minor"/>
      </rPr>
      <t>P</t>
    </r>
    <r>
      <rPr>
        <sz val="11"/>
        <rFont val="Calibri"/>
        <family val="2"/>
        <scheme val="minor"/>
      </rPr>
      <t>/AM</t>
    </r>
    <r>
      <rPr>
        <vertAlign val="subscript"/>
        <sz val="11"/>
        <rFont val="Calibri"/>
        <family val="2"/>
        <scheme val="minor"/>
      </rPr>
      <t>Al</t>
    </r>
    <r>
      <rPr>
        <sz val="11"/>
        <rFont val="Calibri"/>
        <family val="2"/>
        <scheme val="minor"/>
      </rPr>
      <t>)</t>
    </r>
  </si>
  <si>
    <r>
      <t>ASF</t>
    </r>
    <r>
      <rPr>
        <vertAlign val="subscript"/>
        <sz val="11"/>
        <rFont val="Calibri"/>
        <family val="2"/>
        <scheme val="minor"/>
      </rPr>
      <t>HAO,L</t>
    </r>
    <r>
      <rPr>
        <sz val="11"/>
        <rFont val="Calibri"/>
        <family val="2"/>
        <scheme val="minor"/>
      </rPr>
      <t>*(AM</t>
    </r>
    <r>
      <rPr>
        <vertAlign val="subscript"/>
        <sz val="11"/>
        <rFont val="Calibri"/>
        <family val="2"/>
        <scheme val="minor"/>
      </rPr>
      <t>P</t>
    </r>
    <r>
      <rPr>
        <sz val="11"/>
        <rFont val="Calibri"/>
        <family val="2"/>
        <scheme val="minor"/>
      </rPr>
      <t>/AM</t>
    </r>
    <r>
      <rPr>
        <vertAlign val="subscript"/>
        <sz val="11"/>
        <rFont val="Calibri"/>
        <family val="2"/>
        <scheme val="minor"/>
      </rPr>
      <t>Al</t>
    </r>
    <r>
      <rPr>
        <sz val="11"/>
        <rFont val="Calibri"/>
        <family val="2"/>
        <scheme val="minor"/>
      </rPr>
      <t>)</t>
    </r>
  </si>
  <si>
    <t>Brushite precipitation</t>
  </si>
  <si>
    <r>
      <t>-AM</t>
    </r>
    <r>
      <rPr>
        <vertAlign val="subscript"/>
        <sz val="11"/>
        <rFont val="Calibri"/>
        <family val="2"/>
      </rPr>
      <t>P</t>
    </r>
    <r>
      <rPr>
        <sz val="11"/>
        <rFont val="Calibri"/>
        <family val="2"/>
      </rPr>
      <t>/MM</t>
    </r>
    <r>
      <rPr>
        <vertAlign val="subscript"/>
        <sz val="11"/>
        <rFont val="Calibri"/>
        <family val="2"/>
      </rPr>
      <t>BSH</t>
    </r>
  </si>
  <si>
    <r>
      <t>-AM</t>
    </r>
    <r>
      <rPr>
        <vertAlign val="subscript"/>
        <sz val="11"/>
        <rFont val="Calibri"/>
        <family val="2"/>
      </rPr>
      <t>Ca</t>
    </r>
    <r>
      <rPr>
        <sz val="11"/>
        <rFont val="Calibri"/>
        <family val="2"/>
      </rPr>
      <t>/MM</t>
    </r>
    <r>
      <rPr>
        <vertAlign val="subscript"/>
        <sz val="11"/>
        <rFont val="Calibri"/>
        <family val="2"/>
      </rPr>
      <t>BSH</t>
    </r>
  </si>
  <si>
    <t>Aging of active HAO,H</t>
  </si>
  <si>
    <t>Aging of active HAO,L</t>
  </si>
  <si>
    <t>Fast binding of P on active HAO,H</t>
  </si>
  <si>
    <t>Slow binding of P on active HAO,L</t>
  </si>
  <si>
    <r>
      <t>Desorption of P from X</t>
    </r>
    <r>
      <rPr>
        <vertAlign val="subscript"/>
        <sz val="11"/>
        <color rgb="FF000000"/>
        <rFont val="Calibri"/>
        <family val="2"/>
        <scheme val="minor"/>
      </rPr>
      <t>HAO,H,P</t>
    </r>
  </si>
  <si>
    <r>
      <t>Desorption of P from X</t>
    </r>
    <r>
      <rPr>
        <vertAlign val="subscript"/>
        <sz val="11"/>
        <color rgb="FF000000"/>
        <rFont val="Calibri"/>
        <family val="2"/>
        <scheme val="minor"/>
      </rPr>
      <t>HAO,L,P</t>
    </r>
  </si>
  <si>
    <r>
      <t>Dissolution of P from X</t>
    </r>
    <r>
      <rPr>
        <vertAlign val="subscript"/>
        <sz val="11"/>
        <color rgb="FF000000"/>
        <rFont val="Calibri"/>
        <family val="2"/>
        <scheme val="minor"/>
      </rPr>
      <t>HAO,H,P,old</t>
    </r>
    <r>
      <rPr>
        <sz val="11"/>
        <color rgb="FF000000"/>
        <rFont val="Calibri"/>
        <family val="2"/>
        <charset val="238"/>
        <scheme val="minor"/>
      </rPr>
      <t xml:space="preserve"> and X</t>
    </r>
    <r>
      <rPr>
        <vertAlign val="subscript"/>
        <sz val="11"/>
        <color rgb="FF000000"/>
        <rFont val="Calibri"/>
        <family val="2"/>
        <scheme val="minor"/>
      </rPr>
      <t>HAO,L,P,old</t>
    </r>
  </si>
  <si>
    <r>
      <t>(ASF</t>
    </r>
    <r>
      <rPr>
        <vertAlign val="subscript"/>
        <sz val="11"/>
        <rFont val="Calibri"/>
        <family val="2"/>
      </rPr>
      <t>HAO,H</t>
    </r>
    <r>
      <rPr>
        <sz val="11"/>
        <rFont val="Calibri"/>
        <family val="2"/>
      </rPr>
      <t>*(AM</t>
    </r>
    <r>
      <rPr>
        <vertAlign val="subscript"/>
        <sz val="11"/>
        <rFont val="Calibri"/>
        <family val="2"/>
      </rPr>
      <t>P</t>
    </r>
    <r>
      <rPr>
        <sz val="11"/>
        <rFont val="Calibri"/>
        <family val="2"/>
      </rPr>
      <t>/AM</t>
    </r>
    <r>
      <rPr>
        <vertAlign val="subscript"/>
        <sz val="11"/>
        <rFont val="Calibri"/>
        <family val="2"/>
      </rPr>
      <t>Al</t>
    </r>
    <r>
      <rPr>
        <sz val="11"/>
        <rFont val="Calibri"/>
        <family val="2"/>
      </rPr>
      <t>))</t>
    </r>
  </si>
  <si>
    <r>
      <t>(ASF</t>
    </r>
    <r>
      <rPr>
        <vertAlign val="subscript"/>
        <sz val="11"/>
        <rFont val="Calibri"/>
        <family val="2"/>
      </rPr>
      <t>HAO,L</t>
    </r>
    <r>
      <rPr>
        <sz val="11"/>
        <rFont val="Calibri"/>
        <family val="2"/>
      </rPr>
      <t>*(AM</t>
    </r>
    <r>
      <rPr>
        <vertAlign val="subscript"/>
        <sz val="11"/>
        <rFont val="Calibri"/>
        <family val="2"/>
      </rPr>
      <t>P</t>
    </r>
    <r>
      <rPr>
        <sz val="11"/>
        <rFont val="Calibri"/>
        <family val="2"/>
      </rPr>
      <t>/AM</t>
    </r>
    <r>
      <rPr>
        <vertAlign val="subscript"/>
        <sz val="11"/>
        <rFont val="Calibri"/>
        <family val="2"/>
      </rPr>
      <t>Al</t>
    </r>
    <r>
      <rPr>
        <sz val="11"/>
        <rFont val="Calibri"/>
        <family val="2"/>
      </rPr>
      <t>))</t>
    </r>
  </si>
  <si>
    <r>
      <t>(ASF</t>
    </r>
    <r>
      <rPr>
        <vertAlign val="subscript"/>
        <sz val="11"/>
        <rFont val="Calibri"/>
        <family val="2"/>
      </rPr>
      <t>HAO,H</t>
    </r>
    <r>
      <rPr>
        <sz val="11"/>
        <rFont val="Calibri"/>
        <family val="2"/>
      </rPr>
      <t>*(AM</t>
    </r>
    <r>
      <rPr>
        <vertAlign val="subscript"/>
        <sz val="11"/>
        <rFont val="Calibri"/>
        <family val="2"/>
      </rPr>
      <t>P</t>
    </r>
    <r>
      <rPr>
        <sz val="11"/>
        <rFont val="Calibri"/>
        <family val="2"/>
      </rPr>
      <t>/AM</t>
    </r>
    <r>
      <rPr>
        <vertAlign val="subscript"/>
        <sz val="11"/>
        <rFont val="Calibri"/>
        <family val="2"/>
      </rPr>
      <t>Al</t>
    </r>
    <r>
      <rPr>
        <sz val="11"/>
        <rFont val="Calibri"/>
        <family val="2"/>
      </rPr>
      <t>))*X</t>
    </r>
    <r>
      <rPr>
        <vertAlign val="subscript"/>
        <sz val="11"/>
        <rFont val="Calibri"/>
        <family val="2"/>
      </rPr>
      <t>HAO,H,P,old</t>
    </r>
    <r>
      <rPr>
        <sz val="11"/>
        <rFont val="Calibri"/>
        <family val="2"/>
      </rPr>
      <t>/(X</t>
    </r>
    <r>
      <rPr>
        <vertAlign val="subscript"/>
        <sz val="11"/>
        <rFont val="Calibri"/>
        <family val="2"/>
      </rPr>
      <t>HAO,H,P,old</t>
    </r>
    <r>
      <rPr>
        <sz val="11"/>
        <rFont val="Calibri"/>
        <family val="2"/>
      </rPr>
      <t>+X</t>
    </r>
    <r>
      <rPr>
        <vertAlign val="subscript"/>
        <sz val="11"/>
        <rFont val="Calibri"/>
        <family val="2"/>
      </rPr>
      <t>HAO,L,P,old</t>
    </r>
    <r>
      <rPr>
        <sz val="11"/>
        <rFont val="Calibri"/>
        <family val="2"/>
      </rPr>
      <t>)+(ASF</t>
    </r>
    <r>
      <rPr>
        <vertAlign val="subscript"/>
        <sz val="11"/>
        <rFont val="Calibri"/>
        <family val="2"/>
      </rPr>
      <t>HAO,L</t>
    </r>
    <r>
      <rPr>
        <sz val="11"/>
        <rFont val="Calibri"/>
        <family val="2"/>
      </rPr>
      <t>*(AM</t>
    </r>
    <r>
      <rPr>
        <vertAlign val="subscript"/>
        <sz val="11"/>
        <rFont val="Calibri"/>
        <family val="2"/>
      </rPr>
      <t>P</t>
    </r>
    <r>
      <rPr>
        <sz val="11"/>
        <rFont val="Calibri"/>
        <family val="2"/>
      </rPr>
      <t>/AM</t>
    </r>
    <r>
      <rPr>
        <vertAlign val="subscript"/>
        <sz val="11"/>
        <rFont val="Calibri"/>
        <family val="2"/>
      </rPr>
      <t>Al</t>
    </r>
    <r>
      <rPr>
        <sz val="11"/>
        <rFont val="Calibri"/>
        <family val="2"/>
      </rPr>
      <t>))*X</t>
    </r>
    <r>
      <rPr>
        <vertAlign val="subscript"/>
        <sz val="11"/>
        <rFont val="Calibri"/>
        <family val="2"/>
      </rPr>
      <t>HAO,L,P,old</t>
    </r>
    <r>
      <rPr>
        <sz val="11"/>
        <rFont val="Calibri"/>
        <family val="2"/>
      </rPr>
      <t>/(X</t>
    </r>
    <r>
      <rPr>
        <vertAlign val="subscript"/>
        <sz val="11"/>
        <rFont val="Calibri"/>
        <family val="2"/>
      </rPr>
      <t>HAO,H,P,old</t>
    </r>
    <r>
      <rPr>
        <sz val="11"/>
        <rFont val="Calibri"/>
        <family val="2"/>
      </rPr>
      <t>+X</t>
    </r>
    <r>
      <rPr>
        <vertAlign val="subscript"/>
        <sz val="11"/>
        <rFont val="Calibri"/>
        <family val="2"/>
      </rPr>
      <t>HAO,L,P,old</t>
    </r>
    <r>
      <rPr>
        <sz val="11"/>
        <rFont val="Calibri"/>
        <family val="2"/>
      </rPr>
      <t>)</t>
    </r>
  </si>
  <si>
    <r>
      <t>(ASF</t>
    </r>
    <r>
      <rPr>
        <vertAlign val="subscript"/>
        <sz val="11"/>
        <rFont val="Calibri"/>
        <family val="2"/>
      </rPr>
      <t>HFO,H</t>
    </r>
    <r>
      <rPr>
        <sz val="11"/>
        <rFont val="Calibri"/>
        <family val="2"/>
      </rPr>
      <t>*(AM</t>
    </r>
    <r>
      <rPr>
        <vertAlign val="subscript"/>
        <sz val="11"/>
        <rFont val="Calibri"/>
        <family val="2"/>
      </rPr>
      <t>P</t>
    </r>
    <r>
      <rPr>
        <sz val="11"/>
        <rFont val="Calibri"/>
        <family val="2"/>
      </rPr>
      <t>/AM</t>
    </r>
    <r>
      <rPr>
        <vertAlign val="subscript"/>
        <sz val="11"/>
        <rFont val="Calibri"/>
        <family val="2"/>
      </rPr>
      <t>Fe</t>
    </r>
    <r>
      <rPr>
        <sz val="11"/>
        <rFont val="Calibri"/>
        <family val="2"/>
      </rPr>
      <t>))</t>
    </r>
  </si>
  <si>
    <r>
      <t>(ASF</t>
    </r>
    <r>
      <rPr>
        <vertAlign val="subscript"/>
        <sz val="11"/>
        <rFont val="Calibri"/>
        <family val="2"/>
      </rPr>
      <t>HFO,L</t>
    </r>
    <r>
      <rPr>
        <sz val="11"/>
        <rFont val="Calibri"/>
        <family val="2"/>
      </rPr>
      <t>*(AM</t>
    </r>
    <r>
      <rPr>
        <vertAlign val="subscript"/>
        <sz val="11"/>
        <rFont val="Calibri"/>
        <family val="2"/>
      </rPr>
      <t>P</t>
    </r>
    <r>
      <rPr>
        <sz val="11"/>
        <rFont val="Calibri"/>
        <family val="2"/>
      </rPr>
      <t>/AM</t>
    </r>
    <r>
      <rPr>
        <vertAlign val="subscript"/>
        <sz val="11"/>
        <rFont val="Calibri"/>
        <family val="2"/>
      </rPr>
      <t>Fe</t>
    </r>
    <r>
      <rPr>
        <sz val="11"/>
        <rFont val="Calibri"/>
        <family val="2"/>
      </rPr>
      <t>))</t>
    </r>
  </si>
  <si>
    <r>
      <t>(ASF</t>
    </r>
    <r>
      <rPr>
        <vertAlign val="subscript"/>
        <sz val="11"/>
        <rFont val="Calibri"/>
        <family val="2"/>
      </rPr>
      <t>HFO,H</t>
    </r>
    <r>
      <rPr>
        <sz val="11"/>
        <rFont val="Calibri"/>
        <family val="2"/>
      </rPr>
      <t>*(AM</t>
    </r>
    <r>
      <rPr>
        <vertAlign val="subscript"/>
        <sz val="11"/>
        <rFont val="Calibri"/>
        <family val="2"/>
      </rPr>
      <t>P</t>
    </r>
    <r>
      <rPr>
        <sz val="11"/>
        <rFont val="Calibri"/>
        <family val="2"/>
      </rPr>
      <t>/AM</t>
    </r>
    <r>
      <rPr>
        <vertAlign val="subscript"/>
        <sz val="11"/>
        <rFont val="Calibri"/>
        <family val="2"/>
      </rPr>
      <t>Fe</t>
    </r>
    <r>
      <rPr>
        <sz val="11"/>
        <rFont val="Calibri"/>
        <family val="2"/>
      </rPr>
      <t>))*X</t>
    </r>
    <r>
      <rPr>
        <vertAlign val="subscript"/>
        <sz val="11"/>
        <rFont val="Calibri"/>
        <family val="2"/>
      </rPr>
      <t>HFO,H,P,old</t>
    </r>
    <r>
      <rPr>
        <sz val="11"/>
        <rFont val="Calibri"/>
        <family val="2"/>
      </rPr>
      <t>/(X</t>
    </r>
    <r>
      <rPr>
        <vertAlign val="subscript"/>
        <sz val="11"/>
        <rFont val="Calibri"/>
        <family val="2"/>
      </rPr>
      <t>HFO,H,P,old</t>
    </r>
    <r>
      <rPr>
        <sz val="11"/>
        <rFont val="Calibri"/>
        <family val="2"/>
      </rPr>
      <t>+X</t>
    </r>
    <r>
      <rPr>
        <vertAlign val="subscript"/>
        <sz val="11"/>
        <rFont val="Calibri"/>
        <family val="2"/>
      </rPr>
      <t>HFO,L,P,old</t>
    </r>
    <r>
      <rPr>
        <sz val="11"/>
        <rFont val="Calibri"/>
        <family val="2"/>
      </rPr>
      <t>)+(ASF</t>
    </r>
    <r>
      <rPr>
        <vertAlign val="subscript"/>
        <sz val="11"/>
        <rFont val="Calibri"/>
        <family val="2"/>
      </rPr>
      <t>HFO,L</t>
    </r>
    <r>
      <rPr>
        <sz val="11"/>
        <rFont val="Calibri"/>
        <family val="2"/>
      </rPr>
      <t>*(AM</t>
    </r>
    <r>
      <rPr>
        <vertAlign val="subscript"/>
        <sz val="11"/>
        <rFont val="Calibri"/>
        <family val="2"/>
      </rPr>
      <t>P</t>
    </r>
    <r>
      <rPr>
        <sz val="11"/>
        <rFont val="Calibri"/>
        <family val="2"/>
      </rPr>
      <t>/AM</t>
    </r>
    <r>
      <rPr>
        <vertAlign val="subscript"/>
        <sz val="11"/>
        <rFont val="Calibri"/>
        <family val="2"/>
      </rPr>
      <t>Fe</t>
    </r>
    <r>
      <rPr>
        <sz val="11"/>
        <rFont val="Calibri"/>
        <family val="2"/>
      </rPr>
      <t>))*X</t>
    </r>
    <r>
      <rPr>
        <vertAlign val="subscript"/>
        <sz val="11"/>
        <rFont val="Calibri"/>
        <family val="2"/>
      </rPr>
      <t>HFO,L,P,old</t>
    </r>
    <r>
      <rPr>
        <sz val="11"/>
        <rFont val="Calibri"/>
        <family val="2"/>
      </rPr>
      <t>/(X</t>
    </r>
    <r>
      <rPr>
        <vertAlign val="subscript"/>
        <sz val="11"/>
        <rFont val="Calibri"/>
        <family val="2"/>
      </rPr>
      <t>HFO,H,P,old</t>
    </r>
    <r>
      <rPr>
        <sz val="11"/>
        <rFont val="Calibri"/>
        <family val="2"/>
      </rPr>
      <t>+X</t>
    </r>
    <r>
      <rPr>
        <vertAlign val="subscript"/>
        <sz val="11"/>
        <rFont val="Calibri"/>
        <family val="2"/>
      </rPr>
      <t>HFO,L,P,old</t>
    </r>
    <r>
      <rPr>
        <sz val="11"/>
        <rFont val="Calibri"/>
        <family val="2"/>
      </rPr>
      <t>)</t>
    </r>
  </si>
  <si>
    <r>
      <t>-1/(ASF</t>
    </r>
    <r>
      <rPr>
        <vertAlign val="subscript"/>
        <sz val="11"/>
        <rFont val="Calibri"/>
        <family val="2"/>
      </rPr>
      <t>HFO,H</t>
    </r>
    <r>
      <rPr>
        <sz val="11"/>
        <rFont val="Calibri"/>
        <family val="2"/>
      </rPr>
      <t>*(AM</t>
    </r>
    <r>
      <rPr>
        <vertAlign val="subscript"/>
        <sz val="11"/>
        <rFont val="Calibri"/>
        <family val="2"/>
      </rPr>
      <t>P</t>
    </r>
    <r>
      <rPr>
        <sz val="11"/>
        <rFont val="Calibri"/>
        <family val="2"/>
      </rPr>
      <t>/AM</t>
    </r>
    <r>
      <rPr>
        <vertAlign val="subscript"/>
        <sz val="11"/>
        <rFont val="Calibri"/>
        <family val="2"/>
      </rPr>
      <t>Fe</t>
    </r>
    <r>
      <rPr>
        <sz val="11"/>
        <rFont val="Calibri"/>
        <family val="2"/>
      </rPr>
      <t>))</t>
    </r>
  </si>
  <si>
    <r>
      <t>1/(ASF</t>
    </r>
    <r>
      <rPr>
        <vertAlign val="subscript"/>
        <sz val="11"/>
        <rFont val="Calibri"/>
        <family val="2"/>
      </rPr>
      <t>HFO,H</t>
    </r>
    <r>
      <rPr>
        <sz val="11"/>
        <rFont val="Calibri"/>
        <family val="2"/>
      </rPr>
      <t>*(AM</t>
    </r>
    <r>
      <rPr>
        <vertAlign val="subscript"/>
        <sz val="11"/>
        <rFont val="Calibri"/>
        <family val="2"/>
      </rPr>
      <t>P</t>
    </r>
    <r>
      <rPr>
        <sz val="11"/>
        <rFont val="Calibri"/>
        <family val="2"/>
      </rPr>
      <t>/AM</t>
    </r>
    <r>
      <rPr>
        <vertAlign val="subscript"/>
        <sz val="11"/>
        <rFont val="Calibri"/>
        <family val="2"/>
      </rPr>
      <t>Fe</t>
    </r>
    <r>
      <rPr>
        <sz val="11"/>
        <rFont val="Calibri"/>
        <family val="2"/>
      </rPr>
      <t>))</t>
    </r>
  </si>
  <si>
    <r>
      <t>-1/(ASF</t>
    </r>
    <r>
      <rPr>
        <vertAlign val="subscript"/>
        <sz val="11"/>
        <rFont val="Calibri"/>
        <family val="2"/>
      </rPr>
      <t>HFO,L</t>
    </r>
    <r>
      <rPr>
        <sz val="11"/>
        <rFont val="Calibri"/>
        <family val="2"/>
      </rPr>
      <t>*(AM</t>
    </r>
    <r>
      <rPr>
        <vertAlign val="subscript"/>
        <sz val="11"/>
        <rFont val="Calibri"/>
        <family val="2"/>
      </rPr>
      <t>P</t>
    </r>
    <r>
      <rPr>
        <sz val="11"/>
        <rFont val="Calibri"/>
        <family val="2"/>
      </rPr>
      <t>/AM</t>
    </r>
    <r>
      <rPr>
        <vertAlign val="subscript"/>
        <sz val="11"/>
        <rFont val="Calibri"/>
        <family val="2"/>
      </rPr>
      <t>Fe</t>
    </r>
    <r>
      <rPr>
        <sz val="11"/>
        <rFont val="Calibri"/>
        <family val="2"/>
      </rPr>
      <t>))</t>
    </r>
  </si>
  <si>
    <r>
      <t>1/(ASF</t>
    </r>
    <r>
      <rPr>
        <vertAlign val="subscript"/>
        <sz val="11"/>
        <rFont val="Calibri"/>
        <family val="2"/>
      </rPr>
      <t>HFO,L</t>
    </r>
    <r>
      <rPr>
        <sz val="11"/>
        <rFont val="Calibri"/>
        <family val="2"/>
      </rPr>
      <t>*(AM</t>
    </r>
    <r>
      <rPr>
        <vertAlign val="subscript"/>
        <sz val="11"/>
        <rFont val="Calibri"/>
        <family val="2"/>
      </rPr>
      <t>P</t>
    </r>
    <r>
      <rPr>
        <sz val="11"/>
        <rFont val="Calibri"/>
        <family val="2"/>
      </rPr>
      <t>/AM</t>
    </r>
    <r>
      <rPr>
        <vertAlign val="subscript"/>
        <sz val="11"/>
        <rFont val="Calibri"/>
        <family val="2"/>
      </rPr>
      <t>Fe</t>
    </r>
    <r>
      <rPr>
        <sz val="11"/>
        <rFont val="Calibri"/>
        <family val="2"/>
      </rPr>
      <t>))</t>
    </r>
  </si>
  <si>
    <r>
      <t>-X</t>
    </r>
    <r>
      <rPr>
        <vertAlign val="subscript"/>
        <sz val="11"/>
        <rFont val="Calibri"/>
        <family val="2"/>
      </rPr>
      <t>HAO,H</t>
    </r>
    <r>
      <rPr>
        <sz val="11"/>
        <rFont val="Calibri"/>
        <family val="2"/>
      </rPr>
      <t>/(X</t>
    </r>
    <r>
      <rPr>
        <vertAlign val="subscript"/>
        <sz val="11"/>
        <rFont val="Calibri"/>
        <family val="2"/>
      </rPr>
      <t>HAO,H</t>
    </r>
    <r>
      <rPr>
        <sz val="11"/>
        <rFont val="Calibri"/>
        <family val="2"/>
      </rPr>
      <t>+X</t>
    </r>
    <r>
      <rPr>
        <vertAlign val="subscript"/>
        <sz val="11"/>
        <rFont val="Calibri"/>
        <family val="2"/>
      </rPr>
      <t>HAO,H,P</t>
    </r>
    <r>
      <rPr>
        <sz val="11"/>
        <rFont val="Calibri"/>
        <family val="2"/>
      </rPr>
      <t>)</t>
    </r>
  </si>
  <si>
    <r>
      <t>X</t>
    </r>
    <r>
      <rPr>
        <vertAlign val="subscript"/>
        <sz val="11"/>
        <rFont val="Calibri"/>
        <family val="2"/>
      </rPr>
      <t>HAO,H</t>
    </r>
    <r>
      <rPr>
        <sz val="11"/>
        <rFont val="Calibri"/>
        <family val="2"/>
      </rPr>
      <t>/(X</t>
    </r>
    <r>
      <rPr>
        <vertAlign val="subscript"/>
        <sz val="11"/>
        <rFont val="Calibri"/>
        <family val="2"/>
      </rPr>
      <t>HAO,H</t>
    </r>
    <r>
      <rPr>
        <sz val="11"/>
        <rFont val="Calibri"/>
        <family val="2"/>
      </rPr>
      <t>+X</t>
    </r>
    <r>
      <rPr>
        <vertAlign val="subscript"/>
        <sz val="11"/>
        <rFont val="Calibri"/>
        <family val="2"/>
      </rPr>
      <t>HAO,H,P</t>
    </r>
    <r>
      <rPr>
        <sz val="11"/>
        <rFont val="Calibri"/>
        <family val="2"/>
      </rPr>
      <t>)</t>
    </r>
  </si>
  <si>
    <r>
      <t>-X</t>
    </r>
    <r>
      <rPr>
        <vertAlign val="subscript"/>
        <sz val="11"/>
        <rFont val="Calibri"/>
        <family val="2"/>
      </rPr>
      <t>HAO,H,P</t>
    </r>
    <r>
      <rPr>
        <sz val="11"/>
        <rFont val="Calibri"/>
        <family val="2"/>
      </rPr>
      <t>/(X</t>
    </r>
    <r>
      <rPr>
        <vertAlign val="subscript"/>
        <sz val="11"/>
        <rFont val="Calibri"/>
        <family val="2"/>
      </rPr>
      <t>HAO,H</t>
    </r>
    <r>
      <rPr>
        <sz val="11"/>
        <rFont val="Calibri"/>
        <family val="2"/>
      </rPr>
      <t>+X</t>
    </r>
    <r>
      <rPr>
        <vertAlign val="subscript"/>
        <sz val="11"/>
        <rFont val="Calibri"/>
        <family val="2"/>
      </rPr>
      <t>HAO,H,P</t>
    </r>
    <r>
      <rPr>
        <sz val="11"/>
        <rFont val="Calibri"/>
        <family val="2"/>
      </rPr>
      <t>)</t>
    </r>
  </si>
  <si>
    <r>
      <t>X</t>
    </r>
    <r>
      <rPr>
        <vertAlign val="subscript"/>
        <sz val="11"/>
        <rFont val="Calibri"/>
        <family val="2"/>
      </rPr>
      <t>HAO,H,P</t>
    </r>
    <r>
      <rPr>
        <sz val="11"/>
        <rFont val="Calibri"/>
        <family val="2"/>
      </rPr>
      <t>/(X</t>
    </r>
    <r>
      <rPr>
        <vertAlign val="subscript"/>
        <sz val="11"/>
        <rFont val="Calibri"/>
        <family val="2"/>
      </rPr>
      <t>HAO,H</t>
    </r>
    <r>
      <rPr>
        <sz val="11"/>
        <rFont val="Calibri"/>
        <family val="2"/>
      </rPr>
      <t>+X</t>
    </r>
    <r>
      <rPr>
        <vertAlign val="subscript"/>
        <sz val="11"/>
        <rFont val="Calibri"/>
        <family val="2"/>
      </rPr>
      <t>HAO,H,P</t>
    </r>
    <r>
      <rPr>
        <sz val="11"/>
        <rFont val="Calibri"/>
        <family val="2"/>
      </rPr>
      <t>)</t>
    </r>
  </si>
  <si>
    <r>
      <t>-X</t>
    </r>
    <r>
      <rPr>
        <vertAlign val="subscript"/>
        <sz val="11"/>
        <rFont val="Calibri"/>
        <family val="2"/>
      </rPr>
      <t>HAO,L</t>
    </r>
    <r>
      <rPr>
        <sz val="11"/>
        <rFont val="Calibri"/>
        <family val="2"/>
      </rPr>
      <t>/(X</t>
    </r>
    <r>
      <rPr>
        <vertAlign val="subscript"/>
        <sz val="11"/>
        <rFont val="Calibri"/>
        <family val="2"/>
      </rPr>
      <t>HAO,L</t>
    </r>
    <r>
      <rPr>
        <sz val="11"/>
        <rFont val="Calibri"/>
        <family val="2"/>
      </rPr>
      <t>+X</t>
    </r>
    <r>
      <rPr>
        <vertAlign val="subscript"/>
        <sz val="11"/>
        <rFont val="Calibri"/>
        <family val="2"/>
      </rPr>
      <t>HAO,L,P</t>
    </r>
    <r>
      <rPr>
        <sz val="11"/>
        <rFont val="Calibri"/>
        <family val="2"/>
      </rPr>
      <t>)</t>
    </r>
  </si>
  <si>
    <r>
      <t>X</t>
    </r>
    <r>
      <rPr>
        <vertAlign val="subscript"/>
        <sz val="11"/>
        <rFont val="Calibri"/>
        <family val="2"/>
      </rPr>
      <t>HAO,L</t>
    </r>
    <r>
      <rPr>
        <sz val="11"/>
        <rFont val="Calibri"/>
        <family val="2"/>
      </rPr>
      <t>/(X</t>
    </r>
    <r>
      <rPr>
        <vertAlign val="subscript"/>
        <sz val="11"/>
        <rFont val="Calibri"/>
        <family val="2"/>
      </rPr>
      <t>HAO,L</t>
    </r>
    <r>
      <rPr>
        <sz val="11"/>
        <rFont val="Calibri"/>
        <family val="2"/>
      </rPr>
      <t>+X</t>
    </r>
    <r>
      <rPr>
        <vertAlign val="subscript"/>
        <sz val="11"/>
        <rFont val="Calibri"/>
        <family val="2"/>
      </rPr>
      <t>HAO,L,P</t>
    </r>
    <r>
      <rPr>
        <sz val="11"/>
        <rFont val="Calibri"/>
        <family val="2"/>
      </rPr>
      <t>)</t>
    </r>
  </si>
  <si>
    <r>
      <t>-X</t>
    </r>
    <r>
      <rPr>
        <vertAlign val="subscript"/>
        <sz val="11"/>
        <rFont val="Calibri"/>
        <family val="2"/>
      </rPr>
      <t>HAO,L,P</t>
    </r>
    <r>
      <rPr>
        <sz val="11"/>
        <rFont val="Calibri"/>
        <family val="2"/>
      </rPr>
      <t>/(X</t>
    </r>
    <r>
      <rPr>
        <vertAlign val="subscript"/>
        <sz val="11"/>
        <rFont val="Calibri"/>
        <family val="2"/>
      </rPr>
      <t>HAO,L</t>
    </r>
    <r>
      <rPr>
        <sz val="11"/>
        <rFont val="Calibri"/>
        <family val="2"/>
      </rPr>
      <t>+X</t>
    </r>
    <r>
      <rPr>
        <vertAlign val="subscript"/>
        <sz val="11"/>
        <rFont val="Calibri"/>
        <family val="2"/>
      </rPr>
      <t>HAO,L,P</t>
    </r>
    <r>
      <rPr>
        <sz val="11"/>
        <rFont val="Calibri"/>
        <family val="2"/>
      </rPr>
      <t>)</t>
    </r>
  </si>
  <si>
    <r>
      <t>X</t>
    </r>
    <r>
      <rPr>
        <vertAlign val="subscript"/>
        <sz val="11"/>
        <rFont val="Calibri"/>
        <family val="2"/>
      </rPr>
      <t>HAO,L,P</t>
    </r>
    <r>
      <rPr>
        <sz val="11"/>
        <rFont val="Calibri"/>
        <family val="2"/>
      </rPr>
      <t>/(X</t>
    </r>
    <r>
      <rPr>
        <vertAlign val="subscript"/>
        <sz val="11"/>
        <rFont val="Calibri"/>
        <family val="2"/>
      </rPr>
      <t>HAO,L</t>
    </r>
    <r>
      <rPr>
        <sz val="11"/>
        <rFont val="Calibri"/>
        <family val="2"/>
      </rPr>
      <t>+X</t>
    </r>
    <r>
      <rPr>
        <vertAlign val="subscript"/>
        <sz val="11"/>
        <rFont val="Calibri"/>
        <family val="2"/>
      </rPr>
      <t>HAO,L,P</t>
    </r>
    <r>
      <rPr>
        <sz val="11"/>
        <rFont val="Calibri"/>
        <family val="2"/>
      </rPr>
      <t>)</t>
    </r>
  </si>
  <si>
    <r>
      <t>-1/(ASF</t>
    </r>
    <r>
      <rPr>
        <vertAlign val="subscript"/>
        <sz val="11"/>
        <rFont val="Calibri"/>
        <family val="2"/>
      </rPr>
      <t>HAO,H</t>
    </r>
    <r>
      <rPr>
        <sz val="11"/>
        <rFont val="Calibri"/>
        <family val="2"/>
      </rPr>
      <t>*(AM</t>
    </r>
    <r>
      <rPr>
        <vertAlign val="subscript"/>
        <sz val="11"/>
        <rFont val="Calibri"/>
        <family val="2"/>
      </rPr>
      <t>P</t>
    </r>
    <r>
      <rPr>
        <sz val="11"/>
        <rFont val="Calibri"/>
        <family val="2"/>
      </rPr>
      <t>/AM</t>
    </r>
    <r>
      <rPr>
        <vertAlign val="subscript"/>
        <sz val="11"/>
        <rFont val="Calibri"/>
        <family val="2"/>
      </rPr>
      <t>Al</t>
    </r>
    <r>
      <rPr>
        <sz val="11"/>
        <rFont val="Calibri"/>
        <family val="2"/>
      </rPr>
      <t>))</t>
    </r>
  </si>
  <si>
    <r>
      <t>1/(ASF</t>
    </r>
    <r>
      <rPr>
        <vertAlign val="subscript"/>
        <sz val="11"/>
        <rFont val="Calibri"/>
        <family val="2"/>
      </rPr>
      <t>HAO,H</t>
    </r>
    <r>
      <rPr>
        <sz val="11"/>
        <rFont val="Calibri"/>
        <family val="2"/>
      </rPr>
      <t>*(AM</t>
    </r>
    <r>
      <rPr>
        <vertAlign val="subscript"/>
        <sz val="11"/>
        <rFont val="Calibri"/>
        <family val="2"/>
      </rPr>
      <t>P</t>
    </r>
    <r>
      <rPr>
        <sz val="11"/>
        <rFont val="Calibri"/>
        <family val="2"/>
      </rPr>
      <t>/AM</t>
    </r>
    <r>
      <rPr>
        <vertAlign val="subscript"/>
        <sz val="11"/>
        <rFont val="Calibri"/>
        <family val="2"/>
      </rPr>
      <t>Al</t>
    </r>
    <r>
      <rPr>
        <sz val="11"/>
        <rFont val="Calibri"/>
        <family val="2"/>
      </rPr>
      <t>))</t>
    </r>
  </si>
  <si>
    <r>
      <t>-1/(ASF</t>
    </r>
    <r>
      <rPr>
        <vertAlign val="subscript"/>
        <sz val="11"/>
        <rFont val="Calibri"/>
        <family val="2"/>
      </rPr>
      <t>HAO,L</t>
    </r>
    <r>
      <rPr>
        <sz val="11"/>
        <rFont val="Calibri"/>
        <family val="2"/>
      </rPr>
      <t>*(AM</t>
    </r>
    <r>
      <rPr>
        <vertAlign val="subscript"/>
        <sz val="11"/>
        <rFont val="Calibri"/>
        <family val="2"/>
      </rPr>
      <t>P</t>
    </r>
    <r>
      <rPr>
        <sz val="11"/>
        <rFont val="Calibri"/>
        <family val="2"/>
      </rPr>
      <t>/AM</t>
    </r>
    <r>
      <rPr>
        <vertAlign val="subscript"/>
        <sz val="11"/>
        <rFont val="Calibri"/>
        <family val="2"/>
      </rPr>
      <t>Al</t>
    </r>
    <r>
      <rPr>
        <sz val="11"/>
        <rFont val="Calibri"/>
        <family val="2"/>
      </rPr>
      <t>))</t>
    </r>
  </si>
  <si>
    <r>
      <t>1/(ASF</t>
    </r>
    <r>
      <rPr>
        <vertAlign val="subscript"/>
        <sz val="11"/>
        <rFont val="Calibri"/>
        <family val="2"/>
      </rPr>
      <t>HAO,L</t>
    </r>
    <r>
      <rPr>
        <sz val="11"/>
        <rFont val="Calibri"/>
        <family val="2"/>
      </rPr>
      <t>*(AM</t>
    </r>
    <r>
      <rPr>
        <vertAlign val="subscript"/>
        <sz val="11"/>
        <rFont val="Calibri"/>
        <family val="2"/>
      </rPr>
      <t>P</t>
    </r>
    <r>
      <rPr>
        <sz val="11"/>
        <rFont val="Calibri"/>
        <family val="2"/>
      </rPr>
      <t>/AM</t>
    </r>
    <r>
      <rPr>
        <vertAlign val="subscript"/>
        <sz val="11"/>
        <rFont val="Calibri"/>
        <family val="2"/>
      </rPr>
      <t>Al</t>
    </r>
    <r>
      <rPr>
        <sz val="11"/>
        <rFont val="Calibri"/>
        <family val="2"/>
      </rPr>
      <t>))</t>
    </r>
  </si>
  <si>
    <r>
      <t>-X</t>
    </r>
    <r>
      <rPr>
        <vertAlign val="subscript"/>
        <sz val="11"/>
        <rFont val="Calibri"/>
        <family val="2"/>
      </rPr>
      <t>HAO,H,P,old</t>
    </r>
    <r>
      <rPr>
        <sz val="11"/>
        <rFont val="Calibri"/>
        <family val="2"/>
      </rPr>
      <t>/(X</t>
    </r>
    <r>
      <rPr>
        <vertAlign val="subscript"/>
        <sz val="11"/>
        <rFont val="Calibri"/>
        <family val="2"/>
      </rPr>
      <t>HAO,H,P,old</t>
    </r>
    <r>
      <rPr>
        <sz val="11"/>
        <rFont val="Calibri"/>
        <family val="2"/>
      </rPr>
      <t>+X</t>
    </r>
    <r>
      <rPr>
        <vertAlign val="subscript"/>
        <sz val="11"/>
        <rFont val="Calibri"/>
        <family val="2"/>
      </rPr>
      <t>HAO,L,P,old</t>
    </r>
    <r>
      <rPr>
        <sz val="11"/>
        <rFont val="Calibri"/>
        <family val="2"/>
      </rPr>
      <t>)</t>
    </r>
  </si>
  <si>
    <r>
      <t>-X</t>
    </r>
    <r>
      <rPr>
        <vertAlign val="subscript"/>
        <sz val="11"/>
        <rFont val="Calibri"/>
        <family val="2"/>
      </rPr>
      <t>HAO,L,P,old</t>
    </r>
    <r>
      <rPr>
        <sz val="11"/>
        <rFont val="Calibri"/>
        <family val="2"/>
      </rPr>
      <t>/(X</t>
    </r>
    <r>
      <rPr>
        <vertAlign val="subscript"/>
        <sz val="11"/>
        <rFont val="Calibri"/>
        <family val="2"/>
      </rPr>
      <t>HAO,H,P,old</t>
    </r>
    <r>
      <rPr>
        <sz val="11"/>
        <rFont val="Calibri"/>
        <family val="2"/>
      </rPr>
      <t>+X</t>
    </r>
    <r>
      <rPr>
        <vertAlign val="subscript"/>
        <sz val="11"/>
        <rFont val="Calibri"/>
        <family val="2"/>
      </rPr>
      <t>HAO,L,P,old</t>
    </r>
    <r>
      <rPr>
        <sz val="11"/>
        <rFont val="Calibri"/>
        <family val="2"/>
      </rPr>
      <t>)</t>
    </r>
  </si>
  <si>
    <r>
      <t>q</t>
    </r>
    <r>
      <rPr>
        <vertAlign val="subscript"/>
        <sz val="11"/>
        <rFont val="Calibri"/>
        <family val="2"/>
      </rPr>
      <t>HAOH,AGING</t>
    </r>
    <r>
      <rPr>
        <sz val="11"/>
        <rFont val="Calibri"/>
        <family val="2"/>
      </rPr>
      <t xml:space="preserve"> *(X</t>
    </r>
    <r>
      <rPr>
        <vertAlign val="subscript"/>
        <sz val="11"/>
        <rFont val="Calibri"/>
        <family val="2"/>
      </rPr>
      <t>HAO,H</t>
    </r>
    <r>
      <rPr>
        <sz val="11"/>
        <rFont val="Calibri"/>
        <family val="2"/>
      </rPr>
      <t>+X</t>
    </r>
    <r>
      <rPr>
        <vertAlign val="subscript"/>
        <sz val="11"/>
        <rFont val="Calibri"/>
        <family val="2"/>
      </rPr>
      <t>HAO,H,P</t>
    </r>
    <r>
      <rPr>
        <sz val="11"/>
        <rFont val="Calibri"/>
        <family val="2"/>
      </rPr>
      <t>)</t>
    </r>
  </si>
  <si>
    <r>
      <t>q</t>
    </r>
    <r>
      <rPr>
        <vertAlign val="subscript"/>
        <sz val="11"/>
        <rFont val="Calibri"/>
        <family val="2"/>
      </rPr>
      <t>HAOL,AGING</t>
    </r>
    <r>
      <rPr>
        <sz val="11"/>
        <rFont val="Calibri"/>
        <family val="2"/>
      </rPr>
      <t xml:space="preserve"> *(X</t>
    </r>
    <r>
      <rPr>
        <vertAlign val="subscript"/>
        <sz val="11"/>
        <rFont val="Calibri"/>
        <family val="2"/>
      </rPr>
      <t>HAO,L</t>
    </r>
    <r>
      <rPr>
        <sz val="11"/>
        <rFont val="Calibri"/>
        <family val="2"/>
      </rPr>
      <t>+X</t>
    </r>
    <r>
      <rPr>
        <vertAlign val="subscript"/>
        <sz val="11"/>
        <rFont val="Calibri"/>
        <family val="2"/>
      </rPr>
      <t>HAO,L,P</t>
    </r>
    <r>
      <rPr>
        <sz val="11"/>
        <rFont val="Calibri"/>
        <family val="2"/>
      </rPr>
      <t>)</t>
    </r>
  </si>
  <si>
    <r>
      <t>q</t>
    </r>
    <r>
      <rPr>
        <vertAlign val="subscript"/>
        <sz val="11"/>
        <rFont val="Calibri"/>
        <family val="2"/>
      </rPr>
      <t>P,HAO,COPREC</t>
    </r>
    <r>
      <rPr>
        <sz val="11"/>
        <rFont val="Calibri"/>
        <family val="2"/>
      </rPr>
      <t>*X</t>
    </r>
    <r>
      <rPr>
        <vertAlign val="subscript"/>
        <sz val="11"/>
        <rFont val="Calibri"/>
        <family val="2"/>
      </rPr>
      <t>HAO,H</t>
    </r>
    <r>
      <rPr>
        <sz val="11"/>
        <rFont val="Calibri"/>
        <family val="2"/>
      </rPr>
      <t>*Msat</t>
    </r>
    <r>
      <rPr>
        <vertAlign val="subscript"/>
        <sz val="11"/>
        <rFont val="Calibri"/>
        <family val="2"/>
      </rPr>
      <t>SPO4,KP,HAO,BIND</t>
    </r>
  </si>
  <si>
    <r>
      <t>q</t>
    </r>
    <r>
      <rPr>
        <vertAlign val="subscript"/>
        <sz val="11"/>
        <rFont val="Calibri"/>
        <family val="2"/>
      </rPr>
      <t>P,HAO,BIND</t>
    </r>
    <r>
      <rPr>
        <sz val="11"/>
        <rFont val="Calibri"/>
        <family val="2"/>
      </rPr>
      <t>*X</t>
    </r>
    <r>
      <rPr>
        <vertAlign val="subscript"/>
        <sz val="11"/>
        <rFont val="Calibri"/>
        <family val="2"/>
      </rPr>
      <t>HAO,L</t>
    </r>
    <r>
      <rPr>
        <sz val="11"/>
        <rFont val="Calibri"/>
        <family val="2"/>
      </rPr>
      <t>*Msat</t>
    </r>
    <r>
      <rPr>
        <vertAlign val="subscript"/>
        <sz val="11"/>
        <rFont val="Calibri"/>
        <family val="2"/>
      </rPr>
      <t>SPO4,KP,HAO,BIND</t>
    </r>
  </si>
  <si>
    <r>
      <t>q</t>
    </r>
    <r>
      <rPr>
        <vertAlign val="subscript"/>
        <sz val="11"/>
        <rFont val="Calibri"/>
        <family val="2"/>
      </rPr>
      <t>HAOH,DESORP</t>
    </r>
    <r>
      <rPr>
        <sz val="11"/>
        <rFont val="Calibri"/>
        <family val="2"/>
      </rPr>
      <t>*X</t>
    </r>
    <r>
      <rPr>
        <vertAlign val="subscript"/>
        <sz val="11"/>
        <rFont val="Calibri"/>
        <family val="2"/>
      </rPr>
      <t>HAO,H,P</t>
    </r>
    <r>
      <rPr>
        <sz val="11"/>
        <rFont val="Calibri"/>
        <family val="2"/>
      </rPr>
      <t>*Minh</t>
    </r>
    <r>
      <rPr>
        <vertAlign val="subscript"/>
        <sz val="11"/>
        <rFont val="Calibri"/>
        <family val="2"/>
      </rPr>
      <t>SPO4,KiP,HAO,DESORP</t>
    </r>
  </si>
  <si>
    <r>
      <t>q</t>
    </r>
    <r>
      <rPr>
        <vertAlign val="subscript"/>
        <sz val="11"/>
        <rFont val="Calibri"/>
        <family val="2"/>
      </rPr>
      <t>HAOL,DESORP</t>
    </r>
    <r>
      <rPr>
        <sz val="11"/>
        <rFont val="Calibri"/>
        <family val="2"/>
      </rPr>
      <t>*X</t>
    </r>
    <r>
      <rPr>
        <vertAlign val="subscript"/>
        <sz val="11"/>
        <rFont val="Calibri"/>
        <family val="2"/>
      </rPr>
      <t>HAO,L,P</t>
    </r>
    <r>
      <rPr>
        <sz val="11"/>
        <rFont val="Calibri"/>
        <family val="2"/>
      </rPr>
      <t>*Minh</t>
    </r>
    <r>
      <rPr>
        <vertAlign val="subscript"/>
        <sz val="11"/>
        <rFont val="Calibri"/>
        <family val="2"/>
      </rPr>
      <t>SPO4,KiP,HAO,DESORP</t>
    </r>
  </si>
  <si>
    <r>
      <t>q</t>
    </r>
    <r>
      <rPr>
        <vertAlign val="subscript"/>
        <sz val="11"/>
        <rFont val="Calibri"/>
        <family val="2"/>
      </rPr>
      <t>HAO,DISS</t>
    </r>
    <r>
      <rPr>
        <sz val="11"/>
        <rFont val="Calibri"/>
        <family val="2"/>
      </rPr>
      <t>*(X</t>
    </r>
    <r>
      <rPr>
        <vertAlign val="subscript"/>
        <sz val="11"/>
        <rFont val="Calibri"/>
        <family val="2"/>
      </rPr>
      <t>HAO,H,P,old</t>
    </r>
    <r>
      <rPr>
        <sz val="11"/>
        <rFont val="Calibri"/>
        <family val="2"/>
      </rPr>
      <t>+X</t>
    </r>
    <r>
      <rPr>
        <vertAlign val="subscript"/>
        <sz val="11"/>
        <rFont val="Calibri"/>
        <family val="2"/>
      </rPr>
      <t>HAO,L,P,old</t>
    </r>
    <r>
      <rPr>
        <sz val="11"/>
        <rFont val="Calibri"/>
        <family val="2"/>
      </rPr>
      <t>)*Loginh</t>
    </r>
    <r>
      <rPr>
        <vertAlign val="subscript"/>
        <sz val="11"/>
        <rFont val="Calibri"/>
        <family val="2"/>
      </rPr>
      <t>SPO4,KiP,HAO,DISS</t>
    </r>
  </si>
  <si>
    <r>
      <t>q</t>
    </r>
    <r>
      <rPr>
        <vertAlign val="subscript"/>
        <sz val="11"/>
        <rFont val="Calibri"/>
        <family val="2"/>
      </rPr>
      <t>BSH</t>
    </r>
    <r>
      <rPr>
        <sz val="11"/>
        <rFont val="Calibri"/>
        <family val="2"/>
      </rPr>
      <t>*PrecipDrivingForce</t>
    </r>
    <r>
      <rPr>
        <vertAlign val="subscript"/>
        <sz val="11"/>
        <rFont val="Calibri"/>
        <family val="2"/>
      </rPr>
      <t>BSH</t>
    </r>
    <r>
      <rPr>
        <vertAlign val="superscript"/>
        <sz val="11"/>
        <rFont val="Calibri"/>
        <family val="2"/>
      </rPr>
      <t>^2</t>
    </r>
  </si>
  <si>
    <r>
      <t>-i</t>
    </r>
    <r>
      <rPr>
        <vertAlign val="subscript"/>
        <sz val="11"/>
        <rFont val="Calibri"/>
        <family val="2"/>
      </rPr>
      <t>K,PP</t>
    </r>
    <r>
      <rPr>
        <sz val="11"/>
        <rFont val="Calibri"/>
        <family val="2"/>
      </rPr>
      <t>*AM</t>
    </r>
    <r>
      <rPr>
        <vertAlign val="subscript"/>
        <sz val="11"/>
        <rFont val="Calibri"/>
        <family val="2"/>
      </rPr>
      <t>K</t>
    </r>
    <r>
      <rPr>
        <sz val="11"/>
        <rFont val="Calibri"/>
        <family val="2"/>
      </rPr>
      <t>/AM</t>
    </r>
    <r>
      <rPr>
        <vertAlign val="subscript"/>
        <sz val="11"/>
        <rFont val="Calibri"/>
        <family val="2"/>
      </rPr>
      <t>P</t>
    </r>
  </si>
  <si>
    <t>Half-saturation of readily biodegradable substrate in fermentation by OHOs in mainstream (AS)</t>
  </si>
  <si>
    <r>
      <t>K</t>
    </r>
    <r>
      <rPr>
        <vertAlign val="subscript"/>
        <sz val="11"/>
        <rFont val="Calibri"/>
        <family val="2"/>
        <scheme val="minor"/>
      </rPr>
      <t>SB,ana,DIG</t>
    </r>
  </si>
  <si>
    <r>
      <t>q</t>
    </r>
    <r>
      <rPr>
        <vertAlign val="subscript"/>
        <sz val="11"/>
        <rFont val="Calibri"/>
        <family val="2"/>
        <scheme val="minor"/>
      </rPr>
      <t>PAO,PP</t>
    </r>
  </si>
  <si>
    <r>
      <t>q</t>
    </r>
    <r>
      <rPr>
        <vertAlign val="subscript"/>
        <sz val="11"/>
        <rFont val="Calibri"/>
        <family val="2"/>
        <scheme val="minor"/>
      </rPr>
      <t>BSH,PREC</t>
    </r>
  </si>
  <si>
    <t>Rate of brushite precipitation</t>
  </si>
  <si>
    <r>
      <t>q</t>
    </r>
    <r>
      <rPr>
        <vertAlign val="subscript"/>
        <sz val="11"/>
        <rFont val="Calibri"/>
        <family val="2"/>
        <scheme val="minor"/>
      </rPr>
      <t>BSH,DISS</t>
    </r>
  </si>
  <si>
    <t>Rate of brushite dissolution</t>
  </si>
  <si>
    <r>
      <t>q</t>
    </r>
    <r>
      <rPr>
        <vertAlign val="subscript"/>
        <sz val="11"/>
        <rFont val="Calibri"/>
        <family val="2"/>
        <scheme val="minor"/>
      </rPr>
      <t>P,HFO,COPREC</t>
    </r>
  </si>
  <si>
    <r>
      <t>q</t>
    </r>
    <r>
      <rPr>
        <vertAlign val="subscript"/>
        <sz val="11"/>
        <rFont val="Calibri"/>
        <family val="2"/>
        <scheme val="minor"/>
      </rPr>
      <t>P,HFO,BIND</t>
    </r>
  </si>
  <si>
    <r>
      <t>Ki</t>
    </r>
    <r>
      <rPr>
        <vertAlign val="subscript"/>
        <sz val="11"/>
        <rFont val="Calibri"/>
        <family val="2"/>
        <scheme val="minor"/>
      </rPr>
      <t>P,HFO,DISS</t>
    </r>
  </si>
  <si>
    <r>
      <t>Ki</t>
    </r>
    <r>
      <rPr>
        <vertAlign val="subscript"/>
        <sz val="11"/>
        <rFont val="Calibri"/>
        <family val="2"/>
        <scheme val="minor"/>
      </rPr>
      <t>P,HFO,DESORP</t>
    </r>
  </si>
  <si>
    <r>
      <t>K</t>
    </r>
    <r>
      <rPr>
        <vertAlign val="subscript"/>
        <sz val="11"/>
        <rFont val="Calibri"/>
        <family val="2"/>
        <scheme val="minor"/>
      </rPr>
      <t>P,HFO,BIND</t>
    </r>
  </si>
  <si>
    <t>HAO kinetics</t>
  </si>
  <si>
    <r>
      <t>q</t>
    </r>
    <r>
      <rPr>
        <vertAlign val="subscript"/>
        <sz val="11"/>
        <rFont val="Calibri"/>
        <family val="2"/>
        <scheme val="minor"/>
      </rPr>
      <t>HAOH,AGING</t>
    </r>
  </si>
  <si>
    <r>
      <t>Rate of X</t>
    </r>
    <r>
      <rPr>
        <vertAlign val="subscript"/>
        <sz val="11"/>
        <color rgb="FF000000"/>
        <rFont val="Calibri"/>
        <family val="2"/>
        <scheme val="minor"/>
      </rPr>
      <t>HAO,H</t>
    </r>
    <r>
      <rPr>
        <sz val="11"/>
        <color rgb="FF000000"/>
        <rFont val="Calibri"/>
        <family val="2"/>
        <charset val="238"/>
        <scheme val="minor"/>
      </rPr>
      <t xml:space="preserve"> aging</t>
    </r>
  </si>
  <si>
    <r>
      <t>q</t>
    </r>
    <r>
      <rPr>
        <vertAlign val="subscript"/>
        <sz val="11"/>
        <rFont val="Calibri"/>
        <family val="2"/>
        <scheme val="minor"/>
      </rPr>
      <t>HAOL,AGING</t>
    </r>
  </si>
  <si>
    <r>
      <t>Rate of X</t>
    </r>
    <r>
      <rPr>
        <vertAlign val="subscript"/>
        <sz val="11"/>
        <color rgb="FF000000"/>
        <rFont val="Calibri"/>
        <family val="2"/>
        <scheme val="minor"/>
      </rPr>
      <t>HAO,L</t>
    </r>
    <r>
      <rPr>
        <sz val="11"/>
        <color rgb="FF000000"/>
        <rFont val="Calibri"/>
        <family val="2"/>
        <charset val="238"/>
        <scheme val="minor"/>
      </rPr>
      <t xml:space="preserve"> aging</t>
    </r>
  </si>
  <si>
    <r>
      <t>q</t>
    </r>
    <r>
      <rPr>
        <vertAlign val="subscript"/>
        <sz val="11"/>
        <rFont val="Calibri"/>
        <family val="2"/>
        <scheme val="minor"/>
      </rPr>
      <t>P,HAO,COPREC</t>
    </r>
  </si>
  <si>
    <r>
      <t>Rate of P binding and coprecipitation on X</t>
    </r>
    <r>
      <rPr>
        <vertAlign val="subscript"/>
        <sz val="11"/>
        <rFont val="Calibri"/>
        <family val="2"/>
        <scheme val="minor"/>
      </rPr>
      <t>HAO,H</t>
    </r>
  </si>
  <si>
    <r>
      <t>q</t>
    </r>
    <r>
      <rPr>
        <vertAlign val="subscript"/>
        <sz val="11"/>
        <rFont val="Calibri"/>
        <family val="2"/>
        <scheme val="minor"/>
      </rPr>
      <t>P,HAO,BIND</t>
    </r>
  </si>
  <si>
    <r>
      <t>Rate of P binding on X</t>
    </r>
    <r>
      <rPr>
        <vertAlign val="subscript"/>
        <sz val="11"/>
        <rFont val="Calibri"/>
        <family val="2"/>
        <scheme val="minor"/>
      </rPr>
      <t>HAO,L</t>
    </r>
  </si>
  <si>
    <r>
      <t>q</t>
    </r>
    <r>
      <rPr>
        <vertAlign val="subscript"/>
        <sz val="11"/>
        <rFont val="Calibri"/>
        <family val="2"/>
        <scheme val="minor"/>
      </rPr>
      <t>HAOH,DESORP</t>
    </r>
  </si>
  <si>
    <r>
      <t>Rate of X</t>
    </r>
    <r>
      <rPr>
        <vertAlign val="subscript"/>
        <sz val="11"/>
        <color rgb="FF000000"/>
        <rFont val="Calibri"/>
        <family val="2"/>
        <scheme val="minor"/>
      </rPr>
      <t>HAO,H,P</t>
    </r>
    <r>
      <rPr>
        <sz val="11"/>
        <color rgb="FF000000"/>
        <rFont val="Calibri"/>
        <family val="2"/>
        <charset val="238"/>
        <scheme val="minor"/>
      </rPr>
      <t xml:space="preserve"> desorption</t>
    </r>
  </si>
  <si>
    <r>
      <t>q</t>
    </r>
    <r>
      <rPr>
        <vertAlign val="subscript"/>
        <sz val="11"/>
        <rFont val="Calibri"/>
        <family val="2"/>
        <scheme val="minor"/>
      </rPr>
      <t>HAOL,DESORP</t>
    </r>
  </si>
  <si>
    <r>
      <t>Rate of X</t>
    </r>
    <r>
      <rPr>
        <vertAlign val="subscript"/>
        <sz val="11"/>
        <color rgb="FF000000"/>
        <rFont val="Calibri"/>
        <family val="2"/>
        <scheme val="minor"/>
      </rPr>
      <t>HAO,L,P</t>
    </r>
    <r>
      <rPr>
        <sz val="11"/>
        <color rgb="FF000000"/>
        <rFont val="Calibri"/>
        <family val="2"/>
        <charset val="238"/>
        <scheme val="minor"/>
      </rPr>
      <t xml:space="preserve"> desorption</t>
    </r>
  </si>
  <si>
    <r>
      <t>q</t>
    </r>
    <r>
      <rPr>
        <vertAlign val="subscript"/>
        <sz val="11"/>
        <rFont val="Calibri"/>
        <family val="2"/>
        <scheme val="minor"/>
      </rPr>
      <t>HAO,DISS</t>
    </r>
  </si>
  <si>
    <r>
      <t>Rate of X</t>
    </r>
    <r>
      <rPr>
        <vertAlign val="subscript"/>
        <sz val="11"/>
        <color rgb="FF000000"/>
        <rFont val="Calibri"/>
        <family val="2"/>
        <scheme val="minor"/>
      </rPr>
      <t>HAO,H,P,old</t>
    </r>
    <r>
      <rPr>
        <sz val="11"/>
        <color rgb="FF000000"/>
        <rFont val="Calibri"/>
        <family val="2"/>
        <charset val="238"/>
        <scheme val="minor"/>
      </rPr>
      <t xml:space="preserve"> and X</t>
    </r>
    <r>
      <rPr>
        <vertAlign val="subscript"/>
        <sz val="11"/>
        <color rgb="FF000000"/>
        <rFont val="Calibri"/>
        <family val="2"/>
        <scheme val="minor"/>
      </rPr>
      <t>HAO,L,P,old</t>
    </r>
    <r>
      <rPr>
        <sz val="11"/>
        <color rgb="FF000000"/>
        <rFont val="Calibri"/>
        <family val="2"/>
        <charset val="238"/>
        <scheme val="minor"/>
      </rPr>
      <t xml:space="preserve"> redissolution</t>
    </r>
  </si>
  <si>
    <r>
      <t>K</t>
    </r>
    <r>
      <rPr>
        <vertAlign val="subscript"/>
        <sz val="11"/>
        <rFont val="Calibri"/>
        <family val="2"/>
        <scheme val="minor"/>
      </rPr>
      <t>P,HAO,BIND</t>
    </r>
  </si>
  <si>
    <r>
      <t>Half-saturation of PO</t>
    </r>
    <r>
      <rPr>
        <vertAlign val="subscript"/>
        <sz val="11"/>
        <color rgb="FF000000"/>
        <rFont val="Calibri"/>
        <family val="2"/>
        <scheme val="minor"/>
      </rPr>
      <t>4</t>
    </r>
    <r>
      <rPr>
        <sz val="11"/>
        <color rgb="FF000000"/>
        <rFont val="Calibri"/>
        <family val="2"/>
        <charset val="238"/>
        <scheme val="minor"/>
      </rPr>
      <t xml:space="preserve"> for binding on HAO</t>
    </r>
  </si>
  <si>
    <r>
      <t>Ki</t>
    </r>
    <r>
      <rPr>
        <vertAlign val="subscript"/>
        <sz val="11"/>
        <rFont val="Calibri"/>
        <family val="2"/>
        <scheme val="minor"/>
      </rPr>
      <t>P,HAO,DISS</t>
    </r>
  </si>
  <si>
    <r>
      <t>Half-inhibition of PO</t>
    </r>
    <r>
      <rPr>
        <vertAlign val="subscript"/>
        <sz val="11"/>
        <color rgb="FF000000"/>
        <rFont val="Calibri"/>
        <family val="2"/>
        <scheme val="minor"/>
      </rPr>
      <t>4</t>
    </r>
    <r>
      <rPr>
        <sz val="11"/>
        <color rgb="FF000000"/>
        <rFont val="Calibri"/>
        <family val="2"/>
        <charset val="238"/>
        <scheme val="minor"/>
      </rPr>
      <t xml:space="preserve"> in HAO redissolution</t>
    </r>
  </si>
  <si>
    <r>
      <t>Ki</t>
    </r>
    <r>
      <rPr>
        <vertAlign val="subscript"/>
        <sz val="11"/>
        <rFont val="Calibri"/>
        <family val="2"/>
        <scheme val="minor"/>
      </rPr>
      <t>P,HAO,DESORP</t>
    </r>
  </si>
  <si>
    <r>
      <t>Half-inhibition of PO</t>
    </r>
    <r>
      <rPr>
        <vertAlign val="subscript"/>
        <sz val="11"/>
        <color rgb="FF000000"/>
        <rFont val="Calibri"/>
        <family val="2"/>
        <scheme val="minor"/>
      </rPr>
      <t>4</t>
    </r>
    <r>
      <rPr>
        <sz val="11"/>
        <color rgb="FF000000"/>
        <rFont val="Calibri"/>
        <family val="2"/>
        <charset val="238"/>
        <scheme val="minor"/>
      </rPr>
      <t xml:space="preserve"> in HAO desorption</t>
    </r>
  </si>
  <si>
    <r>
      <t>θ</t>
    </r>
    <r>
      <rPr>
        <vertAlign val="subscript"/>
        <sz val="11"/>
        <color indexed="8"/>
        <rFont val="Calibri"/>
        <family val="2"/>
        <scheme val="minor"/>
      </rPr>
      <t>q,PAO,PP</t>
    </r>
  </si>
  <si>
    <t>Arrhenius coefficient for PP storage</t>
  </si>
  <si>
    <r>
      <t>ASF</t>
    </r>
    <r>
      <rPr>
        <vertAlign val="subscript"/>
        <sz val="11"/>
        <rFont val="Calibri"/>
        <family val="2"/>
        <scheme val="minor"/>
      </rPr>
      <t>HFO,H</t>
    </r>
  </si>
  <si>
    <r>
      <t>ASF</t>
    </r>
    <r>
      <rPr>
        <vertAlign val="subscript"/>
        <sz val="11"/>
        <rFont val="Calibri"/>
        <family val="2"/>
        <scheme val="minor"/>
      </rPr>
      <t>HFO,L</t>
    </r>
  </si>
  <si>
    <t>HAO stoichiometry</t>
  </si>
  <si>
    <r>
      <t>ASF</t>
    </r>
    <r>
      <rPr>
        <vertAlign val="subscript"/>
        <sz val="11"/>
        <rFont val="Calibri"/>
        <family val="2"/>
        <scheme val="minor"/>
      </rPr>
      <t>HAO,H</t>
    </r>
  </si>
  <si>
    <t>Active site factor for HAO,H</t>
  </si>
  <si>
    <r>
      <t>mol P.mol Al</t>
    </r>
    <r>
      <rPr>
        <vertAlign val="superscript"/>
        <sz val="11"/>
        <rFont val="Calibri"/>
        <family val="2"/>
        <scheme val="minor"/>
      </rPr>
      <t>-1</t>
    </r>
  </si>
  <si>
    <t>g P / g Me</t>
  </si>
  <si>
    <r>
      <t>ASF</t>
    </r>
    <r>
      <rPr>
        <vertAlign val="subscript"/>
        <sz val="11"/>
        <rFont val="Calibri"/>
        <family val="2"/>
        <scheme val="minor"/>
      </rPr>
      <t>HAO,L</t>
    </r>
  </si>
  <si>
    <t>Active site factor for HAO,L</t>
  </si>
  <si>
    <t>g MeOH / g Me</t>
  </si>
  <si>
    <r>
      <t>f</t>
    </r>
    <r>
      <rPr>
        <vertAlign val="subscript"/>
        <sz val="11"/>
        <rFont val="Calibri"/>
        <family val="2"/>
        <scheme val="minor"/>
      </rPr>
      <t>H2O,HAO,TSS</t>
    </r>
  </si>
  <si>
    <r>
      <t>Fraction of H</t>
    </r>
    <r>
      <rPr>
        <vertAlign val="subscript"/>
        <sz val="11"/>
        <color rgb="FF000000"/>
        <rFont val="Calibri"/>
        <family val="2"/>
        <scheme val="minor"/>
      </rPr>
      <t>2</t>
    </r>
    <r>
      <rPr>
        <sz val="11"/>
        <color rgb="FF000000"/>
        <rFont val="Calibri"/>
        <family val="2"/>
        <charset val="238"/>
        <scheme val="minor"/>
      </rPr>
      <t>O loss in TSS test for HAO</t>
    </r>
  </si>
  <si>
    <r>
      <t>g H2O.g AlOH3</t>
    </r>
    <r>
      <rPr>
        <vertAlign val="superscript"/>
        <sz val="11"/>
        <rFont val="Calibri"/>
        <family val="2"/>
        <scheme val="minor"/>
      </rPr>
      <t>-1</t>
    </r>
  </si>
  <si>
    <t>g MeP / g Me</t>
  </si>
  <si>
    <r>
      <t>f</t>
    </r>
    <r>
      <rPr>
        <vertAlign val="subscript"/>
        <sz val="11"/>
        <rFont val="Calibri"/>
        <family val="2"/>
        <scheme val="minor"/>
      </rPr>
      <t>H2O,HAO,VSS</t>
    </r>
  </si>
  <si>
    <t xml:space="preserve">Fraction of H2O loss in VSS test for HAO </t>
  </si>
  <si>
    <t>2Al(OH)3 -&gt; Al2O3 + 3H2O</t>
  </si>
  <si>
    <t>TOC calculation coefficients</t>
  </si>
  <si>
    <r>
      <t>f</t>
    </r>
    <r>
      <rPr>
        <vertAlign val="subscript"/>
        <sz val="11"/>
        <rFont val="Calibri"/>
        <family val="2"/>
        <scheme val="minor"/>
      </rPr>
      <t>TOC,1</t>
    </r>
  </si>
  <si>
    <r>
      <t>g C.g COD</t>
    </r>
    <r>
      <rPr>
        <vertAlign val="superscript"/>
        <sz val="11"/>
        <rFont val="Calibri"/>
        <family val="2"/>
        <scheme val="minor"/>
      </rPr>
      <t>-1</t>
    </r>
  </si>
  <si>
    <r>
      <t>f</t>
    </r>
    <r>
      <rPr>
        <vertAlign val="subscript"/>
        <sz val="11"/>
        <rFont val="Calibri"/>
        <family val="2"/>
        <scheme val="minor"/>
      </rPr>
      <t>TOC,2</t>
    </r>
  </si>
  <si>
    <r>
      <t>g C.m</t>
    </r>
    <r>
      <rPr>
        <vertAlign val="superscript"/>
        <sz val="11"/>
        <rFont val="Calibri"/>
        <family val="2"/>
        <scheme val="minor"/>
      </rPr>
      <t>-3</t>
    </r>
  </si>
  <si>
    <t>Cooments</t>
  </si>
  <si>
    <t>If(x&lt;0;-Log10(-x+1);Log10(x+1))</t>
  </si>
  <si>
    <r>
      <t>Henry</t>
    </r>
    <r>
      <rPr>
        <vertAlign val="subscript"/>
        <sz val="11"/>
        <color theme="1"/>
        <rFont val="Calibri"/>
        <family val="2"/>
        <scheme val="minor"/>
      </rPr>
      <t>GNH3</t>
    </r>
    <r>
      <rPr>
        <sz val="11"/>
        <color indexed="8"/>
        <rFont val="Calibri"/>
        <family val="2"/>
      </rPr>
      <t>(T)</t>
    </r>
  </si>
  <si>
    <r>
      <t>Temperature dependent Henry coefficient for NH</t>
    </r>
    <r>
      <rPr>
        <vertAlign val="subscript"/>
        <sz val="11"/>
        <color theme="1"/>
        <rFont val="Calibri"/>
        <family val="2"/>
        <scheme val="minor"/>
      </rPr>
      <t>3</t>
    </r>
  </si>
  <si>
    <r>
      <t>Henry</t>
    </r>
    <r>
      <rPr>
        <vertAlign val="subscript"/>
        <sz val="11"/>
        <color theme="1"/>
        <rFont val="Calibri"/>
        <family val="2"/>
        <scheme val="minor"/>
      </rPr>
      <t>GNH3_25</t>
    </r>
    <r>
      <rPr>
        <sz val="11"/>
        <color indexed="8"/>
        <rFont val="Calibri"/>
        <family val="2"/>
      </rPr>
      <t>*Exp(Henry</t>
    </r>
    <r>
      <rPr>
        <vertAlign val="subscript"/>
        <sz val="11"/>
        <color theme="1"/>
        <rFont val="Calibri"/>
        <family val="2"/>
        <scheme val="minor"/>
      </rPr>
      <t>GNH3_dt</t>
    </r>
    <r>
      <rPr>
        <sz val="11"/>
        <color indexed="8"/>
        <rFont val="Calibri"/>
        <family val="2"/>
      </rPr>
      <t>*((1/T)-(1/298.15)))</t>
    </r>
  </si>
  <si>
    <r>
      <t>Henry</t>
    </r>
    <r>
      <rPr>
        <vertAlign val="subscript"/>
        <sz val="11"/>
        <color theme="1"/>
        <rFont val="Calibri"/>
        <family val="2"/>
        <scheme val="minor"/>
      </rPr>
      <t>GH2S</t>
    </r>
    <r>
      <rPr>
        <sz val="11"/>
        <color indexed="8"/>
        <rFont val="Calibri"/>
        <family val="2"/>
      </rPr>
      <t>(T)</t>
    </r>
  </si>
  <si>
    <r>
      <t>Temperature dependent Henry coefficient for H</t>
    </r>
    <r>
      <rPr>
        <vertAlign val="subscript"/>
        <sz val="11"/>
        <rFont val="Calibri"/>
        <family val="2"/>
        <scheme val="minor"/>
      </rPr>
      <t>2</t>
    </r>
    <r>
      <rPr>
        <sz val="11"/>
        <rFont val="Calibri"/>
        <family val="2"/>
        <scheme val="minor"/>
      </rPr>
      <t>S</t>
    </r>
  </si>
  <si>
    <r>
      <t>Henry</t>
    </r>
    <r>
      <rPr>
        <vertAlign val="subscript"/>
        <sz val="11"/>
        <color theme="1"/>
        <rFont val="Calibri"/>
        <family val="2"/>
        <scheme val="minor"/>
      </rPr>
      <t>GH2S_25</t>
    </r>
    <r>
      <rPr>
        <sz val="11"/>
        <color indexed="8"/>
        <rFont val="Calibri"/>
        <family val="2"/>
      </rPr>
      <t>*Exp(Henry</t>
    </r>
    <r>
      <rPr>
        <vertAlign val="subscript"/>
        <sz val="11"/>
        <color theme="1"/>
        <rFont val="Calibri"/>
        <family val="2"/>
        <scheme val="minor"/>
      </rPr>
      <t>GH2S_dt</t>
    </r>
    <r>
      <rPr>
        <sz val="11"/>
        <color indexed="8"/>
        <rFont val="Calibri"/>
        <family val="2"/>
      </rPr>
      <t>*((1/T)-(1/298.15)))</t>
    </r>
  </si>
  <si>
    <t>if (x &lt; Sumo__DampingLimit &amp;&amp; dx &lt; 0.0 &amp;&amp; fabs(dx/x) &gt; Sumo__DerivToStateRatioLimit)
{
     Real x_d = 1/((1+exp(-Sumo__DampingStrength/(Sumo__DampingLimit)*
                      (x - Sumo__DampingLimit/2.0))));
    return x_d*dx;
}
else return dx;</t>
  </si>
  <si>
    <t>MinElemIndex([] x)</t>
  </si>
  <si>
    <t>Index of element with minimum value in 'x'</t>
    <phoneticPr fontId="0"/>
  </si>
  <si>
    <t>return std::distance(x.data, std::min_element(x.data, x.data+x.size))+1;</t>
    <phoneticPr fontId="0"/>
  </si>
  <si>
    <t>Real sum = 0.0;
for( int i = 0; i &lt; y.size; ++i )
{
  if( y(i) == z ) sum += x(i);
}
return sum;</t>
  </si>
  <si>
    <t>STRING If(BOOL a; STRING b; STRING c)</t>
  </si>
  <si>
    <t>STRING</t>
  </si>
  <si>
    <t>Real sum = 0.0;
for( int i = 0; i &lt; x.size; ++i )
{
  sum += x(i);
}
return sum/x.size;</t>
  </si>
  <si>
    <t>Average([] x; INT start; INT end)</t>
  </si>
  <si>
    <t>Average of array elements between indices 'start' and 'end'</t>
  </si>
  <si>
    <t>Real sum = 0.0;
if (end &gt; x.size)
{
    return -9999.9;
}
if (start &gt; end)
{
    return -9999.9;
}
if (start == end &amp;&amp; start &lt; x.size)
{
    return x(start);
}
for(int i = start; i &lt; end; ++i)
{
  sum += x(i);
}
return sum/(end - start);</t>
  </si>
  <si>
    <t>Real m = x(0);
for( int i = 1; i &lt; x.size; ++i )
{
    m = max( m, x(i) );
}
return m;</t>
  </si>
  <si>
    <t>Real m = x(0);
for( int i = 1; i &lt; x.size; ++i )
{
    m = min( m, x(i) );
}
return m;</t>
  </si>
  <si>
    <t>Real sum = 0.0;
for( int i = 0; i &lt;= x.size; ++i )
{
  sum += x(i);
}
return sum;</t>
  </si>
  <si>
    <t>MoveAndPrepend([] x; y)</t>
  </si>
  <si>
    <t>Move the array content 'to the right' and insert a new value to array beginning</t>
  </si>
  <si>
    <t>for( int i = x.size-1; i &gt;= 1; --i )
{
  x(i) = x(i-1);
}
static int j = 0;
x(0) = y;
return j++;</t>
  </si>
  <si>
    <t>MoveAndAppend([] x; y)</t>
  </si>
  <si>
    <t>Move the array content 'to the left' and insert a new value to array end</t>
  </si>
  <si>
    <t>for( int i = 0; i &lt;= x.size-1; ++i )
{
  x(i) = x(i+1);
}
x(x.size-1) = y;
return 0;</t>
  </si>
  <si>
    <t>Estimated to fit saturation concentrations for 0-30 °C from Metcalf &amp; Eddy Inc.: Wastewater Engineering: Treatment and Reuse</t>
  </si>
  <si>
    <r>
      <t>Temperature dependency factor for CO</t>
    </r>
    <r>
      <rPr>
        <vertAlign val="subscript"/>
        <sz val="11"/>
        <rFont val="Calibri"/>
        <family val="2"/>
        <scheme val="minor"/>
      </rPr>
      <t>2</t>
    </r>
    <r>
      <rPr>
        <sz val="11"/>
        <rFont val="Calibri"/>
        <family val="2"/>
        <scheme val="minor"/>
      </rPr>
      <t xml:space="preserve"> Henry coefficient</t>
    </r>
  </si>
  <si>
    <t>original values in Sumo:</t>
  </si>
  <si>
    <t>Sabba et al</t>
  </si>
  <si>
    <r>
      <t>p</t>
    </r>
    <r>
      <rPr>
        <vertAlign val="subscript"/>
        <sz val="11"/>
        <rFont val="Calibri"/>
        <family val="2"/>
      </rPr>
      <t>NTP</t>
    </r>
  </si>
  <si>
    <r>
      <t>Ca</t>
    </r>
    <r>
      <rPr>
        <vertAlign val="subscript"/>
        <sz val="11"/>
        <rFont val="Calibri"/>
        <family val="2"/>
        <scheme val="minor"/>
      </rPr>
      <t>3</t>
    </r>
    <r>
      <rPr>
        <sz val="11"/>
        <rFont val="Calibri"/>
        <family val="2"/>
        <scheme val="minor"/>
      </rPr>
      <t>(PO</t>
    </r>
    <r>
      <rPr>
        <vertAlign val="subscript"/>
        <sz val="11"/>
        <rFont val="Calibri"/>
        <family val="2"/>
        <scheme val="minor"/>
      </rPr>
      <t>4</t>
    </r>
    <r>
      <rPr>
        <sz val="11"/>
        <rFont val="Calibri"/>
        <family val="2"/>
        <scheme val="minor"/>
      </rPr>
      <t>)</t>
    </r>
    <r>
      <rPr>
        <vertAlign val="subscript"/>
        <sz val="11"/>
        <rFont val="Calibri"/>
        <family val="2"/>
        <scheme val="minor"/>
      </rPr>
      <t>2</t>
    </r>
    <r>
      <rPr>
        <sz val="11"/>
        <rFont val="Calibri"/>
        <family val="2"/>
        <scheme val="minor"/>
      </rPr>
      <t>x·4 H</t>
    </r>
    <r>
      <rPr>
        <vertAlign val="subscript"/>
        <sz val="11"/>
        <rFont val="Calibri"/>
        <family val="2"/>
        <scheme val="minor"/>
      </rPr>
      <t>2</t>
    </r>
    <r>
      <rPr>
        <sz val="11"/>
        <rFont val="Calibri"/>
        <family val="2"/>
        <scheme val="minor"/>
      </rPr>
      <t>O</t>
    </r>
  </si>
  <si>
    <r>
      <t>MM</t>
    </r>
    <r>
      <rPr>
        <vertAlign val="subscript"/>
        <sz val="11"/>
        <rFont val="Calibri"/>
        <family val="2"/>
        <scheme val="minor"/>
      </rPr>
      <t>Al2SO43</t>
    </r>
  </si>
  <si>
    <t>Molecular mass of aluminium sulfate</t>
  </si>
  <si>
    <r>
      <t>MM</t>
    </r>
    <r>
      <rPr>
        <vertAlign val="subscript"/>
        <sz val="11"/>
        <rFont val="Calibri"/>
        <family val="2"/>
        <scheme val="minor"/>
      </rPr>
      <t>AlCl3</t>
    </r>
  </si>
  <si>
    <t>Molecular mass of aluminium chloride</t>
  </si>
  <si>
    <r>
      <t>MM</t>
    </r>
    <r>
      <rPr>
        <vertAlign val="subscript"/>
        <sz val="11"/>
        <rFont val="Calibri"/>
        <family val="2"/>
        <scheme val="minor"/>
      </rPr>
      <t>BSH</t>
    </r>
  </si>
  <si>
    <t>Molecular mass of Brushite</t>
  </si>
  <si>
    <r>
      <t>MM</t>
    </r>
    <r>
      <rPr>
        <vertAlign val="subscript"/>
        <sz val="11"/>
        <rFont val="Calibri"/>
        <family val="2"/>
        <scheme val="minor"/>
      </rPr>
      <t>CaCl</t>
    </r>
    <r>
      <rPr>
        <vertAlign val="subscript"/>
        <sz val="11"/>
        <rFont val="Calibri"/>
        <family val="2"/>
      </rPr>
      <t>2</t>
    </r>
  </si>
  <si>
    <t>Molecular mass of CaCl2</t>
  </si>
  <si>
    <r>
      <t>MM</t>
    </r>
    <r>
      <rPr>
        <vertAlign val="subscript"/>
        <sz val="11"/>
        <rFont val="Calibri"/>
        <family val="2"/>
        <scheme val="minor"/>
      </rPr>
      <t>CaOH</t>
    </r>
    <r>
      <rPr>
        <vertAlign val="subscript"/>
        <sz val="11"/>
        <rFont val="Calibri"/>
        <family val="2"/>
      </rPr>
      <t>2</t>
    </r>
  </si>
  <si>
    <t>Molecular mass of CaOH2</t>
  </si>
  <si>
    <r>
      <t>MM</t>
    </r>
    <r>
      <rPr>
        <vertAlign val="subscript"/>
        <sz val="11"/>
        <rFont val="Calibri"/>
        <family val="2"/>
        <scheme val="minor"/>
      </rPr>
      <t>Fe2SO43</t>
    </r>
  </si>
  <si>
    <t>Molecular mass of iron sulfate</t>
  </si>
  <si>
    <r>
      <t>MM</t>
    </r>
    <r>
      <rPr>
        <vertAlign val="subscript"/>
        <sz val="11"/>
        <rFont val="Calibri"/>
        <family val="2"/>
        <scheme val="minor"/>
      </rPr>
      <t>H3PO4</t>
    </r>
  </si>
  <si>
    <t>Molecular mass of phosphoric acid</t>
  </si>
  <si>
    <r>
      <t>Ca</t>
    </r>
    <r>
      <rPr>
        <vertAlign val="subscript"/>
        <sz val="11"/>
        <rFont val="Calibri"/>
        <family val="2"/>
        <scheme val="minor"/>
      </rPr>
      <t>5</t>
    </r>
    <r>
      <rPr>
        <sz val="11"/>
        <rFont val="Calibri"/>
        <family val="2"/>
        <scheme val="minor"/>
      </rPr>
      <t>(PO</t>
    </r>
    <r>
      <rPr>
        <vertAlign val="subscript"/>
        <sz val="11"/>
        <rFont val="Calibri"/>
        <family val="2"/>
        <scheme val="minor"/>
      </rPr>
      <t>4</t>
    </r>
    <r>
      <rPr>
        <sz val="11"/>
        <rFont val="Calibri"/>
        <family val="2"/>
        <scheme val="minor"/>
      </rPr>
      <t>)</t>
    </r>
    <r>
      <rPr>
        <vertAlign val="subscript"/>
        <sz val="11"/>
        <rFont val="Calibri"/>
        <family val="2"/>
        <scheme val="minor"/>
      </rPr>
      <t>3</t>
    </r>
    <r>
      <rPr>
        <sz val="11"/>
        <rFont val="Calibri"/>
        <family val="2"/>
        <scheme val="minor"/>
      </rPr>
      <t>(OH)</t>
    </r>
  </si>
  <si>
    <r>
      <t>Ca</t>
    </r>
    <r>
      <rPr>
        <vertAlign val="subscript"/>
        <sz val="11"/>
        <rFont val="Calibri"/>
        <family val="2"/>
        <scheme val="minor"/>
      </rPr>
      <t>2</t>
    </r>
    <r>
      <rPr>
        <sz val="11"/>
        <rFont val="Calibri"/>
        <family val="2"/>
        <scheme val="minor"/>
      </rPr>
      <t>(PO</t>
    </r>
    <r>
      <rPr>
        <vertAlign val="subscript"/>
        <sz val="11"/>
        <rFont val="Calibri"/>
        <family val="2"/>
        <scheme val="minor"/>
      </rPr>
      <t>4</t>
    </r>
    <r>
      <rPr>
        <sz val="11"/>
        <rFont val="Calibri"/>
        <family val="2"/>
        <scheme val="minor"/>
      </rPr>
      <t>)(OH)</t>
    </r>
    <r>
      <rPr>
        <vertAlign val="subscript"/>
        <sz val="11"/>
        <rFont val="Calibri"/>
        <family val="2"/>
        <scheme val="minor"/>
      </rPr>
      <t>2</t>
    </r>
    <r>
      <rPr>
        <vertAlign val="superscript"/>
        <sz val="11"/>
        <rFont val="Calibri"/>
        <family val="2"/>
        <scheme val="minor"/>
      </rPr>
      <t>-</t>
    </r>
  </si>
  <si>
    <r>
      <t>MM</t>
    </r>
    <r>
      <rPr>
        <vertAlign val="subscript"/>
        <sz val="11"/>
        <rFont val="Calibri"/>
        <family val="2"/>
        <scheme val="minor"/>
      </rPr>
      <t>HNO3</t>
    </r>
  </si>
  <si>
    <t>Molecular mass of nitric acid</t>
  </si>
  <si>
    <r>
      <t>CH</t>
    </r>
    <r>
      <rPr>
        <vertAlign val="subscript"/>
        <sz val="11"/>
        <rFont val="Calibri"/>
        <family val="2"/>
        <scheme val="minor"/>
      </rPr>
      <t>4</t>
    </r>
    <r>
      <rPr>
        <sz val="11"/>
        <rFont val="Calibri"/>
        <family val="2"/>
        <scheme val="minor"/>
      </rPr>
      <t>S</t>
    </r>
  </si>
  <si>
    <r>
      <t>MM</t>
    </r>
    <r>
      <rPr>
        <vertAlign val="subscript"/>
        <sz val="11"/>
        <rFont val="Calibri"/>
        <family val="2"/>
        <scheme val="minor"/>
      </rPr>
      <t>N2O</t>
    </r>
  </si>
  <si>
    <t>Molar mass of nitrous oxide ion</t>
  </si>
  <si>
    <r>
      <t>MM</t>
    </r>
    <r>
      <rPr>
        <vertAlign val="subscript"/>
        <sz val="11"/>
        <rFont val="Calibri"/>
        <family val="2"/>
        <scheme val="minor"/>
      </rPr>
      <t>KNO2</t>
    </r>
  </si>
  <si>
    <t>Molecular mass of KNO2</t>
  </si>
  <si>
    <r>
      <t>MM</t>
    </r>
    <r>
      <rPr>
        <vertAlign val="subscript"/>
        <sz val="11"/>
        <rFont val="Calibri"/>
        <family val="2"/>
        <scheme val="minor"/>
      </rPr>
      <t>KNO3</t>
    </r>
  </si>
  <si>
    <t>Molecular mass of KNO3</t>
  </si>
  <si>
    <r>
      <t>MM</t>
    </r>
    <r>
      <rPr>
        <vertAlign val="subscript"/>
        <sz val="11"/>
        <rFont val="Calibri"/>
        <family val="2"/>
        <scheme val="minor"/>
      </rPr>
      <t>NH4HCO3</t>
    </r>
  </si>
  <si>
    <t>Molecular mass of NH4HCO3</t>
  </si>
  <si>
    <r>
      <t>MM</t>
    </r>
    <r>
      <rPr>
        <vertAlign val="subscript"/>
        <sz val="11"/>
        <rFont val="Calibri"/>
        <family val="2"/>
        <scheme val="minor"/>
      </rPr>
      <t>NO</t>
    </r>
  </si>
  <si>
    <t>Molar mass of nitric oxide ion</t>
  </si>
  <si>
    <r>
      <t>MgNH</t>
    </r>
    <r>
      <rPr>
        <vertAlign val="subscript"/>
        <sz val="11"/>
        <rFont val="Calibri"/>
        <family val="2"/>
        <scheme val="minor"/>
      </rPr>
      <t>4</t>
    </r>
    <r>
      <rPr>
        <sz val="11"/>
        <rFont val="Calibri"/>
        <family val="2"/>
        <scheme val="minor"/>
      </rPr>
      <t>PO</t>
    </r>
    <r>
      <rPr>
        <vertAlign val="subscript"/>
        <sz val="11"/>
        <rFont val="Calibri"/>
        <family val="2"/>
        <scheme val="minor"/>
      </rPr>
      <t>4</t>
    </r>
    <r>
      <rPr>
        <sz val="11"/>
        <rFont val="Calibri"/>
        <family val="2"/>
        <scheme val="minor"/>
      </rPr>
      <t>x·6 H</t>
    </r>
    <r>
      <rPr>
        <vertAlign val="subscript"/>
        <sz val="11"/>
        <rFont val="Calibri"/>
        <family val="2"/>
        <scheme val="minor"/>
      </rPr>
      <t>2</t>
    </r>
    <r>
      <rPr>
        <sz val="11"/>
        <rFont val="Calibri"/>
        <family val="2"/>
        <scheme val="minor"/>
      </rPr>
      <t>O</t>
    </r>
  </si>
  <si>
    <r>
      <t>Fe</t>
    </r>
    <r>
      <rPr>
        <vertAlign val="subscript"/>
        <sz val="11"/>
        <rFont val="Calibri"/>
        <family val="2"/>
        <scheme val="minor"/>
      </rPr>
      <t>2</t>
    </r>
    <r>
      <rPr>
        <vertAlign val="superscript"/>
        <sz val="11"/>
        <rFont val="Calibri"/>
        <family val="2"/>
        <scheme val="minor"/>
      </rPr>
      <t>+3</t>
    </r>
    <r>
      <rPr>
        <sz val="11"/>
        <rFont val="Calibri"/>
        <family val="2"/>
        <scheme val="minor"/>
      </rPr>
      <t>(PO</t>
    </r>
    <r>
      <rPr>
        <vertAlign val="subscript"/>
        <sz val="11"/>
        <rFont val="Calibri"/>
        <family val="2"/>
        <scheme val="minor"/>
      </rPr>
      <t>4</t>
    </r>
    <r>
      <rPr>
        <vertAlign val="superscript"/>
        <sz val="11"/>
        <rFont val="Calibri"/>
        <family val="2"/>
        <scheme val="minor"/>
      </rPr>
      <t>3-</t>
    </r>
    <r>
      <rPr>
        <sz val="11"/>
        <rFont val="Calibri"/>
        <family val="2"/>
        <scheme val="minor"/>
      </rPr>
      <t>)</t>
    </r>
    <r>
      <rPr>
        <vertAlign val="subscript"/>
        <sz val="11"/>
        <rFont val="Calibri"/>
        <family val="2"/>
        <scheme val="minor"/>
      </rPr>
      <t xml:space="preserve">2 </t>
    </r>
    <r>
      <rPr>
        <sz val="11"/>
        <rFont val="Calibri"/>
        <family val="2"/>
        <scheme val="minor"/>
      </rPr>
      <t>x 8 H</t>
    </r>
    <r>
      <rPr>
        <vertAlign val="subscript"/>
        <sz val="11"/>
        <rFont val="Calibri"/>
        <family val="2"/>
        <scheme val="minor"/>
      </rPr>
      <t>2</t>
    </r>
    <r>
      <rPr>
        <sz val="11"/>
        <rFont val="Calibri"/>
        <family val="2"/>
        <scheme val="minor"/>
      </rPr>
      <t>O</t>
    </r>
  </si>
  <si>
    <t>Dissociation constant of propionate</t>
  </si>
  <si>
    <r>
      <t>K</t>
    </r>
    <r>
      <rPr>
        <vertAlign val="subscript"/>
        <sz val="11"/>
        <rFont val="Calibri"/>
        <family val="2"/>
        <scheme val="minor"/>
      </rPr>
      <t>But,param</t>
    </r>
  </si>
  <si>
    <t>Dissociation constant of butyrate</t>
  </si>
  <si>
    <t>?</t>
  </si>
  <si>
    <r>
      <t>K</t>
    </r>
    <r>
      <rPr>
        <vertAlign val="subscript"/>
        <sz val="11"/>
        <rFont val="Calibri"/>
        <family val="2"/>
        <scheme val="minor"/>
      </rPr>
      <t>Val,param</t>
    </r>
  </si>
  <si>
    <t>Dissociation constant of valerate</t>
  </si>
  <si>
    <t>Musvoto et al. (2000) =10^(-25.46) (NIST 1e-29 is too high)</t>
  </si>
  <si>
    <r>
      <t>K</t>
    </r>
    <r>
      <rPr>
        <vertAlign val="subscript"/>
        <sz val="11"/>
        <rFont val="Calibri"/>
        <family val="2"/>
        <scheme val="minor"/>
      </rPr>
      <t>sp,BSH,param</t>
    </r>
  </si>
  <si>
    <t>Solubility constant of Brushite</t>
  </si>
  <si>
    <t xml:space="preserve">Musvoto et al. (2000) =10^(-6.6) </t>
  </si>
  <si>
    <r>
      <t>EEQ</t>
    </r>
    <r>
      <rPr>
        <vertAlign val="subscript"/>
        <sz val="11"/>
        <rFont val="Calibri"/>
        <family val="2"/>
      </rPr>
      <t>NH2OH</t>
    </r>
  </si>
  <si>
    <t>Electron equivalence of NH2OH</t>
  </si>
  <si>
    <r>
      <t>EEQ</t>
    </r>
    <r>
      <rPr>
        <vertAlign val="subscript"/>
        <sz val="11"/>
        <rFont val="Calibri"/>
        <family val="2"/>
      </rPr>
      <t>NH2OH,NO</t>
    </r>
  </si>
  <si>
    <t>Electron equivalence of NH2OH to NO</t>
  </si>
  <si>
    <r>
      <t>c</t>
    </r>
    <r>
      <rPr>
        <vertAlign val="subscript"/>
        <sz val="11"/>
        <rFont val="Calibri"/>
        <family val="2"/>
        <scheme val="minor"/>
      </rPr>
      <t>mmol,mol</t>
    </r>
  </si>
  <si>
    <t>Conversion coefficient between milimols and mol</t>
  </si>
  <si>
    <r>
      <t>mmol.mol</t>
    </r>
    <r>
      <rPr>
        <vertAlign val="superscript"/>
        <sz val="11"/>
        <rFont val="Calibri"/>
        <family val="2"/>
        <scheme val="minor"/>
      </rPr>
      <t>-1</t>
    </r>
  </si>
  <si>
    <r>
      <t>c</t>
    </r>
    <r>
      <rPr>
        <vertAlign val="subscript"/>
        <sz val="11"/>
        <rFont val="Calibri"/>
        <family val="2"/>
        <scheme val="minor"/>
      </rPr>
      <t>s,min</t>
    </r>
  </si>
  <si>
    <t>Conversion coefficient between seconds and minutes</t>
  </si>
  <si>
    <r>
      <t>s.min</t>
    </r>
    <r>
      <rPr>
        <vertAlign val="superscript"/>
        <sz val="11"/>
        <rFont val="Calibri"/>
        <family val="2"/>
        <scheme val="minor"/>
      </rPr>
      <t>-1</t>
    </r>
  </si>
  <si>
    <r>
      <t>c</t>
    </r>
    <r>
      <rPr>
        <vertAlign val="subscript"/>
        <sz val="11"/>
        <rFont val="Calibri"/>
        <family val="2"/>
        <scheme val="minor"/>
      </rPr>
      <t>min,d</t>
    </r>
  </si>
  <si>
    <t>Conversion coefficient between minutes and days</t>
  </si>
  <si>
    <r>
      <t>min.d</t>
    </r>
    <r>
      <rPr>
        <vertAlign val="superscript"/>
        <sz val="11"/>
        <rFont val="Calibri"/>
        <family val="2"/>
        <scheme val="minor"/>
      </rPr>
      <t>-1</t>
    </r>
  </si>
  <si>
    <r>
      <t>c</t>
    </r>
    <r>
      <rPr>
        <vertAlign val="subscript"/>
        <sz val="11"/>
        <rFont val="Calibri"/>
        <family val="2"/>
        <scheme val="minor"/>
      </rPr>
      <t>d,w</t>
    </r>
  </si>
  <si>
    <t>Conversion coefficient between days and weeks</t>
  </si>
  <si>
    <r>
      <t>d.w</t>
    </r>
    <r>
      <rPr>
        <vertAlign val="superscript"/>
        <sz val="11"/>
        <rFont val="Calibri"/>
        <family val="2"/>
        <scheme val="minor"/>
      </rPr>
      <t>-1</t>
    </r>
  </si>
  <si>
    <r>
      <t>c</t>
    </r>
    <r>
      <rPr>
        <vertAlign val="subscript"/>
        <sz val="11"/>
        <rFont val="Calibri"/>
        <family val="2"/>
        <scheme val="minor"/>
      </rPr>
      <t>d,mon</t>
    </r>
  </si>
  <si>
    <t>Conversion coefficient between days and month</t>
  </si>
  <si>
    <r>
      <t>d.mon</t>
    </r>
    <r>
      <rPr>
        <vertAlign val="superscript"/>
        <sz val="11"/>
        <rFont val="Calibri"/>
        <family val="2"/>
        <scheme val="minor"/>
      </rPr>
      <t>-1</t>
    </r>
  </si>
  <si>
    <r>
      <t>c</t>
    </r>
    <r>
      <rPr>
        <vertAlign val="subscript"/>
        <sz val="11"/>
        <rFont val="Calibri"/>
        <family val="2"/>
        <scheme val="minor"/>
      </rPr>
      <t>d,y</t>
    </r>
  </si>
  <si>
    <t>Conversion coefficient between days and years</t>
  </si>
  <si>
    <r>
      <t>d.y</t>
    </r>
    <r>
      <rPr>
        <vertAlign val="superscript"/>
        <sz val="11"/>
        <rFont val="Calibri"/>
        <family val="2"/>
        <scheme val="minor"/>
      </rPr>
      <t>-1</t>
    </r>
  </si>
  <si>
    <r>
      <t>c</t>
    </r>
    <r>
      <rPr>
        <vertAlign val="subscript"/>
        <sz val="11"/>
        <rFont val="Calibri"/>
        <family val="2"/>
        <scheme val="minor"/>
      </rPr>
      <t>g,ton</t>
    </r>
  </si>
  <si>
    <t>Conversion coefficient between grams and ton</t>
  </si>
  <si>
    <r>
      <t>g.ton</t>
    </r>
    <r>
      <rPr>
        <vertAlign val="superscript"/>
        <sz val="11"/>
        <rFont val="Calibri"/>
        <family val="2"/>
        <scheme val="minor"/>
      </rPr>
      <t>-1</t>
    </r>
  </si>
  <si>
    <r>
      <t>c</t>
    </r>
    <r>
      <rPr>
        <vertAlign val="subscript"/>
        <sz val="11"/>
        <rFont val="Calibri"/>
        <family val="2"/>
        <scheme val="minor"/>
      </rPr>
      <t>W,kW</t>
    </r>
  </si>
  <si>
    <r>
      <t>kW.MW</t>
    </r>
    <r>
      <rPr>
        <vertAlign val="superscript"/>
        <sz val="11"/>
        <rFont val="Calibri"/>
        <family val="2"/>
        <scheme val="minor"/>
      </rPr>
      <t>-1</t>
    </r>
  </si>
  <si>
    <r>
      <t>c</t>
    </r>
    <r>
      <rPr>
        <vertAlign val="subscript"/>
        <sz val="11"/>
        <rFont val="Calibri"/>
        <family val="2"/>
        <scheme val="minor"/>
      </rPr>
      <t>Pa,MPa</t>
    </r>
  </si>
  <si>
    <t>Conversion coefficient between pascal and megapascal</t>
  </si>
  <si>
    <r>
      <t>Pa.MPa</t>
    </r>
    <r>
      <rPr>
        <vertAlign val="superscript"/>
        <sz val="11"/>
        <rFont val="Calibri"/>
        <family val="2"/>
        <scheme val="minor"/>
      </rPr>
      <t>-1</t>
    </r>
  </si>
  <si>
    <r>
      <t>c</t>
    </r>
    <r>
      <rPr>
        <vertAlign val="subscript"/>
        <sz val="11"/>
        <rFont val="Calibri"/>
        <family val="2"/>
        <scheme val="minor"/>
      </rPr>
      <t>Pa,mbar</t>
    </r>
  </si>
  <si>
    <t>Conversion coefficient between pascal and milibar</t>
  </si>
  <si>
    <r>
      <t>Pa.mbar</t>
    </r>
    <r>
      <rPr>
        <vertAlign val="superscript"/>
        <sz val="11"/>
        <rFont val="Calibri"/>
        <family val="2"/>
        <scheme val="minor"/>
      </rPr>
      <t>-1</t>
    </r>
  </si>
  <si>
    <r>
      <t>c</t>
    </r>
    <r>
      <rPr>
        <vertAlign val="subscript"/>
        <sz val="11"/>
        <rFont val="Calibri"/>
        <family val="2"/>
        <scheme val="minor"/>
      </rPr>
      <t>micron,m</t>
    </r>
  </si>
  <si>
    <t>Conversion coefficient between microns and meters</t>
  </si>
  <si>
    <r>
      <t>micron.m</t>
    </r>
    <r>
      <rPr>
        <vertAlign val="superscript"/>
        <sz val="11"/>
        <rFont val="Calibri"/>
        <family val="2"/>
        <scheme val="minor"/>
      </rPr>
      <t>-1</t>
    </r>
  </si>
  <si>
    <r>
      <t>c</t>
    </r>
    <r>
      <rPr>
        <vertAlign val="subscript"/>
        <sz val="11"/>
        <rFont val="Calibri"/>
        <family val="2"/>
        <scheme val="minor"/>
      </rPr>
      <t>mm,m</t>
    </r>
  </si>
  <si>
    <t>Conversion coefficient between milimeters and meters</t>
  </si>
  <si>
    <r>
      <t>mm.m</t>
    </r>
    <r>
      <rPr>
        <vertAlign val="superscript"/>
        <sz val="11"/>
        <rFont val="Calibri"/>
        <family val="2"/>
        <scheme val="minor"/>
      </rPr>
      <t>-1</t>
    </r>
  </si>
  <si>
    <r>
      <t>cm.m</t>
    </r>
    <r>
      <rPr>
        <vertAlign val="superscript"/>
        <sz val="11"/>
        <rFont val="Calibri"/>
        <family val="2"/>
        <scheme val="minor"/>
      </rPr>
      <t>-1</t>
    </r>
  </si>
  <si>
    <r>
      <t>c</t>
    </r>
    <r>
      <rPr>
        <vertAlign val="subscript"/>
        <sz val="11"/>
        <rFont val="Calibri"/>
        <family val="2"/>
        <scheme val="minor"/>
      </rPr>
      <t>MG,m3</t>
    </r>
  </si>
  <si>
    <t>Conversion coefficient between million gallons and cubic meters</t>
  </si>
  <si>
    <r>
      <t>MG.m</t>
    </r>
    <r>
      <rPr>
        <vertAlign val="superscript"/>
        <sz val="11"/>
        <rFont val="Calibri"/>
        <family val="2"/>
        <scheme val="minor"/>
      </rPr>
      <t>-3</t>
    </r>
  </si>
  <si>
    <r>
      <t>c</t>
    </r>
    <r>
      <rPr>
        <vertAlign val="subscript"/>
        <sz val="11"/>
        <rFont val="Calibri"/>
        <family val="2"/>
        <scheme val="minor"/>
      </rPr>
      <t>G,m3</t>
    </r>
  </si>
  <si>
    <t>Conversion coefficient between gallons and cubic meters</t>
  </si>
  <si>
    <r>
      <t>G.m</t>
    </r>
    <r>
      <rPr>
        <vertAlign val="superscript"/>
        <sz val="11"/>
        <rFont val="Calibri"/>
        <family val="2"/>
        <scheme val="minor"/>
      </rPr>
      <t>-3</t>
    </r>
  </si>
  <si>
    <r>
      <t>c</t>
    </r>
    <r>
      <rPr>
        <vertAlign val="subscript"/>
        <sz val="11"/>
        <rFont val="Calibri"/>
        <family val="2"/>
        <scheme val="minor"/>
      </rPr>
      <t>lbs,g</t>
    </r>
  </si>
  <si>
    <t>Conversion coefficient between lbs and g</t>
  </si>
  <si>
    <r>
      <t>lbs.g</t>
    </r>
    <r>
      <rPr>
        <vertAlign val="superscript"/>
        <sz val="11"/>
        <rFont val="Calibri"/>
        <family val="2"/>
        <scheme val="minor"/>
      </rPr>
      <t>-1</t>
    </r>
  </si>
  <si>
    <r>
      <t>c</t>
    </r>
    <r>
      <rPr>
        <vertAlign val="subscript"/>
        <sz val="11"/>
        <rFont val="Calibri"/>
        <family val="2"/>
        <scheme val="minor"/>
      </rPr>
      <t>ft3,m3</t>
    </r>
  </si>
  <si>
    <t>Conversion coefficient between cubic feet and cubic meters</t>
  </si>
  <si>
    <r>
      <t>ft</t>
    </r>
    <r>
      <rPr>
        <vertAlign val="superscript"/>
        <sz val="11"/>
        <rFont val="Calibri"/>
        <family val="2"/>
        <scheme val="minor"/>
      </rPr>
      <t>3</t>
    </r>
    <r>
      <rPr>
        <sz val="11"/>
        <rFont val="Calibri"/>
        <family val="2"/>
        <scheme val="minor"/>
      </rPr>
      <t>.m</t>
    </r>
    <r>
      <rPr>
        <vertAlign val="superscript"/>
        <sz val="11"/>
        <rFont val="Calibri"/>
        <family val="2"/>
        <scheme val="minor"/>
      </rPr>
      <t>-3</t>
    </r>
  </si>
  <si>
    <r>
      <t>c</t>
    </r>
    <r>
      <rPr>
        <vertAlign val="subscript"/>
        <sz val="11"/>
        <rFont val="Calibri"/>
        <family val="2"/>
        <scheme val="minor"/>
      </rPr>
      <t>ft2,m2</t>
    </r>
  </si>
  <si>
    <t>Conversion coefficient between square feet and square meters</t>
  </si>
  <si>
    <r>
      <t>ft</t>
    </r>
    <r>
      <rPr>
        <vertAlign val="superscript"/>
        <sz val="11"/>
        <rFont val="Calibri"/>
        <family val="2"/>
        <scheme val="minor"/>
      </rPr>
      <t>2</t>
    </r>
    <r>
      <rPr>
        <sz val="11"/>
        <rFont val="Calibri"/>
        <family val="2"/>
        <scheme val="minor"/>
      </rPr>
      <t>.m</t>
    </r>
    <r>
      <rPr>
        <vertAlign val="superscript"/>
        <sz val="11"/>
        <rFont val="Calibri"/>
        <family val="2"/>
        <scheme val="minor"/>
      </rPr>
      <t>-2</t>
    </r>
  </si>
  <si>
    <r>
      <t>c</t>
    </r>
    <r>
      <rPr>
        <vertAlign val="subscript"/>
        <sz val="11"/>
        <rFont val="Calibri"/>
        <family val="2"/>
        <scheme val="minor"/>
      </rPr>
      <t>ft,m</t>
    </r>
  </si>
  <si>
    <t>Conversion coefficient between foot and meters</t>
  </si>
  <si>
    <r>
      <t>ft.m</t>
    </r>
    <r>
      <rPr>
        <vertAlign val="superscript"/>
        <sz val="11"/>
        <rFont val="Calibri"/>
        <family val="2"/>
        <scheme val="minor"/>
      </rPr>
      <t>-1</t>
    </r>
  </si>
  <si>
    <t>Standard enthalpy of phosphoric acid</t>
  </si>
  <si>
    <r>
      <t>dH</t>
    </r>
    <r>
      <rPr>
        <vertAlign val="subscript"/>
        <sz val="11"/>
        <rFont val="Calibri"/>
        <family val="2"/>
        <scheme val="minor"/>
      </rPr>
      <t>diss,Prop</t>
    </r>
  </si>
  <si>
    <t>Standard enthalpy change of propionate dissociation</t>
  </si>
  <si>
    <t>NIST</t>
  </si>
  <si>
    <r>
      <t>dH</t>
    </r>
    <r>
      <rPr>
        <vertAlign val="subscript"/>
        <sz val="11"/>
        <rFont val="Calibri"/>
        <family val="2"/>
        <scheme val="minor"/>
      </rPr>
      <t>diss,But</t>
    </r>
  </si>
  <si>
    <t>Standard enthalpy change of butyrate dissociation</t>
  </si>
  <si>
    <r>
      <t>dH</t>
    </r>
    <r>
      <rPr>
        <vertAlign val="subscript"/>
        <sz val="11"/>
        <rFont val="Calibri"/>
        <family val="2"/>
        <scheme val="minor"/>
      </rPr>
      <t>diss,Val</t>
    </r>
  </si>
  <si>
    <t>Standard enthalpy change of valerate dissociation</t>
  </si>
  <si>
    <r>
      <t>D</t>
    </r>
    <r>
      <rPr>
        <vertAlign val="subscript"/>
        <sz val="11"/>
        <rFont val="Calibri"/>
        <family val="2"/>
        <charset val="238"/>
        <scheme val="minor"/>
      </rPr>
      <t>SNH2OH</t>
    </r>
  </si>
  <si>
    <t>Diffusion coefficient of NH2OH</t>
  </si>
  <si>
    <r>
      <t>D</t>
    </r>
    <r>
      <rPr>
        <vertAlign val="subscript"/>
        <sz val="11"/>
        <rFont val="Calibri"/>
        <family val="2"/>
        <charset val="238"/>
        <scheme val="minor"/>
      </rPr>
      <t>SNO</t>
    </r>
  </si>
  <si>
    <r>
      <t>D</t>
    </r>
    <r>
      <rPr>
        <vertAlign val="subscript"/>
        <sz val="11"/>
        <rFont val="Calibri"/>
        <family val="2"/>
        <charset val="238"/>
        <scheme val="minor"/>
      </rPr>
      <t>SN2O</t>
    </r>
  </si>
  <si>
    <t>Diffusion coefficient of N2O</t>
  </si>
  <si>
    <r>
      <t>D</t>
    </r>
    <r>
      <rPr>
        <vertAlign val="subscript"/>
        <sz val="11"/>
        <rFont val="Calibri"/>
        <family val="2"/>
        <charset val="238"/>
        <scheme val="minor"/>
      </rPr>
      <t>SO</t>
    </r>
  </si>
  <si>
    <r>
      <t>D</t>
    </r>
    <r>
      <rPr>
        <vertAlign val="subscript"/>
        <sz val="11"/>
        <rFont val="Calibri"/>
        <family val="2"/>
        <charset val="238"/>
        <scheme val="minor"/>
      </rPr>
      <t>SHCO</t>
    </r>
  </si>
  <si>
    <r>
      <t>X</t>
    </r>
    <r>
      <rPr>
        <vertAlign val="subscript"/>
        <sz val="11"/>
        <rFont val="Calibri"/>
        <family val="2"/>
        <scheme val="minor"/>
      </rPr>
      <t>CaCO3</t>
    </r>
    <r>
      <rPr>
        <sz val="11"/>
        <rFont val="Calibri"/>
        <family val="2"/>
        <scheme val="minor"/>
      </rPr>
      <t>+X</t>
    </r>
    <r>
      <rPr>
        <vertAlign val="subscript"/>
        <sz val="11"/>
        <rFont val="Calibri"/>
        <family val="2"/>
        <scheme val="minor"/>
      </rPr>
      <t>ACP</t>
    </r>
    <r>
      <rPr>
        <sz val="11"/>
        <rFont val="Calibri"/>
        <family val="2"/>
        <scheme val="minor"/>
      </rPr>
      <t>+X</t>
    </r>
    <r>
      <rPr>
        <vertAlign val="subscript"/>
        <sz val="11"/>
        <rFont val="Calibri"/>
        <family val="2"/>
        <scheme val="minor"/>
      </rPr>
      <t>STR</t>
    </r>
    <r>
      <rPr>
        <sz val="11"/>
        <rFont val="Calibri"/>
        <family val="2"/>
        <scheme val="minor"/>
      </rPr>
      <t>+X</t>
    </r>
    <r>
      <rPr>
        <vertAlign val="subscript"/>
        <sz val="11"/>
        <rFont val="Calibri"/>
        <family val="2"/>
        <scheme val="minor"/>
      </rPr>
      <t>Vivi</t>
    </r>
    <r>
      <rPr>
        <sz val="11"/>
        <rFont val="Calibri"/>
        <family val="2"/>
        <scheme val="minor"/>
      </rPr>
      <t>+X</t>
    </r>
    <r>
      <rPr>
        <vertAlign val="subscript"/>
        <sz val="11"/>
        <rFont val="Calibri"/>
        <family val="2"/>
        <scheme val="minor"/>
      </rPr>
      <t>FeS</t>
    </r>
    <r>
      <rPr>
        <sz val="11"/>
        <rFont val="Calibri"/>
        <family val="2"/>
        <scheme val="minor"/>
      </rPr>
      <t>+X</t>
    </r>
    <r>
      <rPr>
        <vertAlign val="subscript"/>
        <sz val="11"/>
        <rFont val="Calibri"/>
        <family val="2"/>
        <scheme val="minor"/>
      </rPr>
      <t>BSH</t>
    </r>
  </si>
  <si>
    <r>
      <t>(1-f</t>
    </r>
    <r>
      <rPr>
        <vertAlign val="subscript"/>
        <sz val="11"/>
        <rFont val="Calibri"/>
        <family val="2"/>
        <scheme val="minor"/>
      </rPr>
      <t>H2O,HFO,TSS</t>
    </r>
    <r>
      <rPr>
        <sz val="11"/>
        <rFont val="Calibri"/>
        <family val="2"/>
        <scheme val="minor"/>
      </rPr>
      <t>)*X</t>
    </r>
    <r>
      <rPr>
        <vertAlign val="subscript"/>
        <sz val="11"/>
        <rFont val="Calibri"/>
        <family val="2"/>
        <scheme val="minor"/>
      </rPr>
      <t>HFO</t>
    </r>
    <r>
      <rPr>
        <sz val="11"/>
        <rFont val="Calibri"/>
        <family val="2"/>
        <scheme val="minor"/>
      </rPr>
      <t>*MM</t>
    </r>
    <r>
      <rPr>
        <vertAlign val="subscript"/>
        <sz val="11"/>
        <rFont val="Calibri"/>
        <family val="2"/>
        <scheme val="minor"/>
      </rPr>
      <t>FeOH3</t>
    </r>
    <r>
      <rPr>
        <sz val="11"/>
        <rFont val="Calibri"/>
        <family val="2"/>
        <scheme val="minor"/>
      </rPr>
      <t>/AM</t>
    </r>
    <r>
      <rPr>
        <vertAlign val="subscript"/>
        <sz val="11"/>
        <rFont val="Calibri"/>
        <family val="2"/>
        <scheme val="minor"/>
      </rPr>
      <t>Fe</t>
    </r>
    <r>
      <rPr>
        <sz val="11"/>
        <rFont val="Calibri"/>
        <family val="2"/>
        <scheme val="minor"/>
      </rPr>
      <t>+ (X</t>
    </r>
    <r>
      <rPr>
        <vertAlign val="subscript"/>
        <sz val="11"/>
        <rFont val="Calibri"/>
        <family val="2"/>
        <scheme val="minor"/>
      </rPr>
      <t>HFO,L,P</t>
    </r>
    <r>
      <rPr>
        <sz val="11"/>
        <rFont val="Calibri"/>
        <family val="2"/>
        <scheme val="minor"/>
      </rPr>
      <t>+X</t>
    </r>
    <r>
      <rPr>
        <vertAlign val="subscript"/>
        <sz val="11"/>
        <rFont val="Calibri"/>
        <family val="2"/>
        <scheme val="minor"/>
      </rPr>
      <t>HFO,L,P,old</t>
    </r>
    <r>
      <rPr>
        <sz val="11"/>
        <rFont val="Calibri"/>
        <family val="2"/>
        <scheme val="minor"/>
      </rPr>
      <t>)*ASF</t>
    </r>
    <r>
      <rPr>
        <vertAlign val="subscript"/>
        <sz val="11"/>
        <rFont val="Calibri"/>
        <family val="2"/>
        <scheme val="minor"/>
      </rPr>
      <t>HFO,L</t>
    </r>
    <r>
      <rPr>
        <sz val="11"/>
        <rFont val="Calibri"/>
        <family val="2"/>
        <scheme val="minor"/>
      </rPr>
      <t>*(MM</t>
    </r>
    <r>
      <rPr>
        <vertAlign val="subscript"/>
        <sz val="11"/>
        <rFont val="Calibri"/>
        <family val="2"/>
        <scheme val="minor"/>
      </rPr>
      <t>PO4</t>
    </r>
    <r>
      <rPr>
        <sz val="11"/>
        <rFont val="Calibri"/>
        <family val="2"/>
        <scheme val="minor"/>
      </rPr>
      <t>/AM</t>
    </r>
    <r>
      <rPr>
        <vertAlign val="subscript"/>
        <sz val="11"/>
        <rFont val="Calibri"/>
        <family val="2"/>
        <scheme val="minor"/>
      </rPr>
      <t>Fe</t>
    </r>
    <r>
      <rPr>
        <sz val="11"/>
        <rFont val="Calibri"/>
        <family val="2"/>
        <scheme val="minor"/>
      </rPr>
      <t>)+(X</t>
    </r>
    <r>
      <rPr>
        <vertAlign val="subscript"/>
        <sz val="11"/>
        <rFont val="Calibri"/>
        <family val="2"/>
        <scheme val="minor"/>
      </rPr>
      <t>HFO,H,P</t>
    </r>
    <r>
      <rPr>
        <sz val="11"/>
        <rFont val="Calibri"/>
        <family val="2"/>
        <scheme val="minor"/>
      </rPr>
      <t>+X</t>
    </r>
    <r>
      <rPr>
        <vertAlign val="subscript"/>
        <sz val="11"/>
        <rFont val="Calibri"/>
        <family val="2"/>
        <scheme val="minor"/>
      </rPr>
      <t>HFO,H,P,old</t>
    </r>
    <r>
      <rPr>
        <sz val="11"/>
        <rFont val="Calibri"/>
        <family val="2"/>
        <scheme val="minor"/>
      </rPr>
      <t>)*ASF</t>
    </r>
    <r>
      <rPr>
        <vertAlign val="subscript"/>
        <sz val="11"/>
        <rFont val="Calibri"/>
        <family val="2"/>
        <scheme val="minor"/>
      </rPr>
      <t>HFO,H</t>
    </r>
    <r>
      <rPr>
        <sz val="11"/>
        <rFont val="Calibri"/>
        <family val="2"/>
        <scheme val="minor"/>
      </rPr>
      <t>*(MM</t>
    </r>
    <r>
      <rPr>
        <vertAlign val="subscript"/>
        <sz val="11"/>
        <rFont val="Calibri"/>
        <family val="2"/>
        <scheme val="minor"/>
      </rPr>
      <t>PO4</t>
    </r>
    <r>
      <rPr>
        <sz val="11"/>
        <rFont val="Calibri"/>
        <family val="2"/>
        <scheme val="minor"/>
      </rPr>
      <t>/AM</t>
    </r>
    <r>
      <rPr>
        <vertAlign val="subscript"/>
        <sz val="11"/>
        <rFont val="Calibri"/>
        <family val="2"/>
        <scheme val="minor"/>
      </rPr>
      <t>Fe</t>
    </r>
    <r>
      <rPr>
        <sz val="11"/>
        <rFont val="Calibri"/>
        <family val="2"/>
        <scheme val="minor"/>
      </rPr>
      <t>)</t>
    </r>
  </si>
  <si>
    <r>
      <t>(1-f</t>
    </r>
    <r>
      <rPr>
        <vertAlign val="subscript"/>
        <sz val="11"/>
        <rFont val="Calibri"/>
        <family val="2"/>
        <scheme val="minor"/>
      </rPr>
      <t>H2O,HAO,TSS</t>
    </r>
    <r>
      <rPr>
        <sz val="11"/>
        <rFont val="Calibri"/>
        <family val="2"/>
        <scheme val="minor"/>
      </rPr>
      <t>)*X</t>
    </r>
    <r>
      <rPr>
        <vertAlign val="subscript"/>
        <sz val="11"/>
        <rFont val="Calibri"/>
        <family val="2"/>
        <scheme val="minor"/>
      </rPr>
      <t>HAO</t>
    </r>
    <r>
      <rPr>
        <sz val="11"/>
        <rFont val="Calibri"/>
        <family val="2"/>
        <scheme val="minor"/>
      </rPr>
      <t>*MM</t>
    </r>
    <r>
      <rPr>
        <vertAlign val="subscript"/>
        <sz val="11"/>
        <rFont val="Calibri"/>
        <family val="2"/>
        <scheme val="minor"/>
      </rPr>
      <t>AlOH3</t>
    </r>
    <r>
      <rPr>
        <sz val="11"/>
        <rFont val="Calibri"/>
        <family val="2"/>
        <scheme val="minor"/>
      </rPr>
      <t>/AM</t>
    </r>
    <r>
      <rPr>
        <vertAlign val="subscript"/>
        <sz val="11"/>
        <rFont val="Calibri"/>
        <family val="2"/>
        <scheme val="minor"/>
      </rPr>
      <t>Al</t>
    </r>
    <r>
      <rPr>
        <sz val="11"/>
        <rFont val="Calibri"/>
        <family val="2"/>
        <scheme val="minor"/>
      </rPr>
      <t>+ (X</t>
    </r>
    <r>
      <rPr>
        <vertAlign val="subscript"/>
        <sz val="11"/>
        <rFont val="Calibri"/>
        <family val="2"/>
        <scheme val="minor"/>
      </rPr>
      <t>HAO,L,P</t>
    </r>
    <r>
      <rPr>
        <sz val="11"/>
        <rFont val="Calibri"/>
        <family val="2"/>
        <scheme val="minor"/>
      </rPr>
      <t>+X</t>
    </r>
    <r>
      <rPr>
        <vertAlign val="subscript"/>
        <sz val="11"/>
        <rFont val="Calibri"/>
        <family val="2"/>
        <scheme val="minor"/>
      </rPr>
      <t>HAO,L,P,old</t>
    </r>
    <r>
      <rPr>
        <sz val="11"/>
        <rFont val="Calibri"/>
        <family val="2"/>
        <scheme val="minor"/>
      </rPr>
      <t>)*ASF</t>
    </r>
    <r>
      <rPr>
        <vertAlign val="subscript"/>
        <sz val="11"/>
        <rFont val="Calibri"/>
        <family val="2"/>
        <scheme val="minor"/>
      </rPr>
      <t>HAO,L</t>
    </r>
    <r>
      <rPr>
        <sz val="11"/>
        <rFont val="Calibri"/>
        <family val="2"/>
        <scheme val="minor"/>
      </rPr>
      <t>*(MM</t>
    </r>
    <r>
      <rPr>
        <vertAlign val="subscript"/>
        <sz val="11"/>
        <rFont val="Calibri"/>
        <family val="2"/>
        <scheme val="minor"/>
      </rPr>
      <t>PO4</t>
    </r>
    <r>
      <rPr>
        <sz val="11"/>
        <rFont val="Calibri"/>
        <family val="2"/>
        <scheme val="minor"/>
      </rPr>
      <t>/AM</t>
    </r>
    <r>
      <rPr>
        <vertAlign val="subscript"/>
        <sz val="11"/>
        <rFont val="Calibri"/>
        <family val="2"/>
        <scheme val="minor"/>
      </rPr>
      <t>Al</t>
    </r>
    <r>
      <rPr>
        <sz val="11"/>
        <rFont val="Calibri"/>
        <family val="2"/>
        <scheme val="minor"/>
      </rPr>
      <t>) +(X</t>
    </r>
    <r>
      <rPr>
        <vertAlign val="subscript"/>
        <sz val="11"/>
        <rFont val="Calibri"/>
        <family val="2"/>
        <scheme val="minor"/>
      </rPr>
      <t>HAO,H,P</t>
    </r>
    <r>
      <rPr>
        <sz val="11"/>
        <rFont val="Calibri"/>
        <family val="2"/>
        <scheme val="minor"/>
      </rPr>
      <t>+X</t>
    </r>
    <r>
      <rPr>
        <vertAlign val="subscript"/>
        <sz val="11"/>
        <rFont val="Calibri"/>
        <family val="2"/>
        <scheme val="minor"/>
      </rPr>
      <t>HAO,H,P,old</t>
    </r>
    <r>
      <rPr>
        <sz val="11"/>
        <rFont val="Calibri"/>
        <family val="2"/>
        <scheme val="minor"/>
      </rPr>
      <t>)*ASF</t>
    </r>
    <r>
      <rPr>
        <vertAlign val="subscript"/>
        <sz val="11"/>
        <rFont val="Calibri"/>
        <family val="2"/>
        <scheme val="minor"/>
      </rPr>
      <t>HAO,H</t>
    </r>
    <r>
      <rPr>
        <sz val="11"/>
        <rFont val="Calibri"/>
        <family val="2"/>
        <scheme val="minor"/>
      </rPr>
      <t>*(MM</t>
    </r>
    <r>
      <rPr>
        <vertAlign val="subscript"/>
        <sz val="11"/>
        <rFont val="Calibri"/>
        <family val="2"/>
        <scheme val="minor"/>
      </rPr>
      <t>PO4</t>
    </r>
    <r>
      <rPr>
        <sz val="11"/>
        <rFont val="Calibri"/>
        <family val="2"/>
        <scheme val="minor"/>
      </rPr>
      <t>/AM</t>
    </r>
    <r>
      <rPr>
        <vertAlign val="subscript"/>
        <sz val="11"/>
        <rFont val="Calibri"/>
        <family val="2"/>
        <scheme val="minor"/>
      </rPr>
      <t>Al</t>
    </r>
    <r>
      <rPr>
        <sz val="11"/>
        <rFont val="Calibri"/>
        <family val="2"/>
        <scheme val="minor"/>
      </rPr>
      <t>)</t>
    </r>
  </si>
  <si>
    <r>
      <t>X</t>
    </r>
    <r>
      <rPr>
        <vertAlign val="subscript"/>
        <sz val="11"/>
        <rFont val="Calibri"/>
        <family val="2"/>
        <scheme val="minor"/>
      </rPr>
      <t>HAO,TSS</t>
    </r>
  </si>
  <si>
    <t>Total HAOs in TSS unit</t>
  </si>
  <si>
    <r>
      <t>X</t>
    </r>
    <r>
      <rPr>
        <vertAlign val="subscript"/>
        <sz val="11"/>
        <rFont val="Calibri"/>
        <family val="2"/>
        <scheme val="minor"/>
      </rPr>
      <t>HFO,TSS</t>
    </r>
    <r>
      <rPr>
        <sz val="11"/>
        <rFont val="Calibri"/>
        <family val="2"/>
        <scheme val="minor"/>
      </rPr>
      <t>+X</t>
    </r>
    <r>
      <rPr>
        <vertAlign val="subscript"/>
        <sz val="11"/>
        <rFont val="Calibri"/>
        <family val="2"/>
        <scheme val="minor"/>
      </rPr>
      <t>HAO,TSS</t>
    </r>
  </si>
  <si>
    <r>
      <t>X</t>
    </r>
    <r>
      <rPr>
        <vertAlign val="subscript"/>
        <sz val="11"/>
        <rFont val="Calibri"/>
        <family val="2"/>
        <scheme val="minor"/>
      </rPr>
      <t>HAO</t>
    </r>
  </si>
  <si>
    <t>Total HAOs</t>
  </si>
  <si>
    <r>
      <t>X</t>
    </r>
    <r>
      <rPr>
        <vertAlign val="subscript"/>
        <sz val="11"/>
        <rFont val="Calibri"/>
        <family val="2"/>
        <scheme val="minor"/>
      </rPr>
      <t>HAO,H</t>
    </r>
    <r>
      <rPr>
        <sz val="11"/>
        <rFont val="Calibri"/>
        <family val="2"/>
        <scheme val="minor"/>
      </rPr>
      <t>+X</t>
    </r>
    <r>
      <rPr>
        <vertAlign val="subscript"/>
        <sz val="11"/>
        <rFont val="Calibri"/>
        <family val="2"/>
        <scheme val="minor"/>
      </rPr>
      <t>HAO,L</t>
    </r>
    <r>
      <rPr>
        <sz val="11"/>
        <rFont val="Calibri"/>
        <family val="2"/>
        <scheme val="minor"/>
      </rPr>
      <t>+X</t>
    </r>
    <r>
      <rPr>
        <vertAlign val="subscript"/>
        <sz val="11"/>
        <rFont val="Calibri"/>
        <family val="2"/>
        <scheme val="minor"/>
      </rPr>
      <t>HAO,L,P</t>
    </r>
    <r>
      <rPr>
        <sz val="11"/>
        <rFont val="Calibri"/>
        <family val="2"/>
        <scheme val="minor"/>
      </rPr>
      <t>+X</t>
    </r>
    <r>
      <rPr>
        <vertAlign val="subscript"/>
        <sz val="11"/>
        <rFont val="Calibri"/>
        <family val="2"/>
        <scheme val="minor"/>
      </rPr>
      <t>HAO,H,P</t>
    </r>
    <r>
      <rPr>
        <sz val="11"/>
        <rFont val="Calibri"/>
        <family val="2"/>
        <scheme val="minor"/>
      </rPr>
      <t>+X</t>
    </r>
    <r>
      <rPr>
        <vertAlign val="subscript"/>
        <sz val="11"/>
        <rFont val="Calibri"/>
        <family val="2"/>
        <scheme val="minor"/>
      </rPr>
      <t>HAO,old</t>
    </r>
    <r>
      <rPr>
        <sz val="11"/>
        <rFont val="Calibri"/>
        <family val="2"/>
        <scheme val="minor"/>
      </rPr>
      <t>+X</t>
    </r>
    <r>
      <rPr>
        <vertAlign val="subscript"/>
        <sz val="11"/>
        <rFont val="Calibri"/>
        <family val="2"/>
        <scheme val="minor"/>
      </rPr>
      <t>HAO,L,P,old</t>
    </r>
    <r>
      <rPr>
        <sz val="11"/>
        <rFont val="Calibri"/>
        <family val="2"/>
        <scheme val="minor"/>
      </rPr>
      <t>+X</t>
    </r>
    <r>
      <rPr>
        <vertAlign val="subscript"/>
        <sz val="11"/>
        <rFont val="Calibri"/>
        <family val="2"/>
        <scheme val="minor"/>
      </rPr>
      <t>HAO,H,P,old</t>
    </r>
  </si>
  <si>
    <r>
      <t>g Al.m</t>
    </r>
    <r>
      <rPr>
        <vertAlign val="superscript"/>
        <sz val="11"/>
        <rFont val="Calibri"/>
        <family val="2"/>
        <scheme val="minor"/>
      </rPr>
      <t>-3</t>
    </r>
  </si>
  <si>
    <r>
      <t>(X</t>
    </r>
    <r>
      <rPr>
        <vertAlign val="subscript"/>
        <sz val="11"/>
        <rFont val="Calibri"/>
        <family val="2"/>
        <scheme val="minor"/>
      </rPr>
      <t>HFO,L,P</t>
    </r>
    <r>
      <rPr>
        <sz val="11"/>
        <rFont val="Calibri"/>
        <family val="2"/>
        <scheme val="minor"/>
      </rPr>
      <t>+X</t>
    </r>
    <r>
      <rPr>
        <vertAlign val="subscript"/>
        <sz val="11"/>
        <rFont val="Calibri"/>
        <family val="2"/>
        <scheme val="minor"/>
      </rPr>
      <t>HFO,L,P,old</t>
    </r>
    <r>
      <rPr>
        <sz val="11"/>
        <rFont val="Calibri"/>
        <family val="2"/>
        <scheme val="minor"/>
      </rPr>
      <t>)*ASF</t>
    </r>
    <r>
      <rPr>
        <vertAlign val="subscript"/>
        <sz val="11"/>
        <rFont val="Calibri"/>
        <family val="2"/>
        <scheme val="minor"/>
      </rPr>
      <t>HFO,L</t>
    </r>
    <r>
      <rPr>
        <sz val="11"/>
        <rFont val="Calibri"/>
        <family val="2"/>
        <scheme val="minor"/>
      </rPr>
      <t>*(AM</t>
    </r>
    <r>
      <rPr>
        <vertAlign val="subscript"/>
        <sz val="11"/>
        <rFont val="Calibri"/>
        <family val="2"/>
        <scheme val="minor"/>
      </rPr>
      <t>P</t>
    </r>
    <r>
      <rPr>
        <sz val="11"/>
        <rFont val="Calibri"/>
        <family val="2"/>
        <scheme val="minor"/>
      </rPr>
      <t>/AM</t>
    </r>
    <r>
      <rPr>
        <vertAlign val="subscript"/>
        <sz val="11"/>
        <rFont val="Calibri"/>
        <family val="2"/>
        <scheme val="minor"/>
      </rPr>
      <t>Fe</t>
    </r>
    <r>
      <rPr>
        <sz val="11"/>
        <rFont val="Calibri"/>
        <family val="2"/>
        <scheme val="minor"/>
      </rPr>
      <t>)+(X</t>
    </r>
    <r>
      <rPr>
        <vertAlign val="subscript"/>
        <sz val="11"/>
        <rFont val="Calibri"/>
        <family val="2"/>
        <scheme val="minor"/>
      </rPr>
      <t>HFO,H,P</t>
    </r>
    <r>
      <rPr>
        <sz val="11"/>
        <rFont val="Calibri"/>
        <family val="2"/>
        <scheme val="minor"/>
      </rPr>
      <t>+X</t>
    </r>
    <r>
      <rPr>
        <vertAlign val="subscript"/>
        <sz val="11"/>
        <rFont val="Calibri"/>
        <family val="2"/>
        <scheme val="minor"/>
      </rPr>
      <t>HFO,H,P,old</t>
    </r>
    <r>
      <rPr>
        <sz val="11"/>
        <rFont val="Calibri"/>
        <family val="2"/>
        <scheme val="minor"/>
      </rPr>
      <t>)*ASF</t>
    </r>
    <r>
      <rPr>
        <vertAlign val="subscript"/>
        <sz val="11"/>
        <rFont val="Calibri"/>
        <family val="2"/>
        <scheme val="minor"/>
      </rPr>
      <t>HFO,H</t>
    </r>
    <r>
      <rPr>
        <sz val="11"/>
        <rFont val="Calibri"/>
        <family val="2"/>
        <scheme val="minor"/>
      </rPr>
      <t>*(AM</t>
    </r>
    <r>
      <rPr>
        <vertAlign val="subscript"/>
        <sz val="11"/>
        <rFont val="Calibri"/>
        <family val="2"/>
        <scheme val="minor"/>
      </rPr>
      <t>P</t>
    </r>
    <r>
      <rPr>
        <sz val="11"/>
        <rFont val="Calibri"/>
        <family val="2"/>
        <scheme val="minor"/>
      </rPr>
      <t>/AM</t>
    </r>
    <r>
      <rPr>
        <vertAlign val="subscript"/>
        <sz val="11"/>
        <rFont val="Calibri"/>
        <family val="2"/>
        <scheme val="minor"/>
      </rPr>
      <t>Fe</t>
    </r>
    <r>
      <rPr>
        <sz val="11"/>
        <rFont val="Calibri"/>
        <family val="2"/>
        <scheme val="minor"/>
      </rPr>
      <t>)</t>
    </r>
  </si>
  <si>
    <r>
      <t>X</t>
    </r>
    <r>
      <rPr>
        <vertAlign val="subscript"/>
        <sz val="11"/>
        <rFont val="Calibri"/>
        <family val="2"/>
        <scheme val="minor"/>
      </rPr>
      <t>HAO,P</t>
    </r>
  </si>
  <si>
    <t>Total phosphorus in HAOs</t>
  </si>
  <si>
    <r>
      <t>(X</t>
    </r>
    <r>
      <rPr>
        <vertAlign val="subscript"/>
        <sz val="11"/>
        <rFont val="Calibri"/>
        <family val="2"/>
        <scheme val="minor"/>
      </rPr>
      <t>HAO,L,P</t>
    </r>
    <r>
      <rPr>
        <sz val="11"/>
        <rFont val="Calibri"/>
        <family val="2"/>
        <scheme val="minor"/>
      </rPr>
      <t>+X</t>
    </r>
    <r>
      <rPr>
        <vertAlign val="subscript"/>
        <sz val="11"/>
        <rFont val="Calibri"/>
        <family val="2"/>
        <scheme val="minor"/>
      </rPr>
      <t>HAO,L,P,old</t>
    </r>
    <r>
      <rPr>
        <sz val="11"/>
        <rFont val="Calibri"/>
        <family val="2"/>
        <scheme val="minor"/>
      </rPr>
      <t>)*ASF</t>
    </r>
    <r>
      <rPr>
        <vertAlign val="subscript"/>
        <sz val="11"/>
        <rFont val="Calibri"/>
        <family val="2"/>
        <scheme val="minor"/>
      </rPr>
      <t>HAO,L</t>
    </r>
    <r>
      <rPr>
        <sz val="11"/>
        <rFont val="Calibri"/>
        <family val="2"/>
        <scheme val="minor"/>
      </rPr>
      <t>*(AM</t>
    </r>
    <r>
      <rPr>
        <vertAlign val="subscript"/>
        <sz val="11"/>
        <rFont val="Calibri"/>
        <family val="2"/>
        <scheme val="minor"/>
      </rPr>
      <t>P</t>
    </r>
    <r>
      <rPr>
        <sz val="11"/>
        <rFont val="Calibri"/>
        <family val="2"/>
        <scheme val="minor"/>
      </rPr>
      <t>/AM</t>
    </r>
    <r>
      <rPr>
        <vertAlign val="subscript"/>
        <sz val="11"/>
        <rFont val="Calibri"/>
        <family val="2"/>
        <scheme val="minor"/>
      </rPr>
      <t>Al</t>
    </r>
    <r>
      <rPr>
        <sz val="11"/>
        <rFont val="Calibri"/>
        <family val="2"/>
        <scheme val="minor"/>
      </rPr>
      <t>)+(X</t>
    </r>
    <r>
      <rPr>
        <vertAlign val="subscript"/>
        <sz val="11"/>
        <rFont val="Calibri"/>
        <family val="2"/>
        <scheme val="minor"/>
      </rPr>
      <t>HAO,H,P</t>
    </r>
    <r>
      <rPr>
        <sz val="11"/>
        <rFont val="Calibri"/>
        <family val="2"/>
        <scheme val="minor"/>
      </rPr>
      <t>+X</t>
    </r>
    <r>
      <rPr>
        <vertAlign val="subscript"/>
        <sz val="11"/>
        <rFont val="Calibri"/>
        <family val="2"/>
        <scheme val="minor"/>
      </rPr>
      <t>HAO,H,P,old</t>
    </r>
    <r>
      <rPr>
        <sz val="11"/>
        <rFont val="Calibri"/>
        <family val="2"/>
        <scheme val="minor"/>
      </rPr>
      <t>)*ASF</t>
    </r>
    <r>
      <rPr>
        <vertAlign val="subscript"/>
        <sz val="11"/>
        <rFont val="Calibri"/>
        <family val="2"/>
        <scheme val="minor"/>
      </rPr>
      <t>HAO,H</t>
    </r>
    <r>
      <rPr>
        <sz val="11"/>
        <rFont val="Calibri"/>
        <family val="2"/>
        <scheme val="minor"/>
      </rPr>
      <t>*(AM</t>
    </r>
    <r>
      <rPr>
        <vertAlign val="subscript"/>
        <sz val="11"/>
        <rFont val="Calibri"/>
        <family val="2"/>
        <scheme val="minor"/>
      </rPr>
      <t>P</t>
    </r>
    <r>
      <rPr>
        <sz val="11"/>
        <rFont val="Calibri"/>
        <family val="2"/>
        <scheme val="minor"/>
      </rPr>
      <t>/AM</t>
    </r>
    <r>
      <rPr>
        <vertAlign val="subscript"/>
        <sz val="11"/>
        <rFont val="Calibri"/>
        <family val="2"/>
        <scheme val="minor"/>
      </rPr>
      <t>Al</t>
    </r>
    <r>
      <rPr>
        <sz val="11"/>
        <rFont val="Calibri"/>
        <family val="2"/>
        <scheme val="minor"/>
      </rPr>
      <t>)</t>
    </r>
  </si>
  <si>
    <r>
      <t>T</t>
    </r>
    <r>
      <rPr>
        <vertAlign val="subscript"/>
        <sz val="11"/>
        <rFont val="Calibri"/>
        <family val="2"/>
        <scheme val="minor"/>
      </rPr>
      <t>Al</t>
    </r>
  </si>
  <si>
    <t>Total aluminium</t>
  </si>
  <si>
    <r>
      <t>X</t>
    </r>
    <r>
      <rPr>
        <vertAlign val="subscript"/>
        <sz val="11"/>
        <rFont val="Calibri"/>
        <family val="2"/>
        <scheme val="minor"/>
      </rPr>
      <t xml:space="preserve">HAO </t>
    </r>
  </si>
  <si>
    <r>
      <t>T</t>
    </r>
    <r>
      <rPr>
        <vertAlign val="subscript"/>
        <sz val="11"/>
        <rFont val="Calibri"/>
        <family val="2"/>
        <scheme val="minor"/>
      </rPr>
      <t>Ca</t>
    </r>
  </si>
  <si>
    <t>Total calcium</t>
  </si>
  <si>
    <r>
      <t>S</t>
    </r>
    <r>
      <rPr>
        <vertAlign val="subscript"/>
        <sz val="11"/>
        <rFont val="Calibri"/>
        <family val="2"/>
        <scheme val="minor"/>
      </rPr>
      <t>Ca</t>
    </r>
    <r>
      <rPr>
        <sz val="11"/>
        <rFont val="Calibri"/>
        <family val="2"/>
        <scheme val="minor"/>
      </rPr>
      <t>+i</t>
    </r>
    <r>
      <rPr>
        <vertAlign val="subscript"/>
        <sz val="11"/>
        <rFont val="Calibri"/>
        <family val="2"/>
        <scheme val="minor"/>
      </rPr>
      <t>Ca,PP</t>
    </r>
    <r>
      <rPr>
        <sz val="11"/>
        <rFont val="Calibri"/>
        <family val="2"/>
        <scheme val="minor"/>
      </rPr>
      <t>*AM</t>
    </r>
    <r>
      <rPr>
        <vertAlign val="subscript"/>
        <sz val="11"/>
        <rFont val="Calibri"/>
        <family val="2"/>
        <scheme val="minor"/>
      </rPr>
      <t>Ca</t>
    </r>
    <r>
      <rPr>
        <sz val="11"/>
        <rFont val="Calibri"/>
        <family val="2"/>
        <scheme val="minor"/>
      </rPr>
      <t>/AM</t>
    </r>
    <r>
      <rPr>
        <vertAlign val="subscript"/>
        <sz val="11"/>
        <rFont val="Calibri"/>
        <family val="2"/>
        <scheme val="minor"/>
      </rPr>
      <t>P</t>
    </r>
    <r>
      <rPr>
        <sz val="11"/>
        <rFont val="Calibri"/>
        <family val="2"/>
        <scheme val="minor"/>
      </rPr>
      <t>*X</t>
    </r>
    <r>
      <rPr>
        <vertAlign val="subscript"/>
        <sz val="11"/>
        <rFont val="Calibri"/>
        <family val="2"/>
        <scheme val="minor"/>
      </rPr>
      <t>PP</t>
    </r>
    <r>
      <rPr>
        <sz val="11"/>
        <rFont val="Calibri"/>
        <family val="2"/>
        <scheme val="minor"/>
      </rPr>
      <t>+i</t>
    </r>
    <r>
      <rPr>
        <vertAlign val="subscript"/>
        <sz val="11"/>
        <rFont val="Calibri"/>
        <family val="2"/>
        <scheme val="minor"/>
      </rPr>
      <t>Ca,INORG</t>
    </r>
    <r>
      <rPr>
        <sz val="11"/>
        <rFont val="Calibri"/>
        <family val="2"/>
        <scheme val="minor"/>
      </rPr>
      <t>*X</t>
    </r>
    <r>
      <rPr>
        <vertAlign val="subscript"/>
        <sz val="11"/>
        <rFont val="Calibri"/>
        <family val="2"/>
        <scheme val="minor"/>
      </rPr>
      <t>INORG</t>
    </r>
    <r>
      <rPr>
        <sz val="11"/>
        <rFont val="Calibri"/>
        <family val="2"/>
        <scheme val="minor"/>
      </rPr>
      <t>+X</t>
    </r>
    <r>
      <rPr>
        <vertAlign val="subscript"/>
        <sz val="11"/>
        <rFont val="Calibri"/>
        <family val="2"/>
        <scheme val="minor"/>
      </rPr>
      <t>ACP</t>
    </r>
    <r>
      <rPr>
        <sz val="11"/>
        <rFont val="Calibri"/>
        <family val="2"/>
        <scheme val="minor"/>
      </rPr>
      <t>*3*AM</t>
    </r>
    <r>
      <rPr>
        <vertAlign val="subscript"/>
        <sz val="11"/>
        <rFont val="Calibri"/>
        <family val="2"/>
        <scheme val="minor"/>
      </rPr>
      <t>Ca</t>
    </r>
    <r>
      <rPr>
        <sz val="11"/>
        <rFont val="Calibri"/>
        <family val="2"/>
        <scheme val="minor"/>
      </rPr>
      <t>/MM</t>
    </r>
    <r>
      <rPr>
        <vertAlign val="subscript"/>
        <sz val="11"/>
        <rFont val="Calibri"/>
        <family val="2"/>
        <scheme val="minor"/>
      </rPr>
      <t>ACP</t>
    </r>
    <r>
      <rPr>
        <sz val="11"/>
        <rFont val="Calibri"/>
        <family val="2"/>
        <scheme val="minor"/>
      </rPr>
      <t>+X</t>
    </r>
    <r>
      <rPr>
        <vertAlign val="subscript"/>
        <sz val="11"/>
        <rFont val="Calibri"/>
        <family val="2"/>
        <scheme val="minor"/>
      </rPr>
      <t>CaCO3</t>
    </r>
    <r>
      <rPr>
        <sz val="11"/>
        <rFont val="Calibri"/>
        <family val="2"/>
        <scheme val="minor"/>
      </rPr>
      <t>*AM</t>
    </r>
    <r>
      <rPr>
        <vertAlign val="subscript"/>
        <sz val="11"/>
        <rFont val="Calibri"/>
        <family val="2"/>
        <scheme val="minor"/>
      </rPr>
      <t>Ca</t>
    </r>
    <r>
      <rPr>
        <sz val="11"/>
        <rFont val="Calibri"/>
        <family val="2"/>
        <scheme val="minor"/>
      </rPr>
      <t>/MM</t>
    </r>
    <r>
      <rPr>
        <vertAlign val="subscript"/>
        <sz val="11"/>
        <rFont val="Calibri"/>
        <family val="2"/>
        <scheme val="minor"/>
      </rPr>
      <t>CaCO3</t>
    </r>
    <r>
      <rPr>
        <sz val="11"/>
        <rFont val="Calibri"/>
        <family val="2"/>
        <scheme val="minor"/>
      </rPr>
      <t>+X</t>
    </r>
    <r>
      <rPr>
        <vertAlign val="subscript"/>
        <sz val="11"/>
        <rFont val="Calibri"/>
        <family val="2"/>
        <scheme val="minor"/>
      </rPr>
      <t>BSH</t>
    </r>
    <r>
      <rPr>
        <sz val="11"/>
        <rFont val="Calibri"/>
        <family val="2"/>
        <scheme val="minor"/>
      </rPr>
      <t>*AM</t>
    </r>
    <r>
      <rPr>
        <vertAlign val="subscript"/>
        <sz val="11"/>
        <rFont val="Calibri"/>
        <family val="2"/>
        <scheme val="minor"/>
      </rPr>
      <t>Ca</t>
    </r>
    <r>
      <rPr>
        <sz val="11"/>
        <rFont val="Calibri"/>
        <family val="2"/>
        <scheme val="minor"/>
      </rPr>
      <t>/MM</t>
    </r>
    <r>
      <rPr>
        <vertAlign val="subscript"/>
        <sz val="11"/>
        <rFont val="Calibri"/>
        <family val="2"/>
        <scheme val="minor"/>
      </rPr>
      <t>BSH</t>
    </r>
  </si>
  <si>
    <r>
      <t>T</t>
    </r>
    <r>
      <rPr>
        <vertAlign val="subscript"/>
        <sz val="11"/>
        <rFont val="Calibri"/>
        <family val="2"/>
        <scheme val="minor"/>
      </rPr>
      <t>Mg</t>
    </r>
  </si>
  <si>
    <t>Total magnesium</t>
  </si>
  <si>
    <r>
      <t>S</t>
    </r>
    <r>
      <rPr>
        <vertAlign val="subscript"/>
        <sz val="11"/>
        <rFont val="Calibri"/>
        <family val="2"/>
        <scheme val="minor"/>
      </rPr>
      <t>Mg</t>
    </r>
    <r>
      <rPr>
        <sz val="11"/>
        <rFont val="Calibri"/>
        <family val="2"/>
        <scheme val="minor"/>
      </rPr>
      <t>+i</t>
    </r>
    <r>
      <rPr>
        <vertAlign val="subscript"/>
        <sz val="11"/>
        <rFont val="Calibri"/>
        <family val="2"/>
        <scheme val="minor"/>
      </rPr>
      <t>Mg,PP</t>
    </r>
    <r>
      <rPr>
        <sz val="11"/>
        <rFont val="Calibri"/>
        <family val="2"/>
        <scheme val="minor"/>
      </rPr>
      <t>*AM</t>
    </r>
    <r>
      <rPr>
        <vertAlign val="subscript"/>
        <sz val="11"/>
        <rFont val="Calibri"/>
        <family val="2"/>
        <scheme val="minor"/>
      </rPr>
      <t>Mg</t>
    </r>
    <r>
      <rPr>
        <sz val="11"/>
        <rFont val="Calibri"/>
        <family val="2"/>
        <scheme val="minor"/>
      </rPr>
      <t>/AM</t>
    </r>
    <r>
      <rPr>
        <vertAlign val="subscript"/>
        <sz val="11"/>
        <rFont val="Calibri"/>
        <family val="2"/>
        <scheme val="minor"/>
      </rPr>
      <t>P</t>
    </r>
    <r>
      <rPr>
        <sz val="11"/>
        <rFont val="Calibri"/>
        <family val="2"/>
        <scheme val="minor"/>
      </rPr>
      <t>*X</t>
    </r>
    <r>
      <rPr>
        <vertAlign val="subscript"/>
        <sz val="11"/>
        <rFont val="Calibri"/>
        <family val="2"/>
        <scheme val="minor"/>
      </rPr>
      <t>PP</t>
    </r>
    <r>
      <rPr>
        <sz val="11"/>
        <rFont val="Calibri"/>
        <family val="2"/>
        <scheme val="minor"/>
      </rPr>
      <t>+i</t>
    </r>
    <r>
      <rPr>
        <vertAlign val="subscript"/>
        <sz val="11"/>
        <rFont val="Calibri"/>
        <family val="2"/>
        <scheme val="minor"/>
      </rPr>
      <t>Mg,INORG</t>
    </r>
    <r>
      <rPr>
        <sz val="11"/>
        <rFont val="Calibri"/>
        <family val="2"/>
        <scheme val="minor"/>
      </rPr>
      <t>*X</t>
    </r>
    <r>
      <rPr>
        <vertAlign val="subscript"/>
        <sz val="11"/>
        <rFont val="Calibri"/>
        <family val="2"/>
        <scheme val="minor"/>
      </rPr>
      <t>INORG</t>
    </r>
    <r>
      <rPr>
        <sz val="11"/>
        <rFont val="Calibri"/>
        <family val="2"/>
        <scheme val="minor"/>
      </rPr>
      <t>+X</t>
    </r>
    <r>
      <rPr>
        <vertAlign val="subscript"/>
        <sz val="11"/>
        <rFont val="Calibri"/>
        <family val="2"/>
        <scheme val="minor"/>
      </rPr>
      <t>STR</t>
    </r>
    <r>
      <rPr>
        <sz val="11"/>
        <rFont val="Calibri"/>
        <family val="2"/>
        <scheme val="minor"/>
      </rPr>
      <t>*AM</t>
    </r>
    <r>
      <rPr>
        <vertAlign val="subscript"/>
        <sz val="11"/>
        <rFont val="Calibri"/>
        <family val="2"/>
        <scheme val="minor"/>
      </rPr>
      <t>Mg</t>
    </r>
    <r>
      <rPr>
        <sz val="11"/>
        <rFont val="Calibri"/>
        <family val="2"/>
        <scheme val="minor"/>
      </rPr>
      <t>/MM</t>
    </r>
    <r>
      <rPr>
        <vertAlign val="subscript"/>
        <sz val="11"/>
        <rFont val="Calibri"/>
        <family val="2"/>
        <scheme val="minor"/>
      </rPr>
      <t>STR</t>
    </r>
  </si>
  <si>
    <r>
      <t>T</t>
    </r>
    <r>
      <rPr>
        <vertAlign val="subscript"/>
        <sz val="11"/>
        <rFont val="Calibri"/>
        <family val="2"/>
        <charset val="238"/>
        <scheme val="minor"/>
      </rPr>
      <t>OC</t>
    </r>
  </si>
  <si>
    <t>Total organic carbon</t>
  </si>
  <si>
    <r>
      <t>Max(0;f</t>
    </r>
    <r>
      <rPr>
        <vertAlign val="subscript"/>
        <sz val="11"/>
        <rFont val="Calibri"/>
        <family val="2"/>
        <scheme val="minor"/>
      </rPr>
      <t>TOC,1</t>
    </r>
    <r>
      <rPr>
        <sz val="11"/>
        <rFont val="Calibri"/>
        <family val="2"/>
        <scheme val="minor"/>
      </rPr>
      <t>*T</t>
    </r>
    <r>
      <rPr>
        <vertAlign val="subscript"/>
        <sz val="11"/>
        <rFont val="Calibri"/>
        <family val="2"/>
        <charset val="238"/>
        <scheme val="minor"/>
      </rPr>
      <t>COD</t>
    </r>
    <r>
      <rPr>
        <sz val="11"/>
        <rFont val="Calibri"/>
        <family val="2"/>
        <scheme val="minor"/>
      </rPr>
      <t>-f</t>
    </r>
    <r>
      <rPr>
        <vertAlign val="subscript"/>
        <sz val="11"/>
        <rFont val="Calibri"/>
        <family val="2"/>
        <scheme val="minor"/>
      </rPr>
      <t>TOC,2</t>
    </r>
    <r>
      <rPr>
        <sz val="11"/>
        <rFont val="Calibri"/>
        <family val="2"/>
        <scheme val="minor"/>
      </rPr>
      <t>)</t>
    </r>
  </si>
  <si>
    <r>
      <t>g C.m</t>
    </r>
    <r>
      <rPr>
        <vertAlign val="superscript"/>
        <sz val="11"/>
        <rFont val="Calibri"/>
        <family val="2"/>
        <charset val="238"/>
        <scheme val="minor"/>
      </rPr>
      <t>-3</t>
    </r>
  </si>
  <si>
    <t>Effluent</t>
  </si>
  <si>
    <r>
      <t>PrecipDrivingForce</t>
    </r>
    <r>
      <rPr>
        <vertAlign val="subscript"/>
        <sz val="11"/>
        <color theme="1"/>
        <rFont val="Calibri"/>
        <family val="2"/>
        <scheme val="minor"/>
      </rPr>
      <t>BSH</t>
    </r>
  </si>
  <si>
    <t>Rate expression of brushite precipitation (driving force)</t>
  </si>
  <si>
    <r>
      <t>([Ca</t>
    </r>
    <r>
      <rPr>
        <vertAlign val="superscript"/>
        <sz val="11"/>
        <color theme="1"/>
        <rFont val="Calibri"/>
        <family val="2"/>
        <scheme val="minor"/>
      </rPr>
      <t>2+</t>
    </r>
    <r>
      <rPr>
        <sz val="11"/>
        <color theme="1"/>
        <rFont val="Calibri"/>
        <family val="2"/>
        <scheme val="minor"/>
      </rPr>
      <t>]</t>
    </r>
    <r>
      <rPr>
        <vertAlign val="superscript"/>
        <sz val="11"/>
        <color theme="1"/>
        <rFont val="Calibri"/>
        <family val="2"/>
        <scheme val="minor"/>
      </rPr>
      <t>^(1/2)</t>
    </r>
    <r>
      <rPr>
        <sz val="11"/>
        <color theme="1"/>
        <rFont val="Calibri"/>
        <family val="2"/>
        <scheme val="minor"/>
      </rPr>
      <t>*[HPO</t>
    </r>
    <r>
      <rPr>
        <vertAlign val="subscript"/>
        <sz val="11"/>
        <color theme="1"/>
        <rFont val="Calibri"/>
        <family val="2"/>
        <scheme val="minor"/>
      </rPr>
      <t>4</t>
    </r>
    <r>
      <rPr>
        <vertAlign val="superscript"/>
        <sz val="11"/>
        <color theme="1"/>
        <rFont val="Calibri"/>
        <family val="2"/>
        <scheme val="minor"/>
      </rPr>
      <t>2-</t>
    </r>
    <r>
      <rPr>
        <sz val="11"/>
        <color theme="1"/>
        <rFont val="Calibri"/>
        <family val="2"/>
        <scheme val="minor"/>
      </rPr>
      <t>]</t>
    </r>
    <r>
      <rPr>
        <vertAlign val="superscript"/>
        <sz val="11"/>
        <color theme="1"/>
        <rFont val="Calibri"/>
        <family val="2"/>
        <scheme val="minor"/>
      </rPr>
      <t>^(1/2)</t>
    </r>
    <r>
      <rPr>
        <sz val="11"/>
        <color theme="1"/>
        <rFont val="Calibri"/>
        <family val="2"/>
        <scheme val="minor"/>
      </rPr>
      <t>-K</t>
    </r>
    <r>
      <rPr>
        <vertAlign val="subscript"/>
        <sz val="11"/>
        <color theme="1"/>
        <rFont val="Calibri"/>
        <family val="2"/>
        <scheme val="minor"/>
      </rPr>
      <t>sp,BSH</t>
    </r>
    <r>
      <rPr>
        <vertAlign val="superscript"/>
        <sz val="11"/>
        <color theme="1"/>
        <rFont val="Calibri"/>
        <family val="2"/>
        <scheme val="minor"/>
      </rPr>
      <t>^(1/2)</t>
    </r>
    <r>
      <rPr>
        <sz val="11"/>
        <color theme="1"/>
        <rFont val="Calibri"/>
        <family val="2"/>
        <scheme val="minor"/>
      </rPr>
      <t>)/K</t>
    </r>
    <r>
      <rPr>
        <vertAlign val="subscript"/>
        <sz val="11"/>
        <color theme="1"/>
        <rFont val="Calibri"/>
        <family val="2"/>
        <scheme val="minor"/>
      </rPr>
      <t>sp,BSH</t>
    </r>
    <r>
      <rPr>
        <vertAlign val="superscript"/>
        <sz val="11"/>
        <color theme="1"/>
        <rFont val="Calibri"/>
        <family val="2"/>
        <scheme val="minor"/>
      </rPr>
      <t>^(1/2)</t>
    </r>
  </si>
  <si>
    <r>
      <t>q</t>
    </r>
    <r>
      <rPr>
        <vertAlign val="subscript"/>
        <sz val="11"/>
        <color theme="1"/>
        <rFont val="Calibri"/>
        <family val="2"/>
        <scheme val="minor"/>
      </rPr>
      <t>BSH</t>
    </r>
  </si>
  <si>
    <r>
      <t>If(PrecipDrivingForce</t>
    </r>
    <r>
      <rPr>
        <vertAlign val="subscript"/>
        <sz val="11"/>
        <color theme="1"/>
        <rFont val="Calibri"/>
        <family val="2"/>
        <scheme val="minor"/>
      </rPr>
      <t>BSH</t>
    </r>
    <r>
      <rPr>
        <sz val="11"/>
        <color theme="1"/>
        <rFont val="Calibri"/>
        <family val="2"/>
        <scheme val="minor"/>
      </rPr>
      <t>&gt;0;q</t>
    </r>
    <r>
      <rPr>
        <vertAlign val="subscript"/>
        <sz val="11"/>
        <color theme="1"/>
        <rFont val="Calibri"/>
        <family val="2"/>
        <scheme val="minor"/>
      </rPr>
      <t>BSH,PREC</t>
    </r>
    <r>
      <rPr>
        <sz val="11"/>
        <color theme="1"/>
        <rFont val="Calibri"/>
        <family val="2"/>
        <scheme val="minor"/>
      </rPr>
      <t>;-q</t>
    </r>
    <r>
      <rPr>
        <vertAlign val="subscript"/>
        <sz val="11"/>
        <color theme="1"/>
        <rFont val="Calibri"/>
        <family val="2"/>
        <scheme val="minor"/>
      </rPr>
      <t>BSH,DISS</t>
    </r>
    <r>
      <rPr>
        <sz val="11"/>
        <color theme="1"/>
        <rFont val="Calibri"/>
        <family val="2"/>
        <scheme val="minor"/>
      </rPr>
      <t>*Msat</t>
    </r>
    <r>
      <rPr>
        <vertAlign val="subscript"/>
        <sz val="11"/>
        <color theme="1"/>
        <rFont val="Calibri"/>
        <family val="2"/>
        <scheme val="minor"/>
      </rPr>
      <t>XBSH,KBSH,DISS</t>
    </r>
    <r>
      <rPr>
        <sz val="11"/>
        <color theme="1"/>
        <rFont val="Calibri"/>
        <family val="2"/>
        <scheme val="minor"/>
      </rPr>
      <t>)</t>
    </r>
  </si>
  <si>
    <r>
      <t>d</t>
    </r>
    <r>
      <rPr>
        <vertAlign val="superscript"/>
        <sz val="11"/>
        <color theme="1"/>
        <rFont val="Calibri"/>
        <family val="2"/>
        <charset val="238"/>
        <scheme val="minor"/>
      </rPr>
      <t>-1</t>
    </r>
  </si>
  <si>
    <t>Non-Digester; Non-Biofilm</t>
  </si>
  <si>
    <t>Non-Digester; Biofilm</t>
  </si>
  <si>
    <r>
      <t>Msat(S</t>
    </r>
    <r>
      <rPr>
        <vertAlign val="subscript"/>
        <sz val="11"/>
        <rFont val="Calibri"/>
        <family val="2"/>
      </rPr>
      <t>NOx</t>
    </r>
    <r>
      <rPr>
        <sz val="11"/>
        <rFont val="Calibri"/>
        <family val="2"/>
      </rPr>
      <t>;K</t>
    </r>
    <r>
      <rPr>
        <vertAlign val="subscript"/>
        <sz val="11"/>
        <rFont val="Calibri"/>
        <family val="2"/>
      </rPr>
      <t>NOx,AOB</t>
    </r>
    <r>
      <rPr>
        <sz val="11"/>
        <rFont val="Calibri"/>
        <family val="2"/>
      </rPr>
      <t>)</t>
    </r>
  </si>
  <si>
    <r>
      <t>Msat(S</t>
    </r>
    <r>
      <rPr>
        <vertAlign val="subscript"/>
        <sz val="11"/>
        <rFont val="Calibri"/>
        <family val="2"/>
      </rPr>
      <t>NOx</t>
    </r>
    <r>
      <rPr>
        <sz val="11"/>
        <rFont val="Calibri"/>
        <family val="2"/>
      </rPr>
      <t>;K</t>
    </r>
    <r>
      <rPr>
        <vertAlign val="subscript"/>
        <sz val="11"/>
        <rFont val="Calibri"/>
        <family val="2"/>
      </rPr>
      <t>NOx,NOB</t>
    </r>
    <r>
      <rPr>
        <sz val="11"/>
        <rFont val="Calibri"/>
        <family val="2"/>
      </rPr>
      <t>)</t>
    </r>
  </si>
  <si>
    <r>
      <t>Minh(S</t>
    </r>
    <r>
      <rPr>
        <vertAlign val="subscript"/>
        <sz val="11"/>
        <rFont val="Calibri"/>
        <family val="2"/>
      </rPr>
      <t>NOx</t>
    </r>
    <r>
      <rPr>
        <sz val="11"/>
        <rFont val="Calibri"/>
        <family val="2"/>
      </rPr>
      <t>;K</t>
    </r>
    <r>
      <rPr>
        <vertAlign val="subscript"/>
        <sz val="11"/>
        <rFont val="Calibri"/>
        <family val="2"/>
      </rPr>
      <t>NOx,AOB</t>
    </r>
    <r>
      <rPr>
        <sz val="11"/>
        <rFont val="Calibri"/>
        <family val="2"/>
      </rPr>
      <t>)</t>
    </r>
  </si>
  <si>
    <r>
      <t>Minh(S</t>
    </r>
    <r>
      <rPr>
        <vertAlign val="subscript"/>
        <sz val="11"/>
        <rFont val="Calibri"/>
        <family val="2"/>
      </rPr>
      <t>NOx</t>
    </r>
    <r>
      <rPr>
        <sz val="11"/>
        <rFont val="Calibri"/>
        <family val="2"/>
      </rPr>
      <t>;K</t>
    </r>
    <r>
      <rPr>
        <vertAlign val="subscript"/>
        <sz val="11"/>
        <rFont val="Calibri"/>
        <family val="2"/>
      </rPr>
      <t>NOx,NOB</t>
    </r>
    <r>
      <rPr>
        <sz val="11"/>
        <rFont val="Calibri"/>
        <family val="2"/>
      </rPr>
      <t>)</t>
    </r>
  </si>
  <si>
    <r>
      <t>Minh(S</t>
    </r>
    <r>
      <rPr>
        <vertAlign val="subscript"/>
        <sz val="11"/>
        <rFont val="Calibri"/>
        <family val="2"/>
      </rPr>
      <t>NOx</t>
    </r>
    <r>
      <rPr>
        <sz val="11"/>
        <rFont val="Calibri"/>
        <family val="2"/>
      </rPr>
      <t>;K</t>
    </r>
    <r>
      <rPr>
        <vertAlign val="subscript"/>
        <sz val="11"/>
        <rFont val="Calibri"/>
        <family val="2"/>
      </rPr>
      <t>NOx,AMX</t>
    </r>
    <r>
      <rPr>
        <sz val="11"/>
        <rFont val="Calibri"/>
        <family val="2"/>
      </rPr>
      <t>)</t>
    </r>
  </si>
  <si>
    <r>
      <t>Msat(S</t>
    </r>
    <r>
      <rPr>
        <vertAlign val="subscript"/>
        <sz val="11"/>
        <rFont val="Calibri"/>
        <family val="2"/>
      </rPr>
      <t>NOx</t>
    </r>
    <r>
      <rPr>
        <sz val="11"/>
        <rFont val="Calibri"/>
        <family val="2"/>
      </rPr>
      <t>;K</t>
    </r>
    <r>
      <rPr>
        <vertAlign val="subscript"/>
        <sz val="11"/>
        <rFont val="Calibri"/>
        <family val="2"/>
      </rPr>
      <t>NOx,AMX</t>
    </r>
    <r>
      <rPr>
        <sz val="11"/>
        <rFont val="Calibri"/>
        <family val="2"/>
      </rPr>
      <t>)</t>
    </r>
  </si>
  <si>
    <r>
      <t>Msat(S</t>
    </r>
    <r>
      <rPr>
        <vertAlign val="subscript"/>
        <sz val="11"/>
        <rFont val="Calibri"/>
        <family val="2"/>
      </rPr>
      <t>NOx</t>
    </r>
    <r>
      <rPr>
        <sz val="11"/>
        <rFont val="Calibri"/>
        <family val="2"/>
      </rPr>
      <t>;K</t>
    </r>
    <r>
      <rPr>
        <vertAlign val="subscript"/>
        <sz val="11"/>
        <rFont val="Calibri"/>
        <family val="2"/>
      </rPr>
      <t>NOx,AMETO</t>
    </r>
    <r>
      <rPr>
        <sz val="11"/>
        <rFont val="Calibri"/>
        <family val="2"/>
      </rPr>
      <t>)</t>
    </r>
  </si>
  <si>
    <r>
      <t>Minh(S</t>
    </r>
    <r>
      <rPr>
        <vertAlign val="subscript"/>
        <sz val="11"/>
        <rFont val="Calibri"/>
        <family val="2"/>
        <scheme val="minor"/>
      </rPr>
      <t>NOx</t>
    </r>
    <r>
      <rPr>
        <sz val="11"/>
        <rFont val="Calibri"/>
        <family val="2"/>
        <scheme val="minor"/>
      </rPr>
      <t>;K</t>
    </r>
    <r>
      <rPr>
        <vertAlign val="subscript"/>
        <sz val="11"/>
        <rFont val="Calibri"/>
        <family val="2"/>
        <scheme val="minor"/>
      </rPr>
      <t>NOx,HMETO</t>
    </r>
    <r>
      <rPr>
        <sz val="11"/>
        <rFont val="Calibri"/>
        <family val="2"/>
        <scheme val="minor"/>
      </rPr>
      <t>)</t>
    </r>
  </si>
  <si>
    <r>
      <t>Msat(S</t>
    </r>
    <r>
      <rPr>
        <vertAlign val="subscript"/>
        <sz val="11"/>
        <rFont val="Calibri"/>
        <family val="2"/>
        <scheme val="minor"/>
      </rPr>
      <t>NOx</t>
    </r>
    <r>
      <rPr>
        <sz val="11"/>
        <rFont val="Calibri"/>
        <family val="2"/>
        <scheme val="minor"/>
      </rPr>
      <t>;K</t>
    </r>
    <r>
      <rPr>
        <vertAlign val="subscript"/>
        <sz val="11"/>
        <rFont val="Calibri"/>
        <family val="2"/>
        <scheme val="minor"/>
      </rPr>
      <t>NOx,ASRO</t>
    </r>
    <r>
      <rPr>
        <sz val="11"/>
        <rFont val="Calibri"/>
        <family val="2"/>
        <scheme val="minor"/>
      </rPr>
      <t>)</t>
    </r>
  </si>
  <si>
    <r>
      <t>Minh(S</t>
    </r>
    <r>
      <rPr>
        <vertAlign val="subscript"/>
        <sz val="11"/>
        <rFont val="Calibri"/>
        <family val="2"/>
        <scheme val="minor"/>
      </rPr>
      <t>NOx</t>
    </r>
    <r>
      <rPr>
        <sz val="11"/>
        <rFont val="Calibri"/>
        <family val="2"/>
        <scheme val="minor"/>
      </rPr>
      <t>;K</t>
    </r>
    <r>
      <rPr>
        <vertAlign val="subscript"/>
        <sz val="11"/>
        <rFont val="Calibri"/>
        <family val="2"/>
        <scheme val="minor"/>
      </rPr>
      <t>NOx,ASRO</t>
    </r>
    <r>
      <rPr>
        <sz val="11"/>
        <rFont val="Calibri"/>
        <family val="2"/>
        <scheme val="minor"/>
      </rPr>
      <t>)</t>
    </r>
  </si>
  <si>
    <r>
      <t>Msat(S</t>
    </r>
    <r>
      <rPr>
        <vertAlign val="subscript"/>
        <sz val="11"/>
        <rFont val="Calibri"/>
        <family val="2"/>
        <scheme val="minor"/>
      </rPr>
      <t>NOx</t>
    </r>
    <r>
      <rPr>
        <sz val="11"/>
        <rFont val="Calibri"/>
        <family val="2"/>
        <scheme val="minor"/>
      </rPr>
      <t>;K</t>
    </r>
    <r>
      <rPr>
        <vertAlign val="subscript"/>
        <sz val="11"/>
        <rFont val="Calibri"/>
        <family val="2"/>
        <scheme val="minor"/>
      </rPr>
      <t>NOx,HSRO</t>
    </r>
    <r>
      <rPr>
        <sz val="11"/>
        <rFont val="Calibri"/>
        <family val="2"/>
        <scheme val="minor"/>
      </rPr>
      <t>)</t>
    </r>
  </si>
  <si>
    <r>
      <t>Minh(S</t>
    </r>
    <r>
      <rPr>
        <vertAlign val="subscript"/>
        <sz val="11"/>
        <rFont val="Calibri"/>
        <family val="2"/>
        <scheme val="minor"/>
      </rPr>
      <t>NOx</t>
    </r>
    <r>
      <rPr>
        <sz val="11"/>
        <rFont val="Calibri"/>
        <family val="2"/>
        <scheme val="minor"/>
      </rPr>
      <t>;K</t>
    </r>
    <r>
      <rPr>
        <vertAlign val="subscript"/>
        <sz val="11"/>
        <rFont val="Calibri"/>
        <family val="2"/>
        <scheme val="minor"/>
      </rPr>
      <t>NOx,HSRO</t>
    </r>
    <r>
      <rPr>
        <sz val="11"/>
        <rFont val="Calibri"/>
        <family val="2"/>
        <scheme val="minor"/>
      </rPr>
      <t>)</t>
    </r>
  </si>
  <si>
    <r>
      <t>Msat</t>
    </r>
    <r>
      <rPr>
        <vertAlign val="subscript"/>
        <sz val="11"/>
        <rFont val="Calibri"/>
        <family val="2"/>
        <scheme val="minor"/>
      </rPr>
      <t>XBSH,KBSH,DISS</t>
    </r>
  </si>
  <si>
    <t>Saturation term for brushite dissolution</t>
  </si>
  <si>
    <r>
      <t>Msat(X</t>
    </r>
    <r>
      <rPr>
        <vertAlign val="subscript"/>
        <sz val="11"/>
        <rFont val="Calibri"/>
        <family val="2"/>
        <scheme val="minor"/>
      </rPr>
      <t>BSH</t>
    </r>
    <r>
      <rPr>
        <sz val="11"/>
        <rFont val="Calibri"/>
        <family val="2"/>
        <scheme val="minor"/>
      </rPr>
      <t>;K</t>
    </r>
    <r>
      <rPr>
        <vertAlign val="subscript"/>
        <sz val="11"/>
        <rFont val="Calibri"/>
        <family val="2"/>
        <scheme val="minor"/>
      </rPr>
      <t>BSH,DISS</t>
    </r>
    <r>
      <rPr>
        <sz val="11"/>
        <rFont val="Calibri"/>
        <family val="2"/>
        <scheme val="minor"/>
      </rPr>
      <t>)</t>
    </r>
  </si>
  <si>
    <r>
      <t>Loginh</t>
    </r>
    <r>
      <rPr>
        <vertAlign val="subscript"/>
        <sz val="11"/>
        <rFont val="Calibri"/>
        <family val="2"/>
        <scheme val="minor"/>
      </rPr>
      <t>SPO4,KiP,HAO,DISS</t>
    </r>
  </si>
  <si>
    <r>
      <t>Inhibition term for PO</t>
    </r>
    <r>
      <rPr>
        <vertAlign val="subscript"/>
        <sz val="11"/>
        <color rgb="FF000000"/>
        <rFont val="Calibri"/>
        <family val="2"/>
        <scheme val="minor"/>
      </rPr>
      <t>4</t>
    </r>
    <r>
      <rPr>
        <sz val="11"/>
        <color rgb="FF000000"/>
        <rFont val="Calibri"/>
        <family val="2"/>
        <charset val="238"/>
        <scheme val="minor"/>
      </rPr>
      <t xml:space="preserve"> in redissolution of HAO</t>
    </r>
  </si>
  <si>
    <r>
      <t>Minh</t>
    </r>
    <r>
      <rPr>
        <vertAlign val="subscript"/>
        <sz val="11"/>
        <rFont val="Calibri"/>
        <family val="2"/>
        <scheme val="minor"/>
      </rPr>
      <t>SPO4,KiP,HAO,DESORP</t>
    </r>
  </si>
  <si>
    <r>
      <t>Inhibition term for PO</t>
    </r>
    <r>
      <rPr>
        <vertAlign val="subscript"/>
        <sz val="11"/>
        <color rgb="FF000000"/>
        <rFont val="Calibri"/>
        <family val="2"/>
        <scheme val="minor"/>
      </rPr>
      <t>4</t>
    </r>
    <r>
      <rPr>
        <sz val="11"/>
        <color rgb="FF000000"/>
        <rFont val="Calibri"/>
        <family val="2"/>
        <charset val="238"/>
        <scheme val="minor"/>
      </rPr>
      <t xml:space="preserve"> in desorption of HAO</t>
    </r>
  </si>
  <si>
    <r>
      <t>Minh(S</t>
    </r>
    <r>
      <rPr>
        <vertAlign val="subscript"/>
        <sz val="11"/>
        <rFont val="Calibri"/>
        <family val="2"/>
        <scheme val="minor"/>
      </rPr>
      <t>PO4</t>
    </r>
    <r>
      <rPr>
        <sz val="11"/>
        <rFont val="Calibri"/>
        <family val="2"/>
        <scheme val="minor"/>
      </rPr>
      <t>;Ki</t>
    </r>
    <r>
      <rPr>
        <vertAlign val="subscript"/>
        <sz val="11"/>
        <rFont val="Calibri"/>
        <family val="2"/>
        <scheme val="minor"/>
      </rPr>
      <t>P,HAO,DESORP</t>
    </r>
    <r>
      <rPr>
        <sz val="11"/>
        <rFont val="Calibri"/>
        <family val="2"/>
        <scheme val="minor"/>
      </rPr>
      <t>)</t>
    </r>
  </si>
  <si>
    <r>
      <t>Msat</t>
    </r>
    <r>
      <rPr>
        <vertAlign val="subscript"/>
        <sz val="11"/>
        <rFont val="Calibri"/>
        <family val="2"/>
        <scheme val="minor"/>
      </rPr>
      <t>SPO4,KP,HAO,BIND</t>
    </r>
  </si>
  <si>
    <r>
      <t>Saturation term for PO</t>
    </r>
    <r>
      <rPr>
        <vertAlign val="subscript"/>
        <sz val="11"/>
        <color rgb="FF000000"/>
        <rFont val="Calibri"/>
        <family val="2"/>
        <scheme val="minor"/>
      </rPr>
      <t>4</t>
    </r>
    <r>
      <rPr>
        <sz val="11"/>
        <color rgb="FF000000"/>
        <rFont val="Calibri"/>
        <family val="2"/>
        <charset val="238"/>
        <scheme val="minor"/>
      </rPr>
      <t xml:space="preserve"> binding on HAO</t>
    </r>
  </si>
  <si>
    <r>
      <t>Msat(S</t>
    </r>
    <r>
      <rPr>
        <vertAlign val="subscript"/>
        <sz val="11"/>
        <rFont val="Calibri"/>
        <family val="2"/>
        <scheme val="minor"/>
      </rPr>
      <t>PO4</t>
    </r>
    <r>
      <rPr>
        <sz val="11"/>
        <rFont val="Calibri"/>
        <family val="2"/>
        <scheme val="minor"/>
      </rPr>
      <t>;K</t>
    </r>
    <r>
      <rPr>
        <vertAlign val="subscript"/>
        <sz val="11"/>
        <rFont val="Calibri"/>
        <family val="2"/>
        <scheme val="minor"/>
      </rPr>
      <t>P,HAO,BIND</t>
    </r>
    <r>
      <rPr>
        <sz val="11"/>
        <rFont val="Calibri"/>
        <family val="2"/>
        <scheme val="minor"/>
      </rPr>
      <t>)</t>
    </r>
  </si>
  <si>
    <r>
      <t>q</t>
    </r>
    <r>
      <rPr>
        <vertAlign val="subscript"/>
        <sz val="11"/>
        <color indexed="8"/>
        <rFont val="Calibri"/>
        <family val="2"/>
        <scheme val="minor"/>
      </rPr>
      <t>PAO,PP,T</t>
    </r>
  </si>
  <si>
    <t>Rate of polyphosphate storage for PAOs (temperature corrected)</t>
  </si>
  <si>
    <r>
      <t>q</t>
    </r>
    <r>
      <rPr>
        <vertAlign val="subscript"/>
        <sz val="11"/>
        <color indexed="8"/>
        <rFont val="Calibri"/>
        <family val="2"/>
        <scheme val="minor"/>
      </rPr>
      <t>PAO,PP</t>
    </r>
    <r>
      <rPr>
        <sz val="11"/>
        <color indexed="8"/>
        <rFont val="Calibri"/>
        <family val="2"/>
        <scheme val="minor"/>
      </rPr>
      <t>*Arrh(θ</t>
    </r>
    <r>
      <rPr>
        <vertAlign val="subscript"/>
        <sz val="11"/>
        <color indexed="8"/>
        <rFont val="Calibri"/>
        <family val="2"/>
        <scheme val="minor"/>
      </rPr>
      <t>q,PAO,PP</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</si>
  <si>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K</t>
    </r>
    <r>
      <rPr>
        <vertAlign val="subscript"/>
        <sz val="11"/>
        <rFont val="Calibri"/>
        <family val="2"/>
        <scheme val="minor"/>
      </rPr>
      <t>sp,BSH</t>
    </r>
  </si>
  <si>
    <t>Solubility constant of brushite (activity corrected)</t>
  </si>
  <si>
    <r>
      <t>K</t>
    </r>
    <r>
      <rPr>
        <vertAlign val="subscript"/>
        <sz val="11"/>
        <rFont val="Calibri"/>
        <family val="2"/>
        <scheme val="minor"/>
      </rPr>
      <t>sp,BSH,param</t>
    </r>
    <r>
      <rPr>
        <sz val="11"/>
        <rFont val="Calibri"/>
        <family val="2"/>
        <scheme val="minor"/>
      </rPr>
      <t>/(f</t>
    </r>
    <r>
      <rPr>
        <vertAlign val="subscript"/>
        <sz val="11"/>
        <rFont val="Calibri"/>
        <family val="2"/>
        <scheme val="minor"/>
      </rPr>
      <t>di</t>
    </r>
    <r>
      <rPr>
        <vertAlign val="superscript"/>
        <sz val="11"/>
        <rFont val="Calibri"/>
        <family val="2"/>
        <scheme val="minor"/>
      </rPr>
      <t>^(1/2)</t>
    </r>
    <r>
      <rPr>
        <sz val="11"/>
        <rFont val="Calibri"/>
        <family val="2"/>
        <scheme val="minor"/>
      </rPr>
      <t>*f</t>
    </r>
    <r>
      <rPr>
        <vertAlign val="subscript"/>
        <sz val="11"/>
        <rFont val="Calibri"/>
        <family val="2"/>
        <scheme val="minor"/>
      </rPr>
      <t>di</t>
    </r>
    <r>
      <rPr>
        <vertAlign val="superscript"/>
        <sz val="11"/>
        <rFont val="Calibri"/>
        <family val="2"/>
        <scheme val="minor"/>
      </rPr>
      <t>^(1/2)</t>
    </r>
    <r>
      <rPr>
        <sz val="11"/>
        <rFont val="Calibri"/>
        <family val="2"/>
        <scheme val="minor"/>
      </rPr>
      <t>)</t>
    </r>
  </si>
  <si>
    <r>
      <t>b</t>
    </r>
    <r>
      <rPr>
        <vertAlign val="subscript"/>
        <sz val="11"/>
        <rFont val="Calibri"/>
        <family val="2"/>
      </rPr>
      <t>AOB,T</t>
    </r>
    <r>
      <rPr>
        <sz val="11"/>
        <rFont val="Calibri"/>
        <family val="2"/>
      </rPr>
      <t>*X</t>
    </r>
    <r>
      <rPr>
        <vertAlign val="subscript"/>
        <sz val="11"/>
        <rFont val="Calibri"/>
        <family val="2"/>
      </rPr>
      <t>AOB</t>
    </r>
    <r>
      <rPr>
        <sz val="11"/>
        <rFont val="Calibri"/>
        <family val="2"/>
      </rPr>
      <t>*(Msat</t>
    </r>
    <r>
      <rPr>
        <vertAlign val="subscript"/>
        <sz val="11"/>
        <rFont val="Calibri"/>
        <family val="2"/>
      </rPr>
      <t>SO2,KO2,AOB</t>
    </r>
    <r>
      <rPr>
        <sz val="11"/>
        <rFont val="Calibri"/>
        <family val="2"/>
      </rPr>
      <t>+η</t>
    </r>
    <r>
      <rPr>
        <vertAlign val="subscript"/>
        <sz val="11"/>
        <rFont val="Calibri"/>
        <family val="2"/>
      </rPr>
      <t>b,anox</t>
    </r>
    <r>
      <rPr>
        <sz val="11"/>
        <rFont val="Calibri"/>
        <family val="2"/>
      </rPr>
      <t>*Msat</t>
    </r>
    <r>
      <rPr>
        <vertAlign val="subscript"/>
        <sz val="11"/>
        <rFont val="Calibri"/>
        <family val="2"/>
      </rPr>
      <t>SNOx</t>
    </r>
    <r>
      <rPr>
        <b/>
        <vertAlign val="subscript"/>
        <sz val="11"/>
        <rFont val="Calibri"/>
        <family val="2"/>
      </rPr>
      <t>,</t>
    </r>
    <r>
      <rPr>
        <vertAlign val="subscript"/>
        <sz val="11"/>
        <rFont val="Calibri"/>
        <family val="2"/>
      </rPr>
      <t>KNOx,AOB</t>
    </r>
    <r>
      <rPr>
        <sz val="11"/>
        <rFont val="Calibri"/>
        <family val="2"/>
      </rPr>
      <t>*Minh</t>
    </r>
    <r>
      <rPr>
        <vertAlign val="subscript"/>
        <sz val="11"/>
        <rFont val="Calibri"/>
        <family val="2"/>
      </rPr>
      <t>SO2,KO2,AOB</t>
    </r>
    <r>
      <rPr>
        <sz val="11"/>
        <rFont val="Calibri"/>
        <family val="2"/>
      </rPr>
      <t>)</t>
    </r>
  </si>
  <si>
    <r>
      <t>b</t>
    </r>
    <r>
      <rPr>
        <vertAlign val="subscript"/>
        <sz val="11"/>
        <rFont val="Calibri"/>
        <family val="2"/>
      </rPr>
      <t>AOB,T</t>
    </r>
    <r>
      <rPr>
        <sz val="11"/>
        <rFont val="Calibri"/>
        <family val="2"/>
      </rPr>
      <t>*X</t>
    </r>
    <r>
      <rPr>
        <vertAlign val="subscript"/>
        <sz val="11"/>
        <rFont val="Calibri"/>
        <family val="2"/>
      </rPr>
      <t>AOB</t>
    </r>
    <r>
      <rPr>
        <sz val="11"/>
        <rFont val="Calibri"/>
        <family val="2"/>
      </rPr>
      <t>*(η</t>
    </r>
    <r>
      <rPr>
        <vertAlign val="subscript"/>
        <sz val="11"/>
        <rFont val="Calibri"/>
        <family val="2"/>
      </rPr>
      <t>b,ana</t>
    </r>
    <r>
      <rPr>
        <sz val="11"/>
        <rFont val="Calibri"/>
        <family val="2"/>
      </rPr>
      <t>*Minh</t>
    </r>
    <r>
      <rPr>
        <vertAlign val="subscript"/>
        <sz val="11"/>
        <rFont val="Calibri"/>
        <family val="2"/>
      </rPr>
      <t>SNOx,KNOx,AOB</t>
    </r>
    <r>
      <rPr>
        <sz val="11"/>
        <rFont val="Calibri"/>
        <family val="2"/>
      </rPr>
      <t>*Minh</t>
    </r>
    <r>
      <rPr>
        <vertAlign val="subscript"/>
        <sz val="11"/>
        <rFont val="Calibri"/>
        <family val="2"/>
      </rPr>
      <t>SO2,KO2,AOB</t>
    </r>
    <r>
      <rPr>
        <sz val="11"/>
        <rFont val="Calibri"/>
        <family val="2"/>
      </rPr>
      <t>+m</t>
    </r>
    <r>
      <rPr>
        <vertAlign val="subscript"/>
        <sz val="11"/>
        <rFont val="Calibri"/>
        <family val="2"/>
      </rPr>
      <t>tox,ana</t>
    </r>
    <r>
      <rPr>
        <sz val="11"/>
        <rFont val="Calibri"/>
        <family val="2"/>
      </rPr>
      <t>)</t>
    </r>
  </si>
  <si>
    <r>
      <t>b</t>
    </r>
    <r>
      <rPr>
        <vertAlign val="subscript"/>
        <sz val="11"/>
        <rFont val="Calibri"/>
        <family val="2"/>
      </rPr>
      <t>NOB,T</t>
    </r>
    <r>
      <rPr>
        <sz val="11"/>
        <rFont val="Calibri"/>
        <family val="2"/>
      </rPr>
      <t>*X</t>
    </r>
    <r>
      <rPr>
        <vertAlign val="subscript"/>
        <sz val="11"/>
        <rFont val="Calibri"/>
        <family val="2"/>
      </rPr>
      <t>NOB</t>
    </r>
    <r>
      <rPr>
        <sz val="11"/>
        <rFont val="Calibri"/>
        <family val="2"/>
      </rPr>
      <t>*(Msat</t>
    </r>
    <r>
      <rPr>
        <vertAlign val="subscript"/>
        <sz val="11"/>
        <rFont val="Calibri"/>
        <family val="2"/>
      </rPr>
      <t>SO2,KO2,NOB</t>
    </r>
    <r>
      <rPr>
        <sz val="11"/>
        <rFont val="Calibri"/>
        <family val="2"/>
      </rPr>
      <t>+η</t>
    </r>
    <r>
      <rPr>
        <vertAlign val="subscript"/>
        <sz val="11"/>
        <rFont val="Calibri"/>
        <family val="2"/>
      </rPr>
      <t>b,anox</t>
    </r>
    <r>
      <rPr>
        <sz val="11"/>
        <rFont val="Calibri"/>
        <family val="2"/>
      </rPr>
      <t>*Msat</t>
    </r>
    <r>
      <rPr>
        <vertAlign val="subscript"/>
        <sz val="11"/>
        <rFont val="Calibri"/>
        <family val="2"/>
      </rPr>
      <t>SNOx</t>
    </r>
    <r>
      <rPr>
        <b/>
        <vertAlign val="subscript"/>
        <sz val="11"/>
        <rFont val="Calibri"/>
        <family val="2"/>
      </rPr>
      <t>,</t>
    </r>
    <r>
      <rPr>
        <vertAlign val="subscript"/>
        <sz val="11"/>
        <rFont val="Calibri"/>
        <family val="2"/>
      </rPr>
      <t>KNOx,NOB</t>
    </r>
    <r>
      <rPr>
        <sz val="11"/>
        <rFont val="Calibri"/>
        <family val="2"/>
      </rPr>
      <t>*Minh</t>
    </r>
    <r>
      <rPr>
        <vertAlign val="subscript"/>
        <sz val="11"/>
        <rFont val="Calibri"/>
        <family val="2"/>
      </rPr>
      <t>SO2,KO2,NOB</t>
    </r>
    <r>
      <rPr>
        <sz val="11"/>
        <rFont val="Calibri"/>
        <family val="2"/>
      </rPr>
      <t>)</t>
    </r>
  </si>
  <si>
    <r>
      <t>b</t>
    </r>
    <r>
      <rPr>
        <vertAlign val="subscript"/>
        <sz val="11"/>
        <rFont val="Calibri"/>
        <family val="2"/>
      </rPr>
      <t>NOB,T</t>
    </r>
    <r>
      <rPr>
        <sz val="11"/>
        <rFont val="Calibri"/>
        <family val="2"/>
      </rPr>
      <t>*X</t>
    </r>
    <r>
      <rPr>
        <vertAlign val="subscript"/>
        <sz val="11"/>
        <rFont val="Calibri"/>
        <family val="2"/>
      </rPr>
      <t>NOB</t>
    </r>
    <r>
      <rPr>
        <sz val="11"/>
        <rFont val="Calibri"/>
        <family val="2"/>
      </rPr>
      <t>*(η</t>
    </r>
    <r>
      <rPr>
        <vertAlign val="subscript"/>
        <sz val="11"/>
        <rFont val="Calibri"/>
        <family val="2"/>
      </rPr>
      <t>b,ana</t>
    </r>
    <r>
      <rPr>
        <sz val="11"/>
        <rFont val="Calibri"/>
        <family val="2"/>
      </rPr>
      <t>*Minh</t>
    </r>
    <r>
      <rPr>
        <vertAlign val="subscript"/>
        <sz val="11"/>
        <rFont val="Calibri"/>
        <family val="2"/>
      </rPr>
      <t>SNOx,KNOx,NOB</t>
    </r>
    <r>
      <rPr>
        <sz val="11"/>
        <rFont val="Calibri"/>
        <family val="2"/>
      </rPr>
      <t>*Minh</t>
    </r>
    <r>
      <rPr>
        <vertAlign val="subscript"/>
        <sz val="11"/>
        <rFont val="Calibri"/>
        <family val="2"/>
      </rPr>
      <t>SO2,KO2,NOB</t>
    </r>
    <r>
      <rPr>
        <sz val="11"/>
        <rFont val="Calibri"/>
        <family val="2"/>
      </rPr>
      <t>+m</t>
    </r>
    <r>
      <rPr>
        <vertAlign val="subscript"/>
        <sz val="11"/>
        <rFont val="Calibri"/>
        <family val="2"/>
      </rPr>
      <t>tox,ana</t>
    </r>
    <r>
      <rPr>
        <sz val="11"/>
        <rFont val="Calibri"/>
        <family val="2"/>
      </rPr>
      <t>)</t>
    </r>
  </si>
  <si>
    <r>
      <t>b</t>
    </r>
    <r>
      <rPr>
        <vertAlign val="subscript"/>
        <sz val="11"/>
        <color indexed="8"/>
        <rFont val="Calibri"/>
        <family val="2"/>
        <charset val="238"/>
      </rPr>
      <t>AMX,T</t>
    </r>
    <r>
      <rPr>
        <sz val="11"/>
        <color indexed="8"/>
        <rFont val="Calibri"/>
        <family val="2"/>
      </rPr>
      <t>*X</t>
    </r>
    <r>
      <rPr>
        <vertAlign val="subscript"/>
        <sz val="11"/>
        <color indexed="8"/>
        <rFont val="Calibri"/>
        <family val="2"/>
        <charset val="238"/>
      </rPr>
      <t>AMX</t>
    </r>
    <r>
      <rPr>
        <sz val="11"/>
        <color indexed="8"/>
        <rFont val="Calibri"/>
        <family val="2"/>
      </rPr>
      <t>*(Msat</t>
    </r>
    <r>
      <rPr>
        <vertAlign val="subscript"/>
        <sz val="11"/>
        <color indexed="8"/>
        <rFont val="Calibri"/>
        <family val="2"/>
        <charset val="238"/>
      </rPr>
      <t>SO2,KiO2,AMX</t>
    </r>
    <r>
      <rPr>
        <sz val="11"/>
        <color indexed="8"/>
        <rFont val="Calibri"/>
        <family val="2"/>
      </rPr>
      <t>+η</t>
    </r>
    <r>
      <rPr>
        <vertAlign val="subscript"/>
        <sz val="11"/>
        <color indexed="8"/>
        <rFont val="Calibri"/>
        <family val="2"/>
        <charset val="238"/>
      </rPr>
      <t>b,anox</t>
    </r>
    <r>
      <rPr>
        <sz val="11"/>
        <color indexed="8"/>
        <rFont val="Calibri"/>
        <family val="2"/>
      </rPr>
      <t>*Msat</t>
    </r>
    <r>
      <rPr>
        <vertAlign val="subscript"/>
        <sz val="11"/>
        <color indexed="8"/>
        <rFont val="Calibri"/>
        <family val="2"/>
        <charset val="238"/>
      </rPr>
      <t>SNOx,KNOx,AMX</t>
    </r>
    <r>
      <rPr>
        <sz val="11"/>
        <color indexed="8"/>
        <rFont val="Calibri"/>
        <family val="2"/>
      </rPr>
      <t>*Minh</t>
    </r>
    <r>
      <rPr>
        <vertAlign val="subscript"/>
        <sz val="11"/>
        <color indexed="8"/>
        <rFont val="Calibri"/>
        <family val="2"/>
        <charset val="238"/>
      </rPr>
      <t>SO2,KiO2,AMX</t>
    </r>
    <r>
      <rPr>
        <sz val="11"/>
        <color indexed="8"/>
        <rFont val="Calibri"/>
        <family val="2"/>
      </rPr>
      <t>)</t>
    </r>
  </si>
  <si>
    <r>
      <t>b</t>
    </r>
    <r>
      <rPr>
        <vertAlign val="subscript"/>
        <sz val="11"/>
        <color indexed="8"/>
        <rFont val="Calibri"/>
        <family val="2"/>
        <charset val="238"/>
      </rPr>
      <t>AMX,T</t>
    </r>
    <r>
      <rPr>
        <sz val="11"/>
        <color indexed="8"/>
        <rFont val="Calibri"/>
        <family val="2"/>
      </rPr>
      <t>*X</t>
    </r>
    <r>
      <rPr>
        <vertAlign val="subscript"/>
        <sz val="11"/>
        <color indexed="8"/>
        <rFont val="Calibri"/>
        <family val="2"/>
        <charset val="238"/>
      </rPr>
      <t>AMX</t>
    </r>
    <r>
      <rPr>
        <sz val="11"/>
        <color indexed="8"/>
        <rFont val="Calibri"/>
        <family val="2"/>
      </rPr>
      <t>*(η</t>
    </r>
    <r>
      <rPr>
        <vertAlign val="subscript"/>
        <sz val="11"/>
        <color indexed="8"/>
        <rFont val="Calibri"/>
        <family val="2"/>
        <charset val="238"/>
      </rPr>
      <t>b,ana</t>
    </r>
    <r>
      <rPr>
        <sz val="11"/>
        <color indexed="8"/>
        <rFont val="Calibri"/>
        <family val="2"/>
      </rPr>
      <t>*Minh</t>
    </r>
    <r>
      <rPr>
        <vertAlign val="subscript"/>
        <sz val="11"/>
        <color indexed="8"/>
        <rFont val="Calibri"/>
        <family val="2"/>
        <charset val="238"/>
      </rPr>
      <t>SNOx,KNOx,AMX</t>
    </r>
    <r>
      <rPr>
        <sz val="11"/>
        <color indexed="8"/>
        <rFont val="Calibri"/>
        <family val="2"/>
      </rPr>
      <t>*Minh</t>
    </r>
    <r>
      <rPr>
        <vertAlign val="subscript"/>
        <sz val="11"/>
        <color indexed="8"/>
        <rFont val="Calibri"/>
        <family val="2"/>
        <charset val="238"/>
      </rPr>
      <t>SO2,KiO2,AMX</t>
    </r>
    <r>
      <rPr>
        <sz val="11"/>
        <color indexed="8"/>
        <rFont val="Calibri"/>
        <family val="2"/>
      </rPr>
      <t>)</t>
    </r>
  </si>
  <si>
    <r>
      <t>µ</t>
    </r>
    <r>
      <rPr>
        <vertAlign val="subscript"/>
        <sz val="11"/>
        <rFont val="Calibri"/>
        <family val="2"/>
      </rPr>
      <t>ASRO,T</t>
    </r>
    <r>
      <rPr>
        <sz val="11"/>
        <rFont val="Calibri"/>
        <family val="2"/>
      </rPr>
      <t>*X</t>
    </r>
    <r>
      <rPr>
        <vertAlign val="subscript"/>
        <sz val="11"/>
        <rFont val="Calibri"/>
        <family val="2"/>
      </rPr>
      <t>ASRO</t>
    </r>
    <r>
      <rPr>
        <sz val="11"/>
        <rFont val="Calibri"/>
        <family val="2"/>
      </rPr>
      <t>*Msat</t>
    </r>
    <r>
      <rPr>
        <vertAlign val="subscript"/>
        <sz val="11"/>
        <rFont val="Calibri"/>
        <family val="2"/>
      </rPr>
      <t>SVFA,KVFA,ASRO</t>
    </r>
    <r>
      <rPr>
        <sz val="11"/>
        <rFont val="Calibri"/>
        <family val="2"/>
      </rPr>
      <t>*Msat</t>
    </r>
    <r>
      <rPr>
        <vertAlign val="subscript"/>
        <sz val="11"/>
        <rFont val="Calibri"/>
        <family val="2"/>
      </rPr>
      <t>SO4,KSO4,ASRO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*Minh</t>
    </r>
    <r>
      <rPr>
        <vertAlign val="subscript"/>
        <sz val="11"/>
        <rFont val="Calibri"/>
        <family val="2"/>
      </rPr>
      <t>H2S,KiH2S,ASRO</t>
    </r>
    <r>
      <rPr>
        <sz val="11"/>
        <rFont val="Calibri"/>
        <family val="2"/>
      </rPr>
      <t>*Minh</t>
    </r>
    <r>
      <rPr>
        <vertAlign val="subscript"/>
        <sz val="11"/>
        <rFont val="Calibri"/>
        <family val="2"/>
      </rPr>
      <t>SNOx,KNOx,ASRO</t>
    </r>
    <r>
      <rPr>
        <sz val="11"/>
        <rFont val="Calibri"/>
        <family val="2"/>
      </rPr>
      <t>*Minh</t>
    </r>
    <r>
      <rPr>
        <vertAlign val="subscript"/>
        <sz val="11"/>
        <rFont val="Calibri"/>
        <family val="2"/>
      </rPr>
      <t>SO2,KiO2,ASRO</t>
    </r>
    <r>
      <rPr>
        <sz val="11"/>
        <rFont val="Calibri"/>
        <family val="2"/>
      </rPr>
      <t>*Bellinh</t>
    </r>
    <r>
      <rPr>
        <vertAlign val="subscript"/>
        <sz val="11"/>
        <rFont val="Calibri"/>
        <family val="2"/>
      </rPr>
      <t>pH</t>
    </r>
  </si>
  <si>
    <r>
      <t>b</t>
    </r>
    <r>
      <rPr>
        <vertAlign val="subscript"/>
        <sz val="11"/>
        <rFont val="Calibri"/>
        <family val="2"/>
      </rPr>
      <t>ASRO,T</t>
    </r>
    <r>
      <rPr>
        <sz val="11"/>
        <rFont val="Calibri"/>
        <family val="2"/>
      </rPr>
      <t>*X</t>
    </r>
    <r>
      <rPr>
        <vertAlign val="subscript"/>
        <sz val="11"/>
        <rFont val="Calibri"/>
        <family val="2"/>
      </rPr>
      <t>ASRO</t>
    </r>
    <r>
      <rPr>
        <sz val="11"/>
        <rFont val="Calibri"/>
        <family val="2"/>
      </rPr>
      <t>*(Msat</t>
    </r>
    <r>
      <rPr>
        <vertAlign val="subscript"/>
        <sz val="11"/>
        <rFont val="Calibri"/>
        <family val="2"/>
      </rPr>
      <t>SO2,KiO2,ASRO</t>
    </r>
    <r>
      <rPr>
        <sz val="11"/>
        <rFont val="Calibri"/>
        <family val="2"/>
      </rPr>
      <t>+Msat</t>
    </r>
    <r>
      <rPr>
        <vertAlign val="subscript"/>
        <sz val="11"/>
        <rFont val="Calibri"/>
        <family val="2"/>
      </rPr>
      <t>SNOx,KNOx,ASRO</t>
    </r>
    <r>
      <rPr>
        <sz val="11"/>
        <rFont val="Calibri"/>
        <family val="2"/>
      </rPr>
      <t>*Minh</t>
    </r>
    <r>
      <rPr>
        <vertAlign val="subscript"/>
        <sz val="11"/>
        <rFont val="Calibri"/>
        <family val="2"/>
      </rPr>
      <t>SO2,KiO2,ASRO</t>
    </r>
    <r>
      <rPr>
        <sz val="11"/>
        <rFont val="Calibri"/>
        <family val="2"/>
      </rPr>
      <t>)</t>
    </r>
  </si>
  <si>
    <r>
      <t>b</t>
    </r>
    <r>
      <rPr>
        <vertAlign val="subscript"/>
        <sz val="11"/>
        <rFont val="Calibri"/>
        <family val="2"/>
      </rPr>
      <t>ASRO,T</t>
    </r>
    <r>
      <rPr>
        <sz val="11"/>
        <rFont val="Calibri"/>
        <family val="2"/>
      </rPr>
      <t>*X</t>
    </r>
    <r>
      <rPr>
        <vertAlign val="subscript"/>
        <sz val="11"/>
        <rFont val="Calibri"/>
        <family val="2"/>
      </rPr>
      <t>ASRO</t>
    </r>
    <r>
      <rPr>
        <sz val="11"/>
        <rFont val="Calibri"/>
        <family val="2"/>
      </rPr>
      <t>*(Minh</t>
    </r>
    <r>
      <rPr>
        <vertAlign val="subscript"/>
        <sz val="11"/>
        <rFont val="Calibri"/>
        <family val="2"/>
      </rPr>
      <t>SNOx,KNOx,ASRO</t>
    </r>
    <r>
      <rPr>
        <sz val="11"/>
        <rFont val="Calibri"/>
        <family val="2"/>
      </rPr>
      <t>*Minh</t>
    </r>
    <r>
      <rPr>
        <vertAlign val="subscript"/>
        <sz val="11"/>
        <rFont val="Calibri"/>
        <family val="2"/>
      </rPr>
      <t>SO2,KiO2,ASRO</t>
    </r>
    <r>
      <rPr>
        <sz val="11"/>
        <rFont val="Calibri"/>
        <family val="2"/>
      </rPr>
      <t>)</t>
    </r>
  </si>
  <si>
    <r>
      <t>µ</t>
    </r>
    <r>
      <rPr>
        <vertAlign val="subscript"/>
        <sz val="11"/>
        <rFont val="Calibri"/>
        <family val="2"/>
      </rPr>
      <t>HSRO,T</t>
    </r>
    <r>
      <rPr>
        <sz val="11"/>
        <rFont val="Calibri"/>
        <family val="2"/>
      </rPr>
      <t>*X</t>
    </r>
    <r>
      <rPr>
        <vertAlign val="subscript"/>
        <sz val="11"/>
        <rFont val="Calibri"/>
        <family val="2"/>
      </rPr>
      <t>HSRO</t>
    </r>
    <r>
      <rPr>
        <sz val="11"/>
        <rFont val="Calibri"/>
        <family val="2"/>
      </rPr>
      <t>*Msat</t>
    </r>
    <r>
      <rPr>
        <vertAlign val="subscript"/>
        <sz val="11"/>
        <rFont val="Calibri"/>
        <family val="2"/>
      </rPr>
      <t>SCO2,KCO2,BIO</t>
    </r>
    <r>
      <rPr>
        <sz val="11"/>
        <rFont val="Calibri"/>
        <family val="2"/>
      </rPr>
      <t>*Msat</t>
    </r>
    <r>
      <rPr>
        <vertAlign val="subscript"/>
        <sz val="11"/>
        <rFont val="Calibri"/>
        <family val="2"/>
      </rPr>
      <t>SH2,KH2,HSRO</t>
    </r>
    <r>
      <rPr>
        <sz val="11"/>
        <rFont val="Calibri"/>
        <family val="2"/>
      </rPr>
      <t>*Msat</t>
    </r>
    <r>
      <rPr>
        <vertAlign val="subscript"/>
        <sz val="11"/>
        <rFont val="Calibri"/>
        <family val="2"/>
      </rPr>
      <t>SO4,KSO4,HSRO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*Minh</t>
    </r>
    <r>
      <rPr>
        <vertAlign val="subscript"/>
        <sz val="11"/>
        <rFont val="Calibri"/>
        <family val="2"/>
      </rPr>
      <t>SNOx,KNOx,HSRO</t>
    </r>
    <r>
      <rPr>
        <sz val="11"/>
        <rFont val="Calibri"/>
        <family val="2"/>
      </rPr>
      <t>*Minh</t>
    </r>
    <r>
      <rPr>
        <vertAlign val="subscript"/>
        <sz val="11"/>
        <rFont val="Calibri"/>
        <family val="2"/>
      </rPr>
      <t>SO2,KiO2,HSRO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*Bellinh</t>
    </r>
    <r>
      <rPr>
        <vertAlign val="subscript"/>
        <sz val="11"/>
        <rFont val="Calibri"/>
        <family val="2"/>
      </rPr>
      <t>pH</t>
    </r>
    <r>
      <rPr>
        <sz val="11"/>
        <rFont val="Calibri"/>
        <family val="2"/>
      </rPr>
      <t>*Minh</t>
    </r>
    <r>
      <rPr>
        <vertAlign val="subscript"/>
        <sz val="11"/>
        <rFont val="Calibri"/>
        <family val="2"/>
      </rPr>
      <t>H2S,KiH2S,HSRO</t>
    </r>
  </si>
  <si>
    <r>
      <t>b</t>
    </r>
    <r>
      <rPr>
        <vertAlign val="subscript"/>
        <sz val="11"/>
        <rFont val="Calibri"/>
        <family val="2"/>
      </rPr>
      <t>HSRO,T</t>
    </r>
    <r>
      <rPr>
        <sz val="11"/>
        <rFont val="Calibri"/>
        <family val="2"/>
      </rPr>
      <t>*X</t>
    </r>
    <r>
      <rPr>
        <vertAlign val="subscript"/>
        <sz val="11"/>
        <rFont val="Calibri"/>
        <family val="2"/>
      </rPr>
      <t>HSRO</t>
    </r>
    <r>
      <rPr>
        <sz val="11"/>
        <rFont val="Calibri"/>
        <family val="2"/>
      </rPr>
      <t>*(Msat</t>
    </r>
    <r>
      <rPr>
        <vertAlign val="subscript"/>
        <sz val="11"/>
        <rFont val="Calibri"/>
        <family val="2"/>
      </rPr>
      <t>SO2,KiO2,HSRO</t>
    </r>
    <r>
      <rPr>
        <sz val="11"/>
        <rFont val="Calibri"/>
        <family val="2"/>
      </rPr>
      <t>+Msat</t>
    </r>
    <r>
      <rPr>
        <vertAlign val="subscript"/>
        <sz val="11"/>
        <rFont val="Calibri"/>
        <family val="2"/>
      </rPr>
      <t>SNOx,KNOx,HSRO</t>
    </r>
    <r>
      <rPr>
        <sz val="11"/>
        <rFont val="Calibri"/>
        <family val="2"/>
      </rPr>
      <t>*Minh</t>
    </r>
    <r>
      <rPr>
        <vertAlign val="subscript"/>
        <sz val="11"/>
        <rFont val="Calibri"/>
        <family val="2"/>
      </rPr>
      <t>SO2,KiO2,HSRO</t>
    </r>
    <r>
      <rPr>
        <sz val="11"/>
        <rFont val="Calibri"/>
        <family val="2"/>
      </rPr>
      <t>)</t>
    </r>
  </si>
  <si>
    <r>
      <t>b</t>
    </r>
    <r>
      <rPr>
        <vertAlign val="subscript"/>
        <sz val="11"/>
        <rFont val="Calibri"/>
        <family val="2"/>
      </rPr>
      <t>HSRO,T</t>
    </r>
    <r>
      <rPr>
        <sz val="11"/>
        <rFont val="Calibri"/>
        <family val="2"/>
      </rPr>
      <t>*X</t>
    </r>
    <r>
      <rPr>
        <vertAlign val="subscript"/>
        <sz val="11"/>
        <rFont val="Calibri"/>
        <family val="2"/>
      </rPr>
      <t>HSRO</t>
    </r>
    <r>
      <rPr>
        <sz val="11"/>
        <rFont val="Calibri"/>
        <family val="2"/>
      </rPr>
      <t>*(Minh</t>
    </r>
    <r>
      <rPr>
        <vertAlign val="subscript"/>
        <sz val="11"/>
        <rFont val="Calibri"/>
        <family val="2"/>
      </rPr>
      <t>SNOx,KNOx,HSRO</t>
    </r>
    <r>
      <rPr>
        <sz val="11"/>
        <rFont val="Calibri"/>
        <family val="2"/>
      </rPr>
      <t>*Minh</t>
    </r>
    <r>
      <rPr>
        <vertAlign val="subscript"/>
        <sz val="11"/>
        <rFont val="Calibri"/>
        <family val="2"/>
      </rPr>
      <t>SO2,KiO2,HSRO</t>
    </r>
    <r>
      <rPr>
        <sz val="11"/>
        <rFont val="Calibri"/>
        <family val="2"/>
      </rPr>
      <t>)</t>
    </r>
  </si>
  <si>
    <r>
      <t>-X</t>
    </r>
    <r>
      <rPr>
        <vertAlign val="subscript"/>
        <sz val="11"/>
        <rFont val="Calibri"/>
        <family val="2"/>
      </rPr>
      <t>HFO,H</t>
    </r>
    <r>
      <rPr>
        <sz val="11"/>
        <rFont val="Calibri"/>
        <family val="2"/>
      </rPr>
      <t>/X</t>
    </r>
    <r>
      <rPr>
        <vertAlign val="subscript"/>
        <sz val="11"/>
        <rFont val="Calibri"/>
        <family val="2"/>
      </rPr>
      <t>HFO</t>
    </r>
  </si>
  <si>
    <r>
      <t>-X</t>
    </r>
    <r>
      <rPr>
        <vertAlign val="subscript"/>
        <sz val="11"/>
        <rFont val="Calibri"/>
        <family val="2"/>
      </rPr>
      <t>HFO,L</t>
    </r>
    <r>
      <rPr>
        <sz val="11"/>
        <rFont val="Calibri"/>
        <family val="2"/>
      </rPr>
      <t>/X</t>
    </r>
    <r>
      <rPr>
        <vertAlign val="subscript"/>
        <sz val="11"/>
        <rFont val="Calibri"/>
        <family val="2"/>
      </rPr>
      <t>HFO</t>
    </r>
  </si>
  <si>
    <r>
      <t>-X</t>
    </r>
    <r>
      <rPr>
        <vertAlign val="subscript"/>
        <sz val="11"/>
        <rFont val="Calibri"/>
        <family val="2"/>
      </rPr>
      <t>HFO,old</t>
    </r>
    <r>
      <rPr>
        <sz val="11"/>
        <rFont val="Calibri"/>
        <family val="2"/>
      </rPr>
      <t>/X</t>
    </r>
    <r>
      <rPr>
        <vertAlign val="subscript"/>
        <sz val="11"/>
        <rFont val="Calibri"/>
        <family val="2"/>
      </rPr>
      <t>HFO</t>
    </r>
  </si>
  <si>
    <r>
      <t>-X</t>
    </r>
    <r>
      <rPr>
        <vertAlign val="subscript"/>
        <sz val="11"/>
        <rFont val="Calibri"/>
        <family val="2"/>
      </rPr>
      <t>HFO,H,P</t>
    </r>
    <r>
      <rPr>
        <sz val="11"/>
        <rFont val="Calibri"/>
        <family val="2"/>
      </rPr>
      <t>/X</t>
    </r>
    <r>
      <rPr>
        <vertAlign val="subscript"/>
        <sz val="11"/>
        <rFont val="Calibri"/>
        <family val="2"/>
      </rPr>
      <t>HFO</t>
    </r>
  </si>
  <si>
    <r>
      <t>-X</t>
    </r>
    <r>
      <rPr>
        <vertAlign val="subscript"/>
        <sz val="11"/>
        <rFont val="Calibri"/>
        <family val="2"/>
      </rPr>
      <t>HFO,L,P</t>
    </r>
    <r>
      <rPr>
        <sz val="11"/>
        <rFont val="Calibri"/>
        <family val="2"/>
      </rPr>
      <t>/X</t>
    </r>
    <r>
      <rPr>
        <vertAlign val="subscript"/>
        <sz val="11"/>
        <rFont val="Calibri"/>
        <family val="2"/>
      </rPr>
      <t>HFO</t>
    </r>
  </si>
  <si>
    <r>
      <t>-X</t>
    </r>
    <r>
      <rPr>
        <vertAlign val="subscript"/>
        <sz val="11"/>
        <rFont val="Calibri"/>
        <family val="2"/>
      </rPr>
      <t>HFO,H,P,old</t>
    </r>
    <r>
      <rPr>
        <sz val="11"/>
        <rFont val="Calibri"/>
        <family val="2"/>
      </rPr>
      <t>/X</t>
    </r>
    <r>
      <rPr>
        <vertAlign val="subscript"/>
        <sz val="11"/>
        <rFont val="Calibri"/>
        <family val="2"/>
      </rPr>
      <t>HFO</t>
    </r>
  </si>
  <si>
    <r>
      <t>-X</t>
    </r>
    <r>
      <rPr>
        <vertAlign val="subscript"/>
        <sz val="11"/>
        <rFont val="Calibri"/>
        <family val="2"/>
      </rPr>
      <t>HFO,L,P,old</t>
    </r>
    <r>
      <rPr>
        <sz val="11"/>
        <rFont val="Calibri"/>
        <family val="2"/>
      </rPr>
      <t>/X</t>
    </r>
    <r>
      <rPr>
        <vertAlign val="subscript"/>
        <sz val="11"/>
        <rFont val="Calibri"/>
        <family val="2"/>
      </rPr>
      <t>HFO</t>
    </r>
  </si>
  <si>
    <r>
      <t>q</t>
    </r>
    <r>
      <rPr>
        <vertAlign val="subscript"/>
        <sz val="11"/>
        <rFont val="Calibri"/>
        <family val="2"/>
      </rPr>
      <t>HFO,H2S,RED,T</t>
    </r>
    <r>
      <rPr>
        <sz val="11"/>
        <rFont val="Calibri"/>
        <family val="2"/>
      </rPr>
      <t xml:space="preserve"> * X</t>
    </r>
    <r>
      <rPr>
        <vertAlign val="subscript"/>
        <sz val="11"/>
        <rFont val="Calibri"/>
        <family val="2"/>
      </rPr>
      <t>HFO</t>
    </r>
    <r>
      <rPr>
        <sz val="11"/>
        <rFont val="Calibri"/>
        <family val="2"/>
      </rPr>
      <t xml:space="preserve"> * Minh</t>
    </r>
    <r>
      <rPr>
        <vertAlign val="subscript"/>
        <sz val="11"/>
        <rFont val="Calibri"/>
        <family val="2"/>
      </rPr>
      <t>SO2,KO2,OHO</t>
    </r>
    <r>
      <rPr>
        <sz val="11"/>
        <rFont val="Calibri"/>
        <family val="2"/>
      </rPr>
      <t>*Minh</t>
    </r>
    <r>
      <rPr>
        <vertAlign val="subscript"/>
        <sz val="11"/>
        <rFont val="Calibri"/>
        <family val="2"/>
      </rPr>
      <t>SNO2,KNO2,OHO</t>
    </r>
    <r>
      <rPr>
        <sz val="11"/>
        <rFont val="Calibri"/>
        <family val="2"/>
      </rPr>
      <t>*Minh</t>
    </r>
    <r>
      <rPr>
        <vertAlign val="subscript"/>
        <sz val="11"/>
        <rFont val="Calibri"/>
        <family val="2"/>
      </rPr>
      <t>SNO3,KNO3,OHO</t>
    </r>
    <r>
      <rPr>
        <sz val="11"/>
        <rFont val="Calibri"/>
        <family val="2"/>
      </rPr>
      <t>*Minh</t>
    </r>
    <r>
      <rPr>
        <vertAlign val="subscript"/>
        <sz val="11"/>
        <rFont val="Calibri"/>
        <family val="2"/>
      </rPr>
      <t>SSO4,KiSO4,RED</t>
    </r>
    <r>
      <rPr>
        <sz val="11"/>
        <rFont val="Calibri"/>
        <family val="2"/>
      </rPr>
      <t>*Hsat</t>
    </r>
    <r>
      <rPr>
        <vertAlign val="subscript"/>
        <sz val="11"/>
        <rFont val="Calibri"/>
        <family val="2"/>
      </rPr>
      <t>SH2S,KH2S,SOO</t>
    </r>
  </si>
  <si>
    <r>
      <t>q</t>
    </r>
    <r>
      <rPr>
        <vertAlign val="subscript"/>
        <sz val="11"/>
        <rFont val="Calibri"/>
        <family val="2"/>
      </rPr>
      <t>MM,PROD</t>
    </r>
    <r>
      <rPr>
        <sz val="11"/>
        <rFont val="Calibri"/>
        <family val="2"/>
      </rPr>
      <t>*X</t>
    </r>
    <r>
      <rPr>
        <vertAlign val="subscript"/>
        <sz val="11"/>
        <rFont val="Calibri"/>
        <family val="2"/>
      </rPr>
      <t>BIO</t>
    </r>
    <r>
      <rPr>
        <sz val="11"/>
        <rFont val="Calibri"/>
        <family val="2"/>
      </rPr>
      <t>*((1-S</t>
    </r>
    <r>
      <rPr>
        <vertAlign val="subscript"/>
        <sz val="11"/>
        <rFont val="Calibri"/>
        <family val="2"/>
      </rPr>
      <t>MM,index</t>
    </r>
    <r>
      <rPr>
        <sz val="11"/>
        <rFont val="Calibri"/>
        <family val="2"/>
      </rPr>
      <t>)/(K</t>
    </r>
    <r>
      <rPr>
        <vertAlign val="subscript"/>
        <sz val="11"/>
        <rFont val="Calibri"/>
        <family val="2"/>
      </rPr>
      <t>scaling</t>
    </r>
    <r>
      <rPr>
        <sz val="11"/>
        <rFont val="Calibri"/>
        <family val="2"/>
      </rPr>
      <t>+1-S</t>
    </r>
    <r>
      <rPr>
        <vertAlign val="subscript"/>
        <sz val="11"/>
        <rFont val="Calibri"/>
        <family val="2"/>
      </rPr>
      <t>MM,index</t>
    </r>
    <r>
      <rPr>
        <sz val="11"/>
        <rFont val="Calibri"/>
        <family val="2"/>
      </rPr>
      <t>))*Msat</t>
    </r>
    <r>
      <rPr>
        <vertAlign val="subscript"/>
        <sz val="11"/>
        <rFont val="Calibri"/>
        <family val="2"/>
      </rPr>
      <t>TKNB,KTKNB</t>
    </r>
    <r>
      <rPr>
        <sz val="11"/>
        <rFont val="Calibri"/>
        <family val="2"/>
      </rPr>
      <t>*Minh</t>
    </r>
    <r>
      <rPr>
        <vertAlign val="subscript"/>
        <sz val="11"/>
        <rFont val="Calibri"/>
        <family val="2"/>
      </rPr>
      <t>SNO2,KNO2,OHO</t>
    </r>
    <r>
      <rPr>
        <sz val="11"/>
        <rFont val="Calibri"/>
        <family val="2"/>
      </rPr>
      <t>*Minh</t>
    </r>
    <r>
      <rPr>
        <vertAlign val="subscript"/>
        <sz val="11"/>
        <rFont val="Calibri"/>
        <family val="2"/>
      </rPr>
      <t>SNO3,KNO3,OHO</t>
    </r>
    <r>
      <rPr>
        <sz val="11"/>
        <rFont val="Calibri"/>
        <family val="2"/>
      </rPr>
      <t>*Minh</t>
    </r>
    <r>
      <rPr>
        <vertAlign val="subscript"/>
        <sz val="11"/>
        <rFont val="Calibri"/>
        <family val="2"/>
      </rPr>
      <t>SO2,KO2,OHO</t>
    </r>
  </si>
  <si>
    <r>
      <t>X</t>
    </r>
    <r>
      <rPr>
        <vertAlign val="subscript"/>
        <sz val="11"/>
        <rFont val="Calibri"/>
        <family val="2"/>
      </rPr>
      <t>HFO,P</t>
    </r>
    <r>
      <rPr>
        <sz val="11"/>
        <rFont val="Calibri"/>
        <family val="2"/>
      </rPr>
      <t>/X</t>
    </r>
    <r>
      <rPr>
        <vertAlign val="subscript"/>
        <sz val="11"/>
        <rFont val="Calibri"/>
        <family val="2"/>
      </rPr>
      <t>HFO</t>
    </r>
  </si>
  <si>
    <r>
      <t>q</t>
    </r>
    <r>
      <rPr>
        <vertAlign val="subscript"/>
        <sz val="11"/>
        <rFont val="Calibri"/>
        <family val="2"/>
      </rPr>
      <t>HFO,RED,T</t>
    </r>
    <r>
      <rPr>
        <sz val="11"/>
        <rFont val="Calibri"/>
        <family val="2"/>
      </rPr>
      <t xml:space="preserve"> * X</t>
    </r>
    <r>
      <rPr>
        <vertAlign val="subscript"/>
        <sz val="11"/>
        <rFont val="Calibri"/>
        <family val="2"/>
      </rPr>
      <t>HFO</t>
    </r>
    <r>
      <rPr>
        <sz val="11"/>
        <rFont val="Calibri"/>
        <family val="2"/>
      </rPr>
      <t>*Loginh</t>
    </r>
    <r>
      <rPr>
        <vertAlign val="subscript"/>
        <sz val="11"/>
        <rFont val="Calibri"/>
        <family val="2"/>
      </rPr>
      <t>ORP,HFO</t>
    </r>
    <r>
      <rPr>
        <sz val="11"/>
        <rFont val="Calibri"/>
        <family val="2"/>
      </rPr>
      <t>*(Msat</t>
    </r>
    <r>
      <rPr>
        <vertAlign val="subscript"/>
        <sz val="11"/>
        <rFont val="Calibri"/>
        <family val="2"/>
      </rPr>
      <t>SB,KSB</t>
    </r>
    <r>
      <rPr>
        <sz val="11"/>
        <rFont val="Calibri"/>
        <family val="2"/>
      </rPr>
      <t>+Msat</t>
    </r>
    <r>
      <rPr>
        <vertAlign val="subscript"/>
        <sz val="11"/>
        <rFont val="Calibri"/>
        <family val="2"/>
      </rPr>
      <t>SVFA,KVFA</t>
    </r>
    <r>
      <rPr>
        <sz val="11"/>
        <rFont val="Calibri"/>
        <family val="2"/>
      </rPr>
      <t>)</t>
    </r>
  </si>
  <si>
    <r>
      <t>q</t>
    </r>
    <r>
      <rPr>
        <vertAlign val="subscript"/>
        <sz val="11"/>
        <rFont val="Calibri"/>
        <family val="2"/>
      </rPr>
      <t>P,HFO,COPREC</t>
    </r>
    <r>
      <rPr>
        <sz val="11"/>
        <rFont val="Calibri"/>
        <family val="2"/>
      </rPr>
      <t>*X</t>
    </r>
    <r>
      <rPr>
        <vertAlign val="subscript"/>
        <sz val="11"/>
        <rFont val="Calibri"/>
        <family val="2"/>
      </rPr>
      <t>HFO,H</t>
    </r>
    <r>
      <rPr>
        <sz val="11"/>
        <rFont val="Calibri"/>
        <family val="2"/>
      </rPr>
      <t>*Msat</t>
    </r>
    <r>
      <rPr>
        <vertAlign val="subscript"/>
        <sz val="11"/>
        <rFont val="Calibri"/>
        <family val="2"/>
      </rPr>
      <t>SPO4,KP,HFO,BIND</t>
    </r>
  </si>
  <si>
    <r>
      <t>q</t>
    </r>
    <r>
      <rPr>
        <vertAlign val="subscript"/>
        <sz val="11"/>
        <rFont val="Calibri"/>
        <family val="2"/>
      </rPr>
      <t>P,HFO,BIND</t>
    </r>
    <r>
      <rPr>
        <sz val="11"/>
        <rFont val="Calibri"/>
        <family val="2"/>
      </rPr>
      <t>*X</t>
    </r>
    <r>
      <rPr>
        <vertAlign val="subscript"/>
        <sz val="11"/>
        <rFont val="Calibri"/>
        <family val="2"/>
      </rPr>
      <t>HFO,L</t>
    </r>
    <r>
      <rPr>
        <sz val="11"/>
        <rFont val="Calibri"/>
        <family val="2"/>
      </rPr>
      <t>*Msat</t>
    </r>
    <r>
      <rPr>
        <vertAlign val="subscript"/>
        <sz val="11"/>
        <rFont val="Calibri"/>
        <family val="2"/>
      </rPr>
      <t>SPO4,KP,HFO,BIND</t>
    </r>
  </si>
  <si>
    <r>
      <t>q</t>
    </r>
    <r>
      <rPr>
        <vertAlign val="subscript"/>
        <sz val="11"/>
        <rFont val="Calibri"/>
        <family val="2"/>
      </rPr>
      <t>HFOH,DESORP</t>
    </r>
    <r>
      <rPr>
        <sz val="11"/>
        <rFont val="Calibri"/>
        <family val="2"/>
      </rPr>
      <t>*X</t>
    </r>
    <r>
      <rPr>
        <vertAlign val="subscript"/>
        <sz val="11"/>
        <rFont val="Calibri"/>
        <family val="2"/>
      </rPr>
      <t>HFO,H,P</t>
    </r>
    <r>
      <rPr>
        <sz val="11"/>
        <rFont val="Calibri"/>
        <family val="2"/>
      </rPr>
      <t>*Minh</t>
    </r>
    <r>
      <rPr>
        <vertAlign val="subscript"/>
        <sz val="11"/>
        <rFont val="Calibri"/>
        <family val="2"/>
      </rPr>
      <t>SPO4,KiP,HFO,DESORP</t>
    </r>
  </si>
  <si>
    <r>
      <t>q</t>
    </r>
    <r>
      <rPr>
        <vertAlign val="subscript"/>
        <sz val="11"/>
        <rFont val="Calibri"/>
        <family val="2"/>
      </rPr>
      <t>HFOL,DESORP</t>
    </r>
    <r>
      <rPr>
        <sz val="11"/>
        <rFont val="Calibri"/>
        <family val="2"/>
      </rPr>
      <t>*X</t>
    </r>
    <r>
      <rPr>
        <vertAlign val="subscript"/>
        <sz val="11"/>
        <rFont val="Calibri"/>
        <family val="2"/>
      </rPr>
      <t>HFO,L,P</t>
    </r>
    <r>
      <rPr>
        <sz val="11"/>
        <rFont val="Calibri"/>
        <family val="2"/>
      </rPr>
      <t>*Minh</t>
    </r>
    <r>
      <rPr>
        <vertAlign val="subscript"/>
        <sz val="11"/>
        <rFont val="Calibri"/>
        <family val="2"/>
      </rPr>
      <t>SPO4,KiP,HFO,DESORP</t>
    </r>
  </si>
  <si>
    <r>
      <t>q</t>
    </r>
    <r>
      <rPr>
        <vertAlign val="subscript"/>
        <sz val="11"/>
        <rFont val="Calibri"/>
        <family val="2"/>
      </rPr>
      <t>HFO,DISS</t>
    </r>
    <r>
      <rPr>
        <sz val="11"/>
        <rFont val="Calibri"/>
        <family val="2"/>
      </rPr>
      <t>*(X</t>
    </r>
    <r>
      <rPr>
        <vertAlign val="subscript"/>
        <sz val="11"/>
        <rFont val="Calibri"/>
        <family val="2"/>
      </rPr>
      <t>HFO,H,P,old</t>
    </r>
    <r>
      <rPr>
        <sz val="11"/>
        <rFont val="Calibri"/>
        <family val="2"/>
      </rPr>
      <t>+X</t>
    </r>
    <r>
      <rPr>
        <vertAlign val="subscript"/>
        <sz val="11"/>
        <rFont val="Calibri"/>
        <family val="2"/>
      </rPr>
      <t>HFO,L,P,old</t>
    </r>
    <r>
      <rPr>
        <sz val="11"/>
        <rFont val="Calibri"/>
        <family val="2"/>
      </rPr>
      <t>)*Loginh</t>
    </r>
    <r>
      <rPr>
        <vertAlign val="subscript"/>
        <sz val="11"/>
        <rFont val="Calibri"/>
        <family val="2"/>
      </rPr>
      <t>SPO4,KiP,HFO,DISS</t>
    </r>
  </si>
  <si>
    <t>r120</t>
  </si>
  <si>
    <t>r121</t>
  </si>
  <si>
    <r>
      <t>Ca</t>
    </r>
    <r>
      <rPr>
        <sz val="11"/>
        <color indexed="8"/>
        <rFont val="Calibri"/>
        <family val="2"/>
      </rPr>
      <t>H</t>
    </r>
    <r>
      <rPr>
        <sz val="11"/>
        <color indexed="8"/>
        <rFont val="Calibri"/>
        <family val="2"/>
        <scheme val="minor"/>
      </rPr>
      <t>PO</t>
    </r>
    <r>
      <rPr>
        <vertAlign val="subscript"/>
        <sz val="11"/>
        <color indexed="8"/>
        <rFont val="Calibri"/>
        <family val="2"/>
        <scheme val="minor"/>
      </rPr>
      <t>4</t>
    </r>
    <r>
      <rPr>
        <sz val="11"/>
        <color indexed="8"/>
        <rFont val="Calibri"/>
        <family val="2"/>
        <scheme val="minor"/>
      </rPr>
      <t xml:space="preserve"> * 2H</t>
    </r>
    <r>
      <rPr>
        <vertAlign val="subscript"/>
        <sz val="11"/>
        <color indexed="8"/>
        <rFont val="Calibri"/>
        <family val="2"/>
        <scheme val="minor"/>
      </rPr>
      <t>2</t>
    </r>
    <r>
      <rPr>
        <sz val="11"/>
        <color indexed="8"/>
        <rFont val="Calibri"/>
        <family val="2"/>
        <scheme val="minor"/>
      </rPr>
      <t>O</t>
    </r>
  </si>
  <si>
    <r>
      <t>Loginh</t>
    </r>
    <r>
      <rPr>
        <vertAlign val="subscript"/>
        <sz val="11"/>
        <rFont val="Calibri"/>
        <family val="2"/>
        <scheme val="minor"/>
      </rPr>
      <t>SPO4,KiP,HFO,DISS</t>
    </r>
  </si>
  <si>
    <r>
      <t>Minh</t>
    </r>
    <r>
      <rPr>
        <vertAlign val="subscript"/>
        <sz val="11"/>
        <rFont val="Calibri"/>
        <family val="2"/>
        <scheme val="minor"/>
      </rPr>
      <t>SPO4,KiP,HFO,DESORP</t>
    </r>
  </si>
  <si>
    <r>
      <t>Minh(S</t>
    </r>
    <r>
      <rPr>
        <vertAlign val="subscript"/>
        <sz val="11"/>
        <rFont val="Calibri"/>
        <family val="2"/>
        <scheme val="minor"/>
      </rPr>
      <t>PO4</t>
    </r>
    <r>
      <rPr>
        <sz val="11"/>
        <rFont val="Calibri"/>
        <family val="2"/>
        <scheme val="minor"/>
      </rPr>
      <t>;Ki</t>
    </r>
    <r>
      <rPr>
        <vertAlign val="subscript"/>
        <sz val="11"/>
        <rFont val="Calibri"/>
        <family val="2"/>
        <scheme val="minor"/>
      </rPr>
      <t>P,HFO,DESORP</t>
    </r>
    <r>
      <rPr>
        <sz val="11"/>
        <rFont val="Calibri"/>
        <family val="2"/>
        <scheme val="minor"/>
      </rPr>
      <t>)</t>
    </r>
  </si>
  <si>
    <r>
      <t>Msat</t>
    </r>
    <r>
      <rPr>
        <vertAlign val="subscript"/>
        <sz val="11"/>
        <rFont val="Calibri"/>
        <family val="2"/>
        <scheme val="minor"/>
      </rPr>
      <t>SPO4,KP,HFO,BIND</t>
    </r>
  </si>
  <si>
    <r>
      <t>Msat(S</t>
    </r>
    <r>
      <rPr>
        <vertAlign val="subscript"/>
        <sz val="11"/>
        <rFont val="Calibri"/>
        <family val="2"/>
        <scheme val="minor"/>
      </rPr>
      <t>PO4</t>
    </r>
    <r>
      <rPr>
        <sz val="11"/>
        <rFont val="Calibri"/>
        <family val="2"/>
        <scheme val="minor"/>
      </rPr>
      <t>;K</t>
    </r>
    <r>
      <rPr>
        <vertAlign val="subscript"/>
        <sz val="11"/>
        <rFont val="Calibri"/>
        <family val="2"/>
        <scheme val="minor"/>
      </rPr>
      <t>P,HFO,BIND</t>
    </r>
    <r>
      <rPr>
        <sz val="11"/>
        <rFont val="Calibri"/>
        <family val="2"/>
        <scheme val="minor"/>
      </rPr>
      <t>)</t>
    </r>
  </si>
  <si>
    <r>
      <t>Minh(S</t>
    </r>
    <r>
      <rPr>
        <vertAlign val="subscript"/>
        <sz val="11"/>
        <rFont val="Calibri"/>
        <family val="2"/>
        <scheme val="minor"/>
      </rPr>
      <t>NOx</t>
    </r>
    <r>
      <rPr>
        <sz val="11"/>
        <rFont val="Calibri"/>
        <family val="2"/>
        <scheme val="minor"/>
      </rPr>
      <t>;K</t>
    </r>
    <r>
      <rPr>
        <vertAlign val="subscript"/>
        <sz val="11"/>
        <rFont val="Calibri"/>
        <family val="2"/>
        <scheme val="minor"/>
      </rPr>
      <t>NOx,AMETO</t>
    </r>
    <r>
      <rPr>
        <sz val="11"/>
        <rFont val="Calibri"/>
        <family val="2"/>
        <scheme val="minor"/>
      </rPr>
      <t>)</t>
    </r>
  </si>
  <si>
    <r>
      <t>Minh</t>
    </r>
    <r>
      <rPr>
        <vertAlign val="subscript"/>
        <sz val="11"/>
        <rFont val="Calibri"/>
        <family val="2"/>
      </rPr>
      <t>SNOx,KNOx,AOB</t>
    </r>
  </si>
  <si>
    <r>
      <t>Msat</t>
    </r>
    <r>
      <rPr>
        <vertAlign val="subscript"/>
        <sz val="11"/>
        <rFont val="Calibri"/>
        <family val="2"/>
      </rPr>
      <t>SNOx,KNOx,AOB</t>
    </r>
  </si>
  <si>
    <r>
      <t>Minh</t>
    </r>
    <r>
      <rPr>
        <vertAlign val="subscript"/>
        <sz val="11"/>
        <rFont val="Calibri"/>
        <family val="2"/>
      </rPr>
      <t>SNOx,KNOx,NOB</t>
    </r>
  </si>
  <si>
    <r>
      <t>Msat</t>
    </r>
    <r>
      <rPr>
        <vertAlign val="subscript"/>
        <sz val="11"/>
        <rFont val="Calibri"/>
        <family val="2"/>
      </rPr>
      <t>SNOx,KNOx,NOB</t>
    </r>
  </si>
  <si>
    <r>
      <t>Minh</t>
    </r>
    <r>
      <rPr>
        <vertAlign val="subscript"/>
        <sz val="11"/>
        <rFont val="Calibri"/>
        <family val="2"/>
      </rPr>
      <t>SNOx,KNOx,AMX</t>
    </r>
  </si>
  <si>
    <r>
      <t>Msat</t>
    </r>
    <r>
      <rPr>
        <vertAlign val="subscript"/>
        <sz val="11"/>
        <rFont val="Calibri"/>
        <family val="2"/>
      </rPr>
      <t>SNOx,KNOx,AMX</t>
    </r>
  </si>
  <si>
    <r>
      <t>Msat(S</t>
    </r>
    <r>
      <rPr>
        <vertAlign val="subscript"/>
        <sz val="11"/>
        <rFont val="Calibri"/>
        <family val="2"/>
      </rPr>
      <t>NOx</t>
    </r>
    <r>
      <rPr>
        <sz val="11"/>
        <rFont val="Calibri"/>
        <family val="2"/>
      </rPr>
      <t>;K</t>
    </r>
    <r>
      <rPr>
        <vertAlign val="subscript"/>
        <sz val="11"/>
        <rFont val="Calibri"/>
        <family val="2"/>
      </rPr>
      <t>NOx,HMETO</t>
    </r>
    <r>
      <rPr>
        <sz val="11"/>
        <rFont val="Calibri"/>
        <family val="2"/>
      </rPr>
      <t>)</t>
    </r>
  </si>
  <si>
    <r>
      <t>K</t>
    </r>
    <r>
      <rPr>
        <vertAlign val="subscript"/>
        <sz val="11"/>
        <color indexed="8"/>
        <rFont val="Calibri"/>
        <family val="2"/>
        <scheme val="minor"/>
      </rPr>
      <t>BSH,DISS</t>
    </r>
  </si>
  <si>
    <t>Half-saturation of brushite redissolution</t>
  </si>
  <si>
    <r>
      <t>Msat</t>
    </r>
    <r>
      <rPr>
        <vertAlign val="subscript"/>
        <sz val="11"/>
        <rFont val="Calibri"/>
        <family val="2"/>
        <scheme val="minor"/>
      </rPr>
      <t>SNOx,KNOx,ASRO</t>
    </r>
  </si>
  <si>
    <r>
      <t>Minh</t>
    </r>
    <r>
      <rPr>
        <vertAlign val="subscript"/>
        <sz val="11"/>
        <rFont val="Calibri"/>
        <family val="2"/>
        <scheme val="minor"/>
      </rPr>
      <t>SNOx,KNOx,ASRO</t>
    </r>
  </si>
  <si>
    <r>
      <t>Msat</t>
    </r>
    <r>
      <rPr>
        <vertAlign val="subscript"/>
        <sz val="11"/>
        <rFont val="Calibri"/>
        <family val="2"/>
        <scheme val="minor"/>
      </rPr>
      <t>SNOx,KNOx,HSRO</t>
    </r>
  </si>
  <si>
    <r>
      <t>Minh</t>
    </r>
    <r>
      <rPr>
        <vertAlign val="subscript"/>
        <sz val="11"/>
        <rFont val="Calibri"/>
        <family val="2"/>
        <scheme val="minor"/>
      </rPr>
      <t>SNOx,KNOx,HSRO</t>
    </r>
  </si>
  <si>
    <r>
      <t>i</t>
    </r>
    <r>
      <rPr>
        <vertAlign val="subscript"/>
        <sz val="11"/>
        <rFont val="Calibri"/>
        <family val="2"/>
        <scheme val="minor"/>
      </rPr>
      <t>P,XBSH</t>
    </r>
  </si>
  <si>
    <t>P content of BSH</t>
  </si>
  <si>
    <r>
      <t>Logsat</t>
    </r>
    <r>
      <rPr>
        <vertAlign val="subscript"/>
        <sz val="11"/>
        <rFont val="Calibri"/>
        <family val="2"/>
        <scheme val="minor"/>
      </rPr>
      <t>SPO4,KPO4,PAO</t>
    </r>
  </si>
  <si>
    <r>
      <t>q</t>
    </r>
    <r>
      <rPr>
        <vertAlign val="subscript"/>
        <sz val="11"/>
        <rFont val="Calibri"/>
        <family val="2"/>
        <scheme val="minor"/>
      </rPr>
      <t>ALPHA</t>
    </r>
  </si>
  <si>
    <r>
      <t>m</t>
    </r>
    <r>
      <rPr>
        <vertAlign val="superscript"/>
        <sz val="11"/>
        <rFont val="Calibri"/>
        <family val="2"/>
        <charset val="238"/>
        <scheme val="minor"/>
      </rPr>
      <t>3</t>
    </r>
    <r>
      <rPr>
        <sz val="11"/>
        <rFont val="Calibri"/>
        <family val="2"/>
        <scheme val="minor"/>
      </rPr>
      <t>.g</t>
    </r>
    <r>
      <rPr>
        <vertAlign val="superscript"/>
        <sz val="11"/>
        <rFont val="Calibri"/>
        <family val="2"/>
        <charset val="238"/>
        <scheme val="minor"/>
      </rPr>
      <t>-1</t>
    </r>
    <r>
      <rPr>
        <sz val="11"/>
        <rFont val="Calibri"/>
        <family val="2"/>
        <charset val="238"/>
        <scheme val="minor"/>
      </rPr>
      <t>.</t>
    </r>
    <r>
      <rPr>
        <sz val="11"/>
        <rFont val="Calibri"/>
        <family val="2"/>
        <scheme val="minor"/>
      </rPr>
      <t>d</t>
    </r>
    <r>
      <rPr>
        <vertAlign val="superscript"/>
        <sz val="11"/>
        <rFont val="Calibri"/>
        <family val="2"/>
        <scheme val="minor"/>
      </rPr>
      <t>-1</t>
    </r>
  </si>
  <si>
    <r>
      <t>S</t>
    </r>
    <r>
      <rPr>
        <vertAlign val="subscript"/>
        <sz val="11"/>
        <rFont val="Calibri"/>
        <family val="2"/>
        <charset val="238"/>
        <scheme val="minor"/>
      </rPr>
      <t>ALPHA,sat</t>
    </r>
  </si>
  <si>
    <r>
      <t>coeff</t>
    </r>
    <r>
      <rPr>
        <vertAlign val="subscript"/>
        <sz val="11"/>
        <rFont val="Calibri"/>
        <family val="2"/>
        <charset val="238"/>
        <scheme val="minor"/>
      </rPr>
      <t>damp,ALPHA</t>
    </r>
  </si>
  <si>
    <r>
      <t>pow</t>
    </r>
    <r>
      <rPr>
        <vertAlign val="subscript"/>
        <sz val="11"/>
        <rFont val="Calibri"/>
        <family val="2"/>
        <charset val="238"/>
        <scheme val="minor"/>
      </rPr>
      <t>damp,ALPHA</t>
    </r>
  </si>
  <si>
    <r>
      <t>sl</t>
    </r>
    <r>
      <rPr>
        <vertAlign val="subscript"/>
        <sz val="11"/>
        <rFont val="Calibri"/>
        <family val="2"/>
        <charset val="238"/>
        <scheme val="minor"/>
      </rPr>
      <t>TSS,</t>
    </r>
    <r>
      <rPr>
        <vertAlign val="subscript"/>
        <sz val="11"/>
        <rFont val="Calibri"/>
        <family val="2"/>
        <charset val="238"/>
      </rPr>
      <t>α</t>
    </r>
    <r>
      <rPr>
        <vertAlign val="subscript"/>
        <sz val="11"/>
        <rFont val="Calibri"/>
        <family val="2"/>
        <charset val="238"/>
        <scheme val="minor"/>
      </rPr>
      <t>,def</t>
    </r>
  </si>
  <si>
    <r>
      <t>sl</t>
    </r>
    <r>
      <rPr>
        <vertAlign val="subscript"/>
        <sz val="11"/>
        <rFont val="Calibri"/>
        <family val="2"/>
        <charset val="238"/>
        <scheme val="minor"/>
      </rPr>
      <t>TSS,α,coarse</t>
    </r>
  </si>
  <si>
    <r>
      <t>coeff</t>
    </r>
    <r>
      <rPr>
        <vertAlign val="subscript"/>
        <sz val="11"/>
        <rFont val="Calibri"/>
        <family val="2"/>
        <charset val="238"/>
        <scheme val="minor"/>
      </rPr>
      <t>lead,TSS,α,mech</t>
    </r>
  </si>
  <si>
    <r>
      <t>coeff</t>
    </r>
    <r>
      <rPr>
        <vertAlign val="subscript"/>
        <sz val="11"/>
        <rFont val="Calibri"/>
        <family val="2"/>
        <charset val="238"/>
        <scheme val="minor"/>
      </rPr>
      <t>lin,TSS,α,mech</t>
    </r>
  </si>
  <si>
    <r>
      <t>const</t>
    </r>
    <r>
      <rPr>
        <vertAlign val="subscript"/>
        <sz val="11"/>
        <color rgb="FF000000"/>
        <rFont val="Calibri"/>
        <family val="2"/>
        <charset val="238"/>
        <scheme val="minor"/>
      </rPr>
      <t>TSS,α,mech</t>
    </r>
  </si>
  <si>
    <r>
      <t>S</t>
    </r>
    <r>
      <rPr>
        <b/>
        <vertAlign val="subscript"/>
        <sz val="11"/>
        <rFont val="Calibri"/>
        <family val="2"/>
        <charset val="238"/>
        <scheme val="minor"/>
      </rPr>
      <t>ALPHA</t>
    </r>
  </si>
  <si>
    <t>Alpha indicator</t>
  </si>
  <si>
    <t>Alpha factor influencing expressions</t>
  </si>
  <si>
    <r>
      <t>damp</t>
    </r>
    <r>
      <rPr>
        <vertAlign val="subscript"/>
        <sz val="11"/>
        <rFont val="Calibri"/>
        <family val="2"/>
        <charset val="238"/>
        <scheme val="minor"/>
      </rPr>
      <t>ALPHA</t>
    </r>
  </si>
  <si>
    <r>
      <t>1+coeff</t>
    </r>
    <r>
      <rPr>
        <vertAlign val="subscript"/>
        <sz val="11"/>
        <rFont val="Calibri"/>
        <family val="2"/>
        <charset val="238"/>
        <scheme val="minor"/>
      </rPr>
      <t>damp,ALPHA</t>
    </r>
    <r>
      <rPr>
        <sz val="11"/>
        <rFont val="Calibri"/>
        <family val="2"/>
        <charset val="238"/>
        <scheme val="minor"/>
      </rPr>
      <t>*(</t>
    </r>
    <r>
      <rPr>
        <sz val="11"/>
        <rFont val="Calibri"/>
        <family val="2"/>
        <scheme val="minor"/>
      </rPr>
      <t>S</t>
    </r>
    <r>
      <rPr>
        <vertAlign val="subscript"/>
        <sz val="11"/>
        <rFont val="Calibri"/>
        <family val="2"/>
        <charset val="238"/>
        <scheme val="minor"/>
      </rPr>
      <t>ALPHA</t>
    </r>
    <r>
      <rPr>
        <sz val="11"/>
        <rFont val="Calibri"/>
        <family val="2"/>
        <scheme val="minor"/>
      </rPr>
      <t>/S</t>
    </r>
    <r>
      <rPr>
        <vertAlign val="subscript"/>
        <sz val="11"/>
        <rFont val="Calibri"/>
        <family val="2"/>
        <charset val="238"/>
        <scheme val="minor"/>
      </rPr>
      <t>ALPHA,sat</t>
    </r>
    <r>
      <rPr>
        <sz val="11"/>
        <rFont val="Calibri"/>
        <family val="2"/>
        <charset val="238"/>
        <scheme val="minor"/>
      </rPr>
      <t>)^pow</t>
    </r>
    <r>
      <rPr>
        <vertAlign val="subscript"/>
        <sz val="11"/>
        <rFont val="Calibri"/>
        <family val="2"/>
        <charset val="238"/>
        <scheme val="minor"/>
      </rPr>
      <t>damp,ALPHA</t>
    </r>
  </si>
  <si>
    <r>
      <t>corr</t>
    </r>
    <r>
      <rPr>
        <vertAlign val="subscript"/>
        <sz val="11"/>
        <rFont val="Calibri"/>
        <family val="2"/>
        <charset val="238"/>
        <scheme val="minor"/>
      </rPr>
      <t>TSS,</t>
    </r>
    <r>
      <rPr>
        <vertAlign val="subscript"/>
        <sz val="11"/>
        <rFont val="Calibri"/>
        <family val="2"/>
        <charset val="238"/>
      </rPr>
      <t>α</t>
    </r>
  </si>
  <si>
    <r>
      <t>Exp(</t>
    </r>
    <r>
      <rPr>
        <sz val="11"/>
        <color indexed="8"/>
        <rFont val="Calibri"/>
        <family val="2"/>
      </rPr>
      <t>sl</t>
    </r>
    <r>
      <rPr>
        <vertAlign val="subscript"/>
        <sz val="11"/>
        <color rgb="FF000000"/>
        <rFont val="Calibri"/>
        <family val="2"/>
        <charset val="238"/>
      </rPr>
      <t>TSS,α,def</t>
    </r>
    <r>
      <rPr>
        <sz val="11"/>
        <color rgb="FF000000"/>
        <rFont val="Calibri"/>
        <family val="2"/>
        <charset val="238"/>
      </rPr>
      <t>*X</t>
    </r>
    <r>
      <rPr>
        <vertAlign val="subscript"/>
        <sz val="11"/>
        <color rgb="FF000000"/>
        <rFont val="Calibri"/>
        <family val="2"/>
        <charset val="238"/>
      </rPr>
      <t>TSS</t>
    </r>
    <r>
      <rPr>
        <sz val="11"/>
        <color rgb="FF000000"/>
        <rFont val="Calibri"/>
        <family val="2"/>
        <charset val="238"/>
      </rPr>
      <t>/c</t>
    </r>
    <r>
      <rPr>
        <vertAlign val="subscript"/>
        <sz val="11"/>
        <color rgb="FF000000"/>
        <rFont val="Calibri"/>
        <family val="2"/>
        <charset val="238"/>
      </rPr>
      <t>g,kg</t>
    </r>
    <r>
      <rPr>
        <sz val="11"/>
        <color indexed="8"/>
        <rFont val="Calibri"/>
        <family val="2"/>
      </rPr>
      <t>)</t>
    </r>
  </si>
  <si>
    <r>
      <t>Exp(</t>
    </r>
    <r>
      <rPr>
        <sz val="11"/>
        <color indexed="8"/>
        <rFont val="Calibri"/>
        <family val="2"/>
      </rPr>
      <t>sl</t>
    </r>
    <r>
      <rPr>
        <vertAlign val="subscript"/>
        <sz val="11"/>
        <color rgb="FF000000"/>
        <rFont val="Calibri"/>
        <family val="2"/>
        <charset val="238"/>
      </rPr>
      <t>TSS,α,coarse</t>
    </r>
    <r>
      <rPr>
        <sz val="11"/>
        <color rgb="FF000000"/>
        <rFont val="Calibri"/>
        <family val="2"/>
        <charset val="238"/>
      </rPr>
      <t>*X</t>
    </r>
    <r>
      <rPr>
        <vertAlign val="subscript"/>
        <sz val="11"/>
        <color rgb="FF000000"/>
        <rFont val="Calibri"/>
        <family val="2"/>
        <charset val="238"/>
      </rPr>
      <t>TSS</t>
    </r>
    <r>
      <rPr>
        <sz val="11"/>
        <color rgb="FF000000"/>
        <rFont val="Calibri"/>
        <family val="2"/>
        <charset val="238"/>
      </rPr>
      <t>/c</t>
    </r>
    <r>
      <rPr>
        <vertAlign val="subscript"/>
        <sz val="11"/>
        <color rgb="FF000000"/>
        <rFont val="Calibri"/>
        <family val="2"/>
        <charset val="238"/>
      </rPr>
      <t>g,kg</t>
    </r>
    <r>
      <rPr>
        <sz val="11"/>
        <color indexed="8"/>
        <rFont val="Calibri"/>
        <family val="2"/>
      </rPr>
      <t>)</t>
    </r>
  </si>
  <si>
    <t>SOTECorr_cap</t>
  </si>
  <si>
    <t>SOTEFixed_coarse</t>
  </si>
  <si>
    <r>
      <t>coeff</t>
    </r>
    <r>
      <rPr>
        <vertAlign val="subscript"/>
        <sz val="11"/>
        <rFont val="Calibri"/>
        <family val="2"/>
        <charset val="238"/>
        <scheme val="minor"/>
      </rPr>
      <t>lead,TSS,</t>
    </r>
    <r>
      <rPr>
        <vertAlign val="subscript"/>
        <sz val="11"/>
        <rFont val="Calibri"/>
        <family val="2"/>
        <charset val="238"/>
      </rPr>
      <t>α,mech</t>
    </r>
    <r>
      <rPr>
        <sz val="11"/>
        <rFont val="Calibri"/>
        <family val="2"/>
        <scheme val="minor"/>
      </rPr>
      <t>*(X</t>
    </r>
    <r>
      <rPr>
        <vertAlign val="subscript"/>
        <sz val="11"/>
        <rFont val="Calibri"/>
        <family val="2"/>
        <charset val="238"/>
        <scheme val="minor"/>
      </rPr>
      <t>TSS</t>
    </r>
    <r>
      <rPr>
        <sz val="11"/>
        <rFont val="Calibri"/>
        <family val="2"/>
        <charset val="238"/>
        <scheme val="minor"/>
      </rPr>
      <t>/c</t>
    </r>
    <r>
      <rPr>
        <vertAlign val="subscript"/>
        <sz val="11"/>
        <rFont val="Calibri"/>
        <family val="2"/>
        <charset val="238"/>
        <scheme val="minor"/>
      </rPr>
      <t>g,kg</t>
    </r>
    <r>
      <rPr>
        <sz val="11"/>
        <rFont val="Calibri"/>
        <family val="2"/>
        <charset val="238"/>
        <scheme val="minor"/>
      </rPr>
      <t>)^</t>
    </r>
    <r>
      <rPr>
        <sz val="11"/>
        <rFont val="Calibri"/>
        <family val="2"/>
        <scheme val="minor"/>
      </rPr>
      <t>2 + coeff</t>
    </r>
    <r>
      <rPr>
        <vertAlign val="subscript"/>
        <sz val="11"/>
        <rFont val="Calibri"/>
        <family val="2"/>
        <charset val="238"/>
        <scheme val="minor"/>
      </rPr>
      <t>lin,TSS,α,mech</t>
    </r>
    <r>
      <rPr>
        <sz val="11"/>
        <rFont val="Calibri"/>
        <family val="2"/>
        <scheme val="minor"/>
      </rPr>
      <t xml:space="preserve"> * X</t>
    </r>
    <r>
      <rPr>
        <vertAlign val="subscript"/>
        <sz val="11"/>
        <rFont val="Calibri"/>
        <family val="2"/>
        <charset val="238"/>
        <scheme val="minor"/>
      </rPr>
      <t>TSS</t>
    </r>
    <r>
      <rPr>
        <sz val="11"/>
        <rFont val="Calibri"/>
        <family val="2"/>
        <charset val="238"/>
        <scheme val="minor"/>
      </rPr>
      <t>/c</t>
    </r>
    <r>
      <rPr>
        <vertAlign val="subscript"/>
        <sz val="11"/>
        <rFont val="Calibri"/>
        <family val="2"/>
        <charset val="238"/>
        <scheme val="minor"/>
      </rPr>
      <t>g,kg</t>
    </r>
    <r>
      <rPr>
        <sz val="11"/>
        <rFont val="Calibri"/>
        <family val="2"/>
        <scheme val="minor"/>
      </rPr>
      <t xml:space="preserve"> + const</t>
    </r>
    <r>
      <rPr>
        <vertAlign val="subscript"/>
        <sz val="11"/>
        <rFont val="Calibri"/>
        <family val="2"/>
        <charset val="238"/>
        <scheme val="minor"/>
      </rPr>
      <t>TSS,α,mech</t>
    </r>
  </si>
  <si>
    <t>Mechanical</t>
  </si>
  <si>
    <r>
      <t>α</t>
    </r>
    <r>
      <rPr>
        <vertAlign val="subscript"/>
        <sz val="9.35"/>
        <rFont val="Calibri"/>
        <family val="2"/>
        <charset val="238"/>
      </rPr>
      <t>pred</t>
    </r>
  </si>
  <si>
    <t>Alpha factor predicted</t>
  </si>
  <si>
    <t>Elimination of surfactants</t>
  </si>
  <si>
    <r>
      <t>S</t>
    </r>
    <r>
      <rPr>
        <b/>
        <vertAlign val="subscript"/>
        <sz val="12"/>
        <rFont val="Calibri"/>
        <family val="2"/>
        <charset val="238"/>
        <scheme val="minor"/>
      </rPr>
      <t>ALPHA</t>
    </r>
  </si>
  <si>
    <r>
      <rPr>
        <sz val="11"/>
        <rFont val="Calibri"/>
        <family val="2"/>
      </rPr>
      <t>d</t>
    </r>
    <r>
      <rPr>
        <vertAlign val="superscript"/>
        <sz val="11"/>
        <rFont val="Calibri"/>
        <family val="2"/>
      </rPr>
      <t>-1</t>
    </r>
  </si>
  <si>
    <r>
      <t>T</t>
    </r>
    <r>
      <rPr>
        <vertAlign val="subscript"/>
        <sz val="11"/>
        <rFont val="Calibri"/>
        <family val="2"/>
        <charset val="238"/>
      </rPr>
      <t>IN</t>
    </r>
  </si>
  <si>
    <t>Total inorganic nitrogen</t>
  </si>
  <si>
    <r>
      <t>S</t>
    </r>
    <r>
      <rPr>
        <vertAlign val="subscript"/>
        <sz val="11"/>
        <rFont val="Calibri"/>
        <family val="2"/>
      </rPr>
      <t>NHx</t>
    </r>
    <r>
      <rPr>
        <sz val="11"/>
        <rFont val="Calibri"/>
        <family val="2"/>
      </rPr>
      <t xml:space="preserve"> + S</t>
    </r>
    <r>
      <rPr>
        <vertAlign val="subscript"/>
        <sz val="11"/>
        <rFont val="Calibri"/>
        <family val="2"/>
      </rPr>
      <t>NOx</t>
    </r>
  </si>
  <si>
    <r>
      <t>T</t>
    </r>
    <r>
      <rPr>
        <vertAlign val="subscript"/>
        <sz val="11"/>
        <rFont val="Calibri"/>
        <family val="2"/>
        <scheme val="minor"/>
      </rPr>
      <t>KN</t>
    </r>
    <r>
      <rPr>
        <sz val="11"/>
        <rFont val="Calibri"/>
        <family val="2"/>
        <scheme val="minor"/>
      </rPr>
      <t xml:space="preserve"> + S</t>
    </r>
    <r>
      <rPr>
        <vertAlign val="subscript"/>
        <sz val="11"/>
        <rFont val="Calibri"/>
        <family val="2"/>
        <scheme val="minor"/>
      </rPr>
      <t>NOx</t>
    </r>
    <r>
      <rPr>
        <sz val="11"/>
        <rFont val="Calibri"/>
        <family val="2"/>
      </rPr>
      <t/>
    </r>
  </si>
  <si>
    <r>
      <t>S</t>
    </r>
    <r>
      <rPr>
        <vertAlign val="subscript"/>
        <sz val="11"/>
        <rFont val="Calibri"/>
        <family val="2"/>
      </rPr>
      <t>NO2</t>
    </r>
    <r>
      <rPr>
        <sz val="11"/>
        <rFont val="Calibri"/>
        <family val="2"/>
      </rPr>
      <t xml:space="preserve"> + S</t>
    </r>
    <r>
      <rPr>
        <vertAlign val="subscript"/>
        <sz val="11"/>
        <rFont val="Calibri"/>
        <family val="2"/>
      </rPr>
      <t>NO3</t>
    </r>
  </si>
  <si>
    <r>
      <t>µ</t>
    </r>
    <r>
      <rPr>
        <vertAlign val="subscript"/>
        <sz val="11"/>
        <rFont val="Calibri"/>
        <family val="2"/>
        <scheme val="minor"/>
      </rPr>
      <t>CASTO</t>
    </r>
  </si>
  <si>
    <t>Carbon storing organism kinetics (CASTO)</t>
  </si>
  <si>
    <t>Maximum specific growth rate of CASTOs</t>
  </si>
  <si>
    <t>Maximum polyphosphate uptake rate of PAOs</t>
  </si>
  <si>
    <t>Decay rate of CASTOs</t>
  </si>
  <si>
    <t>previously 0.05 (0.15 for Lopez et al. 2006; Hao et al., 2010)</t>
  </si>
  <si>
    <r>
      <t>b</t>
    </r>
    <r>
      <rPr>
        <vertAlign val="subscript"/>
        <sz val="11"/>
        <rFont val="Calibri"/>
        <family val="2"/>
        <scheme val="minor"/>
      </rPr>
      <t>CASTO</t>
    </r>
  </si>
  <si>
    <r>
      <t>b</t>
    </r>
    <r>
      <rPr>
        <vertAlign val="subscript"/>
        <sz val="11"/>
        <rFont val="Calibri"/>
        <family val="2"/>
        <scheme val="minor"/>
      </rPr>
      <t>STC</t>
    </r>
  </si>
  <si>
    <t>Reduction factor for anoxic growth of CASTOs</t>
  </si>
  <si>
    <t>Reduction factor for anoxic decay of CASTOs</t>
  </si>
  <si>
    <t>Reduction factor for anaerobic decay of CASTOs</t>
  </si>
  <si>
    <r>
      <t>η</t>
    </r>
    <r>
      <rPr>
        <vertAlign val="subscript"/>
        <sz val="11"/>
        <rFont val="Calibri"/>
        <family val="2"/>
        <scheme val="minor"/>
      </rPr>
      <t>CASTO,anox</t>
    </r>
  </si>
  <si>
    <r>
      <t>η</t>
    </r>
    <r>
      <rPr>
        <vertAlign val="subscript"/>
        <sz val="11"/>
        <rFont val="Calibri"/>
        <family val="2"/>
        <scheme val="minor"/>
      </rPr>
      <t>bCASTO,anox</t>
    </r>
  </si>
  <si>
    <r>
      <t>η</t>
    </r>
    <r>
      <rPr>
        <vertAlign val="subscript"/>
        <sz val="11"/>
        <rFont val="Calibri"/>
        <family val="2"/>
        <scheme val="minor"/>
      </rPr>
      <t>bCASTO,ana</t>
    </r>
  </si>
  <si>
    <r>
      <t>η</t>
    </r>
    <r>
      <rPr>
        <vertAlign val="subscript"/>
        <sz val="11"/>
        <rFont val="Calibri"/>
        <family val="2"/>
        <scheme val="minor"/>
      </rPr>
      <t>bSTC,anox</t>
    </r>
  </si>
  <si>
    <r>
      <t>K</t>
    </r>
    <r>
      <rPr>
        <vertAlign val="subscript"/>
        <sz val="11"/>
        <rFont val="Calibri"/>
        <family val="2"/>
        <scheme val="minor"/>
      </rPr>
      <t>PHA,cle</t>
    </r>
  </si>
  <si>
    <t>Half-saturation of PHA for PAOs at PP cleavage</t>
  </si>
  <si>
    <r>
      <t>K</t>
    </r>
    <r>
      <rPr>
        <vertAlign val="subscript"/>
        <sz val="11"/>
        <rFont val="Calibri"/>
        <family val="2"/>
        <scheme val="minor"/>
      </rPr>
      <t>STC</t>
    </r>
  </si>
  <si>
    <r>
      <t>Half-saturation of O</t>
    </r>
    <r>
      <rPr>
        <vertAlign val="subscript"/>
        <sz val="11"/>
        <color rgb="FF000000"/>
        <rFont val="Calibri"/>
        <family val="2"/>
        <scheme val="minor"/>
      </rPr>
      <t>2</t>
    </r>
    <r>
      <rPr>
        <sz val="11"/>
        <color rgb="FF000000"/>
        <rFont val="Calibri"/>
        <family val="2"/>
        <charset val="238"/>
        <scheme val="minor"/>
      </rPr>
      <t xml:space="preserve"> for CASTOs (AS)</t>
    </r>
  </si>
  <si>
    <r>
      <t>Half-saturation of NO</t>
    </r>
    <r>
      <rPr>
        <vertAlign val="subscript"/>
        <sz val="11"/>
        <color rgb="FF000000"/>
        <rFont val="Calibri"/>
        <family val="2"/>
        <scheme val="minor"/>
      </rPr>
      <t>3</t>
    </r>
    <r>
      <rPr>
        <sz val="11"/>
        <color rgb="FF000000"/>
        <rFont val="Calibri"/>
        <family val="2"/>
        <charset val="238"/>
        <scheme val="minor"/>
      </rPr>
      <t xml:space="preserve"> for CASTOs (AS)</t>
    </r>
  </si>
  <si>
    <r>
      <t>Half-saturation of NO</t>
    </r>
    <r>
      <rPr>
        <vertAlign val="subscript"/>
        <sz val="11"/>
        <color rgb="FF000000"/>
        <rFont val="Calibri"/>
        <family val="2"/>
        <scheme val="minor"/>
      </rPr>
      <t>2</t>
    </r>
    <r>
      <rPr>
        <sz val="11"/>
        <color rgb="FF000000"/>
        <rFont val="Calibri"/>
        <family val="2"/>
        <charset val="238"/>
        <scheme val="minor"/>
      </rPr>
      <t xml:space="preserve"> for CASTOs (AS)</t>
    </r>
  </si>
  <si>
    <t>Half-saturation of VFA storage for CASTOs (AS)</t>
  </si>
  <si>
    <r>
      <t>K</t>
    </r>
    <r>
      <rPr>
        <vertAlign val="subscript"/>
        <sz val="11"/>
        <rFont val="Calibri"/>
        <family val="2"/>
        <scheme val="minor"/>
      </rPr>
      <t>O2,CASTO,AS</t>
    </r>
  </si>
  <si>
    <r>
      <t>K</t>
    </r>
    <r>
      <rPr>
        <vertAlign val="subscript"/>
        <sz val="11"/>
        <rFont val="Calibri"/>
        <family val="2"/>
        <scheme val="minor"/>
      </rPr>
      <t>NO3,CASTO,AS</t>
    </r>
  </si>
  <si>
    <r>
      <t>K</t>
    </r>
    <r>
      <rPr>
        <vertAlign val="subscript"/>
        <sz val="11"/>
        <rFont val="Calibri"/>
        <family val="2"/>
        <scheme val="minor"/>
      </rPr>
      <t>NO2,CASTO,AS</t>
    </r>
  </si>
  <si>
    <r>
      <t>K</t>
    </r>
    <r>
      <rPr>
        <vertAlign val="subscript"/>
        <sz val="11"/>
        <rFont val="Calibri"/>
        <family val="2"/>
        <scheme val="minor"/>
      </rPr>
      <t>VFA,CASTO,AS</t>
    </r>
  </si>
  <si>
    <r>
      <t>g COD.g P</t>
    </r>
    <r>
      <rPr>
        <vertAlign val="superscript"/>
        <sz val="11"/>
        <rFont val="Calibri"/>
        <family val="2"/>
        <scheme val="minor"/>
      </rPr>
      <t>-1</t>
    </r>
  </si>
  <si>
    <r>
      <t>Logsat</t>
    </r>
    <r>
      <rPr>
        <vertAlign val="subscript"/>
        <sz val="11"/>
        <rFont val="Calibri"/>
        <family val="2"/>
        <scheme val="minor"/>
      </rPr>
      <t>ORP,GAO,Half,15</t>
    </r>
  </si>
  <si>
    <r>
      <t>Logsat</t>
    </r>
    <r>
      <rPr>
        <vertAlign val="subscript"/>
        <sz val="11"/>
        <rFont val="Calibri"/>
        <family val="2"/>
        <scheme val="minor"/>
      </rPr>
      <t>ORP,GAO,Half,25</t>
    </r>
  </si>
  <si>
    <r>
      <t>Logsat</t>
    </r>
    <r>
      <rPr>
        <vertAlign val="subscript"/>
        <sz val="11"/>
        <rFont val="Calibri"/>
        <family val="2"/>
        <scheme val="minor"/>
      </rPr>
      <t>ORP,GAO,Slope</t>
    </r>
  </si>
  <si>
    <r>
      <t>Rate of HFO reduction with H</t>
    </r>
    <r>
      <rPr>
        <vertAlign val="subscript"/>
        <sz val="11"/>
        <rFont val="Calibri"/>
        <family val="2"/>
        <charset val="238"/>
        <scheme val="minor"/>
      </rPr>
      <t>2</t>
    </r>
    <r>
      <rPr>
        <sz val="11"/>
        <rFont val="Calibri"/>
        <family val="2"/>
        <scheme val="minor"/>
      </rPr>
      <t>S</t>
    </r>
  </si>
  <si>
    <t>Arrhenius coefficient for CASTO growth</t>
  </si>
  <si>
    <r>
      <t>θ</t>
    </r>
    <r>
      <rPr>
        <vertAlign val="subscript"/>
        <sz val="11"/>
        <color indexed="8"/>
        <rFont val="Calibri"/>
        <family val="2"/>
        <scheme val="minor"/>
      </rPr>
      <t>µ,CASTO</t>
    </r>
  </si>
  <si>
    <t>Arrhenius coefficient for CASTO decay</t>
  </si>
  <si>
    <r>
      <t>θ</t>
    </r>
    <r>
      <rPr>
        <vertAlign val="subscript"/>
        <sz val="11"/>
        <color indexed="8"/>
        <rFont val="Calibri"/>
        <family val="2"/>
        <scheme val="minor"/>
      </rPr>
      <t>b,CASTO</t>
    </r>
  </si>
  <si>
    <r>
      <t>θ</t>
    </r>
    <r>
      <rPr>
        <vertAlign val="subscript"/>
        <sz val="11"/>
        <color indexed="8"/>
        <rFont val="Calibri"/>
        <family val="2"/>
        <scheme val="minor"/>
      </rPr>
      <t>b,STC</t>
    </r>
  </si>
  <si>
    <r>
      <t>Y</t>
    </r>
    <r>
      <rPr>
        <vertAlign val="subscript"/>
        <sz val="11"/>
        <rFont val="Calibri"/>
        <family val="2"/>
        <scheme val="minor"/>
      </rPr>
      <t>CASTO,SB,ana</t>
    </r>
  </si>
  <si>
    <t>Yield of CASTOs on readily biodegradable substrate under anaerobic conditions</t>
  </si>
  <si>
    <r>
      <t>Y</t>
    </r>
    <r>
      <rPr>
        <vertAlign val="subscript"/>
        <sz val="11"/>
        <rFont val="Calibri"/>
        <family val="2"/>
        <scheme val="minor"/>
      </rPr>
      <t>CASTO,H2,ana,high</t>
    </r>
  </si>
  <si>
    <t>Yield of H2 production in fermentation with high VFA concentration (CASTO)</t>
  </si>
  <si>
    <r>
      <t>Y</t>
    </r>
    <r>
      <rPr>
        <vertAlign val="subscript"/>
        <sz val="11"/>
        <rFont val="Calibri"/>
        <family val="2"/>
        <scheme val="minor"/>
      </rPr>
      <t>CASTO,H2,ana,low</t>
    </r>
  </si>
  <si>
    <t>Yield of H2 production in fermentation with low VFA concentration (CASTO)</t>
  </si>
  <si>
    <r>
      <t>Y</t>
    </r>
    <r>
      <rPr>
        <vertAlign val="subscript"/>
        <sz val="11"/>
        <rFont val="Calibri"/>
        <family val="2"/>
        <scheme val="minor"/>
      </rPr>
      <t>PP,CASTO,ox</t>
    </r>
  </si>
  <si>
    <t>Yield of CASTOs consumed per PP uptake under aerobic conditions</t>
  </si>
  <si>
    <r>
      <t>Y</t>
    </r>
    <r>
      <rPr>
        <vertAlign val="subscript"/>
        <sz val="11"/>
        <rFont val="Calibri"/>
        <family val="2"/>
        <scheme val="minor"/>
      </rPr>
      <t>PP,CASTO,anox</t>
    </r>
  </si>
  <si>
    <t>Yield of CASTOs consumed per PP uptake under anoxic conditions</t>
  </si>
  <si>
    <t>Carbon storing organisms (CASTO)</t>
  </si>
  <si>
    <r>
      <t>X</t>
    </r>
    <r>
      <rPr>
        <b/>
        <vertAlign val="subscript"/>
        <sz val="11"/>
        <rFont val="Calibri"/>
        <family val="2"/>
        <scheme val="minor"/>
      </rPr>
      <t>CASTO</t>
    </r>
  </si>
  <si>
    <t>Enhanced biological phosphorus removal</t>
  </si>
  <si>
    <t>CASTO related calculations</t>
  </si>
  <si>
    <r>
      <t>X</t>
    </r>
    <r>
      <rPr>
        <vertAlign val="subscript"/>
        <sz val="11"/>
        <rFont val="Calibri"/>
        <family val="2"/>
        <scheme val="minor"/>
      </rPr>
      <t>STC</t>
    </r>
  </si>
  <si>
    <r>
      <t>act</t>
    </r>
    <r>
      <rPr>
        <vertAlign val="subscript"/>
        <sz val="11"/>
        <rFont val="Calibri"/>
        <family val="2"/>
        <scheme val="minor"/>
      </rPr>
      <t>PAO</t>
    </r>
  </si>
  <si>
    <t>PAO activity of CASTOs</t>
  </si>
  <si>
    <r>
      <t>act</t>
    </r>
    <r>
      <rPr>
        <vertAlign val="subscript"/>
        <sz val="11"/>
        <rFont val="Calibri"/>
        <family val="2"/>
        <scheme val="minor"/>
      </rPr>
      <t>GAO</t>
    </r>
  </si>
  <si>
    <t>GAO activity of CASTOs</t>
  </si>
  <si>
    <r>
      <t>X</t>
    </r>
    <r>
      <rPr>
        <vertAlign val="subscript"/>
        <sz val="11"/>
        <rFont val="Calibri"/>
        <family val="2"/>
        <scheme val="minor"/>
      </rPr>
      <t>PAO</t>
    </r>
  </si>
  <si>
    <r>
      <t>act</t>
    </r>
    <r>
      <rPr>
        <vertAlign val="subscript"/>
        <sz val="11"/>
        <rFont val="Calibri"/>
        <family val="2"/>
        <scheme val="minor"/>
      </rPr>
      <t>PAO</t>
    </r>
    <r>
      <rPr>
        <sz val="11"/>
        <rFont val="Calibri"/>
        <family val="2"/>
        <scheme val="minor"/>
      </rPr>
      <t xml:space="preserve"> * X</t>
    </r>
    <r>
      <rPr>
        <vertAlign val="subscript"/>
        <sz val="11"/>
        <rFont val="Calibri"/>
        <family val="2"/>
        <scheme val="minor"/>
      </rPr>
      <t>CASTO</t>
    </r>
  </si>
  <si>
    <r>
      <t>X</t>
    </r>
    <r>
      <rPr>
        <vertAlign val="subscript"/>
        <sz val="11"/>
        <rFont val="Calibri"/>
        <family val="2"/>
        <scheme val="minor"/>
      </rPr>
      <t>GAO</t>
    </r>
  </si>
  <si>
    <r>
      <t>act</t>
    </r>
    <r>
      <rPr>
        <vertAlign val="subscript"/>
        <sz val="11"/>
        <rFont val="Calibri"/>
        <family val="2"/>
        <scheme val="minor"/>
      </rPr>
      <t>GAO</t>
    </r>
    <r>
      <rPr>
        <sz val="11"/>
        <rFont val="Calibri"/>
        <family val="2"/>
        <scheme val="minor"/>
      </rPr>
      <t xml:space="preserve"> * X</t>
    </r>
    <r>
      <rPr>
        <vertAlign val="subscript"/>
        <sz val="11"/>
        <rFont val="Calibri"/>
        <family val="2"/>
        <scheme val="minor"/>
      </rPr>
      <t>CASTO</t>
    </r>
  </si>
  <si>
    <r>
      <t>act</t>
    </r>
    <r>
      <rPr>
        <vertAlign val="subscript"/>
        <sz val="11"/>
        <rFont val="Calibri"/>
        <family val="2"/>
        <scheme val="minor"/>
      </rPr>
      <t>sto,GAO,ORP</t>
    </r>
  </si>
  <si>
    <t>ORP dependent VFA storage activity of GAOs</t>
  </si>
  <si>
    <r>
      <t>Logsat</t>
    </r>
    <r>
      <rPr>
        <vertAlign val="subscript"/>
        <sz val="11"/>
        <rFont val="Calibri"/>
        <family val="2"/>
        <scheme val="minor"/>
      </rPr>
      <t>ORP,GAO,T</t>
    </r>
  </si>
  <si>
    <r>
      <t>act</t>
    </r>
    <r>
      <rPr>
        <vertAlign val="subscript"/>
        <sz val="11"/>
        <rFont val="Calibri"/>
        <family val="2"/>
        <scheme val="minor"/>
      </rPr>
      <t>sto,PAO,ORP</t>
    </r>
  </si>
  <si>
    <t>ORP dependent VFA storage activity of PAOs</t>
  </si>
  <si>
    <r>
      <t>(1 - Logsat</t>
    </r>
    <r>
      <rPr>
        <vertAlign val="subscript"/>
        <sz val="11"/>
        <color indexed="8"/>
        <rFont val="Calibri"/>
        <family val="2"/>
        <charset val="238"/>
      </rPr>
      <t>ORP,GAO,T</t>
    </r>
    <r>
      <rPr>
        <sz val="11"/>
        <color indexed="8"/>
        <rFont val="Calibri"/>
        <family val="2"/>
        <charset val="238"/>
      </rPr>
      <t xml:space="preserve">) </t>
    </r>
  </si>
  <si>
    <r>
      <t>act</t>
    </r>
    <r>
      <rPr>
        <vertAlign val="subscript"/>
        <sz val="11"/>
        <rFont val="Calibri"/>
        <family val="2"/>
        <scheme val="minor"/>
      </rPr>
      <t>ferm,PAO,ORP</t>
    </r>
  </si>
  <si>
    <t>ORP dependent fermentation activity of PAOs</t>
  </si>
  <si>
    <r>
      <t>(1 - Logsat</t>
    </r>
    <r>
      <rPr>
        <vertAlign val="subscript"/>
        <sz val="11"/>
        <rFont val="Calibri"/>
        <family val="2"/>
        <charset val="238"/>
        <scheme val="minor"/>
      </rPr>
      <t>ORP,GAO,T</t>
    </r>
    <r>
      <rPr>
        <sz val="11"/>
        <rFont val="Calibri"/>
        <family val="2"/>
        <scheme val="minor"/>
      </rPr>
      <t>) * Loginh</t>
    </r>
    <r>
      <rPr>
        <vertAlign val="subscript"/>
        <sz val="11"/>
        <color rgb="FF000000"/>
        <rFont val="Calibri"/>
        <family val="2"/>
      </rPr>
      <t>ORP,PAO</t>
    </r>
    <r>
      <rPr>
        <sz val="11"/>
        <color indexed="8"/>
        <rFont val="Calibri"/>
        <family val="2"/>
      </rPr>
      <t/>
    </r>
  </si>
  <si>
    <t>Rate of VFA storage into PHA for PAOs</t>
  </si>
  <si>
    <r>
      <t>Y</t>
    </r>
    <r>
      <rPr>
        <vertAlign val="subscript"/>
        <sz val="11"/>
        <rFont val="Calibri"/>
        <family val="2"/>
        <scheme val="minor"/>
      </rPr>
      <t>CASTO,STC,ox</t>
    </r>
  </si>
  <si>
    <r>
      <t>g X</t>
    </r>
    <r>
      <rPr>
        <vertAlign val="subscript"/>
        <sz val="11"/>
        <rFont val="Calibri"/>
        <family val="2"/>
        <scheme val="minor"/>
      </rPr>
      <t>CASTO</t>
    </r>
    <r>
      <rPr>
        <sz val="11"/>
        <rFont val="Calibri"/>
        <family val="2"/>
        <scheme val="minor"/>
      </rPr>
      <t>.g X</t>
    </r>
    <r>
      <rPr>
        <vertAlign val="subscript"/>
        <sz val="11"/>
        <rFont val="Calibri"/>
        <family val="2"/>
        <scheme val="minor"/>
      </rPr>
      <t>STC</t>
    </r>
    <r>
      <rPr>
        <vertAlign val="superscript"/>
        <sz val="11"/>
        <rFont val="Calibri"/>
        <family val="2"/>
        <scheme val="minor"/>
      </rPr>
      <t>-1</t>
    </r>
  </si>
  <si>
    <r>
      <t>Y</t>
    </r>
    <r>
      <rPr>
        <vertAlign val="subscript"/>
        <sz val="11"/>
        <rFont val="Calibri"/>
        <family val="2"/>
        <scheme val="minor"/>
      </rPr>
      <t>CASTO,STC,anox</t>
    </r>
  </si>
  <si>
    <r>
      <t>i</t>
    </r>
    <r>
      <rPr>
        <vertAlign val="subscript"/>
        <sz val="11"/>
        <rFont val="Calibri"/>
        <family val="2"/>
        <scheme val="minor"/>
      </rPr>
      <t>CIT,STC</t>
    </r>
  </si>
  <si>
    <t>Observed inorganic carbon content of STC</t>
  </si>
  <si>
    <t>ORP related inhibiton functions</t>
  </si>
  <si>
    <r>
      <t>sl</t>
    </r>
    <r>
      <rPr>
        <vertAlign val="subscript"/>
        <sz val="11"/>
        <rFont val="Calibri"/>
        <family val="2"/>
        <charset val="238"/>
        <scheme val="minor"/>
      </rPr>
      <t>ORP,GAO,Half,T</t>
    </r>
  </si>
  <si>
    <t>Slope of logistic half-saturation of ORP switching of GAOs temperature correction</t>
  </si>
  <si>
    <r>
      <t>(Logsat</t>
    </r>
    <r>
      <rPr>
        <vertAlign val="subscript"/>
        <sz val="11"/>
        <rFont val="Calibri"/>
        <family val="2"/>
        <charset val="238"/>
        <scheme val="minor"/>
      </rPr>
      <t>ORP,GAO,Half,25</t>
    </r>
    <r>
      <rPr>
        <sz val="11"/>
        <rFont val="Calibri"/>
        <family val="2"/>
        <scheme val="minor"/>
      </rPr>
      <t xml:space="preserve"> - Logsat</t>
    </r>
    <r>
      <rPr>
        <vertAlign val="subscript"/>
        <sz val="11"/>
        <rFont val="Calibri"/>
        <family val="2"/>
        <charset val="238"/>
        <scheme val="minor"/>
      </rPr>
      <t>ORP,GAO,Half,15</t>
    </r>
    <r>
      <rPr>
        <sz val="11"/>
        <rFont val="Calibri"/>
        <family val="2"/>
        <scheme val="minor"/>
      </rPr>
      <t>) / (25 - 15)</t>
    </r>
  </si>
  <si>
    <r>
      <t>Logsat</t>
    </r>
    <r>
      <rPr>
        <vertAlign val="subscript"/>
        <sz val="11"/>
        <rFont val="Calibri"/>
        <family val="2"/>
        <charset val="238"/>
        <scheme val="minor"/>
      </rPr>
      <t>ORP,GAO,Half,25</t>
    </r>
    <r>
      <rPr>
        <sz val="11"/>
        <rFont val="Calibri"/>
        <family val="2"/>
        <scheme val="minor"/>
      </rPr>
      <t xml:space="preserve"> - sl</t>
    </r>
    <r>
      <rPr>
        <vertAlign val="subscript"/>
        <sz val="11"/>
        <rFont val="Calibri"/>
        <family val="2"/>
        <charset val="238"/>
        <scheme val="minor"/>
      </rPr>
      <t>ORP,GAO,Half,T</t>
    </r>
    <r>
      <rPr>
        <sz val="11"/>
        <rFont val="Calibri"/>
        <family val="2"/>
        <scheme val="minor"/>
      </rPr>
      <t xml:space="preserve"> * 25</t>
    </r>
  </si>
  <si>
    <r>
      <t>Logsat</t>
    </r>
    <r>
      <rPr>
        <vertAlign val="subscript"/>
        <sz val="11"/>
        <rFont val="Calibri"/>
        <family val="2"/>
      </rPr>
      <t>ORP,GAO,Half,T</t>
    </r>
  </si>
  <si>
    <r>
      <t>Logsat</t>
    </r>
    <r>
      <rPr>
        <vertAlign val="subscript"/>
        <sz val="11"/>
        <rFont val="Calibri"/>
        <family val="2"/>
      </rPr>
      <t>ORP,GAO,T</t>
    </r>
  </si>
  <si>
    <t>Half-saturations for carbon storing organisms (CASTO)</t>
  </si>
  <si>
    <r>
      <t>Half-saturation of O</t>
    </r>
    <r>
      <rPr>
        <vertAlign val="subscript"/>
        <sz val="11"/>
        <color rgb="FF000000"/>
        <rFont val="Calibri"/>
        <family val="2"/>
        <scheme val="minor"/>
      </rPr>
      <t>2</t>
    </r>
    <r>
      <rPr>
        <sz val="11"/>
        <color rgb="FF000000"/>
        <rFont val="Calibri"/>
        <family val="2"/>
        <charset val="238"/>
        <scheme val="minor"/>
      </rPr>
      <t xml:space="preserve"> for CASTOs</t>
    </r>
  </si>
  <si>
    <r>
      <t>Half-saturation of NO</t>
    </r>
    <r>
      <rPr>
        <vertAlign val="subscript"/>
        <sz val="11"/>
        <color rgb="FF000000"/>
        <rFont val="Calibri"/>
        <family val="2"/>
        <scheme val="minor"/>
      </rPr>
      <t>2</t>
    </r>
    <r>
      <rPr>
        <sz val="11"/>
        <color rgb="FF000000"/>
        <rFont val="Calibri"/>
        <family val="2"/>
        <charset val="238"/>
        <scheme val="minor"/>
      </rPr>
      <t xml:space="preserve"> for CASTOs</t>
    </r>
  </si>
  <si>
    <r>
      <t>Half-saturation of NO</t>
    </r>
    <r>
      <rPr>
        <vertAlign val="subscript"/>
        <sz val="11"/>
        <color rgb="FF000000"/>
        <rFont val="Calibri"/>
        <family val="2"/>
        <scheme val="minor"/>
      </rPr>
      <t>3</t>
    </r>
    <r>
      <rPr>
        <sz val="11"/>
        <color rgb="FF000000"/>
        <rFont val="Calibri"/>
        <family val="2"/>
        <charset val="238"/>
        <scheme val="minor"/>
      </rPr>
      <t xml:space="preserve"> for CASTOs</t>
    </r>
  </si>
  <si>
    <t>Half-saturation of VFA storage for CASTOs</t>
  </si>
  <si>
    <r>
      <t>K</t>
    </r>
    <r>
      <rPr>
        <vertAlign val="subscript"/>
        <sz val="11"/>
        <rFont val="Calibri"/>
        <family val="2"/>
        <scheme val="minor"/>
      </rPr>
      <t>O2,CASTO</t>
    </r>
  </si>
  <si>
    <r>
      <t>K</t>
    </r>
    <r>
      <rPr>
        <vertAlign val="subscript"/>
        <sz val="11"/>
        <rFont val="Calibri"/>
        <family val="2"/>
      </rPr>
      <t>NO2,CASTO</t>
    </r>
  </si>
  <si>
    <r>
      <t>K</t>
    </r>
    <r>
      <rPr>
        <vertAlign val="subscript"/>
        <sz val="11"/>
        <rFont val="Calibri"/>
        <family val="2"/>
        <scheme val="minor"/>
      </rPr>
      <t>NO3,CASTO</t>
    </r>
  </si>
  <si>
    <r>
      <t>K</t>
    </r>
    <r>
      <rPr>
        <vertAlign val="subscript"/>
        <sz val="11"/>
        <rFont val="Calibri"/>
        <family val="2"/>
        <scheme val="minor"/>
      </rPr>
      <t>VFA,CASTO</t>
    </r>
  </si>
  <si>
    <r>
      <t>Inhibition term for NO</t>
    </r>
    <r>
      <rPr>
        <vertAlign val="subscript"/>
        <sz val="11"/>
        <color rgb="FF000000"/>
        <rFont val="Calibri"/>
        <family val="2"/>
        <scheme val="minor"/>
      </rPr>
      <t>2</t>
    </r>
    <r>
      <rPr>
        <sz val="11"/>
        <color rgb="FF000000"/>
        <rFont val="Calibri"/>
        <family val="2"/>
        <charset val="238"/>
        <scheme val="minor"/>
      </rPr>
      <t xml:space="preserve"> (CASTO)</t>
    </r>
  </si>
  <si>
    <r>
      <t>Minh(S</t>
    </r>
    <r>
      <rPr>
        <vertAlign val="subscript"/>
        <sz val="11"/>
        <rFont val="Calibri"/>
        <family val="2"/>
        <scheme val="minor"/>
      </rPr>
      <t>NO2</t>
    </r>
    <r>
      <rPr>
        <sz val="11"/>
        <rFont val="Calibri"/>
        <family val="2"/>
        <scheme val="minor"/>
      </rPr>
      <t>;K</t>
    </r>
    <r>
      <rPr>
        <vertAlign val="subscript"/>
        <sz val="11"/>
        <rFont val="Calibri"/>
        <family val="2"/>
        <scheme val="minor"/>
      </rPr>
      <t>NO2,CASTO</t>
    </r>
    <r>
      <rPr>
        <sz val="11"/>
        <rFont val="Calibri"/>
        <family val="2"/>
        <scheme val="minor"/>
      </rPr>
      <t>)</t>
    </r>
  </si>
  <si>
    <r>
      <t>Inhibition term for NO</t>
    </r>
    <r>
      <rPr>
        <vertAlign val="subscript"/>
        <sz val="11"/>
        <color rgb="FF000000"/>
        <rFont val="Calibri"/>
        <family val="2"/>
        <scheme val="minor"/>
      </rPr>
      <t>3</t>
    </r>
    <r>
      <rPr>
        <sz val="11"/>
        <color rgb="FF000000"/>
        <rFont val="Calibri"/>
        <family val="2"/>
        <charset val="238"/>
        <scheme val="minor"/>
      </rPr>
      <t xml:space="preserve"> (CASTO)</t>
    </r>
  </si>
  <si>
    <r>
      <t>Minh(S</t>
    </r>
    <r>
      <rPr>
        <vertAlign val="subscript"/>
        <sz val="11"/>
        <rFont val="Calibri"/>
        <family val="2"/>
        <scheme val="minor"/>
      </rPr>
      <t>NO3</t>
    </r>
    <r>
      <rPr>
        <sz val="11"/>
        <rFont val="Calibri"/>
        <family val="2"/>
        <scheme val="minor"/>
      </rPr>
      <t>;K</t>
    </r>
    <r>
      <rPr>
        <vertAlign val="subscript"/>
        <sz val="11"/>
        <rFont val="Calibri"/>
        <family val="2"/>
        <scheme val="minor"/>
      </rPr>
      <t>NO3,CASTO</t>
    </r>
    <r>
      <rPr>
        <sz val="11"/>
        <rFont val="Calibri"/>
        <family val="2"/>
        <scheme val="minor"/>
      </rPr>
      <t>)</t>
    </r>
  </si>
  <si>
    <r>
      <t>Inhibition term for O</t>
    </r>
    <r>
      <rPr>
        <vertAlign val="subscript"/>
        <sz val="11"/>
        <color rgb="FF000000"/>
        <rFont val="Calibri"/>
        <family val="2"/>
        <scheme val="minor"/>
      </rPr>
      <t>2</t>
    </r>
    <r>
      <rPr>
        <sz val="11"/>
        <color rgb="FF000000"/>
        <rFont val="Calibri"/>
        <family val="2"/>
        <charset val="238"/>
        <scheme val="minor"/>
      </rPr>
      <t xml:space="preserve"> (CASTO)</t>
    </r>
  </si>
  <si>
    <r>
      <t>Minh(S</t>
    </r>
    <r>
      <rPr>
        <vertAlign val="subscript"/>
        <sz val="11"/>
        <rFont val="Calibri"/>
        <family val="2"/>
        <scheme val="minor"/>
      </rPr>
      <t>O2</t>
    </r>
    <r>
      <rPr>
        <sz val="11"/>
        <rFont val="Calibri"/>
        <family val="2"/>
        <scheme val="minor"/>
      </rPr>
      <t>;K</t>
    </r>
    <r>
      <rPr>
        <vertAlign val="subscript"/>
        <sz val="11"/>
        <rFont val="Calibri"/>
        <family val="2"/>
        <scheme val="minor"/>
      </rPr>
      <t>O2,CASTO</t>
    </r>
    <r>
      <rPr>
        <sz val="11"/>
        <rFont val="Calibri"/>
        <family val="2"/>
        <scheme val="minor"/>
      </rPr>
      <t>)</t>
    </r>
  </si>
  <si>
    <r>
      <t>Minh</t>
    </r>
    <r>
      <rPr>
        <vertAlign val="subscript"/>
        <sz val="11"/>
        <rFont val="Calibri"/>
        <family val="2"/>
        <scheme val="minor"/>
      </rPr>
      <t>SNO2,KNO2,CASTO</t>
    </r>
  </si>
  <si>
    <r>
      <t>Minh</t>
    </r>
    <r>
      <rPr>
        <vertAlign val="subscript"/>
        <sz val="11"/>
        <rFont val="Calibri"/>
        <family val="2"/>
        <scheme val="minor"/>
      </rPr>
      <t>SNO3,KNO3,CASTO</t>
    </r>
  </si>
  <si>
    <r>
      <t>Minh</t>
    </r>
    <r>
      <rPr>
        <vertAlign val="subscript"/>
        <sz val="11"/>
        <rFont val="Calibri"/>
        <family val="2"/>
        <scheme val="minor"/>
      </rPr>
      <t>SO2,KO2,CASTO</t>
    </r>
  </si>
  <si>
    <r>
      <t>MRsat</t>
    </r>
    <r>
      <rPr>
        <vertAlign val="subscript"/>
        <sz val="11"/>
        <rFont val="Calibri"/>
        <family val="2"/>
        <scheme val="minor"/>
      </rPr>
      <t>XSTC,XCASTO,KSTC</t>
    </r>
  </si>
  <si>
    <r>
      <t>MRsat(X</t>
    </r>
    <r>
      <rPr>
        <vertAlign val="subscript"/>
        <sz val="11"/>
        <rFont val="Calibri"/>
        <family val="2"/>
        <scheme val="minor"/>
      </rPr>
      <t>STC</t>
    </r>
    <r>
      <rPr>
        <sz val="11"/>
        <rFont val="Calibri"/>
        <family val="2"/>
        <scheme val="minor"/>
      </rPr>
      <t>;X</t>
    </r>
    <r>
      <rPr>
        <vertAlign val="subscript"/>
        <sz val="11"/>
        <rFont val="Calibri"/>
        <family val="2"/>
        <scheme val="minor"/>
      </rPr>
      <t>CASTO</t>
    </r>
    <r>
      <rPr>
        <sz val="11"/>
        <rFont val="Calibri"/>
        <family val="2"/>
        <scheme val="minor"/>
      </rPr>
      <t>;K</t>
    </r>
    <r>
      <rPr>
        <vertAlign val="subscript"/>
        <sz val="11"/>
        <rFont val="Calibri"/>
        <family val="2"/>
        <scheme val="minor"/>
      </rPr>
      <t>STC</t>
    </r>
    <r>
      <rPr>
        <sz val="11"/>
        <rFont val="Calibri"/>
        <family val="2"/>
        <scheme val="minor"/>
      </rPr>
      <t>)</t>
    </r>
  </si>
  <si>
    <r>
      <t>MRinh</t>
    </r>
    <r>
      <rPr>
        <vertAlign val="subscript"/>
        <sz val="11"/>
        <rFont val="Calibri"/>
        <family val="2"/>
        <scheme val="minor"/>
      </rPr>
      <t>XPHA,XPAO,KPHA,cle</t>
    </r>
  </si>
  <si>
    <r>
      <t>MRinh</t>
    </r>
    <r>
      <rPr>
        <vertAlign val="subscript"/>
        <sz val="11"/>
        <rFont val="Calibri"/>
        <family val="2"/>
        <scheme val="minor"/>
      </rPr>
      <t>XSTC,XCASTO,KSTC</t>
    </r>
  </si>
  <si>
    <r>
      <t>MRinh(X</t>
    </r>
    <r>
      <rPr>
        <vertAlign val="subscript"/>
        <sz val="11"/>
        <rFont val="Calibri"/>
        <family val="2"/>
        <scheme val="minor"/>
      </rPr>
      <t>STC</t>
    </r>
    <r>
      <rPr>
        <sz val="11"/>
        <rFont val="Calibri"/>
        <family val="2"/>
        <scheme val="minor"/>
      </rPr>
      <t>;X</t>
    </r>
    <r>
      <rPr>
        <vertAlign val="subscript"/>
        <sz val="11"/>
        <rFont val="Calibri"/>
        <family val="2"/>
        <scheme val="minor"/>
      </rPr>
      <t>CASTO</t>
    </r>
    <r>
      <rPr>
        <sz val="11"/>
        <rFont val="Calibri"/>
        <family val="2"/>
        <scheme val="minor"/>
      </rPr>
      <t>;K</t>
    </r>
    <r>
      <rPr>
        <vertAlign val="subscript"/>
        <sz val="11"/>
        <rFont val="Calibri"/>
        <family val="2"/>
        <scheme val="minor"/>
      </rPr>
      <t>STC</t>
    </r>
    <r>
      <rPr>
        <sz val="11"/>
        <rFont val="Calibri"/>
        <family val="2"/>
        <scheme val="minor"/>
      </rPr>
      <t>)</t>
    </r>
  </si>
  <si>
    <r>
      <t>Saturation term for NO</t>
    </r>
    <r>
      <rPr>
        <vertAlign val="subscript"/>
        <sz val="11"/>
        <color rgb="FF000000"/>
        <rFont val="Calibri"/>
        <family val="2"/>
        <scheme val="minor"/>
      </rPr>
      <t>2</t>
    </r>
    <r>
      <rPr>
        <sz val="11"/>
        <color rgb="FF000000"/>
        <rFont val="Calibri"/>
        <family val="2"/>
        <charset val="238"/>
        <scheme val="minor"/>
      </rPr>
      <t xml:space="preserve"> (CASTO)</t>
    </r>
  </si>
  <si>
    <r>
      <t>Msat(S</t>
    </r>
    <r>
      <rPr>
        <vertAlign val="subscript"/>
        <sz val="11"/>
        <rFont val="Calibri"/>
        <family val="2"/>
      </rPr>
      <t>NO2</t>
    </r>
    <r>
      <rPr>
        <sz val="11"/>
        <rFont val="Calibri"/>
        <family val="2"/>
      </rPr>
      <t>;K</t>
    </r>
    <r>
      <rPr>
        <vertAlign val="subscript"/>
        <sz val="11"/>
        <rFont val="Calibri"/>
        <family val="2"/>
      </rPr>
      <t>NO2,CASTO</t>
    </r>
    <r>
      <rPr>
        <sz val="11"/>
        <rFont val="Calibri"/>
        <family val="2"/>
      </rPr>
      <t>)</t>
    </r>
  </si>
  <si>
    <r>
      <t>Saturation term for NO</t>
    </r>
    <r>
      <rPr>
        <vertAlign val="subscript"/>
        <sz val="11"/>
        <color rgb="FF000000"/>
        <rFont val="Calibri"/>
        <family val="2"/>
        <scheme val="minor"/>
      </rPr>
      <t>3</t>
    </r>
    <r>
      <rPr>
        <sz val="11"/>
        <color rgb="FF000000"/>
        <rFont val="Calibri"/>
        <family val="2"/>
        <charset val="238"/>
        <scheme val="minor"/>
      </rPr>
      <t xml:space="preserve"> (CASTO)</t>
    </r>
  </si>
  <si>
    <r>
      <t>Msat(S</t>
    </r>
    <r>
      <rPr>
        <vertAlign val="subscript"/>
        <sz val="11"/>
        <rFont val="Calibri"/>
        <family val="2"/>
      </rPr>
      <t>NO3</t>
    </r>
    <r>
      <rPr>
        <sz val="11"/>
        <rFont val="Calibri"/>
        <family val="2"/>
      </rPr>
      <t>;K</t>
    </r>
    <r>
      <rPr>
        <vertAlign val="subscript"/>
        <sz val="11"/>
        <rFont val="Calibri"/>
        <family val="2"/>
      </rPr>
      <t>NO3,CASTO</t>
    </r>
    <r>
      <rPr>
        <sz val="11"/>
        <rFont val="Calibri"/>
        <family val="2"/>
      </rPr>
      <t>)</t>
    </r>
  </si>
  <si>
    <r>
      <t>Saturation term for O</t>
    </r>
    <r>
      <rPr>
        <vertAlign val="subscript"/>
        <sz val="11"/>
        <color rgb="FF000000"/>
        <rFont val="Calibri"/>
        <family val="2"/>
        <scheme val="minor"/>
      </rPr>
      <t>2</t>
    </r>
    <r>
      <rPr>
        <sz val="11"/>
        <color rgb="FF000000"/>
        <rFont val="Calibri"/>
        <family val="2"/>
        <charset val="238"/>
        <scheme val="minor"/>
      </rPr>
      <t xml:space="preserve"> (CASTO)</t>
    </r>
  </si>
  <si>
    <r>
      <t>Msat(S</t>
    </r>
    <r>
      <rPr>
        <vertAlign val="subscript"/>
        <sz val="11"/>
        <rFont val="Calibri"/>
        <family val="2"/>
        <scheme val="minor"/>
      </rPr>
      <t>O2</t>
    </r>
    <r>
      <rPr>
        <sz val="11"/>
        <rFont val="Calibri"/>
        <family val="2"/>
        <scheme val="minor"/>
      </rPr>
      <t>;K</t>
    </r>
    <r>
      <rPr>
        <vertAlign val="subscript"/>
        <sz val="11"/>
        <rFont val="Calibri"/>
        <family val="2"/>
        <scheme val="minor"/>
      </rPr>
      <t>O2,CASTO</t>
    </r>
    <r>
      <rPr>
        <sz val="11"/>
        <rFont val="Calibri"/>
        <family val="2"/>
        <scheme val="minor"/>
      </rPr>
      <t>)</t>
    </r>
  </si>
  <si>
    <r>
      <t>Msat</t>
    </r>
    <r>
      <rPr>
        <vertAlign val="subscript"/>
        <sz val="11"/>
        <rFont val="Calibri"/>
        <family val="2"/>
      </rPr>
      <t>SNO2,KNO2,CASTO</t>
    </r>
  </si>
  <si>
    <r>
      <t>Msat</t>
    </r>
    <r>
      <rPr>
        <vertAlign val="subscript"/>
        <sz val="11"/>
        <rFont val="Calibri"/>
        <family val="2"/>
      </rPr>
      <t>SNO3,KNO3,CASTO</t>
    </r>
  </si>
  <si>
    <r>
      <t>Msat</t>
    </r>
    <r>
      <rPr>
        <vertAlign val="subscript"/>
        <sz val="11"/>
        <rFont val="Calibri"/>
        <family val="2"/>
        <scheme val="minor"/>
      </rPr>
      <t>SO2,KO2,CASTO</t>
    </r>
  </si>
  <si>
    <r>
      <t>Logistic saturation term for PO</t>
    </r>
    <r>
      <rPr>
        <vertAlign val="subscript"/>
        <sz val="11"/>
        <color rgb="FF000000"/>
        <rFont val="Calibri"/>
        <family val="2"/>
        <scheme val="minor"/>
      </rPr>
      <t>4</t>
    </r>
    <r>
      <rPr>
        <sz val="11"/>
        <color rgb="FF000000"/>
        <rFont val="Calibri"/>
        <family val="2"/>
        <charset val="238"/>
        <scheme val="minor"/>
      </rPr>
      <t xml:space="preserve"> (PAO)</t>
    </r>
  </si>
  <si>
    <t>Saturation term for VFA storage (CASTO)</t>
  </si>
  <si>
    <r>
      <t>Msat(S</t>
    </r>
    <r>
      <rPr>
        <vertAlign val="subscript"/>
        <sz val="11"/>
        <rFont val="Calibri"/>
        <family val="2"/>
        <scheme val="minor"/>
      </rPr>
      <t>VFA</t>
    </r>
    <r>
      <rPr>
        <sz val="11"/>
        <rFont val="Calibri"/>
        <family val="2"/>
        <scheme val="minor"/>
      </rPr>
      <t>;K</t>
    </r>
    <r>
      <rPr>
        <vertAlign val="subscript"/>
        <sz val="11"/>
        <rFont val="Calibri"/>
        <family val="2"/>
        <scheme val="minor"/>
      </rPr>
      <t>VFA,CASTO</t>
    </r>
    <r>
      <rPr>
        <sz val="11"/>
        <rFont val="Calibri"/>
        <family val="2"/>
        <scheme val="minor"/>
      </rPr>
      <t>)</t>
    </r>
  </si>
  <si>
    <r>
      <t>Msat</t>
    </r>
    <r>
      <rPr>
        <vertAlign val="subscript"/>
        <sz val="11"/>
        <rFont val="Calibri"/>
        <family val="2"/>
        <scheme val="minor"/>
      </rPr>
      <t>SVFA,KVFA,CASTO</t>
    </r>
  </si>
  <si>
    <t>Logistic inhibition term for PHA (PAO)</t>
  </si>
  <si>
    <t>Logistic inhibition term for PP (PAO)</t>
  </si>
  <si>
    <t>Observed maximum specific growth rate of CASTOs (temperature corrected)</t>
  </si>
  <si>
    <r>
      <t>µ</t>
    </r>
    <r>
      <rPr>
        <vertAlign val="subscript"/>
        <sz val="11"/>
        <color indexed="8"/>
        <rFont val="Calibri"/>
        <family val="2"/>
        <scheme val="minor"/>
      </rPr>
      <t>CASTO</t>
    </r>
    <r>
      <rPr>
        <sz val="11"/>
        <color indexed="8"/>
        <rFont val="Calibri"/>
        <family val="2"/>
        <scheme val="minor"/>
      </rPr>
      <t>*Arrh(θ</t>
    </r>
    <r>
      <rPr>
        <vertAlign val="subscript"/>
        <sz val="11"/>
        <color indexed="8"/>
        <rFont val="Calibri"/>
        <family val="2"/>
        <scheme val="minor"/>
      </rPr>
      <t>µ,CASTO</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</si>
  <si>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µ</t>
    </r>
    <r>
      <rPr>
        <vertAlign val="subscript"/>
        <sz val="11"/>
        <color indexed="8"/>
        <rFont val="Calibri"/>
        <family val="2"/>
        <scheme val="minor"/>
      </rPr>
      <t>CASTO,T</t>
    </r>
  </si>
  <si>
    <r>
      <t>b</t>
    </r>
    <r>
      <rPr>
        <vertAlign val="subscript"/>
        <sz val="11"/>
        <color indexed="8"/>
        <rFont val="Calibri"/>
        <family val="2"/>
        <charset val="238"/>
        <scheme val="minor"/>
      </rPr>
      <t>STC</t>
    </r>
    <r>
      <rPr>
        <sz val="11"/>
        <color indexed="8"/>
        <rFont val="Calibri"/>
        <family val="2"/>
        <scheme val="minor"/>
      </rPr>
      <t>*Arrh(θ</t>
    </r>
    <r>
      <rPr>
        <vertAlign val="subscript"/>
        <sz val="11"/>
        <color indexed="8"/>
        <rFont val="Calibri"/>
        <family val="2"/>
        <scheme val="minor"/>
      </rPr>
      <t>b,STC</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</si>
  <si>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b</t>
    </r>
    <r>
      <rPr>
        <vertAlign val="subscript"/>
        <sz val="11"/>
        <color indexed="8"/>
        <rFont val="Calibri"/>
        <family val="2"/>
        <scheme val="minor"/>
      </rPr>
      <t>STC,T</t>
    </r>
  </si>
  <si>
    <t>Decay rate of CASTOs (temperature corrected)</t>
  </si>
  <si>
    <r>
      <t>b</t>
    </r>
    <r>
      <rPr>
        <vertAlign val="subscript"/>
        <sz val="11"/>
        <color indexed="8"/>
        <rFont val="Calibri"/>
        <family val="2"/>
        <scheme val="minor"/>
      </rPr>
      <t>CASTO</t>
    </r>
    <r>
      <rPr>
        <sz val="11"/>
        <color indexed="8"/>
        <rFont val="Calibri"/>
        <family val="2"/>
        <scheme val="minor"/>
      </rPr>
      <t>*Arrh(θ</t>
    </r>
    <r>
      <rPr>
        <vertAlign val="subscript"/>
        <sz val="11"/>
        <color indexed="8"/>
        <rFont val="Calibri"/>
        <family val="2"/>
        <scheme val="minor"/>
      </rPr>
      <t>b,CASTO</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</si>
  <si>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b</t>
    </r>
    <r>
      <rPr>
        <vertAlign val="subscript"/>
        <sz val="11"/>
        <color indexed="8"/>
        <rFont val="Calibri"/>
        <family val="2"/>
        <scheme val="minor"/>
      </rPr>
      <t>CASTO,T</t>
    </r>
  </si>
  <si>
    <r>
      <t>K</t>
    </r>
    <r>
      <rPr>
        <vertAlign val="subscript"/>
        <sz val="11"/>
        <rFont val="Calibri"/>
        <family val="2"/>
        <scheme val="minor"/>
      </rPr>
      <t>O2,CASTO,AS</t>
    </r>
    <r>
      <rPr>
        <sz val="11"/>
        <rFont val="Calibri"/>
        <family val="2"/>
        <scheme val="minor"/>
      </rPr>
      <t>*f</t>
    </r>
    <r>
      <rPr>
        <vertAlign val="subscript"/>
        <sz val="11"/>
        <rFont val="Calibri"/>
        <family val="2"/>
        <scheme val="minor"/>
      </rPr>
      <t>KS</t>
    </r>
  </si>
  <si>
    <r>
      <t>K</t>
    </r>
    <r>
      <rPr>
        <vertAlign val="subscript"/>
        <sz val="11"/>
        <rFont val="Calibri"/>
        <family val="2"/>
      </rPr>
      <t>NO2,CASTO,AS</t>
    </r>
  </si>
  <si>
    <r>
      <t>K</t>
    </r>
    <r>
      <rPr>
        <vertAlign val="subscript"/>
        <sz val="11"/>
        <rFont val="Calibri"/>
        <family val="2"/>
      </rPr>
      <t>NO2,CASTO,AS</t>
    </r>
    <r>
      <rPr>
        <sz val="11"/>
        <rFont val="Calibri"/>
        <family val="2"/>
      </rPr>
      <t>*f</t>
    </r>
    <r>
      <rPr>
        <vertAlign val="subscript"/>
        <sz val="11"/>
        <rFont val="Calibri"/>
        <family val="2"/>
      </rPr>
      <t>KS</t>
    </r>
  </si>
  <si>
    <r>
      <t>K</t>
    </r>
    <r>
      <rPr>
        <vertAlign val="subscript"/>
        <sz val="11"/>
        <rFont val="Calibri"/>
        <family val="2"/>
        <scheme val="minor"/>
      </rPr>
      <t>NO3,CASTO,AS</t>
    </r>
    <r>
      <rPr>
        <sz val="11"/>
        <rFont val="Calibri"/>
        <family val="2"/>
        <scheme val="minor"/>
      </rPr>
      <t>*f</t>
    </r>
    <r>
      <rPr>
        <vertAlign val="subscript"/>
        <sz val="11"/>
        <rFont val="Calibri"/>
        <family val="2"/>
        <scheme val="minor"/>
      </rPr>
      <t>KS</t>
    </r>
  </si>
  <si>
    <r>
      <t>K</t>
    </r>
    <r>
      <rPr>
        <vertAlign val="subscript"/>
        <sz val="11"/>
        <rFont val="Calibri"/>
        <family val="2"/>
        <scheme val="minor"/>
      </rPr>
      <t>VFA,CASTO,AS</t>
    </r>
    <r>
      <rPr>
        <sz val="11"/>
        <rFont val="Calibri"/>
        <family val="2"/>
        <scheme val="minor"/>
      </rPr>
      <t>*f</t>
    </r>
    <r>
      <rPr>
        <vertAlign val="subscript"/>
        <sz val="11"/>
        <rFont val="Calibri"/>
        <family val="2"/>
        <scheme val="minor"/>
      </rPr>
      <t>KS</t>
    </r>
  </si>
  <si>
    <r>
      <t>(1-Y</t>
    </r>
    <r>
      <rPr>
        <vertAlign val="subscript"/>
        <sz val="11"/>
        <rFont val="Calibri"/>
        <family val="2"/>
      </rPr>
      <t>CASTO,SB,ana</t>
    </r>
    <r>
      <rPr>
        <sz val="11"/>
        <rFont val="Calibri"/>
        <family val="2"/>
      </rPr>
      <t>-Y</t>
    </r>
    <r>
      <rPr>
        <vertAlign val="subscript"/>
        <sz val="11"/>
        <rFont val="Calibri"/>
        <family val="2"/>
      </rPr>
      <t>CASTO,H2,ana,high</t>
    </r>
    <r>
      <rPr>
        <sz val="11"/>
        <rFont val="Calibri"/>
        <family val="2"/>
      </rPr>
      <t>)/Y</t>
    </r>
    <r>
      <rPr>
        <vertAlign val="subscript"/>
        <sz val="11"/>
        <rFont val="Calibri"/>
        <family val="2"/>
      </rPr>
      <t>CASTO,SB,ana</t>
    </r>
  </si>
  <si>
    <r>
      <t>-1/Y</t>
    </r>
    <r>
      <rPr>
        <vertAlign val="subscript"/>
        <sz val="11"/>
        <rFont val="Calibri"/>
        <family val="2"/>
      </rPr>
      <t>CASTO,SB,ana</t>
    </r>
  </si>
  <si>
    <r>
      <t>(1-Y</t>
    </r>
    <r>
      <rPr>
        <vertAlign val="subscript"/>
        <sz val="11"/>
        <rFont val="Calibri"/>
        <family val="2"/>
      </rPr>
      <t>CASTO,SB,ana</t>
    </r>
    <r>
      <rPr>
        <sz val="11"/>
        <rFont val="Calibri"/>
        <family val="2"/>
      </rPr>
      <t>-Y</t>
    </r>
    <r>
      <rPr>
        <vertAlign val="subscript"/>
        <sz val="11"/>
        <rFont val="Calibri"/>
        <family val="2"/>
      </rPr>
      <t>CASTO,H2,ana,low</t>
    </r>
    <r>
      <rPr>
        <sz val="11"/>
        <rFont val="Calibri"/>
        <family val="2"/>
      </rPr>
      <t>)/Y</t>
    </r>
    <r>
      <rPr>
        <vertAlign val="subscript"/>
        <sz val="11"/>
        <rFont val="Calibri"/>
        <family val="2"/>
      </rPr>
      <t>CASTO,SB,ana</t>
    </r>
  </si>
  <si>
    <r>
      <t>X</t>
    </r>
    <r>
      <rPr>
        <vertAlign val="subscript"/>
        <sz val="11"/>
        <rFont val="Calibri"/>
        <family val="2"/>
      </rPr>
      <t>STC</t>
    </r>
    <r>
      <rPr>
        <sz val="11"/>
        <rFont val="Calibri"/>
        <family val="2"/>
      </rPr>
      <t>/X</t>
    </r>
    <r>
      <rPr>
        <vertAlign val="subscript"/>
        <sz val="11"/>
        <rFont val="Calibri"/>
        <family val="2"/>
      </rPr>
      <t>CASTO</t>
    </r>
  </si>
  <si>
    <r>
      <t>-Y</t>
    </r>
    <r>
      <rPr>
        <vertAlign val="subscript"/>
        <sz val="11"/>
        <rFont val="Calibri"/>
        <family val="2"/>
      </rPr>
      <t>PP,CASTO,ox</t>
    </r>
  </si>
  <si>
    <r>
      <t>-Y</t>
    </r>
    <r>
      <rPr>
        <vertAlign val="subscript"/>
        <sz val="11"/>
        <rFont val="Calibri"/>
        <family val="2"/>
      </rPr>
      <t>PP,CASTO,anox</t>
    </r>
  </si>
  <si>
    <r>
      <t>i</t>
    </r>
    <r>
      <rPr>
        <vertAlign val="subscript"/>
        <sz val="11"/>
        <rFont val="Calibri"/>
        <family val="2"/>
      </rPr>
      <t>N,BIO</t>
    </r>
    <r>
      <rPr>
        <sz val="11"/>
        <rFont val="Calibri"/>
        <family val="2"/>
      </rPr>
      <t>*Y</t>
    </r>
    <r>
      <rPr>
        <vertAlign val="subscript"/>
        <sz val="11"/>
        <rFont val="Calibri"/>
        <family val="2"/>
      </rPr>
      <t>PP,CASTO,ox</t>
    </r>
  </si>
  <si>
    <r>
      <t>i</t>
    </r>
    <r>
      <rPr>
        <vertAlign val="subscript"/>
        <sz val="11"/>
        <rFont val="Calibri"/>
        <family val="2"/>
      </rPr>
      <t>N,BIO</t>
    </r>
    <r>
      <rPr>
        <sz val="11"/>
        <rFont val="Calibri"/>
        <family val="2"/>
      </rPr>
      <t>*Y</t>
    </r>
    <r>
      <rPr>
        <vertAlign val="subscript"/>
        <sz val="11"/>
        <rFont val="Calibri"/>
        <family val="2"/>
      </rPr>
      <t>PP,CASTO,anox</t>
    </r>
  </si>
  <si>
    <r>
      <t>-(1-Y</t>
    </r>
    <r>
      <rPr>
        <vertAlign val="subscript"/>
        <sz val="11"/>
        <rFont val="Calibri"/>
        <family val="2"/>
      </rPr>
      <t>CASTO,STC,anox</t>
    </r>
    <r>
      <rPr>
        <sz val="11"/>
        <rFont val="Calibri"/>
        <family val="2"/>
      </rPr>
      <t>)/(EEQ</t>
    </r>
    <r>
      <rPr>
        <vertAlign val="subscript"/>
        <sz val="11"/>
        <rFont val="Calibri"/>
        <family val="2"/>
      </rPr>
      <t>N2,NO2</t>
    </r>
    <r>
      <rPr>
        <sz val="11"/>
        <rFont val="Calibri"/>
        <family val="2"/>
      </rPr>
      <t>*Y</t>
    </r>
    <r>
      <rPr>
        <vertAlign val="subscript"/>
        <sz val="11"/>
        <rFont val="Calibri"/>
        <family val="2"/>
      </rPr>
      <t>CASTO,STC,anox</t>
    </r>
    <r>
      <rPr>
        <sz val="11"/>
        <rFont val="Calibri"/>
        <family val="2"/>
      </rPr>
      <t>)</t>
    </r>
  </si>
  <si>
    <r>
      <t>(1-Y</t>
    </r>
    <r>
      <rPr>
        <vertAlign val="subscript"/>
        <sz val="11"/>
        <rFont val="Calibri"/>
        <family val="2"/>
      </rPr>
      <t>CASTO,STC,anox</t>
    </r>
    <r>
      <rPr>
        <sz val="11"/>
        <rFont val="Calibri"/>
        <family val="2"/>
      </rPr>
      <t>)/(EEQ</t>
    </r>
    <r>
      <rPr>
        <vertAlign val="subscript"/>
        <sz val="11"/>
        <rFont val="Calibri"/>
        <family val="2"/>
      </rPr>
      <t>NO2,NO3</t>
    </r>
    <r>
      <rPr>
        <sz val="11"/>
        <rFont val="Calibri"/>
        <family val="2"/>
      </rPr>
      <t>*Y</t>
    </r>
    <r>
      <rPr>
        <vertAlign val="subscript"/>
        <sz val="11"/>
        <rFont val="Calibri"/>
        <family val="2"/>
      </rPr>
      <t>CASTO,STC,anox</t>
    </r>
    <r>
      <rPr>
        <sz val="11"/>
        <rFont val="Calibri"/>
        <family val="2"/>
      </rPr>
      <t>)</t>
    </r>
  </si>
  <si>
    <r>
      <t>-Y</t>
    </r>
    <r>
      <rPr>
        <vertAlign val="subscript"/>
        <sz val="11"/>
        <rFont val="Calibri"/>
        <family val="2"/>
      </rPr>
      <t>PP,CASTO,anox</t>
    </r>
    <r>
      <rPr>
        <sz val="11"/>
        <rFont val="Calibri"/>
        <family val="2"/>
      </rPr>
      <t>/EEQ</t>
    </r>
    <r>
      <rPr>
        <vertAlign val="subscript"/>
        <sz val="11"/>
        <rFont val="Calibri"/>
        <family val="2"/>
      </rPr>
      <t>N2,NO2</t>
    </r>
  </si>
  <si>
    <r>
      <t>Y</t>
    </r>
    <r>
      <rPr>
        <vertAlign val="subscript"/>
        <sz val="11"/>
        <rFont val="Calibri"/>
        <family val="2"/>
      </rPr>
      <t>PP,CASTO,anox</t>
    </r>
    <r>
      <rPr>
        <sz val="11"/>
        <rFont val="Calibri"/>
        <family val="2"/>
      </rPr>
      <t>/EEQ</t>
    </r>
    <r>
      <rPr>
        <vertAlign val="subscript"/>
        <sz val="11"/>
        <rFont val="Calibri"/>
        <family val="2"/>
      </rPr>
      <t>NO2,NO3</t>
    </r>
  </si>
  <si>
    <r>
      <t>-(1-Y</t>
    </r>
    <r>
      <rPr>
        <vertAlign val="subscript"/>
        <sz val="11"/>
        <rFont val="Calibri"/>
        <family val="2"/>
      </rPr>
      <t>CASTO,STC,anox</t>
    </r>
    <r>
      <rPr>
        <sz val="11"/>
        <rFont val="Calibri"/>
        <family val="2"/>
      </rPr>
      <t>)/(EEQ</t>
    </r>
    <r>
      <rPr>
        <vertAlign val="subscript"/>
        <sz val="11"/>
        <rFont val="Calibri"/>
        <family val="2"/>
      </rPr>
      <t>NO2,NO3</t>
    </r>
    <r>
      <rPr>
        <sz val="11"/>
        <rFont val="Calibri"/>
        <family val="2"/>
      </rPr>
      <t>*Y</t>
    </r>
    <r>
      <rPr>
        <vertAlign val="subscript"/>
        <sz val="11"/>
        <rFont val="Calibri"/>
        <family val="2"/>
      </rPr>
      <t>CASTO,STC,anox</t>
    </r>
    <r>
      <rPr>
        <sz val="11"/>
        <rFont val="Calibri"/>
        <family val="2"/>
      </rPr>
      <t>)</t>
    </r>
  </si>
  <si>
    <r>
      <t>-Y</t>
    </r>
    <r>
      <rPr>
        <vertAlign val="subscript"/>
        <sz val="11"/>
        <rFont val="Calibri"/>
        <family val="2"/>
      </rPr>
      <t>PP,CASTO,anox</t>
    </r>
    <r>
      <rPr>
        <sz val="11"/>
        <rFont val="Calibri"/>
        <family val="2"/>
      </rPr>
      <t>/EEQ</t>
    </r>
    <r>
      <rPr>
        <vertAlign val="subscript"/>
        <sz val="11"/>
        <rFont val="Calibri"/>
        <family val="2"/>
      </rPr>
      <t>NO2,NO3</t>
    </r>
  </si>
  <si>
    <r>
      <t>(1-Y</t>
    </r>
    <r>
      <rPr>
        <vertAlign val="subscript"/>
        <sz val="11"/>
        <rFont val="Calibri"/>
        <family val="2"/>
      </rPr>
      <t>CASTO,STC,anox</t>
    </r>
    <r>
      <rPr>
        <sz val="11"/>
        <rFont val="Calibri"/>
        <family val="2"/>
      </rPr>
      <t>)/(EEQ</t>
    </r>
    <r>
      <rPr>
        <vertAlign val="subscript"/>
        <sz val="11"/>
        <rFont val="Calibri"/>
        <family val="2"/>
      </rPr>
      <t>N2,NO2</t>
    </r>
    <r>
      <rPr>
        <sz val="11"/>
        <rFont val="Calibri"/>
        <family val="2"/>
      </rPr>
      <t>*Y</t>
    </r>
    <r>
      <rPr>
        <vertAlign val="subscript"/>
        <sz val="11"/>
        <rFont val="Calibri"/>
        <family val="2"/>
      </rPr>
      <t>CASTO,STC,anox</t>
    </r>
    <r>
      <rPr>
        <sz val="11"/>
        <rFont val="Calibri"/>
        <family val="2"/>
      </rPr>
      <t>)</t>
    </r>
  </si>
  <si>
    <r>
      <t>Y</t>
    </r>
    <r>
      <rPr>
        <vertAlign val="subscript"/>
        <sz val="11"/>
        <rFont val="Calibri"/>
        <family val="2"/>
      </rPr>
      <t>PP,CASTO,anox</t>
    </r>
    <r>
      <rPr>
        <sz val="11"/>
        <rFont val="Calibri"/>
        <family val="2"/>
      </rPr>
      <t>/EEQ</t>
    </r>
    <r>
      <rPr>
        <vertAlign val="subscript"/>
        <sz val="11"/>
        <rFont val="Calibri"/>
        <family val="2"/>
      </rPr>
      <t>N2,NO2</t>
    </r>
  </si>
  <si>
    <r>
      <t>i</t>
    </r>
    <r>
      <rPr>
        <vertAlign val="subscript"/>
        <sz val="11"/>
        <rFont val="Calibri"/>
        <family val="2"/>
      </rPr>
      <t>P,BIO</t>
    </r>
    <r>
      <rPr>
        <sz val="11"/>
        <rFont val="Calibri"/>
        <family val="2"/>
      </rPr>
      <t>*Y</t>
    </r>
    <r>
      <rPr>
        <vertAlign val="subscript"/>
        <sz val="11"/>
        <rFont val="Calibri"/>
        <family val="2"/>
      </rPr>
      <t>PP,CASTO,ox</t>
    </r>
    <r>
      <rPr>
        <sz val="11"/>
        <rFont val="Calibri"/>
        <family val="2"/>
      </rPr>
      <t xml:space="preserve"> -1</t>
    </r>
  </si>
  <si>
    <r>
      <t>i</t>
    </r>
    <r>
      <rPr>
        <vertAlign val="subscript"/>
        <sz val="11"/>
        <rFont val="Calibri"/>
        <family val="2"/>
      </rPr>
      <t>P,BIO</t>
    </r>
    <r>
      <rPr>
        <sz val="11"/>
        <rFont val="Calibri"/>
        <family val="2"/>
      </rPr>
      <t>*Y</t>
    </r>
    <r>
      <rPr>
        <vertAlign val="subscript"/>
        <sz val="11"/>
        <rFont val="Calibri"/>
        <family val="2"/>
      </rPr>
      <t>PP,CASTO,anox</t>
    </r>
    <r>
      <rPr>
        <sz val="11"/>
        <rFont val="Calibri"/>
        <family val="2"/>
      </rPr>
      <t xml:space="preserve"> -1</t>
    </r>
  </si>
  <si>
    <r>
      <t>X</t>
    </r>
    <r>
      <rPr>
        <vertAlign val="subscript"/>
        <sz val="11"/>
        <rFont val="Calibri"/>
        <family val="2"/>
      </rPr>
      <t>PP</t>
    </r>
    <r>
      <rPr>
        <sz val="11"/>
        <rFont val="Calibri"/>
        <family val="2"/>
      </rPr>
      <t>/X</t>
    </r>
    <r>
      <rPr>
        <vertAlign val="subscript"/>
        <sz val="11"/>
        <rFont val="Calibri"/>
        <family val="2"/>
      </rPr>
      <t>CASTO</t>
    </r>
  </si>
  <si>
    <r>
      <t>-X</t>
    </r>
    <r>
      <rPr>
        <vertAlign val="subscript"/>
        <sz val="11"/>
        <rFont val="Calibri"/>
        <family val="2"/>
      </rPr>
      <t>PP</t>
    </r>
    <r>
      <rPr>
        <sz val="11"/>
        <rFont val="Calibri"/>
        <family val="2"/>
      </rPr>
      <t>/X</t>
    </r>
    <r>
      <rPr>
        <vertAlign val="subscript"/>
        <sz val="11"/>
        <rFont val="Calibri"/>
        <family val="2"/>
      </rPr>
      <t>CASTO</t>
    </r>
  </si>
  <si>
    <r>
      <t>-(1-Y</t>
    </r>
    <r>
      <rPr>
        <vertAlign val="subscript"/>
        <sz val="11"/>
        <rFont val="Calibri"/>
        <family val="2"/>
      </rPr>
      <t>CASTO,STC,ox</t>
    </r>
    <r>
      <rPr>
        <sz val="11"/>
        <rFont val="Calibri"/>
        <family val="2"/>
      </rPr>
      <t>)/Y</t>
    </r>
    <r>
      <rPr>
        <vertAlign val="subscript"/>
        <sz val="11"/>
        <rFont val="Calibri"/>
        <family val="2"/>
      </rPr>
      <t>CASTO,STC,ox</t>
    </r>
  </si>
  <si>
    <r>
      <t>Y</t>
    </r>
    <r>
      <rPr>
        <vertAlign val="subscript"/>
        <sz val="11"/>
        <rFont val="Calibri"/>
        <family val="2"/>
      </rPr>
      <t>CASTO,H2,ana,high</t>
    </r>
    <r>
      <rPr>
        <sz val="11"/>
        <rFont val="Calibri"/>
        <family val="2"/>
      </rPr>
      <t>/Y</t>
    </r>
    <r>
      <rPr>
        <vertAlign val="subscript"/>
        <sz val="11"/>
        <rFont val="Calibri"/>
        <family val="2"/>
      </rPr>
      <t>CASTO,SB,ana</t>
    </r>
  </si>
  <si>
    <r>
      <t>Y</t>
    </r>
    <r>
      <rPr>
        <vertAlign val="subscript"/>
        <sz val="11"/>
        <rFont val="Calibri"/>
        <family val="2"/>
      </rPr>
      <t>CASTO,H2,ana,low</t>
    </r>
    <r>
      <rPr>
        <sz val="11"/>
        <rFont val="Calibri"/>
        <family val="2"/>
      </rPr>
      <t>/Y</t>
    </r>
    <r>
      <rPr>
        <vertAlign val="subscript"/>
        <sz val="11"/>
        <rFont val="Calibri"/>
        <family val="2"/>
      </rPr>
      <t>CASTO,SB,ana</t>
    </r>
  </si>
  <si>
    <r>
      <t>(i</t>
    </r>
    <r>
      <rPr>
        <vertAlign val="subscript"/>
        <sz val="11"/>
        <rFont val="Calibri"/>
        <family val="2"/>
      </rPr>
      <t>CIT,STC</t>
    </r>
    <r>
      <rPr>
        <sz val="11"/>
        <rFont val="Calibri"/>
        <family val="2"/>
      </rPr>
      <t>/Y</t>
    </r>
    <r>
      <rPr>
        <vertAlign val="subscript"/>
        <sz val="11"/>
        <rFont val="Calibri"/>
        <family val="2"/>
      </rPr>
      <t>CASTO,STC,ox</t>
    </r>
    <r>
      <rPr>
        <sz val="11"/>
        <rFont val="Calibri"/>
        <family val="2"/>
      </rPr>
      <t>)</t>
    </r>
    <r>
      <rPr>
        <vertAlign val="subscript"/>
        <sz val="11"/>
        <rFont val="Calibri"/>
        <family val="2"/>
      </rPr>
      <t xml:space="preserve"> </t>
    </r>
    <r>
      <rPr>
        <sz val="11"/>
        <rFont val="Calibri"/>
        <family val="2"/>
      </rPr>
      <t>- i</t>
    </r>
    <r>
      <rPr>
        <vertAlign val="subscript"/>
        <sz val="11"/>
        <rFont val="Calibri"/>
        <family val="2"/>
      </rPr>
      <t>CIT,BIO</t>
    </r>
  </si>
  <si>
    <r>
      <t>(i</t>
    </r>
    <r>
      <rPr>
        <vertAlign val="subscript"/>
        <sz val="11"/>
        <rFont val="Calibri"/>
        <family val="2"/>
      </rPr>
      <t>CIT,STC</t>
    </r>
    <r>
      <rPr>
        <sz val="11"/>
        <rFont val="Calibri"/>
        <family val="2"/>
      </rPr>
      <t>/Y</t>
    </r>
    <r>
      <rPr>
        <vertAlign val="subscript"/>
        <sz val="11"/>
        <rFont val="Calibri"/>
        <family val="2"/>
      </rPr>
      <t>CASTO,STC,anox</t>
    </r>
    <r>
      <rPr>
        <sz val="11"/>
        <rFont val="Calibri"/>
        <family val="2"/>
      </rPr>
      <t>)</t>
    </r>
    <r>
      <rPr>
        <vertAlign val="subscript"/>
        <sz val="11"/>
        <rFont val="Calibri"/>
        <family val="2"/>
      </rPr>
      <t xml:space="preserve"> </t>
    </r>
    <r>
      <rPr>
        <sz val="11"/>
        <rFont val="Calibri"/>
        <family val="2"/>
      </rPr>
      <t>- i</t>
    </r>
    <r>
      <rPr>
        <vertAlign val="subscript"/>
        <sz val="11"/>
        <rFont val="Calibri"/>
        <family val="2"/>
      </rPr>
      <t>CIT,BIO</t>
    </r>
  </si>
  <si>
    <r>
      <t>i</t>
    </r>
    <r>
      <rPr>
        <vertAlign val="subscript"/>
        <sz val="11"/>
        <rFont val="Calibri"/>
        <family val="2"/>
      </rPr>
      <t>CIT,BIO</t>
    </r>
    <r>
      <rPr>
        <sz val="11"/>
        <rFont val="Calibri"/>
        <family val="2"/>
      </rPr>
      <t>*Y</t>
    </r>
    <r>
      <rPr>
        <vertAlign val="subscript"/>
        <sz val="11"/>
        <rFont val="Calibri"/>
        <family val="2"/>
      </rPr>
      <t>PP,CASTO,ox</t>
    </r>
  </si>
  <si>
    <r>
      <t>-i</t>
    </r>
    <r>
      <rPr>
        <vertAlign val="subscript"/>
        <sz val="11"/>
        <rFont val="Calibri"/>
        <family val="2"/>
      </rPr>
      <t>INORG</t>
    </r>
    <r>
      <rPr>
        <sz val="11"/>
        <rFont val="Calibri"/>
        <family val="2"/>
      </rPr>
      <t>*Y</t>
    </r>
    <r>
      <rPr>
        <vertAlign val="subscript"/>
        <sz val="11"/>
        <rFont val="Calibri"/>
        <family val="2"/>
      </rPr>
      <t>PP,CASTO,ox</t>
    </r>
  </si>
  <si>
    <r>
      <t>i</t>
    </r>
    <r>
      <rPr>
        <vertAlign val="subscript"/>
        <sz val="11"/>
        <rFont val="Calibri"/>
        <family val="2"/>
      </rPr>
      <t>CIT,BIO</t>
    </r>
    <r>
      <rPr>
        <sz val="11"/>
        <rFont val="Calibri"/>
        <family val="2"/>
      </rPr>
      <t>*Y</t>
    </r>
    <r>
      <rPr>
        <vertAlign val="subscript"/>
        <sz val="11"/>
        <rFont val="Calibri"/>
        <family val="2"/>
      </rPr>
      <t>PP,CASTO,anox</t>
    </r>
  </si>
  <si>
    <r>
      <t>-i</t>
    </r>
    <r>
      <rPr>
        <vertAlign val="subscript"/>
        <sz val="11"/>
        <rFont val="Calibri"/>
        <family val="2"/>
      </rPr>
      <t>INORG</t>
    </r>
    <r>
      <rPr>
        <sz val="11"/>
        <rFont val="Calibri"/>
        <family val="2"/>
      </rPr>
      <t>*Y</t>
    </r>
    <r>
      <rPr>
        <vertAlign val="subscript"/>
        <sz val="11"/>
        <rFont val="Calibri"/>
        <family val="2"/>
      </rPr>
      <t>PP,CASTO,anox</t>
    </r>
  </si>
  <si>
    <r>
      <t>i</t>
    </r>
    <r>
      <rPr>
        <vertAlign val="subscript"/>
        <sz val="11"/>
        <rFont val="Calibri"/>
        <family val="2"/>
      </rPr>
      <t>CIT,STC</t>
    </r>
  </si>
  <si>
    <r>
      <t>Y</t>
    </r>
    <r>
      <rPr>
        <vertAlign val="subscript"/>
        <sz val="11"/>
        <rFont val="Calibri"/>
        <family val="2"/>
      </rPr>
      <t>PP,CASTO,ox</t>
    </r>
    <r>
      <rPr>
        <sz val="11"/>
        <rFont val="Calibri"/>
        <family val="2"/>
      </rPr>
      <t>*i</t>
    </r>
    <r>
      <rPr>
        <vertAlign val="subscript"/>
        <sz val="11"/>
        <rFont val="Calibri"/>
        <family val="2"/>
      </rPr>
      <t>INORG</t>
    </r>
    <r>
      <rPr>
        <sz val="11"/>
        <rFont val="Calibri"/>
        <family val="2"/>
      </rPr>
      <t>*(1-i</t>
    </r>
    <r>
      <rPr>
        <vertAlign val="subscript"/>
        <sz val="11"/>
        <rFont val="Calibri"/>
        <family val="2"/>
      </rPr>
      <t>Ca,INORG</t>
    </r>
    <r>
      <rPr>
        <sz val="11"/>
        <rFont val="Calibri"/>
        <family val="2"/>
      </rPr>
      <t>*(AM</t>
    </r>
    <r>
      <rPr>
        <vertAlign val="subscript"/>
        <sz val="11"/>
        <rFont val="Calibri"/>
        <family val="2"/>
      </rPr>
      <t>Ca</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*(AM</t>
    </r>
    <r>
      <rPr>
        <vertAlign val="subscript"/>
        <sz val="11"/>
        <rFont val="Calibri"/>
        <family val="2"/>
      </rPr>
      <t>Mg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*f</t>
    </r>
    <r>
      <rPr>
        <vertAlign val="subscript"/>
        <sz val="11"/>
        <rFont val="Calibri"/>
        <family val="2"/>
      </rPr>
      <t>Na</t>
    </r>
  </si>
  <si>
    <r>
      <t>Y</t>
    </r>
    <r>
      <rPr>
        <vertAlign val="subscript"/>
        <sz val="11"/>
        <rFont val="Calibri"/>
        <family val="2"/>
      </rPr>
      <t>PP,CASTO,ox</t>
    </r>
    <r>
      <rPr>
        <sz val="11"/>
        <rFont val="Calibri"/>
        <family val="2"/>
      </rPr>
      <t>*(i</t>
    </r>
    <r>
      <rPr>
        <vertAlign val="subscript"/>
        <sz val="11"/>
        <rFont val="Calibri"/>
        <family val="2"/>
      </rPr>
      <t>INORG</t>
    </r>
    <r>
      <rPr>
        <sz val="11"/>
        <rFont val="Calibri"/>
        <family val="2"/>
      </rPr>
      <t>*(i</t>
    </r>
    <r>
      <rPr>
        <vertAlign val="subscript"/>
        <sz val="11"/>
        <rFont val="Calibri"/>
        <family val="2"/>
      </rPr>
      <t>Ca,INORG</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)+i</t>
    </r>
    <r>
      <rPr>
        <vertAlign val="subscript"/>
        <sz val="11"/>
        <rFont val="Calibri"/>
        <family val="2"/>
      </rPr>
      <t>INORG</t>
    </r>
    <r>
      <rPr>
        <sz val="11"/>
        <rFont val="Calibri"/>
        <family val="2"/>
      </rPr>
      <t>*(1-i</t>
    </r>
    <r>
      <rPr>
        <vertAlign val="subscript"/>
        <sz val="11"/>
        <rFont val="Calibri"/>
        <family val="2"/>
      </rPr>
      <t>Ca,INORG</t>
    </r>
    <r>
      <rPr>
        <sz val="11"/>
        <rFont val="Calibri"/>
        <family val="2"/>
      </rPr>
      <t>*(AM</t>
    </r>
    <r>
      <rPr>
        <vertAlign val="subscript"/>
        <sz val="11"/>
        <rFont val="Calibri"/>
        <family val="2"/>
      </rPr>
      <t>Ca</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*(AM</t>
    </r>
    <r>
      <rPr>
        <vertAlign val="subscript"/>
        <sz val="11"/>
        <rFont val="Calibri"/>
        <family val="2"/>
      </rPr>
      <t>Mg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*(1-f</t>
    </r>
    <r>
      <rPr>
        <vertAlign val="subscript"/>
        <sz val="11"/>
        <rFont val="Calibri"/>
        <family val="2"/>
      </rPr>
      <t>Na</t>
    </r>
    <r>
      <rPr>
        <sz val="11"/>
        <rFont val="Calibri"/>
        <family val="2"/>
      </rPr>
      <t>))</t>
    </r>
  </si>
  <si>
    <r>
      <t>Y</t>
    </r>
    <r>
      <rPr>
        <vertAlign val="subscript"/>
        <sz val="11"/>
        <rFont val="Calibri"/>
        <family val="2"/>
      </rPr>
      <t>PP,CASTO,ox</t>
    </r>
    <r>
      <rPr>
        <sz val="11"/>
        <rFont val="Calibri"/>
        <family val="2"/>
      </rPr>
      <t>*i</t>
    </r>
    <r>
      <rPr>
        <vertAlign val="subscript"/>
        <sz val="11"/>
        <rFont val="Calibri"/>
        <family val="2"/>
      </rPr>
      <t>INORG</t>
    </r>
    <r>
      <rPr>
        <sz val="11"/>
        <rFont val="Calibri"/>
        <family val="2"/>
      </rPr>
      <t>*i</t>
    </r>
    <r>
      <rPr>
        <vertAlign val="subscript"/>
        <sz val="11"/>
        <rFont val="Calibri"/>
        <family val="2"/>
      </rPr>
      <t>Ca,INORG</t>
    </r>
    <r>
      <rPr>
        <sz val="11"/>
        <rFont val="Calibri"/>
        <family val="2"/>
      </rPr>
      <t>-i</t>
    </r>
    <r>
      <rPr>
        <vertAlign val="subscript"/>
        <sz val="11"/>
        <rFont val="Calibri"/>
        <family val="2"/>
      </rPr>
      <t>Ca,PP</t>
    </r>
    <r>
      <rPr>
        <sz val="11"/>
        <rFont val="Calibri"/>
        <family val="2"/>
      </rPr>
      <t>*AM</t>
    </r>
    <r>
      <rPr>
        <vertAlign val="subscript"/>
        <sz val="11"/>
        <rFont val="Calibri"/>
        <family val="2"/>
      </rPr>
      <t>Ca</t>
    </r>
    <r>
      <rPr>
        <sz val="11"/>
        <rFont val="Calibri"/>
        <family val="2"/>
      </rPr>
      <t>/AM</t>
    </r>
    <r>
      <rPr>
        <vertAlign val="subscript"/>
        <sz val="11"/>
        <rFont val="Calibri"/>
        <family val="2"/>
      </rPr>
      <t>P</t>
    </r>
  </si>
  <si>
    <r>
      <t>Y</t>
    </r>
    <r>
      <rPr>
        <vertAlign val="subscript"/>
        <sz val="11"/>
        <rFont val="Calibri"/>
        <family val="2"/>
      </rPr>
      <t>PP,CASTO,ox</t>
    </r>
    <r>
      <rPr>
        <sz val="11"/>
        <rFont val="Calibri"/>
        <family val="2"/>
      </rPr>
      <t>*i</t>
    </r>
    <r>
      <rPr>
        <vertAlign val="subscript"/>
        <sz val="11"/>
        <rFont val="Calibri"/>
        <family val="2"/>
      </rPr>
      <t>INORG</t>
    </r>
    <r>
      <rPr>
        <sz val="11"/>
        <rFont val="Calibri"/>
        <family val="2"/>
      </rPr>
      <t>*i</t>
    </r>
    <r>
      <rPr>
        <vertAlign val="subscript"/>
        <sz val="11"/>
        <rFont val="Calibri"/>
        <family val="2"/>
      </rPr>
      <t>Mg,INORG</t>
    </r>
    <r>
      <rPr>
        <sz val="11"/>
        <rFont val="Calibri"/>
        <family val="2"/>
      </rPr>
      <t>-i</t>
    </r>
    <r>
      <rPr>
        <vertAlign val="subscript"/>
        <sz val="11"/>
        <rFont val="Calibri"/>
        <family val="2"/>
      </rPr>
      <t>Mg,PP</t>
    </r>
    <r>
      <rPr>
        <sz val="11"/>
        <rFont val="Calibri"/>
        <family val="2"/>
      </rPr>
      <t>*AM</t>
    </r>
    <r>
      <rPr>
        <vertAlign val="subscript"/>
        <sz val="11"/>
        <rFont val="Calibri"/>
        <family val="2"/>
      </rPr>
      <t>Mg</t>
    </r>
    <r>
      <rPr>
        <sz val="11"/>
        <rFont val="Calibri"/>
        <family val="2"/>
      </rPr>
      <t>/AM</t>
    </r>
    <r>
      <rPr>
        <vertAlign val="subscript"/>
        <sz val="11"/>
        <rFont val="Calibri"/>
        <family val="2"/>
      </rPr>
      <t>P</t>
    </r>
  </si>
  <si>
    <r>
      <t>Y</t>
    </r>
    <r>
      <rPr>
        <vertAlign val="subscript"/>
        <sz val="11"/>
        <rFont val="Calibri"/>
        <family val="2"/>
      </rPr>
      <t>PP,CASTO,anox</t>
    </r>
    <r>
      <rPr>
        <sz val="11"/>
        <rFont val="Calibri"/>
        <family val="2"/>
      </rPr>
      <t>*i</t>
    </r>
    <r>
      <rPr>
        <vertAlign val="subscript"/>
        <sz val="11"/>
        <rFont val="Calibri"/>
        <family val="2"/>
      </rPr>
      <t>INORG</t>
    </r>
    <r>
      <rPr>
        <sz val="11"/>
        <rFont val="Calibri"/>
        <family val="2"/>
      </rPr>
      <t>*(1-i</t>
    </r>
    <r>
      <rPr>
        <vertAlign val="subscript"/>
        <sz val="11"/>
        <rFont val="Calibri"/>
        <family val="2"/>
      </rPr>
      <t>Ca,INORG</t>
    </r>
    <r>
      <rPr>
        <sz val="11"/>
        <rFont val="Calibri"/>
        <family val="2"/>
      </rPr>
      <t>*(AM</t>
    </r>
    <r>
      <rPr>
        <vertAlign val="subscript"/>
        <sz val="11"/>
        <rFont val="Calibri"/>
        <family val="2"/>
      </rPr>
      <t>Ca</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*(AM</t>
    </r>
    <r>
      <rPr>
        <vertAlign val="subscript"/>
        <sz val="11"/>
        <rFont val="Calibri"/>
        <family val="2"/>
      </rPr>
      <t>Mg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*f</t>
    </r>
    <r>
      <rPr>
        <vertAlign val="subscript"/>
        <sz val="11"/>
        <rFont val="Calibri"/>
        <family val="2"/>
      </rPr>
      <t>Na</t>
    </r>
  </si>
  <si>
    <r>
      <t>Y</t>
    </r>
    <r>
      <rPr>
        <vertAlign val="subscript"/>
        <sz val="11"/>
        <rFont val="Calibri"/>
        <family val="2"/>
      </rPr>
      <t>PP,CASTO,anox</t>
    </r>
    <r>
      <rPr>
        <sz val="11"/>
        <rFont val="Calibri"/>
        <family val="2"/>
      </rPr>
      <t>*(i</t>
    </r>
    <r>
      <rPr>
        <vertAlign val="subscript"/>
        <sz val="11"/>
        <rFont val="Calibri"/>
        <family val="2"/>
      </rPr>
      <t>INORG</t>
    </r>
    <r>
      <rPr>
        <sz val="11"/>
        <rFont val="Calibri"/>
        <family val="2"/>
      </rPr>
      <t>*(i</t>
    </r>
    <r>
      <rPr>
        <vertAlign val="subscript"/>
        <sz val="11"/>
        <rFont val="Calibri"/>
        <family val="2"/>
      </rPr>
      <t>Ca,INORG</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)+i</t>
    </r>
    <r>
      <rPr>
        <vertAlign val="subscript"/>
        <sz val="11"/>
        <rFont val="Calibri"/>
        <family val="2"/>
      </rPr>
      <t>INORG</t>
    </r>
    <r>
      <rPr>
        <sz val="11"/>
        <rFont val="Calibri"/>
        <family val="2"/>
      </rPr>
      <t>*(1-i</t>
    </r>
    <r>
      <rPr>
        <vertAlign val="subscript"/>
        <sz val="11"/>
        <rFont val="Calibri"/>
        <family val="2"/>
      </rPr>
      <t>Ca,INORG</t>
    </r>
    <r>
      <rPr>
        <sz val="11"/>
        <rFont val="Calibri"/>
        <family val="2"/>
      </rPr>
      <t>*(AM</t>
    </r>
    <r>
      <rPr>
        <vertAlign val="subscript"/>
        <sz val="11"/>
        <rFont val="Calibri"/>
        <family val="2"/>
      </rPr>
      <t>Ca</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*(AM</t>
    </r>
    <r>
      <rPr>
        <vertAlign val="subscript"/>
        <sz val="11"/>
        <rFont val="Calibri"/>
        <family val="2"/>
      </rPr>
      <t>Mg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*(1-f</t>
    </r>
    <r>
      <rPr>
        <vertAlign val="subscript"/>
        <sz val="11"/>
        <rFont val="Calibri"/>
        <family val="2"/>
      </rPr>
      <t>Na</t>
    </r>
    <r>
      <rPr>
        <sz val="11"/>
        <rFont val="Calibri"/>
        <family val="2"/>
      </rPr>
      <t>))</t>
    </r>
  </si>
  <si>
    <r>
      <t>Y</t>
    </r>
    <r>
      <rPr>
        <vertAlign val="subscript"/>
        <sz val="11"/>
        <rFont val="Calibri"/>
        <family val="2"/>
      </rPr>
      <t>PP,CASTO,anox</t>
    </r>
    <r>
      <rPr>
        <sz val="11"/>
        <rFont val="Calibri"/>
        <family val="2"/>
      </rPr>
      <t>*i</t>
    </r>
    <r>
      <rPr>
        <vertAlign val="subscript"/>
        <sz val="11"/>
        <rFont val="Calibri"/>
        <family val="2"/>
      </rPr>
      <t>INORG</t>
    </r>
    <r>
      <rPr>
        <sz val="11"/>
        <rFont val="Calibri"/>
        <family val="2"/>
      </rPr>
      <t>*i</t>
    </r>
    <r>
      <rPr>
        <vertAlign val="subscript"/>
        <sz val="11"/>
        <rFont val="Calibri"/>
        <family val="2"/>
      </rPr>
      <t>Ca,INORG</t>
    </r>
    <r>
      <rPr>
        <sz val="11"/>
        <rFont val="Calibri"/>
        <family val="2"/>
      </rPr>
      <t>-i</t>
    </r>
    <r>
      <rPr>
        <vertAlign val="subscript"/>
        <sz val="11"/>
        <rFont val="Calibri"/>
        <family val="2"/>
      </rPr>
      <t>Ca,PP</t>
    </r>
    <r>
      <rPr>
        <sz val="11"/>
        <rFont val="Calibri"/>
        <family val="2"/>
      </rPr>
      <t>*AM</t>
    </r>
    <r>
      <rPr>
        <vertAlign val="subscript"/>
        <sz val="11"/>
        <rFont val="Calibri"/>
        <family val="2"/>
      </rPr>
      <t>Ca</t>
    </r>
    <r>
      <rPr>
        <sz val="11"/>
        <rFont val="Calibri"/>
        <family val="2"/>
      </rPr>
      <t>/AM</t>
    </r>
    <r>
      <rPr>
        <vertAlign val="subscript"/>
        <sz val="11"/>
        <rFont val="Calibri"/>
        <family val="2"/>
      </rPr>
      <t>P</t>
    </r>
  </si>
  <si>
    <r>
      <t>Y</t>
    </r>
    <r>
      <rPr>
        <vertAlign val="subscript"/>
        <sz val="11"/>
        <rFont val="Calibri"/>
        <family val="2"/>
      </rPr>
      <t>PP,CASTO,anox</t>
    </r>
    <r>
      <rPr>
        <sz val="11"/>
        <rFont val="Calibri"/>
        <family val="2"/>
      </rPr>
      <t>*i</t>
    </r>
    <r>
      <rPr>
        <vertAlign val="subscript"/>
        <sz val="11"/>
        <rFont val="Calibri"/>
        <family val="2"/>
      </rPr>
      <t>INORG</t>
    </r>
    <r>
      <rPr>
        <sz val="11"/>
        <rFont val="Calibri"/>
        <family val="2"/>
      </rPr>
      <t>*i</t>
    </r>
    <r>
      <rPr>
        <vertAlign val="subscript"/>
        <sz val="11"/>
        <rFont val="Calibri"/>
        <family val="2"/>
      </rPr>
      <t>Mg,INORG</t>
    </r>
    <r>
      <rPr>
        <sz val="11"/>
        <rFont val="Calibri"/>
        <family val="2"/>
      </rPr>
      <t>-i</t>
    </r>
    <r>
      <rPr>
        <vertAlign val="subscript"/>
        <sz val="11"/>
        <rFont val="Calibri"/>
        <family val="2"/>
      </rPr>
      <t>Mg,PP</t>
    </r>
    <r>
      <rPr>
        <sz val="11"/>
        <rFont val="Calibri"/>
        <family val="2"/>
      </rPr>
      <t>*AM</t>
    </r>
    <r>
      <rPr>
        <vertAlign val="subscript"/>
        <sz val="11"/>
        <rFont val="Calibri"/>
        <family val="2"/>
      </rPr>
      <t>Mg</t>
    </r>
    <r>
      <rPr>
        <sz val="11"/>
        <rFont val="Calibri"/>
        <family val="2"/>
      </rPr>
      <t>/AM</t>
    </r>
    <r>
      <rPr>
        <vertAlign val="subscript"/>
        <sz val="11"/>
        <rFont val="Calibri"/>
        <family val="2"/>
      </rPr>
      <t>P</t>
    </r>
  </si>
  <si>
    <r>
      <t>X</t>
    </r>
    <r>
      <rPr>
        <vertAlign val="subscript"/>
        <sz val="11"/>
        <rFont val="Calibri"/>
        <family val="2"/>
      </rPr>
      <t>PP</t>
    </r>
    <r>
      <rPr>
        <sz val="11"/>
        <rFont val="Calibri"/>
        <family val="2"/>
      </rPr>
      <t>*AM</t>
    </r>
    <r>
      <rPr>
        <vertAlign val="subscript"/>
        <sz val="11"/>
        <rFont val="Calibri"/>
        <family val="2"/>
      </rPr>
      <t>K</t>
    </r>
    <r>
      <rPr>
        <sz val="11"/>
        <rFont val="Calibri"/>
        <family val="2"/>
      </rPr>
      <t>/AM</t>
    </r>
    <r>
      <rPr>
        <vertAlign val="subscript"/>
        <sz val="11"/>
        <rFont val="Calibri"/>
        <family val="2"/>
      </rPr>
      <t>P</t>
    </r>
    <r>
      <rPr>
        <sz val="11"/>
        <rFont val="Calibri"/>
        <family val="2"/>
      </rPr>
      <t>*i</t>
    </r>
    <r>
      <rPr>
        <vertAlign val="subscript"/>
        <sz val="11"/>
        <rFont val="Calibri"/>
        <family val="2"/>
      </rPr>
      <t>K,PP</t>
    </r>
    <r>
      <rPr>
        <sz val="11"/>
        <rFont val="Calibri"/>
        <family val="2"/>
      </rPr>
      <t>/X</t>
    </r>
    <r>
      <rPr>
        <vertAlign val="subscript"/>
        <sz val="11"/>
        <rFont val="Calibri"/>
        <family val="2"/>
      </rPr>
      <t>CASTO</t>
    </r>
  </si>
  <si>
    <r>
      <t>i</t>
    </r>
    <r>
      <rPr>
        <vertAlign val="subscript"/>
        <sz val="11"/>
        <rFont val="Calibri"/>
        <family val="2"/>
      </rPr>
      <t>S,BIO</t>
    </r>
    <r>
      <rPr>
        <sz val="11"/>
        <rFont val="Calibri"/>
        <family val="2"/>
      </rPr>
      <t>*Y</t>
    </r>
    <r>
      <rPr>
        <vertAlign val="subscript"/>
        <sz val="11"/>
        <rFont val="Calibri"/>
        <family val="2"/>
      </rPr>
      <t>PP,CASTO,ox</t>
    </r>
  </si>
  <si>
    <r>
      <t>i</t>
    </r>
    <r>
      <rPr>
        <vertAlign val="subscript"/>
        <sz val="11"/>
        <rFont val="Calibri"/>
        <family val="2"/>
      </rPr>
      <t>S,BIO</t>
    </r>
    <r>
      <rPr>
        <sz val="11"/>
        <rFont val="Calibri"/>
        <family val="2"/>
      </rPr>
      <t>*Y</t>
    </r>
    <r>
      <rPr>
        <vertAlign val="subscript"/>
        <sz val="11"/>
        <rFont val="Calibri"/>
        <family val="2"/>
      </rPr>
      <t>PP,CASTO,anox</t>
    </r>
  </si>
  <si>
    <r>
      <t>PAO polyphosphate storage, O</t>
    </r>
    <r>
      <rPr>
        <vertAlign val="subscript"/>
        <sz val="11"/>
        <rFont val="Calibri"/>
        <family val="2"/>
      </rPr>
      <t>2</t>
    </r>
  </si>
  <si>
    <r>
      <t>PAO polyphosphate storage, NO</t>
    </r>
    <r>
      <rPr>
        <vertAlign val="subscript"/>
        <sz val="11"/>
        <rFont val="Calibri"/>
        <family val="2"/>
      </rPr>
      <t>2</t>
    </r>
  </si>
  <si>
    <r>
      <t>PAO polyphosphate storage, NO</t>
    </r>
    <r>
      <rPr>
        <vertAlign val="subscript"/>
        <sz val="11"/>
        <rFont val="Calibri"/>
        <family val="2"/>
      </rPr>
      <t>3</t>
    </r>
  </si>
  <si>
    <r>
      <t>µ</t>
    </r>
    <r>
      <rPr>
        <vertAlign val="subscript"/>
        <sz val="11"/>
        <rFont val="Calibri"/>
        <family val="2"/>
      </rPr>
      <t>PAO,lim,T</t>
    </r>
    <r>
      <rPr>
        <sz val="11"/>
        <rFont val="Calibri"/>
        <family val="2"/>
      </rPr>
      <t xml:space="preserve"> * X</t>
    </r>
    <r>
      <rPr>
        <vertAlign val="subscript"/>
        <sz val="11"/>
        <rFont val="Calibri"/>
        <family val="2"/>
      </rPr>
      <t>PAO</t>
    </r>
    <r>
      <rPr>
        <sz val="11"/>
        <rFont val="Calibri"/>
        <family val="2"/>
      </rPr>
      <t xml:space="preserve"> * MRsat</t>
    </r>
    <r>
      <rPr>
        <vertAlign val="subscript"/>
        <sz val="11"/>
        <rFont val="Calibri"/>
        <family val="2"/>
      </rPr>
      <t>XPHA,XPAO,KPHA</t>
    </r>
    <r>
      <rPr>
        <sz val="11"/>
        <rFont val="Calibri"/>
        <family val="2"/>
      </rPr>
      <t xml:space="preserve"> * Msat</t>
    </r>
    <r>
      <rPr>
        <vertAlign val="subscript"/>
        <sz val="11"/>
        <rFont val="Calibri"/>
        <family val="2"/>
      </rPr>
      <t>SO2,KO2,CASTO</t>
    </r>
    <r>
      <rPr>
        <sz val="11"/>
        <rFont val="Calibri"/>
        <family val="2"/>
      </rPr>
      <t xml:space="preserve"> * Msat</t>
    </r>
    <r>
      <rPr>
        <vertAlign val="subscript"/>
        <sz val="11"/>
        <rFont val="Calibri"/>
        <family val="2"/>
      </rPr>
      <t>SNHx,KNHx,BIO</t>
    </r>
    <r>
      <rPr>
        <sz val="11"/>
        <rFont val="Calibri"/>
        <family val="2"/>
      </rPr>
      <t xml:space="preserve"> * Minh</t>
    </r>
    <r>
      <rPr>
        <vertAlign val="subscript"/>
        <sz val="11"/>
        <rFont val="Calibri"/>
        <family val="2"/>
      </rPr>
      <t>SPO4,KiPO4,lim</t>
    </r>
    <r>
      <rPr>
        <sz val="11"/>
        <rFont val="Calibri"/>
        <family val="2"/>
      </rPr>
      <t xml:space="preserve"> * Msat</t>
    </r>
    <r>
      <rPr>
        <vertAlign val="subscript"/>
        <sz val="11"/>
        <rFont val="Calibri"/>
        <family val="2"/>
      </rPr>
      <t>XPP,KPP,lim</t>
    </r>
    <r>
      <rPr>
        <sz val="11"/>
        <rFont val="Calibri"/>
        <family val="2"/>
      </rPr>
      <t xml:space="preserve"> * Msat</t>
    </r>
    <r>
      <rPr>
        <vertAlign val="subscript"/>
        <sz val="11"/>
        <rFont val="Calibri"/>
        <family val="2"/>
      </rPr>
      <t>SCAT,KCAT</t>
    </r>
    <r>
      <rPr>
        <sz val="11"/>
        <rFont val="Calibri"/>
        <family val="2"/>
      </rPr>
      <t xml:space="preserve"> * Msat</t>
    </r>
    <r>
      <rPr>
        <vertAlign val="subscript"/>
        <sz val="11"/>
        <rFont val="Calibri"/>
        <family val="2"/>
      </rPr>
      <t>SAN,KAN</t>
    </r>
    <r>
      <rPr>
        <sz val="11"/>
        <rFont val="Calibri"/>
        <family val="2"/>
      </rPr>
      <t xml:space="preserve"> * Msat</t>
    </r>
    <r>
      <rPr>
        <vertAlign val="subscript"/>
        <sz val="11"/>
        <rFont val="Calibri"/>
        <family val="2"/>
      </rPr>
      <t>SCa,KCa</t>
    </r>
    <r>
      <rPr>
        <sz val="11"/>
        <rFont val="Calibri"/>
        <family val="2"/>
      </rPr>
      <t xml:space="preserve"> * Msat</t>
    </r>
    <r>
      <rPr>
        <vertAlign val="subscript"/>
        <sz val="11"/>
        <rFont val="Calibri"/>
        <family val="2"/>
      </rPr>
      <t>SMg,KMg</t>
    </r>
    <r>
      <rPr>
        <sz val="11"/>
        <rFont val="Calibri"/>
        <family val="2"/>
      </rPr>
      <t xml:space="preserve"> * Msat</t>
    </r>
    <r>
      <rPr>
        <vertAlign val="subscript"/>
        <sz val="11"/>
        <rFont val="Calibri"/>
        <family val="2"/>
      </rPr>
      <t>SSO4,KSO4,BIO</t>
    </r>
    <r>
      <rPr>
        <sz val="11"/>
        <rFont val="Calibri"/>
        <family val="2"/>
      </rPr>
      <t xml:space="preserve"> * Bellinh</t>
    </r>
    <r>
      <rPr>
        <vertAlign val="subscript"/>
        <sz val="11"/>
        <rFont val="Calibri"/>
        <family val="2"/>
      </rPr>
      <t>pH</t>
    </r>
  </si>
  <si>
    <r>
      <t>µ</t>
    </r>
    <r>
      <rPr>
        <vertAlign val="subscript"/>
        <sz val="11"/>
        <rFont val="Calibri"/>
        <family val="2"/>
        <charset val="238"/>
      </rPr>
      <t>PAO,lim,T</t>
    </r>
    <r>
      <rPr>
        <sz val="11"/>
        <rFont val="Calibri"/>
        <family val="2"/>
        <charset val="238"/>
      </rPr>
      <t xml:space="preserve"> * X</t>
    </r>
    <r>
      <rPr>
        <vertAlign val="subscript"/>
        <sz val="11"/>
        <rFont val="Calibri"/>
        <family val="2"/>
        <charset val="238"/>
      </rPr>
      <t>PAO</t>
    </r>
    <r>
      <rPr>
        <sz val="11"/>
        <rFont val="Calibri"/>
        <family val="2"/>
        <charset val="238"/>
      </rPr>
      <t xml:space="preserve"> * η</t>
    </r>
    <r>
      <rPr>
        <vertAlign val="subscript"/>
        <sz val="11"/>
        <rFont val="Calibri"/>
        <family val="2"/>
        <charset val="238"/>
      </rPr>
      <t>CASTO,anox</t>
    </r>
    <r>
      <rPr>
        <sz val="11"/>
        <rFont val="Calibri"/>
        <family val="2"/>
        <charset val="238"/>
      </rPr>
      <t xml:space="preserve"> * MRsat</t>
    </r>
    <r>
      <rPr>
        <vertAlign val="subscript"/>
        <sz val="11"/>
        <rFont val="Calibri"/>
        <family val="2"/>
        <charset val="238"/>
      </rPr>
      <t>XPHA,XPAO,KPHA</t>
    </r>
    <r>
      <rPr>
        <sz val="11"/>
        <rFont val="Calibri"/>
        <family val="2"/>
        <charset val="238"/>
      </rPr>
      <t xml:space="preserve"> * Minh</t>
    </r>
    <r>
      <rPr>
        <vertAlign val="subscript"/>
        <sz val="11"/>
        <rFont val="Calibri"/>
        <family val="2"/>
        <charset val="238"/>
      </rPr>
      <t>SO2,KO2,CASTO</t>
    </r>
    <r>
      <rPr>
        <sz val="11"/>
        <rFont val="Calibri"/>
        <family val="2"/>
        <charset val="238"/>
      </rPr>
      <t xml:space="preserve"> * Msat</t>
    </r>
    <r>
      <rPr>
        <vertAlign val="subscript"/>
        <sz val="11"/>
        <rFont val="Calibri"/>
        <family val="2"/>
        <charset val="238"/>
      </rPr>
      <t>SNO2,KNO2,CASTO</t>
    </r>
    <r>
      <rPr>
        <sz val="11"/>
        <rFont val="Calibri"/>
        <family val="2"/>
        <charset val="238"/>
      </rPr>
      <t xml:space="preserve"> * Msat</t>
    </r>
    <r>
      <rPr>
        <vertAlign val="subscript"/>
        <sz val="11"/>
        <rFont val="Calibri"/>
        <family val="2"/>
        <charset val="238"/>
      </rPr>
      <t>SNHx,KNHx,BIO</t>
    </r>
    <r>
      <rPr>
        <sz val="11"/>
        <rFont val="Calibri"/>
        <family val="2"/>
        <charset val="238"/>
      </rPr>
      <t xml:space="preserve"> * Minh</t>
    </r>
    <r>
      <rPr>
        <vertAlign val="subscript"/>
        <sz val="11"/>
        <rFont val="Calibri"/>
        <family val="2"/>
        <charset val="238"/>
      </rPr>
      <t>SPO4,KiPO4,lim</t>
    </r>
    <r>
      <rPr>
        <sz val="11"/>
        <rFont val="Calibri"/>
        <family val="2"/>
        <charset val="238"/>
      </rPr>
      <t xml:space="preserve"> * Msat</t>
    </r>
    <r>
      <rPr>
        <vertAlign val="subscript"/>
        <sz val="11"/>
        <rFont val="Calibri"/>
        <family val="2"/>
        <charset val="238"/>
      </rPr>
      <t>XPP,KPP,lim</t>
    </r>
    <r>
      <rPr>
        <sz val="11"/>
        <rFont val="Calibri"/>
        <family val="2"/>
        <charset val="238"/>
      </rPr>
      <t xml:space="preserve"> * Msat</t>
    </r>
    <r>
      <rPr>
        <vertAlign val="subscript"/>
        <sz val="11"/>
        <rFont val="Calibri"/>
        <family val="2"/>
        <charset val="238"/>
      </rPr>
      <t>SCAT,KCAT</t>
    </r>
    <r>
      <rPr>
        <sz val="11"/>
        <rFont val="Calibri"/>
        <family val="2"/>
        <charset val="238"/>
      </rPr>
      <t xml:space="preserve"> * Msat</t>
    </r>
    <r>
      <rPr>
        <vertAlign val="subscript"/>
        <sz val="11"/>
        <rFont val="Calibri"/>
        <family val="2"/>
        <charset val="238"/>
      </rPr>
      <t>SAN,KAN</t>
    </r>
    <r>
      <rPr>
        <sz val="11"/>
        <rFont val="Calibri"/>
        <family val="2"/>
        <charset val="238"/>
      </rPr>
      <t xml:space="preserve"> * Msat</t>
    </r>
    <r>
      <rPr>
        <vertAlign val="subscript"/>
        <sz val="11"/>
        <rFont val="Calibri"/>
        <family val="2"/>
        <charset val="238"/>
      </rPr>
      <t>SCa,KCa</t>
    </r>
    <r>
      <rPr>
        <sz val="11"/>
        <rFont val="Calibri"/>
        <family val="2"/>
        <charset val="238"/>
      </rPr>
      <t xml:space="preserve"> * Msat</t>
    </r>
    <r>
      <rPr>
        <vertAlign val="subscript"/>
        <sz val="11"/>
        <rFont val="Calibri"/>
        <family val="2"/>
        <charset val="238"/>
      </rPr>
      <t>SMg,KMg</t>
    </r>
    <r>
      <rPr>
        <sz val="11"/>
        <rFont val="Calibri"/>
        <family val="2"/>
        <charset val="238"/>
      </rPr>
      <t xml:space="preserve"> * Msat</t>
    </r>
    <r>
      <rPr>
        <vertAlign val="subscript"/>
        <sz val="11"/>
        <rFont val="Calibri"/>
        <family val="2"/>
        <charset val="238"/>
      </rPr>
      <t>SSO4,KSO4,BIO</t>
    </r>
    <r>
      <rPr>
        <sz val="11"/>
        <rFont val="Calibri"/>
        <family val="2"/>
        <charset val="238"/>
      </rPr>
      <t xml:space="preserve"> * Bellinh</t>
    </r>
    <r>
      <rPr>
        <vertAlign val="subscript"/>
        <sz val="11"/>
        <rFont val="Calibri"/>
        <family val="2"/>
        <charset val="238"/>
      </rPr>
      <t>pH</t>
    </r>
  </si>
  <si>
    <r>
      <t>µ</t>
    </r>
    <r>
      <rPr>
        <vertAlign val="subscript"/>
        <sz val="11"/>
        <rFont val="Calibri"/>
        <family val="2"/>
        <charset val="238"/>
      </rPr>
      <t>PAO,lim,T</t>
    </r>
    <r>
      <rPr>
        <sz val="11"/>
        <rFont val="Calibri"/>
        <family val="2"/>
        <charset val="238"/>
      </rPr>
      <t xml:space="preserve"> * X</t>
    </r>
    <r>
      <rPr>
        <vertAlign val="subscript"/>
        <sz val="11"/>
        <rFont val="Calibri"/>
        <family val="2"/>
        <charset val="238"/>
      </rPr>
      <t>PAO</t>
    </r>
    <r>
      <rPr>
        <sz val="11"/>
        <rFont val="Calibri"/>
        <family val="2"/>
        <charset val="238"/>
      </rPr>
      <t xml:space="preserve"> * η</t>
    </r>
    <r>
      <rPr>
        <vertAlign val="subscript"/>
        <sz val="11"/>
        <rFont val="Calibri"/>
        <family val="2"/>
        <charset val="238"/>
      </rPr>
      <t>CASTO,anox</t>
    </r>
    <r>
      <rPr>
        <sz val="11"/>
        <rFont val="Calibri"/>
        <family val="2"/>
        <charset val="238"/>
      </rPr>
      <t xml:space="preserve"> * MRsat</t>
    </r>
    <r>
      <rPr>
        <vertAlign val="subscript"/>
        <sz val="11"/>
        <rFont val="Calibri"/>
        <family val="2"/>
        <charset val="238"/>
      </rPr>
      <t>XPHA,XPAO,KPHA</t>
    </r>
    <r>
      <rPr>
        <sz val="11"/>
        <rFont val="Calibri"/>
        <family val="2"/>
        <charset val="238"/>
      </rPr>
      <t xml:space="preserve"> * Minh</t>
    </r>
    <r>
      <rPr>
        <vertAlign val="subscript"/>
        <sz val="11"/>
        <rFont val="Calibri"/>
        <family val="2"/>
        <charset val="238"/>
      </rPr>
      <t>SO2,KO2,CASTO</t>
    </r>
    <r>
      <rPr>
        <sz val="11"/>
        <rFont val="Calibri"/>
        <family val="2"/>
        <charset val="238"/>
      </rPr>
      <t xml:space="preserve"> * Msat</t>
    </r>
    <r>
      <rPr>
        <vertAlign val="subscript"/>
        <sz val="11"/>
        <rFont val="Calibri"/>
        <family val="2"/>
        <charset val="238"/>
      </rPr>
      <t>SNO3,KNO3,CASTO</t>
    </r>
    <r>
      <rPr>
        <sz val="11"/>
        <rFont val="Calibri"/>
        <family val="2"/>
        <charset val="238"/>
      </rPr>
      <t xml:space="preserve"> * Minh</t>
    </r>
    <r>
      <rPr>
        <vertAlign val="subscript"/>
        <sz val="11"/>
        <rFont val="Calibri"/>
        <family val="2"/>
        <charset val="238"/>
      </rPr>
      <t>SNO2,KNO2,CASTO</t>
    </r>
    <r>
      <rPr>
        <sz val="11"/>
        <rFont val="Calibri"/>
        <family val="2"/>
        <charset val="238"/>
      </rPr>
      <t xml:space="preserve"> * Msat</t>
    </r>
    <r>
      <rPr>
        <vertAlign val="subscript"/>
        <sz val="11"/>
        <rFont val="Calibri"/>
        <family val="2"/>
        <charset val="238"/>
      </rPr>
      <t>SNHx,KNHx,BIO</t>
    </r>
    <r>
      <rPr>
        <sz val="11"/>
        <rFont val="Calibri"/>
        <family val="2"/>
        <charset val="238"/>
      </rPr>
      <t xml:space="preserve"> * Minh</t>
    </r>
    <r>
      <rPr>
        <vertAlign val="subscript"/>
        <sz val="11"/>
        <rFont val="Calibri"/>
        <family val="2"/>
        <charset val="238"/>
      </rPr>
      <t>SPO4,KiPO4,lim</t>
    </r>
    <r>
      <rPr>
        <sz val="11"/>
        <rFont val="Calibri"/>
        <family val="2"/>
        <charset val="238"/>
      </rPr>
      <t xml:space="preserve"> * Msat</t>
    </r>
    <r>
      <rPr>
        <vertAlign val="subscript"/>
        <sz val="11"/>
        <rFont val="Calibri"/>
        <family val="2"/>
        <charset val="238"/>
      </rPr>
      <t>XPP,KPP,lim</t>
    </r>
    <r>
      <rPr>
        <sz val="11"/>
        <rFont val="Calibri"/>
        <family val="2"/>
        <charset val="238"/>
      </rPr>
      <t xml:space="preserve"> * Msat</t>
    </r>
    <r>
      <rPr>
        <vertAlign val="subscript"/>
        <sz val="11"/>
        <rFont val="Calibri"/>
        <family val="2"/>
        <charset val="238"/>
      </rPr>
      <t>SCAT,KCAT</t>
    </r>
    <r>
      <rPr>
        <sz val="11"/>
        <rFont val="Calibri"/>
        <family val="2"/>
        <charset val="238"/>
      </rPr>
      <t xml:space="preserve"> * Msat</t>
    </r>
    <r>
      <rPr>
        <vertAlign val="subscript"/>
        <sz val="11"/>
        <rFont val="Calibri"/>
        <family val="2"/>
        <charset val="238"/>
      </rPr>
      <t>SAN,KAN</t>
    </r>
    <r>
      <rPr>
        <sz val="11"/>
        <rFont val="Calibri"/>
        <family val="2"/>
        <charset val="238"/>
      </rPr>
      <t xml:space="preserve"> * Msat</t>
    </r>
    <r>
      <rPr>
        <vertAlign val="subscript"/>
        <sz val="11"/>
        <rFont val="Calibri"/>
        <family val="2"/>
        <charset val="238"/>
      </rPr>
      <t>SCa,KCa</t>
    </r>
    <r>
      <rPr>
        <sz val="11"/>
        <rFont val="Calibri"/>
        <family val="2"/>
        <charset val="238"/>
      </rPr>
      <t xml:space="preserve"> * Msat</t>
    </r>
    <r>
      <rPr>
        <vertAlign val="subscript"/>
        <sz val="11"/>
        <rFont val="Calibri"/>
        <family val="2"/>
        <charset val="238"/>
      </rPr>
      <t>SMg,KMg</t>
    </r>
    <r>
      <rPr>
        <sz val="11"/>
        <rFont val="Calibri"/>
        <family val="2"/>
        <charset val="238"/>
      </rPr>
      <t xml:space="preserve"> * Msat</t>
    </r>
    <r>
      <rPr>
        <vertAlign val="subscript"/>
        <sz val="11"/>
        <rFont val="Calibri"/>
        <family val="2"/>
        <charset val="238"/>
      </rPr>
      <t>SSO4,KSO4,BIO</t>
    </r>
    <r>
      <rPr>
        <sz val="11"/>
        <rFont val="Calibri"/>
        <family val="2"/>
        <charset val="238"/>
      </rPr>
      <t xml:space="preserve"> * Bellinh</t>
    </r>
    <r>
      <rPr>
        <vertAlign val="subscript"/>
        <sz val="11"/>
        <rFont val="Calibri"/>
        <family val="2"/>
        <charset val="238"/>
      </rPr>
      <t>pH</t>
    </r>
  </si>
  <si>
    <r>
      <t>q</t>
    </r>
    <r>
      <rPr>
        <vertAlign val="subscript"/>
        <sz val="11"/>
        <rFont val="Calibri"/>
        <family val="2"/>
      </rPr>
      <t>PAO,PHA,T</t>
    </r>
    <r>
      <rPr>
        <sz val="11"/>
        <rFont val="Calibri"/>
        <family val="2"/>
      </rPr>
      <t xml:space="preserve"> * X</t>
    </r>
    <r>
      <rPr>
        <vertAlign val="subscript"/>
        <sz val="11"/>
        <rFont val="Calibri"/>
        <family val="2"/>
      </rPr>
      <t>CASTO</t>
    </r>
    <r>
      <rPr>
        <sz val="11"/>
        <rFont val="Calibri"/>
        <family val="2"/>
        <charset val="238"/>
      </rPr>
      <t xml:space="preserve"> * act</t>
    </r>
    <r>
      <rPr>
        <vertAlign val="subscript"/>
        <sz val="11"/>
        <rFont val="Calibri"/>
        <family val="2"/>
      </rPr>
      <t>sto,PAO,ORP</t>
    </r>
    <r>
      <rPr>
        <sz val="11"/>
        <rFont val="Calibri"/>
        <family val="2"/>
      </rPr>
      <t xml:space="preserve"> * Msat</t>
    </r>
    <r>
      <rPr>
        <vertAlign val="subscript"/>
        <sz val="11"/>
        <rFont val="Calibri"/>
        <family val="2"/>
      </rPr>
      <t>SVFA,KVFA,CASTO</t>
    </r>
    <r>
      <rPr>
        <sz val="11"/>
        <rFont val="Calibri"/>
        <family val="2"/>
      </rPr>
      <t xml:space="preserve"> * MRsat</t>
    </r>
    <r>
      <rPr>
        <vertAlign val="subscript"/>
        <sz val="11"/>
        <rFont val="Calibri"/>
        <family val="2"/>
      </rPr>
      <t>XPP,XPAO,KPP</t>
    </r>
    <r>
      <rPr>
        <sz val="11"/>
        <rFont val="Calibri"/>
        <family val="2"/>
      </rPr>
      <t xml:space="preserve"> * Loginh</t>
    </r>
    <r>
      <rPr>
        <vertAlign val="subscript"/>
        <sz val="11"/>
        <rFont val="Calibri"/>
        <family val="2"/>
      </rPr>
      <t>XPHA,XPAO,max</t>
    </r>
  </si>
  <si>
    <r>
      <t>b</t>
    </r>
    <r>
      <rPr>
        <vertAlign val="subscript"/>
        <sz val="11"/>
        <rFont val="Calibri"/>
        <family val="2"/>
      </rPr>
      <t>STC,T</t>
    </r>
    <r>
      <rPr>
        <sz val="11"/>
        <rFont val="Calibri"/>
        <family val="2"/>
      </rPr>
      <t xml:space="preserve"> * X</t>
    </r>
    <r>
      <rPr>
        <vertAlign val="subscript"/>
        <sz val="11"/>
        <rFont val="Calibri"/>
        <family val="2"/>
      </rPr>
      <t>CASTO</t>
    </r>
    <r>
      <rPr>
        <sz val="11"/>
        <rFont val="Calibri"/>
        <family val="2"/>
      </rPr>
      <t xml:space="preserve"> * Msat</t>
    </r>
    <r>
      <rPr>
        <vertAlign val="subscript"/>
        <sz val="11"/>
        <rFont val="Calibri"/>
        <family val="2"/>
      </rPr>
      <t>SO2,KO2,CASTO</t>
    </r>
    <r>
      <rPr>
        <sz val="11"/>
        <rFont val="Calibri"/>
        <family val="2"/>
      </rPr>
      <t xml:space="preserve"> * MRsat</t>
    </r>
    <r>
      <rPr>
        <vertAlign val="subscript"/>
        <sz val="11"/>
        <rFont val="Calibri"/>
        <family val="2"/>
      </rPr>
      <t>XSTC,XCASTO,KSTC</t>
    </r>
  </si>
  <si>
    <t>CASTO aerobic maintenance</t>
  </si>
  <si>
    <r>
      <t>PAO's PHA storage from VFAs and PO</t>
    </r>
    <r>
      <rPr>
        <vertAlign val="subscript"/>
        <sz val="11"/>
        <rFont val="Calibri"/>
        <family val="2"/>
        <charset val="238"/>
      </rPr>
      <t>4</t>
    </r>
    <r>
      <rPr>
        <sz val="11"/>
        <rFont val="Calibri"/>
        <family val="2"/>
      </rPr>
      <t xml:space="preserve"> release</t>
    </r>
  </si>
  <si>
    <r>
      <t>CASTO anoxic maintenance, NO</t>
    </r>
    <r>
      <rPr>
        <vertAlign val="subscript"/>
        <sz val="11"/>
        <color rgb="FF000000"/>
        <rFont val="Calibri"/>
        <family val="2"/>
        <scheme val="minor"/>
      </rPr>
      <t>2</t>
    </r>
  </si>
  <si>
    <r>
      <t>CASTO anoxic maintenance, NO</t>
    </r>
    <r>
      <rPr>
        <vertAlign val="subscript"/>
        <sz val="11"/>
        <color rgb="FF000000"/>
        <rFont val="Calibri"/>
        <family val="2"/>
        <scheme val="minor"/>
      </rPr>
      <t>3</t>
    </r>
  </si>
  <si>
    <r>
      <t>b</t>
    </r>
    <r>
      <rPr>
        <vertAlign val="subscript"/>
        <sz val="11"/>
        <rFont val="Calibri"/>
        <family val="2"/>
      </rPr>
      <t>STC,T</t>
    </r>
    <r>
      <rPr>
        <sz val="11"/>
        <rFont val="Calibri"/>
        <family val="2"/>
      </rPr>
      <t xml:space="preserve"> * η</t>
    </r>
    <r>
      <rPr>
        <vertAlign val="subscript"/>
        <sz val="11"/>
        <rFont val="Calibri"/>
        <family val="2"/>
      </rPr>
      <t>bSTC,anox</t>
    </r>
    <r>
      <rPr>
        <sz val="11"/>
        <rFont val="Calibri"/>
        <family val="2"/>
      </rPr>
      <t xml:space="preserve"> * X</t>
    </r>
    <r>
      <rPr>
        <vertAlign val="subscript"/>
        <sz val="11"/>
        <rFont val="Calibri"/>
        <family val="2"/>
      </rPr>
      <t>CASTO</t>
    </r>
    <r>
      <rPr>
        <sz val="11"/>
        <rFont val="Calibri"/>
        <family val="2"/>
      </rPr>
      <t xml:space="preserve"> * Minh</t>
    </r>
    <r>
      <rPr>
        <vertAlign val="subscript"/>
        <sz val="11"/>
        <rFont val="Calibri"/>
        <family val="2"/>
      </rPr>
      <t>SO2,KO2,CASTO</t>
    </r>
    <r>
      <rPr>
        <sz val="11"/>
        <rFont val="Calibri"/>
        <family val="2"/>
      </rPr>
      <t xml:space="preserve"> * Msat</t>
    </r>
    <r>
      <rPr>
        <vertAlign val="subscript"/>
        <sz val="11"/>
        <rFont val="Calibri"/>
        <family val="2"/>
      </rPr>
      <t>SNO2,KNO2,CASTO</t>
    </r>
    <r>
      <rPr>
        <sz val="11"/>
        <rFont val="Calibri"/>
        <family val="2"/>
      </rPr>
      <t xml:space="preserve"> * MRsat</t>
    </r>
    <r>
      <rPr>
        <vertAlign val="subscript"/>
        <sz val="11"/>
        <rFont val="Calibri"/>
        <family val="2"/>
      </rPr>
      <t>XSTC,XCASTO,KSTC</t>
    </r>
  </si>
  <si>
    <r>
      <t>b</t>
    </r>
    <r>
      <rPr>
        <vertAlign val="subscript"/>
        <sz val="11"/>
        <rFont val="Calibri"/>
        <family val="2"/>
      </rPr>
      <t>STC,T</t>
    </r>
    <r>
      <rPr>
        <sz val="11"/>
        <rFont val="Calibri"/>
        <family val="2"/>
      </rPr>
      <t xml:space="preserve"> * η</t>
    </r>
    <r>
      <rPr>
        <vertAlign val="subscript"/>
        <sz val="11"/>
        <rFont val="Calibri"/>
        <family val="2"/>
      </rPr>
      <t>bSTC,anox</t>
    </r>
    <r>
      <rPr>
        <sz val="11"/>
        <rFont val="Calibri"/>
        <family val="2"/>
      </rPr>
      <t xml:space="preserve"> * X</t>
    </r>
    <r>
      <rPr>
        <vertAlign val="subscript"/>
        <sz val="11"/>
        <rFont val="Calibri"/>
        <family val="2"/>
      </rPr>
      <t>CASTO</t>
    </r>
    <r>
      <rPr>
        <sz val="11"/>
        <rFont val="Calibri"/>
        <family val="2"/>
      </rPr>
      <t xml:space="preserve"> * Minh</t>
    </r>
    <r>
      <rPr>
        <vertAlign val="subscript"/>
        <sz val="11"/>
        <rFont val="Calibri"/>
        <family val="2"/>
      </rPr>
      <t>SO2,KO2,CASTO</t>
    </r>
    <r>
      <rPr>
        <sz val="11"/>
        <rFont val="Calibri"/>
        <family val="2"/>
      </rPr>
      <t xml:space="preserve"> * Msat</t>
    </r>
    <r>
      <rPr>
        <vertAlign val="subscript"/>
        <sz val="11"/>
        <rFont val="Calibri"/>
        <family val="2"/>
      </rPr>
      <t>SNO3,KNO3,CASTO</t>
    </r>
    <r>
      <rPr>
        <sz val="11"/>
        <rFont val="Calibri"/>
        <family val="2"/>
        <charset val="238"/>
      </rPr>
      <t xml:space="preserve"> * Minh</t>
    </r>
    <r>
      <rPr>
        <vertAlign val="subscript"/>
        <sz val="11"/>
        <rFont val="Calibri"/>
        <family val="2"/>
      </rPr>
      <t>SNO2,KNO2,CASTO</t>
    </r>
    <r>
      <rPr>
        <sz val="11"/>
        <rFont val="Calibri"/>
        <family val="2"/>
      </rPr>
      <t xml:space="preserve"> * MRsat</t>
    </r>
    <r>
      <rPr>
        <vertAlign val="subscript"/>
        <sz val="11"/>
        <rFont val="Calibri"/>
        <family val="2"/>
      </rPr>
      <t>XSTC,XCASTO,KSTC</t>
    </r>
  </si>
  <si>
    <r>
      <t>µ</t>
    </r>
    <r>
      <rPr>
        <vertAlign val="subscript"/>
        <sz val="11"/>
        <rFont val="Calibri"/>
        <family val="2"/>
      </rPr>
      <t>FERM,PAO,T</t>
    </r>
    <r>
      <rPr>
        <sz val="11"/>
        <rFont val="Calibri"/>
        <family val="2"/>
      </rPr>
      <t xml:space="preserve"> * X</t>
    </r>
    <r>
      <rPr>
        <vertAlign val="subscript"/>
        <sz val="11"/>
        <rFont val="Calibri"/>
        <family val="2"/>
        <charset val="238"/>
      </rPr>
      <t>CASTO</t>
    </r>
    <r>
      <rPr>
        <sz val="11"/>
        <rFont val="Calibri"/>
        <family val="2"/>
      </rPr>
      <t xml:space="preserve"> * act</t>
    </r>
    <r>
      <rPr>
        <vertAlign val="subscript"/>
        <sz val="11"/>
        <rFont val="Calibri"/>
        <family val="2"/>
        <charset val="238"/>
      </rPr>
      <t>ferm,PAO,ORP</t>
    </r>
    <r>
      <rPr>
        <sz val="11"/>
        <rFont val="Calibri"/>
        <family val="2"/>
      </rPr>
      <t xml:space="preserve"> * Logsat</t>
    </r>
    <r>
      <rPr>
        <vertAlign val="subscript"/>
        <sz val="11"/>
        <rFont val="Calibri"/>
        <family val="2"/>
      </rPr>
      <t>SVFA,KVFA,FERM</t>
    </r>
    <r>
      <rPr>
        <sz val="11"/>
        <rFont val="Calibri"/>
        <family val="2"/>
      </rPr>
      <t xml:space="preserve"> * Msat</t>
    </r>
    <r>
      <rPr>
        <vertAlign val="subscript"/>
        <sz val="11"/>
        <rFont val="Calibri"/>
        <family val="2"/>
      </rPr>
      <t>SB,KSB,ana</t>
    </r>
    <r>
      <rPr>
        <sz val="11"/>
        <rFont val="Calibri"/>
        <family val="2"/>
      </rPr>
      <t xml:space="preserve"> * Msat</t>
    </r>
    <r>
      <rPr>
        <vertAlign val="subscript"/>
        <sz val="11"/>
        <rFont val="Calibri"/>
        <family val="2"/>
      </rPr>
      <t>SNHx,KNHx,BIO</t>
    </r>
    <r>
      <rPr>
        <sz val="11"/>
        <rFont val="Calibri"/>
        <family val="2"/>
      </rPr>
      <t xml:space="preserve"> * Msat</t>
    </r>
    <r>
      <rPr>
        <vertAlign val="subscript"/>
        <sz val="11"/>
        <rFont val="Calibri"/>
        <family val="2"/>
      </rPr>
      <t>SPO4,KPO4,BIO</t>
    </r>
    <r>
      <rPr>
        <sz val="11"/>
        <rFont val="Calibri"/>
        <family val="2"/>
      </rPr>
      <t xml:space="preserve"> * Msat</t>
    </r>
    <r>
      <rPr>
        <vertAlign val="subscript"/>
        <sz val="11"/>
        <rFont val="Calibri"/>
        <family val="2"/>
      </rPr>
      <t>SCAT,KCAT</t>
    </r>
    <r>
      <rPr>
        <sz val="11"/>
        <rFont val="Calibri"/>
        <family val="2"/>
      </rPr>
      <t xml:space="preserve"> * Msat</t>
    </r>
    <r>
      <rPr>
        <vertAlign val="subscript"/>
        <sz val="11"/>
        <rFont val="Calibri"/>
        <family val="2"/>
      </rPr>
      <t>SAN,KAN</t>
    </r>
    <r>
      <rPr>
        <sz val="11"/>
        <rFont val="Calibri"/>
        <family val="2"/>
      </rPr>
      <t xml:space="preserve"> * Msat</t>
    </r>
    <r>
      <rPr>
        <vertAlign val="subscript"/>
        <sz val="11"/>
        <rFont val="Calibri"/>
        <family val="2"/>
      </rPr>
      <t>SCa,KCa</t>
    </r>
    <r>
      <rPr>
        <sz val="11"/>
        <rFont val="Calibri"/>
        <family val="2"/>
      </rPr>
      <t xml:space="preserve"> * Msat</t>
    </r>
    <r>
      <rPr>
        <vertAlign val="subscript"/>
        <sz val="11"/>
        <rFont val="Calibri"/>
        <family val="2"/>
      </rPr>
      <t>SMg,KMg</t>
    </r>
    <r>
      <rPr>
        <sz val="11"/>
        <rFont val="Calibri"/>
        <family val="2"/>
      </rPr>
      <t xml:space="preserve"> * Msat</t>
    </r>
    <r>
      <rPr>
        <vertAlign val="subscript"/>
        <sz val="11"/>
        <rFont val="Calibri"/>
        <family val="2"/>
      </rPr>
      <t>SSO4,KSO4,BIO</t>
    </r>
    <r>
      <rPr>
        <sz val="11"/>
        <rFont val="Calibri"/>
        <family val="2"/>
      </rPr>
      <t xml:space="preserve"> * Bellinh</t>
    </r>
    <r>
      <rPr>
        <vertAlign val="subscript"/>
        <sz val="11"/>
        <rFont val="Calibri"/>
        <family val="2"/>
      </rPr>
      <t>pH</t>
    </r>
    <r>
      <rPr>
        <sz val="11"/>
        <rFont val="Calibri"/>
        <family val="2"/>
      </rPr>
      <t/>
    </r>
  </si>
  <si>
    <r>
      <t>µ</t>
    </r>
    <r>
      <rPr>
        <vertAlign val="subscript"/>
        <sz val="11"/>
        <rFont val="Calibri"/>
        <family val="2"/>
      </rPr>
      <t>FERM,PAO,T</t>
    </r>
    <r>
      <rPr>
        <sz val="11"/>
        <rFont val="Calibri"/>
        <family val="2"/>
      </rPr>
      <t xml:space="preserve"> * X</t>
    </r>
    <r>
      <rPr>
        <vertAlign val="subscript"/>
        <sz val="11"/>
        <rFont val="Calibri"/>
        <family val="2"/>
        <charset val="238"/>
      </rPr>
      <t>CASTO</t>
    </r>
    <r>
      <rPr>
        <sz val="11"/>
        <rFont val="Calibri"/>
        <family val="2"/>
      </rPr>
      <t xml:space="preserve"> * act</t>
    </r>
    <r>
      <rPr>
        <vertAlign val="subscript"/>
        <sz val="11"/>
        <rFont val="Calibri"/>
        <family val="2"/>
        <charset val="238"/>
      </rPr>
      <t>ferm,PAO,ORP</t>
    </r>
    <r>
      <rPr>
        <sz val="11"/>
        <rFont val="Calibri"/>
        <family val="2"/>
      </rPr>
      <t xml:space="preserve"> * Loginh</t>
    </r>
    <r>
      <rPr>
        <vertAlign val="subscript"/>
        <sz val="11"/>
        <rFont val="Calibri"/>
        <family val="2"/>
      </rPr>
      <t>SVFA,KVFA,FERM</t>
    </r>
    <r>
      <rPr>
        <sz val="11"/>
        <rFont val="Calibri"/>
        <family val="2"/>
      </rPr>
      <t xml:space="preserve"> * Msat</t>
    </r>
    <r>
      <rPr>
        <vertAlign val="subscript"/>
        <sz val="11"/>
        <rFont val="Calibri"/>
        <family val="2"/>
      </rPr>
      <t>SB,KSB,ana</t>
    </r>
    <r>
      <rPr>
        <sz val="11"/>
        <rFont val="Calibri"/>
        <family val="2"/>
      </rPr>
      <t xml:space="preserve"> * Msat</t>
    </r>
    <r>
      <rPr>
        <vertAlign val="subscript"/>
        <sz val="11"/>
        <rFont val="Calibri"/>
        <family val="2"/>
      </rPr>
      <t>SNHx,KNHx,BIO</t>
    </r>
    <r>
      <rPr>
        <sz val="11"/>
        <rFont val="Calibri"/>
        <family val="2"/>
      </rPr>
      <t xml:space="preserve"> * Msat</t>
    </r>
    <r>
      <rPr>
        <vertAlign val="subscript"/>
        <sz val="11"/>
        <rFont val="Calibri"/>
        <family val="2"/>
      </rPr>
      <t>SPO4,KPO4,BIO</t>
    </r>
    <r>
      <rPr>
        <sz val="11"/>
        <rFont val="Calibri"/>
        <family val="2"/>
      </rPr>
      <t xml:space="preserve"> * Msat</t>
    </r>
    <r>
      <rPr>
        <vertAlign val="subscript"/>
        <sz val="11"/>
        <rFont val="Calibri"/>
        <family val="2"/>
      </rPr>
      <t>SCAT,KCAT</t>
    </r>
    <r>
      <rPr>
        <sz val="11"/>
        <rFont val="Calibri"/>
        <family val="2"/>
      </rPr>
      <t xml:space="preserve"> * Msat</t>
    </r>
    <r>
      <rPr>
        <vertAlign val="subscript"/>
        <sz val="11"/>
        <rFont val="Calibri"/>
        <family val="2"/>
      </rPr>
      <t>SAN,KAN</t>
    </r>
    <r>
      <rPr>
        <sz val="11"/>
        <rFont val="Calibri"/>
        <family val="2"/>
      </rPr>
      <t xml:space="preserve"> * Msat</t>
    </r>
    <r>
      <rPr>
        <vertAlign val="subscript"/>
        <sz val="11"/>
        <rFont val="Calibri"/>
        <family val="2"/>
      </rPr>
      <t>SCa,KCa</t>
    </r>
    <r>
      <rPr>
        <sz val="11"/>
        <rFont val="Calibri"/>
        <family val="2"/>
      </rPr>
      <t xml:space="preserve"> * Msat</t>
    </r>
    <r>
      <rPr>
        <vertAlign val="subscript"/>
        <sz val="11"/>
        <rFont val="Calibri"/>
        <family val="2"/>
      </rPr>
      <t>SMg,KMg</t>
    </r>
    <r>
      <rPr>
        <sz val="11"/>
        <rFont val="Calibri"/>
        <family val="2"/>
      </rPr>
      <t xml:space="preserve"> * Msat</t>
    </r>
    <r>
      <rPr>
        <vertAlign val="subscript"/>
        <sz val="11"/>
        <rFont val="Calibri"/>
        <family val="2"/>
      </rPr>
      <t>SCO2,KCO2,BIO</t>
    </r>
    <r>
      <rPr>
        <sz val="11"/>
        <rFont val="Calibri"/>
        <family val="2"/>
        <charset val="238"/>
      </rPr>
      <t xml:space="preserve"> * Msat</t>
    </r>
    <r>
      <rPr>
        <vertAlign val="subscript"/>
        <sz val="11"/>
        <rFont val="Calibri"/>
        <family val="2"/>
      </rPr>
      <t>SSO4,KSO4,BIO</t>
    </r>
    <r>
      <rPr>
        <sz val="11"/>
        <rFont val="Calibri"/>
        <family val="2"/>
      </rPr>
      <t xml:space="preserve"> * Bellinh</t>
    </r>
    <r>
      <rPr>
        <vertAlign val="subscript"/>
        <sz val="11"/>
        <rFont val="Calibri"/>
        <family val="2"/>
      </rPr>
      <t>pH</t>
    </r>
    <r>
      <rPr>
        <sz val="11"/>
        <rFont val="Calibri"/>
        <family val="2"/>
      </rPr>
      <t/>
    </r>
  </si>
  <si>
    <r>
      <t>b</t>
    </r>
    <r>
      <rPr>
        <vertAlign val="subscript"/>
        <sz val="11"/>
        <rFont val="Calibri"/>
        <family val="2"/>
      </rPr>
      <t>CASTO,T</t>
    </r>
    <r>
      <rPr>
        <sz val="11"/>
        <rFont val="Calibri"/>
        <family val="2"/>
      </rPr>
      <t xml:space="preserve"> * MRinh</t>
    </r>
    <r>
      <rPr>
        <vertAlign val="subscript"/>
        <sz val="11"/>
        <rFont val="Calibri"/>
        <family val="2"/>
        <charset val="238"/>
      </rPr>
      <t>XSTC,XCASTO,KSTC</t>
    </r>
    <r>
      <rPr>
        <sz val="11"/>
        <rFont val="Calibri"/>
        <family val="2"/>
      </rPr>
      <t xml:space="preserve"> * (X</t>
    </r>
    <r>
      <rPr>
        <vertAlign val="subscript"/>
        <sz val="11"/>
        <rFont val="Calibri"/>
        <family val="2"/>
        <charset val="238"/>
      </rPr>
      <t>CASTO</t>
    </r>
    <r>
      <rPr>
        <sz val="11"/>
        <rFont val="Calibri"/>
        <family val="2"/>
      </rPr>
      <t xml:space="preserve"> * Msat</t>
    </r>
    <r>
      <rPr>
        <vertAlign val="subscript"/>
        <sz val="11"/>
        <rFont val="Calibri"/>
        <family val="2"/>
      </rPr>
      <t>SO2,KO2,CASTO</t>
    </r>
    <r>
      <rPr>
        <sz val="11"/>
        <rFont val="Calibri"/>
        <family val="2"/>
      </rPr>
      <t xml:space="preserve"> + η</t>
    </r>
    <r>
      <rPr>
        <vertAlign val="subscript"/>
        <sz val="11"/>
        <rFont val="Calibri"/>
        <family val="2"/>
      </rPr>
      <t>bCASTO,anox</t>
    </r>
    <r>
      <rPr>
        <sz val="11"/>
        <rFont val="Calibri"/>
        <family val="2"/>
      </rPr>
      <t xml:space="preserve"> * (X</t>
    </r>
    <r>
      <rPr>
        <vertAlign val="subscript"/>
        <sz val="11"/>
        <rFont val="Calibri"/>
        <family val="2"/>
        <charset val="238"/>
      </rPr>
      <t>GAO</t>
    </r>
    <r>
      <rPr>
        <sz val="11"/>
        <rFont val="Calibri"/>
        <family val="2"/>
      </rPr>
      <t xml:space="preserve"> + X</t>
    </r>
    <r>
      <rPr>
        <vertAlign val="subscript"/>
        <sz val="11"/>
        <rFont val="Calibri"/>
        <family val="2"/>
        <charset val="238"/>
      </rPr>
      <t>PAO</t>
    </r>
    <r>
      <rPr>
        <sz val="11"/>
        <rFont val="Calibri"/>
        <family val="2"/>
      </rPr>
      <t xml:space="preserve"> * MRinh</t>
    </r>
    <r>
      <rPr>
        <vertAlign val="subscript"/>
        <sz val="11"/>
        <rFont val="Calibri"/>
        <family val="2"/>
      </rPr>
      <t>XPP,XPAO,KPP</t>
    </r>
    <r>
      <rPr>
        <sz val="11"/>
        <rFont val="Calibri"/>
        <family val="2"/>
      </rPr>
      <t>) * (Msat</t>
    </r>
    <r>
      <rPr>
        <vertAlign val="subscript"/>
        <sz val="11"/>
        <rFont val="Calibri"/>
        <family val="2"/>
        <charset val="238"/>
      </rPr>
      <t>SNO2,KNO2,CASTO</t>
    </r>
    <r>
      <rPr>
        <sz val="11"/>
        <rFont val="Calibri"/>
        <family val="2"/>
      </rPr>
      <t xml:space="preserve"> + Minh</t>
    </r>
    <r>
      <rPr>
        <vertAlign val="subscript"/>
        <sz val="11"/>
        <rFont val="Calibri"/>
        <family val="2"/>
        <charset val="238"/>
      </rPr>
      <t>SNO2,KNO2,CASTO</t>
    </r>
    <r>
      <rPr>
        <sz val="11"/>
        <rFont val="Calibri"/>
        <family val="2"/>
      </rPr>
      <t xml:space="preserve"> * Msat</t>
    </r>
    <r>
      <rPr>
        <vertAlign val="subscript"/>
        <sz val="11"/>
        <rFont val="Calibri"/>
        <family val="2"/>
        <charset val="238"/>
      </rPr>
      <t>SNO3,KNO3,CASTO</t>
    </r>
    <r>
      <rPr>
        <sz val="11"/>
        <rFont val="Calibri"/>
        <family val="2"/>
      </rPr>
      <t>) * Minh</t>
    </r>
    <r>
      <rPr>
        <vertAlign val="subscript"/>
        <sz val="11"/>
        <rFont val="Calibri"/>
        <family val="2"/>
      </rPr>
      <t>SO2,KO2,CASTO</t>
    </r>
    <r>
      <rPr>
        <sz val="11"/>
        <rFont val="Calibri"/>
        <family val="2"/>
      </rPr>
      <t>)</t>
    </r>
  </si>
  <si>
    <t>CASTO decay</t>
  </si>
  <si>
    <t>CASTO anaerobic decay</t>
  </si>
  <si>
    <r>
      <t>mV.°C</t>
    </r>
    <r>
      <rPr>
        <vertAlign val="superscript"/>
        <sz val="11"/>
        <rFont val="Calibri"/>
        <family val="2"/>
        <charset val="238"/>
        <scheme val="minor"/>
      </rPr>
      <t>-1</t>
    </r>
  </si>
  <si>
    <t>r34</t>
  </si>
  <si>
    <t>r35</t>
  </si>
  <si>
    <t>r36</t>
  </si>
  <si>
    <t>r38</t>
  </si>
  <si>
    <t>r39</t>
  </si>
  <si>
    <t>r40</t>
  </si>
  <si>
    <t>r42</t>
  </si>
  <si>
    <t>r43</t>
  </si>
  <si>
    <r>
      <t>y</t>
    </r>
    <r>
      <rPr>
        <vertAlign val="subscript"/>
        <sz val="11"/>
        <rFont val="Calibri"/>
        <family val="2"/>
        <charset val="238"/>
        <scheme val="minor"/>
      </rPr>
      <t>ORP,GAO,Half,T</t>
    </r>
  </si>
  <si>
    <r>
      <t>sl</t>
    </r>
    <r>
      <rPr>
        <vertAlign val="subscript"/>
        <sz val="11"/>
        <rFont val="Calibri"/>
        <family val="2"/>
      </rPr>
      <t>ORP,GAO,Half,T</t>
    </r>
    <r>
      <rPr>
        <sz val="11"/>
        <rFont val="Calibri"/>
        <family val="2"/>
      </rPr>
      <t xml:space="preserve"> * T + y</t>
    </r>
    <r>
      <rPr>
        <vertAlign val="subscript"/>
        <sz val="11"/>
        <rFont val="Calibri"/>
        <family val="2"/>
      </rPr>
      <t>ORP,GAO,Half,T</t>
    </r>
  </si>
  <si>
    <t>Intercept of logistic half-saturation of ORP switching of GAOs temperature correction</t>
  </si>
  <si>
    <r>
      <t>q</t>
    </r>
    <r>
      <rPr>
        <vertAlign val="subscript"/>
        <sz val="11"/>
        <rFont val="Calibri"/>
        <family val="2"/>
        <charset val="238"/>
        <scheme val="minor"/>
      </rPr>
      <t>PAO,PHA</t>
    </r>
  </si>
  <si>
    <r>
      <t>µ</t>
    </r>
    <r>
      <rPr>
        <vertAlign val="subscript"/>
        <sz val="11"/>
        <rFont val="Calibri"/>
        <family val="2"/>
      </rPr>
      <t>CASTO,T</t>
    </r>
    <r>
      <rPr>
        <sz val="11"/>
        <rFont val="Calibri"/>
        <family val="2"/>
      </rPr>
      <t xml:space="preserve"> * X</t>
    </r>
    <r>
      <rPr>
        <vertAlign val="subscript"/>
        <sz val="11"/>
        <rFont val="Calibri"/>
        <family val="2"/>
      </rPr>
      <t>CASTO</t>
    </r>
    <r>
      <rPr>
        <sz val="11"/>
        <rFont val="Calibri"/>
        <family val="2"/>
      </rPr>
      <t xml:space="preserve"> * MRsat</t>
    </r>
    <r>
      <rPr>
        <vertAlign val="subscript"/>
        <sz val="11"/>
        <rFont val="Calibri"/>
        <family val="2"/>
      </rPr>
      <t>XSTC,XCASTO,KSTC</t>
    </r>
    <r>
      <rPr>
        <sz val="11"/>
        <rFont val="Calibri"/>
        <family val="2"/>
      </rPr>
      <t xml:space="preserve"> * Msat</t>
    </r>
    <r>
      <rPr>
        <vertAlign val="subscript"/>
        <sz val="11"/>
        <rFont val="Calibri"/>
        <family val="2"/>
      </rPr>
      <t>SO2,KO2,CASTO</t>
    </r>
    <r>
      <rPr>
        <sz val="11"/>
        <rFont val="Calibri"/>
        <family val="2"/>
      </rPr>
      <t xml:space="preserve"> * Msat</t>
    </r>
    <r>
      <rPr>
        <vertAlign val="subscript"/>
        <sz val="11"/>
        <rFont val="Calibri"/>
        <family val="2"/>
      </rPr>
      <t>SNHx,KNHx,BIO</t>
    </r>
    <r>
      <rPr>
        <sz val="11"/>
        <rFont val="Calibri"/>
        <family val="2"/>
      </rPr>
      <t xml:space="preserve"> * Msat</t>
    </r>
    <r>
      <rPr>
        <vertAlign val="subscript"/>
        <sz val="11"/>
        <rFont val="Calibri"/>
        <family val="2"/>
      </rPr>
      <t>SPO4,KPO4,BIO</t>
    </r>
    <r>
      <rPr>
        <sz val="11"/>
        <rFont val="Calibri"/>
        <family val="2"/>
      </rPr>
      <t xml:space="preserve"> * Msat</t>
    </r>
    <r>
      <rPr>
        <vertAlign val="subscript"/>
        <sz val="11"/>
        <rFont val="Calibri"/>
        <family val="2"/>
      </rPr>
      <t>SCAT,KCAT</t>
    </r>
    <r>
      <rPr>
        <sz val="11"/>
        <rFont val="Calibri"/>
        <family val="2"/>
      </rPr>
      <t xml:space="preserve"> * Msat</t>
    </r>
    <r>
      <rPr>
        <vertAlign val="subscript"/>
        <sz val="11"/>
        <rFont val="Calibri"/>
        <family val="2"/>
      </rPr>
      <t>SAN,KAN</t>
    </r>
    <r>
      <rPr>
        <sz val="11"/>
        <rFont val="Calibri"/>
        <family val="2"/>
      </rPr>
      <t xml:space="preserve"> * Msat</t>
    </r>
    <r>
      <rPr>
        <vertAlign val="subscript"/>
        <sz val="11"/>
        <rFont val="Calibri"/>
        <family val="2"/>
      </rPr>
      <t>SCa,KCa,PAO</t>
    </r>
    <r>
      <rPr>
        <sz val="11"/>
        <rFont val="Calibri"/>
        <family val="2"/>
      </rPr>
      <t xml:space="preserve"> * Msat</t>
    </r>
    <r>
      <rPr>
        <vertAlign val="subscript"/>
        <sz val="11"/>
        <rFont val="Calibri"/>
        <family val="2"/>
      </rPr>
      <t>SMg,KMg,PAO</t>
    </r>
    <r>
      <rPr>
        <sz val="11"/>
        <rFont val="Calibri"/>
        <family val="2"/>
      </rPr>
      <t xml:space="preserve"> * </t>
    </r>
    <r>
      <rPr>
        <sz val="11"/>
        <rFont val="Calibri"/>
        <family val="2"/>
        <charset val="238"/>
      </rPr>
      <t>Msat</t>
    </r>
    <r>
      <rPr>
        <vertAlign val="subscript"/>
        <sz val="11"/>
        <rFont val="Calibri"/>
        <family val="2"/>
      </rPr>
      <t>SSO4,KSO4,BIO</t>
    </r>
    <r>
      <rPr>
        <sz val="11"/>
        <rFont val="Calibri"/>
        <family val="2"/>
      </rPr>
      <t xml:space="preserve"> * Bellinh</t>
    </r>
    <r>
      <rPr>
        <vertAlign val="subscript"/>
        <sz val="11"/>
        <rFont val="Calibri"/>
        <family val="2"/>
      </rPr>
      <t>pH</t>
    </r>
  </si>
  <si>
    <r>
      <t>µ</t>
    </r>
    <r>
      <rPr>
        <vertAlign val="subscript"/>
        <sz val="11"/>
        <rFont val="Calibri"/>
        <family val="2"/>
      </rPr>
      <t>CASTO,T</t>
    </r>
    <r>
      <rPr>
        <sz val="11"/>
        <rFont val="Calibri"/>
        <family val="2"/>
      </rPr>
      <t xml:space="preserve"> * X</t>
    </r>
    <r>
      <rPr>
        <vertAlign val="subscript"/>
        <sz val="11"/>
        <rFont val="Calibri"/>
        <family val="2"/>
      </rPr>
      <t>CASTO</t>
    </r>
    <r>
      <rPr>
        <sz val="11"/>
        <rFont val="Calibri"/>
        <family val="2"/>
      </rPr>
      <t xml:space="preserve"> * η</t>
    </r>
    <r>
      <rPr>
        <vertAlign val="subscript"/>
        <sz val="11"/>
        <rFont val="Calibri"/>
        <family val="2"/>
      </rPr>
      <t>CASTO,anox</t>
    </r>
    <r>
      <rPr>
        <sz val="11"/>
        <rFont val="Calibri"/>
        <family val="2"/>
      </rPr>
      <t xml:space="preserve"> * MRsat</t>
    </r>
    <r>
      <rPr>
        <vertAlign val="subscript"/>
        <sz val="11"/>
        <rFont val="Calibri"/>
        <family val="2"/>
      </rPr>
      <t>XSTC,XCASTO,KSTC</t>
    </r>
    <r>
      <rPr>
        <sz val="11"/>
        <rFont val="Calibri"/>
        <family val="2"/>
      </rPr>
      <t xml:space="preserve"> * Msat</t>
    </r>
    <r>
      <rPr>
        <vertAlign val="subscript"/>
        <sz val="11"/>
        <rFont val="Calibri"/>
        <family val="2"/>
      </rPr>
      <t>SNO2,KNO2,CASTO</t>
    </r>
    <r>
      <rPr>
        <sz val="11"/>
        <rFont val="Calibri"/>
        <family val="2"/>
      </rPr>
      <t xml:space="preserve"> * Minh</t>
    </r>
    <r>
      <rPr>
        <vertAlign val="subscript"/>
        <sz val="11"/>
        <rFont val="Calibri"/>
        <family val="2"/>
      </rPr>
      <t>SO2,KO2,CASTO</t>
    </r>
    <r>
      <rPr>
        <sz val="11"/>
        <rFont val="Calibri"/>
        <family val="2"/>
      </rPr>
      <t xml:space="preserve"> * Msat</t>
    </r>
    <r>
      <rPr>
        <vertAlign val="subscript"/>
        <sz val="11"/>
        <rFont val="Calibri"/>
        <family val="2"/>
      </rPr>
      <t>SNHx,KNHx,BIO</t>
    </r>
    <r>
      <rPr>
        <sz val="11"/>
        <rFont val="Calibri"/>
        <family val="2"/>
      </rPr>
      <t xml:space="preserve"> * Msat</t>
    </r>
    <r>
      <rPr>
        <vertAlign val="subscript"/>
        <sz val="11"/>
        <rFont val="Calibri"/>
        <family val="2"/>
      </rPr>
      <t>SPO4,KPO4,BIO</t>
    </r>
    <r>
      <rPr>
        <sz val="11"/>
        <rFont val="Calibri"/>
        <family val="2"/>
      </rPr>
      <t xml:space="preserve"> * Msat</t>
    </r>
    <r>
      <rPr>
        <vertAlign val="subscript"/>
        <sz val="11"/>
        <rFont val="Calibri"/>
        <family val="2"/>
      </rPr>
      <t>SCAT,KCAT</t>
    </r>
    <r>
      <rPr>
        <sz val="11"/>
        <rFont val="Calibri"/>
        <family val="2"/>
      </rPr>
      <t xml:space="preserve"> * Msat</t>
    </r>
    <r>
      <rPr>
        <vertAlign val="subscript"/>
        <sz val="11"/>
        <rFont val="Calibri"/>
        <family val="2"/>
      </rPr>
      <t>SAN,KAN</t>
    </r>
    <r>
      <rPr>
        <sz val="11"/>
        <rFont val="Calibri"/>
        <family val="2"/>
      </rPr>
      <t xml:space="preserve"> * Msat</t>
    </r>
    <r>
      <rPr>
        <vertAlign val="subscript"/>
        <sz val="11"/>
        <rFont val="Calibri"/>
        <family val="2"/>
      </rPr>
      <t>SCa,KCa,PAO</t>
    </r>
    <r>
      <rPr>
        <sz val="11"/>
        <rFont val="Calibri"/>
        <family val="2"/>
      </rPr>
      <t xml:space="preserve"> * Msat</t>
    </r>
    <r>
      <rPr>
        <vertAlign val="subscript"/>
        <sz val="11"/>
        <rFont val="Calibri"/>
        <family val="2"/>
      </rPr>
      <t>SMg,KMg,PAO</t>
    </r>
    <r>
      <rPr>
        <sz val="11"/>
        <rFont val="Calibri"/>
        <family val="2"/>
      </rPr>
      <t xml:space="preserve"> * </t>
    </r>
    <r>
      <rPr>
        <sz val="11"/>
        <rFont val="Calibri"/>
        <family val="2"/>
        <charset val="238"/>
      </rPr>
      <t>Msat</t>
    </r>
    <r>
      <rPr>
        <vertAlign val="subscript"/>
        <sz val="11"/>
        <rFont val="Calibri"/>
        <family val="2"/>
      </rPr>
      <t>SSO4,KSO4,BIO</t>
    </r>
    <r>
      <rPr>
        <sz val="11"/>
        <rFont val="Calibri"/>
        <family val="2"/>
      </rPr>
      <t xml:space="preserve"> * Bellinh</t>
    </r>
    <r>
      <rPr>
        <vertAlign val="subscript"/>
        <sz val="11"/>
        <rFont val="Calibri"/>
        <family val="2"/>
      </rPr>
      <t>pH</t>
    </r>
  </si>
  <si>
    <r>
      <t>µ</t>
    </r>
    <r>
      <rPr>
        <vertAlign val="subscript"/>
        <sz val="11"/>
        <rFont val="Calibri"/>
        <family val="2"/>
      </rPr>
      <t>CASTO,T</t>
    </r>
    <r>
      <rPr>
        <sz val="11"/>
        <rFont val="Calibri"/>
        <family val="2"/>
      </rPr>
      <t xml:space="preserve"> * X</t>
    </r>
    <r>
      <rPr>
        <vertAlign val="subscript"/>
        <sz val="11"/>
        <rFont val="Calibri"/>
        <family val="2"/>
      </rPr>
      <t>CASTO</t>
    </r>
    <r>
      <rPr>
        <sz val="11"/>
        <rFont val="Calibri"/>
        <family val="2"/>
      </rPr>
      <t xml:space="preserve"> * η</t>
    </r>
    <r>
      <rPr>
        <vertAlign val="subscript"/>
        <sz val="11"/>
        <rFont val="Calibri"/>
        <family val="2"/>
      </rPr>
      <t>CASTO,anox</t>
    </r>
    <r>
      <rPr>
        <sz val="11"/>
        <rFont val="Calibri"/>
        <family val="2"/>
      </rPr>
      <t xml:space="preserve"> * MRsat</t>
    </r>
    <r>
      <rPr>
        <vertAlign val="subscript"/>
        <sz val="11"/>
        <rFont val="Calibri"/>
        <family val="2"/>
      </rPr>
      <t>XSTC,XCASTO,KSTC</t>
    </r>
    <r>
      <rPr>
        <sz val="11"/>
        <rFont val="Calibri"/>
        <family val="2"/>
      </rPr>
      <t xml:space="preserve"> * Msat</t>
    </r>
    <r>
      <rPr>
        <vertAlign val="subscript"/>
        <sz val="11"/>
        <rFont val="Calibri"/>
        <family val="2"/>
      </rPr>
      <t>SNO3,KNO3,CASTO</t>
    </r>
    <r>
      <rPr>
        <sz val="11"/>
        <rFont val="Calibri"/>
        <family val="2"/>
      </rPr>
      <t xml:space="preserve"> * Minh</t>
    </r>
    <r>
      <rPr>
        <vertAlign val="subscript"/>
        <sz val="11"/>
        <rFont val="Calibri"/>
        <family val="2"/>
      </rPr>
      <t>SO2,KO2,CASTO</t>
    </r>
    <r>
      <rPr>
        <sz val="11"/>
        <rFont val="Calibri"/>
        <family val="2"/>
      </rPr>
      <t xml:space="preserve"> * Minh</t>
    </r>
    <r>
      <rPr>
        <vertAlign val="subscript"/>
        <sz val="11"/>
        <rFont val="Calibri"/>
        <family val="2"/>
      </rPr>
      <t>SNO2,KNO2,CASTO</t>
    </r>
    <r>
      <rPr>
        <sz val="11"/>
        <rFont val="Calibri"/>
        <family val="2"/>
      </rPr>
      <t xml:space="preserve"> * Msat</t>
    </r>
    <r>
      <rPr>
        <vertAlign val="subscript"/>
        <sz val="11"/>
        <rFont val="Calibri"/>
        <family val="2"/>
      </rPr>
      <t>SNHx,KNHx,BIO</t>
    </r>
    <r>
      <rPr>
        <sz val="11"/>
        <rFont val="Calibri"/>
        <family val="2"/>
      </rPr>
      <t xml:space="preserve"> * Msat</t>
    </r>
    <r>
      <rPr>
        <vertAlign val="subscript"/>
        <sz val="11"/>
        <rFont val="Calibri"/>
        <family val="2"/>
      </rPr>
      <t>SPO4,KPO4,BIO</t>
    </r>
    <r>
      <rPr>
        <sz val="11"/>
        <rFont val="Calibri"/>
        <family val="2"/>
      </rPr>
      <t xml:space="preserve"> * Msat</t>
    </r>
    <r>
      <rPr>
        <vertAlign val="subscript"/>
        <sz val="11"/>
        <rFont val="Calibri"/>
        <family val="2"/>
      </rPr>
      <t>SCAT,KCAT</t>
    </r>
    <r>
      <rPr>
        <sz val="11"/>
        <rFont val="Calibri"/>
        <family val="2"/>
      </rPr>
      <t xml:space="preserve"> * Msat</t>
    </r>
    <r>
      <rPr>
        <vertAlign val="subscript"/>
        <sz val="11"/>
        <rFont val="Calibri"/>
        <family val="2"/>
      </rPr>
      <t>SAN,KAN</t>
    </r>
    <r>
      <rPr>
        <sz val="11"/>
        <rFont val="Calibri"/>
        <family val="2"/>
      </rPr>
      <t xml:space="preserve"> * Msat</t>
    </r>
    <r>
      <rPr>
        <vertAlign val="subscript"/>
        <sz val="11"/>
        <rFont val="Calibri"/>
        <family val="2"/>
      </rPr>
      <t>SCa,KCa,PAO</t>
    </r>
    <r>
      <rPr>
        <sz val="11"/>
        <rFont val="Calibri"/>
        <family val="2"/>
      </rPr>
      <t xml:space="preserve"> * Msat</t>
    </r>
    <r>
      <rPr>
        <vertAlign val="subscript"/>
        <sz val="11"/>
        <rFont val="Calibri"/>
        <family val="2"/>
      </rPr>
      <t>SMg,KMg,PAO</t>
    </r>
    <r>
      <rPr>
        <sz val="11"/>
        <rFont val="Calibri"/>
        <family val="2"/>
      </rPr>
      <t xml:space="preserve"> * </t>
    </r>
    <r>
      <rPr>
        <sz val="11"/>
        <rFont val="Calibri"/>
        <family val="2"/>
        <charset val="238"/>
      </rPr>
      <t>Msat</t>
    </r>
    <r>
      <rPr>
        <vertAlign val="subscript"/>
        <sz val="11"/>
        <rFont val="Calibri"/>
        <family val="2"/>
      </rPr>
      <t>SSO4,KSO4,BIO</t>
    </r>
    <r>
      <rPr>
        <sz val="11"/>
        <rFont val="Calibri"/>
        <family val="2"/>
      </rPr>
      <t xml:space="preserve"> * Bellinh</t>
    </r>
    <r>
      <rPr>
        <vertAlign val="subscript"/>
        <sz val="11"/>
        <rFont val="Calibri"/>
        <family val="2"/>
      </rPr>
      <t>pH</t>
    </r>
  </si>
  <si>
    <r>
      <t>-(v1_S</t>
    </r>
    <r>
      <rPr>
        <vertAlign val="subscript"/>
        <sz val="11"/>
        <rFont val="Calibri"/>
        <family val="2"/>
        <scheme val="minor"/>
      </rPr>
      <t>O2</t>
    </r>
    <r>
      <rPr>
        <sz val="11"/>
        <rFont val="Calibri"/>
        <family val="2"/>
        <scheme val="minor"/>
      </rPr>
      <t xml:space="preserve"> * r1 + v4_S</t>
    </r>
    <r>
      <rPr>
        <vertAlign val="subscript"/>
        <sz val="11"/>
        <rFont val="Calibri"/>
        <family val="2"/>
        <scheme val="minor"/>
      </rPr>
      <t>O2</t>
    </r>
    <r>
      <rPr>
        <sz val="11"/>
        <rFont val="Calibri"/>
        <family val="2"/>
        <scheme val="minor"/>
      </rPr>
      <t xml:space="preserve"> * r4 + v9_S</t>
    </r>
    <r>
      <rPr>
        <vertAlign val="subscript"/>
        <sz val="11"/>
        <rFont val="Calibri"/>
        <family val="2"/>
        <scheme val="minor"/>
      </rPr>
      <t>O2</t>
    </r>
    <r>
      <rPr>
        <sz val="11"/>
        <rFont val="Calibri"/>
        <family val="2"/>
        <scheme val="minor"/>
      </rPr>
      <t xml:space="preserve"> * r9 + v16_S</t>
    </r>
    <r>
      <rPr>
        <vertAlign val="subscript"/>
        <sz val="11"/>
        <rFont val="Calibri"/>
        <family val="2"/>
        <scheme val="minor"/>
      </rPr>
      <t>O2</t>
    </r>
    <r>
      <rPr>
        <sz val="11"/>
        <rFont val="Calibri"/>
        <family val="2"/>
        <scheme val="minor"/>
      </rPr>
      <t xml:space="preserve"> * r16 + v19_S</t>
    </r>
    <r>
      <rPr>
        <vertAlign val="subscript"/>
        <sz val="11"/>
        <rFont val="Calibri"/>
        <family val="2"/>
        <scheme val="minor"/>
      </rPr>
      <t>O2</t>
    </r>
    <r>
      <rPr>
        <sz val="11"/>
        <rFont val="Calibri"/>
        <family val="2"/>
        <scheme val="minor"/>
      </rPr>
      <t xml:space="preserve"> * r19 + v22_S</t>
    </r>
    <r>
      <rPr>
        <vertAlign val="subscript"/>
        <sz val="11"/>
        <rFont val="Calibri"/>
        <family val="2"/>
        <scheme val="minor"/>
      </rPr>
      <t>O2</t>
    </r>
    <r>
      <rPr>
        <sz val="11"/>
        <rFont val="Calibri"/>
        <family val="2"/>
        <scheme val="minor"/>
      </rPr>
      <t xml:space="preserve"> * r22 + v27_S</t>
    </r>
    <r>
      <rPr>
        <vertAlign val="subscript"/>
        <sz val="11"/>
        <rFont val="Calibri"/>
        <family val="2"/>
        <scheme val="minor"/>
      </rPr>
      <t>O2</t>
    </r>
    <r>
      <rPr>
        <sz val="11"/>
        <rFont val="Calibri"/>
        <family val="2"/>
        <scheme val="minor"/>
      </rPr>
      <t xml:space="preserve"> * r27)</t>
    </r>
  </si>
  <si>
    <r>
      <t>PUR</t>
    </r>
    <r>
      <rPr>
        <vertAlign val="subscript"/>
        <sz val="11"/>
        <rFont val="Calibri"/>
        <family val="2"/>
        <scheme val="minor"/>
      </rPr>
      <t>BIO</t>
    </r>
    <r>
      <rPr>
        <sz val="11"/>
        <rFont val="Calibri"/>
        <family val="2"/>
        <scheme val="minor"/>
      </rPr>
      <t xml:space="preserve"> + PUR</t>
    </r>
    <r>
      <rPr>
        <vertAlign val="subscript"/>
        <sz val="11"/>
        <rFont val="Calibri"/>
        <family val="2"/>
        <scheme val="minor"/>
      </rPr>
      <t>CHEM</t>
    </r>
  </si>
  <si>
    <r>
      <rPr>
        <sz val="11"/>
        <rFont val="Calibri"/>
        <family val="2"/>
        <scheme val="minor"/>
      </rPr>
      <t>-(v19_S</t>
    </r>
    <r>
      <rPr>
        <vertAlign val="subscript"/>
        <sz val="11"/>
        <rFont val="Calibri"/>
        <family val="2"/>
        <scheme val="minor"/>
      </rPr>
      <t>PO4</t>
    </r>
    <r>
      <rPr>
        <sz val="11"/>
        <rFont val="Calibri"/>
        <family val="2"/>
        <scheme val="minor"/>
      </rPr>
      <t xml:space="preserve"> * r19 + v20_S</t>
    </r>
    <r>
      <rPr>
        <vertAlign val="subscript"/>
        <sz val="11"/>
        <rFont val="Calibri"/>
        <family val="2"/>
        <scheme val="minor"/>
      </rPr>
      <t>PO4</t>
    </r>
    <r>
      <rPr>
        <sz val="11"/>
        <rFont val="Calibri"/>
        <family val="2"/>
        <scheme val="minor"/>
      </rPr>
      <t xml:space="preserve"> * r20 + v21_S</t>
    </r>
    <r>
      <rPr>
        <vertAlign val="subscript"/>
        <sz val="11"/>
        <rFont val="Calibri"/>
        <family val="2"/>
        <scheme val="minor"/>
      </rPr>
      <t>PO4</t>
    </r>
    <r>
      <rPr>
        <sz val="11"/>
        <rFont val="Calibri"/>
        <family val="2"/>
        <scheme val="minor"/>
      </rPr>
      <t xml:space="preserve"> * r21)</t>
    </r>
  </si>
  <si>
    <t>Phosphorus uptake rate of PAO (PURBIOP)</t>
  </si>
  <si>
    <r>
      <t>PUR</t>
    </r>
    <r>
      <rPr>
        <vertAlign val="subscript"/>
        <sz val="11"/>
        <rFont val="Calibri"/>
        <family val="2"/>
        <scheme val="minor"/>
      </rPr>
      <t>BIOP</t>
    </r>
  </si>
  <si>
    <r>
      <t>K</t>
    </r>
    <r>
      <rPr>
        <vertAlign val="subscript"/>
        <sz val="11"/>
        <rFont val="Calibri"/>
        <family val="2"/>
        <scheme val="minor"/>
      </rPr>
      <t>sp,CaCO3,param</t>
    </r>
    <r>
      <rPr>
        <sz val="11"/>
        <rFont val="Calibri"/>
        <family val="2"/>
        <scheme val="minor"/>
      </rPr>
      <t>/f</t>
    </r>
    <r>
      <rPr>
        <vertAlign val="subscript"/>
        <sz val="11"/>
        <rFont val="Calibri"/>
        <family val="2"/>
        <scheme val="minor"/>
      </rPr>
      <t>di</t>
    </r>
  </si>
  <si>
    <r>
      <t>K</t>
    </r>
    <r>
      <rPr>
        <vertAlign val="subscript"/>
        <sz val="11"/>
        <rFont val="Calibri"/>
        <family val="2"/>
        <scheme val="minor"/>
      </rPr>
      <t>sp,STR,param</t>
    </r>
    <r>
      <rPr>
        <sz val="11"/>
        <rFont val="Calibri"/>
        <family val="2"/>
        <scheme val="minor"/>
      </rPr>
      <t>/(f</t>
    </r>
    <r>
      <rPr>
        <vertAlign val="subscript"/>
        <sz val="11"/>
        <rFont val="Calibri"/>
        <family val="2"/>
        <scheme val="minor"/>
      </rPr>
      <t>di</t>
    </r>
    <r>
      <rPr>
        <sz val="11"/>
        <rFont val="Calibri"/>
        <family val="2"/>
        <scheme val="minor"/>
      </rPr>
      <t>^</t>
    </r>
    <r>
      <rPr>
        <vertAlign val="superscript"/>
        <sz val="11"/>
        <rFont val="Calibri"/>
        <family val="2"/>
        <scheme val="minor"/>
      </rPr>
      <t>(1/3)</t>
    </r>
    <r>
      <rPr>
        <sz val="11"/>
        <rFont val="Calibri"/>
        <family val="2"/>
        <scheme val="minor"/>
      </rPr>
      <t>*f</t>
    </r>
    <r>
      <rPr>
        <vertAlign val="subscript"/>
        <sz val="11"/>
        <rFont val="Calibri"/>
        <family val="2"/>
        <scheme val="minor"/>
      </rPr>
      <t>mono</t>
    </r>
    <r>
      <rPr>
        <sz val="11"/>
        <rFont val="Calibri"/>
        <family val="2"/>
        <scheme val="minor"/>
      </rPr>
      <t>^</t>
    </r>
    <r>
      <rPr>
        <vertAlign val="superscript"/>
        <sz val="11"/>
        <rFont val="Calibri"/>
        <family val="2"/>
        <scheme val="minor"/>
      </rPr>
      <t>(1/3)</t>
    </r>
    <r>
      <rPr>
        <sz val="11"/>
        <rFont val="Calibri"/>
        <family val="2"/>
        <scheme val="minor"/>
      </rPr>
      <t>*f</t>
    </r>
    <r>
      <rPr>
        <vertAlign val="subscript"/>
        <sz val="11"/>
        <rFont val="Calibri"/>
        <family val="2"/>
        <scheme val="minor"/>
      </rPr>
      <t>tri</t>
    </r>
    <r>
      <rPr>
        <sz val="11"/>
        <rFont val="Calibri"/>
        <family val="2"/>
        <scheme val="minor"/>
      </rPr>
      <t>^</t>
    </r>
    <r>
      <rPr>
        <vertAlign val="superscript"/>
        <sz val="11"/>
        <rFont val="Calibri"/>
        <family val="2"/>
        <scheme val="minor"/>
      </rPr>
      <t>(1/3)</t>
    </r>
    <r>
      <rPr>
        <sz val="11"/>
        <rFont val="Calibri"/>
        <family val="2"/>
        <charset val="238"/>
        <scheme val="minor"/>
      </rPr>
      <t>)</t>
    </r>
  </si>
  <si>
    <r>
      <t>K</t>
    </r>
    <r>
      <rPr>
        <vertAlign val="subscript"/>
        <sz val="11"/>
        <rFont val="Calibri"/>
        <family val="2"/>
        <scheme val="minor"/>
      </rPr>
      <t>sp,FeS,param</t>
    </r>
    <r>
      <rPr>
        <sz val="11"/>
        <rFont val="Calibri"/>
        <family val="2"/>
        <scheme val="minor"/>
      </rPr>
      <t>/f</t>
    </r>
    <r>
      <rPr>
        <vertAlign val="subscript"/>
        <sz val="11"/>
        <rFont val="Calibri"/>
        <family val="2"/>
        <scheme val="minor"/>
      </rPr>
      <t>di</t>
    </r>
  </si>
  <si>
    <r>
      <t>K</t>
    </r>
    <r>
      <rPr>
        <vertAlign val="subscript"/>
        <sz val="11"/>
        <rFont val="Calibri"/>
        <family val="2"/>
        <scheme val="minor"/>
      </rPr>
      <t>sp,Vivi,param</t>
    </r>
    <r>
      <rPr>
        <sz val="11"/>
        <rFont val="Calibri"/>
        <family val="2"/>
        <scheme val="minor"/>
      </rPr>
      <t>/(f</t>
    </r>
    <r>
      <rPr>
        <vertAlign val="subscript"/>
        <sz val="11"/>
        <rFont val="Calibri"/>
        <family val="2"/>
        <scheme val="minor"/>
      </rPr>
      <t>di</t>
    </r>
    <r>
      <rPr>
        <vertAlign val="superscript"/>
        <sz val="11"/>
        <rFont val="Calibri"/>
        <family val="2"/>
        <scheme val="minor"/>
      </rPr>
      <t>^(3/5)</t>
    </r>
    <r>
      <rPr>
        <sz val="11"/>
        <rFont val="Calibri"/>
        <family val="2"/>
        <scheme val="minor"/>
      </rPr>
      <t>*f</t>
    </r>
    <r>
      <rPr>
        <vertAlign val="subscript"/>
        <sz val="11"/>
        <rFont val="Calibri"/>
        <family val="2"/>
        <scheme val="minor"/>
      </rPr>
      <t>tri</t>
    </r>
    <r>
      <rPr>
        <vertAlign val="superscript"/>
        <sz val="11"/>
        <rFont val="Calibri"/>
        <family val="2"/>
        <scheme val="minor"/>
      </rPr>
      <t>^(2/5)</t>
    </r>
    <r>
      <rPr>
        <sz val="11"/>
        <rFont val="Calibri"/>
        <family val="2"/>
        <scheme val="minor"/>
      </rPr>
      <t>)</t>
    </r>
  </si>
  <si>
    <r>
      <t>K</t>
    </r>
    <r>
      <rPr>
        <vertAlign val="subscript"/>
        <sz val="11"/>
        <rFont val="Calibri"/>
        <family val="2"/>
        <scheme val="minor"/>
      </rPr>
      <t>sp,ACP,param</t>
    </r>
    <r>
      <rPr>
        <sz val="11"/>
        <rFont val="Calibri"/>
        <family val="2"/>
        <scheme val="minor"/>
      </rPr>
      <t>/(f</t>
    </r>
    <r>
      <rPr>
        <vertAlign val="subscript"/>
        <sz val="11"/>
        <rFont val="Calibri"/>
        <family val="2"/>
        <scheme val="minor"/>
      </rPr>
      <t>di</t>
    </r>
    <r>
      <rPr>
        <vertAlign val="superscript"/>
        <sz val="11"/>
        <rFont val="Calibri"/>
        <family val="2"/>
        <scheme val="minor"/>
      </rPr>
      <t>^(3/5)</t>
    </r>
    <r>
      <rPr>
        <sz val="11"/>
        <rFont val="Calibri"/>
        <family val="2"/>
        <scheme val="minor"/>
      </rPr>
      <t>*f</t>
    </r>
    <r>
      <rPr>
        <vertAlign val="subscript"/>
        <sz val="11"/>
        <rFont val="Calibri"/>
        <family val="2"/>
        <scheme val="minor"/>
      </rPr>
      <t>tri</t>
    </r>
    <r>
      <rPr>
        <vertAlign val="superscript"/>
        <sz val="11"/>
        <rFont val="Calibri"/>
        <family val="2"/>
        <scheme val="minor"/>
      </rPr>
      <t>^(2/5)</t>
    </r>
    <r>
      <rPr>
        <sz val="11"/>
        <rFont val="Calibri"/>
        <family val="2"/>
        <scheme val="minor"/>
      </rPr>
      <t>)</t>
    </r>
  </si>
  <si>
    <t>Two-step whole-plant model</t>
  </si>
  <si>
    <r>
      <t>Logsat</t>
    </r>
    <r>
      <rPr>
        <vertAlign val="subscript"/>
        <sz val="11"/>
        <rFont val="Calibri"/>
        <family val="2"/>
        <scheme val="minor"/>
      </rPr>
      <t>XPP,KPO4,PAO</t>
    </r>
  </si>
  <si>
    <t>Logistic saturation term for PP in PP cleavage (PAO)</t>
  </si>
  <si>
    <r>
      <t>b</t>
    </r>
    <r>
      <rPr>
        <vertAlign val="subscript"/>
        <sz val="11"/>
        <rFont val="Calibri"/>
        <family val="2"/>
      </rPr>
      <t>PP,ana,T</t>
    </r>
    <r>
      <rPr>
        <sz val="11"/>
        <rFont val="Calibri"/>
        <family val="2"/>
      </rPr>
      <t xml:space="preserve"> * X</t>
    </r>
    <r>
      <rPr>
        <vertAlign val="subscript"/>
        <sz val="11"/>
        <rFont val="Calibri"/>
        <family val="2"/>
      </rPr>
      <t>PAO</t>
    </r>
    <r>
      <rPr>
        <sz val="11"/>
        <rFont val="Calibri"/>
        <family val="2"/>
      </rPr>
      <t xml:space="preserve"> * Logsat</t>
    </r>
    <r>
      <rPr>
        <vertAlign val="subscript"/>
        <sz val="11"/>
        <rFont val="Calibri"/>
        <family val="2"/>
      </rPr>
      <t>XPP,KPO4,PAO</t>
    </r>
    <r>
      <rPr>
        <sz val="11"/>
        <rFont val="Calibri"/>
        <family val="2"/>
      </rPr>
      <t xml:space="preserve"> * (η</t>
    </r>
    <r>
      <rPr>
        <vertAlign val="subscript"/>
        <sz val="11"/>
        <rFont val="Calibri"/>
        <family val="2"/>
      </rPr>
      <t>bPP,aer</t>
    </r>
    <r>
      <rPr>
        <sz val="11"/>
        <rFont val="Calibri"/>
        <family val="2"/>
      </rPr>
      <t xml:space="preserve"> * MRinh</t>
    </r>
    <r>
      <rPr>
        <vertAlign val="subscript"/>
        <sz val="11"/>
        <rFont val="Calibri"/>
        <family val="2"/>
      </rPr>
      <t>XPHA,XPAO,KPHA,cle</t>
    </r>
    <r>
      <rPr>
        <sz val="11"/>
        <rFont val="Calibri"/>
        <family val="2"/>
      </rPr>
      <t xml:space="preserve"> * Msat</t>
    </r>
    <r>
      <rPr>
        <vertAlign val="subscript"/>
        <sz val="11"/>
        <rFont val="Calibri"/>
        <family val="2"/>
      </rPr>
      <t>SO2,KO2,CASTO</t>
    </r>
    <r>
      <rPr>
        <sz val="11"/>
        <rFont val="Calibri"/>
        <family val="2"/>
      </rPr>
      <t xml:space="preserve"> + η</t>
    </r>
    <r>
      <rPr>
        <vertAlign val="subscript"/>
        <sz val="11"/>
        <rFont val="Calibri"/>
        <family val="2"/>
      </rPr>
      <t>bPP,anox</t>
    </r>
    <r>
      <rPr>
        <sz val="11"/>
        <rFont val="Calibri"/>
        <family val="2"/>
      </rPr>
      <t xml:space="preserve"> * Minh</t>
    </r>
    <r>
      <rPr>
        <vertAlign val="subscript"/>
        <sz val="11"/>
        <rFont val="Calibri"/>
        <family val="2"/>
      </rPr>
      <t>SO2,KO2,CASTO</t>
    </r>
    <r>
      <rPr>
        <sz val="11"/>
        <rFont val="Calibri"/>
        <family val="2"/>
      </rPr>
      <t xml:space="preserve"> * Msat</t>
    </r>
    <r>
      <rPr>
        <vertAlign val="subscript"/>
        <sz val="11"/>
        <rFont val="Calibri"/>
        <family val="2"/>
      </rPr>
      <t>SNO2,KNO2,CASTO</t>
    </r>
    <r>
      <rPr>
        <sz val="11"/>
        <rFont val="Calibri"/>
        <family val="2"/>
      </rPr>
      <t xml:space="preserve"> + η</t>
    </r>
    <r>
      <rPr>
        <vertAlign val="subscript"/>
        <sz val="11"/>
        <rFont val="Calibri"/>
        <family val="2"/>
      </rPr>
      <t>bPP,anox</t>
    </r>
    <r>
      <rPr>
        <sz val="11"/>
        <rFont val="Calibri"/>
        <family val="2"/>
      </rPr>
      <t xml:space="preserve"> * Minh</t>
    </r>
    <r>
      <rPr>
        <vertAlign val="subscript"/>
        <sz val="11"/>
        <rFont val="Calibri"/>
        <family val="2"/>
      </rPr>
      <t>SO2,KO2,CASTO</t>
    </r>
    <r>
      <rPr>
        <sz val="11"/>
        <rFont val="Calibri"/>
        <family val="2"/>
      </rPr>
      <t xml:space="preserve"> * Minh</t>
    </r>
    <r>
      <rPr>
        <vertAlign val="subscript"/>
        <sz val="11"/>
        <rFont val="Calibri"/>
        <family val="2"/>
      </rPr>
      <t>SNO2,KNO2,CASTO</t>
    </r>
    <r>
      <rPr>
        <sz val="11"/>
        <rFont val="Calibri"/>
        <family val="2"/>
      </rPr>
      <t xml:space="preserve"> * Msat</t>
    </r>
    <r>
      <rPr>
        <vertAlign val="subscript"/>
        <sz val="11"/>
        <rFont val="Calibri"/>
        <family val="2"/>
      </rPr>
      <t>SNO3,KNO3,CASTO</t>
    </r>
    <r>
      <rPr>
        <sz val="11"/>
        <rFont val="Calibri"/>
        <family val="2"/>
      </rPr>
      <t xml:space="preserve"> + Minh</t>
    </r>
    <r>
      <rPr>
        <vertAlign val="subscript"/>
        <sz val="11"/>
        <rFont val="Calibri"/>
        <family val="2"/>
      </rPr>
      <t>SO2,KO2,CASTO</t>
    </r>
    <r>
      <rPr>
        <sz val="11"/>
        <rFont val="Calibri"/>
        <family val="2"/>
      </rPr>
      <t xml:space="preserve"> * Minh</t>
    </r>
    <r>
      <rPr>
        <vertAlign val="subscript"/>
        <sz val="11"/>
        <rFont val="Calibri"/>
        <family val="2"/>
      </rPr>
      <t>SNO2,KNO2,CASTO</t>
    </r>
    <r>
      <rPr>
        <sz val="11"/>
        <rFont val="Calibri"/>
        <family val="2"/>
      </rPr>
      <t xml:space="preserve"> * Minh</t>
    </r>
    <r>
      <rPr>
        <vertAlign val="subscript"/>
        <sz val="11"/>
        <rFont val="Calibri"/>
        <family val="2"/>
      </rPr>
      <t>SNO3,KNO3,CASTO</t>
    </r>
    <r>
      <rPr>
        <sz val="11"/>
        <rFont val="Calibri"/>
        <family val="2"/>
      </rPr>
      <t>)</t>
    </r>
  </si>
  <si>
    <r>
      <t>X</t>
    </r>
    <r>
      <rPr>
        <vertAlign val="subscript"/>
        <sz val="11"/>
        <rFont val="Calibri"/>
        <family val="2"/>
        <charset val="238"/>
        <scheme val="minor"/>
      </rPr>
      <t>PP,PAO,min</t>
    </r>
  </si>
  <si>
    <t>PAO PP uptake booster denominator limiting term</t>
  </si>
  <si>
    <r>
      <t>q</t>
    </r>
    <r>
      <rPr>
        <vertAlign val="subscript"/>
        <sz val="11"/>
        <rFont val="Calibri"/>
        <family val="2"/>
      </rPr>
      <t>PAO,PP,T</t>
    </r>
    <r>
      <rPr>
        <sz val="11"/>
        <rFont val="Calibri"/>
        <family val="2"/>
      </rPr>
      <t xml:space="preserve"> * X</t>
    </r>
    <r>
      <rPr>
        <vertAlign val="subscript"/>
        <sz val="11"/>
        <rFont val="Calibri"/>
        <family val="2"/>
      </rPr>
      <t>PAO</t>
    </r>
    <r>
      <rPr>
        <sz val="11"/>
        <rFont val="Calibri"/>
        <family val="2"/>
      </rPr>
      <t>/(X</t>
    </r>
    <r>
      <rPr>
        <vertAlign val="subscript"/>
        <sz val="11"/>
        <rFont val="Calibri"/>
        <family val="2"/>
        <charset val="238"/>
      </rPr>
      <t>PP</t>
    </r>
    <r>
      <rPr>
        <sz val="11"/>
        <rFont val="Calibri"/>
        <family val="2"/>
      </rPr>
      <t>+X</t>
    </r>
    <r>
      <rPr>
        <vertAlign val="subscript"/>
        <sz val="11"/>
        <rFont val="Calibri"/>
        <family val="2"/>
        <charset val="238"/>
      </rPr>
      <t>PP,PAO,min</t>
    </r>
    <r>
      <rPr>
        <sz val="11"/>
        <rFont val="Calibri"/>
        <family val="2"/>
      </rPr>
      <t>) * X</t>
    </r>
    <r>
      <rPr>
        <vertAlign val="subscript"/>
        <sz val="11"/>
        <rFont val="Calibri"/>
        <family val="2"/>
      </rPr>
      <t>PAO</t>
    </r>
    <r>
      <rPr>
        <sz val="11"/>
        <rFont val="Calibri"/>
        <family val="2"/>
      </rPr>
      <t xml:space="preserve"> * Msat</t>
    </r>
    <r>
      <rPr>
        <vertAlign val="subscript"/>
        <sz val="11"/>
        <rFont val="Calibri"/>
        <family val="2"/>
      </rPr>
      <t>SO2,KO2,CASTO</t>
    </r>
    <r>
      <rPr>
        <sz val="11"/>
        <rFont val="Calibri"/>
        <family val="2"/>
      </rPr>
      <t xml:space="preserve"> * Logsat</t>
    </r>
    <r>
      <rPr>
        <vertAlign val="subscript"/>
        <sz val="11"/>
        <rFont val="Calibri"/>
        <family val="2"/>
      </rPr>
      <t>SPO4,KPO4,PAO</t>
    </r>
    <r>
      <rPr>
        <sz val="11"/>
        <rFont val="Calibri"/>
        <family val="2"/>
      </rPr>
      <t xml:space="preserve"> * Loginh</t>
    </r>
    <r>
      <rPr>
        <vertAlign val="subscript"/>
        <sz val="11"/>
        <rFont val="Calibri"/>
        <family val="2"/>
      </rPr>
      <t>XPP,XPAO,max</t>
    </r>
    <r>
      <rPr>
        <sz val="11"/>
        <rFont val="Calibri"/>
        <family val="2"/>
      </rPr>
      <t xml:space="preserve"> * Msat</t>
    </r>
    <r>
      <rPr>
        <vertAlign val="subscript"/>
        <sz val="11"/>
        <rFont val="Calibri"/>
        <family val="2"/>
      </rPr>
      <t>SCa,KCa,PAO</t>
    </r>
    <r>
      <rPr>
        <sz val="11"/>
        <rFont val="Calibri"/>
        <family val="2"/>
      </rPr>
      <t xml:space="preserve"> * Msat</t>
    </r>
    <r>
      <rPr>
        <vertAlign val="subscript"/>
        <sz val="11"/>
        <rFont val="Calibri"/>
        <family val="2"/>
      </rPr>
      <t>SMg,KMg,PAO</t>
    </r>
    <r>
      <rPr>
        <sz val="11"/>
        <rFont val="Calibri"/>
        <family val="2"/>
      </rPr>
      <t xml:space="preserve"> * Msat</t>
    </r>
    <r>
      <rPr>
        <vertAlign val="subscript"/>
        <sz val="11"/>
        <rFont val="Calibri"/>
        <family val="2"/>
      </rPr>
      <t>SK,KK,PAO</t>
    </r>
    <r>
      <rPr>
        <sz val="11"/>
        <rFont val="Calibri"/>
        <family val="2"/>
      </rPr>
      <t xml:space="preserve"> * Bellinh</t>
    </r>
    <r>
      <rPr>
        <vertAlign val="subscript"/>
        <sz val="11"/>
        <rFont val="Calibri"/>
        <family val="2"/>
      </rPr>
      <t>pH</t>
    </r>
  </si>
  <si>
    <r>
      <t>q</t>
    </r>
    <r>
      <rPr>
        <vertAlign val="subscript"/>
        <sz val="11"/>
        <rFont val="Calibri"/>
        <family val="2"/>
      </rPr>
      <t>PAO,PP,T</t>
    </r>
    <r>
      <rPr>
        <sz val="11"/>
        <rFont val="Calibri"/>
        <family val="2"/>
      </rPr>
      <t xml:space="preserve"> * X</t>
    </r>
    <r>
      <rPr>
        <vertAlign val="subscript"/>
        <sz val="11"/>
        <rFont val="Calibri"/>
        <family val="2"/>
      </rPr>
      <t>PAO</t>
    </r>
    <r>
      <rPr>
        <sz val="11"/>
        <rFont val="Calibri"/>
        <family val="2"/>
      </rPr>
      <t>/(X</t>
    </r>
    <r>
      <rPr>
        <vertAlign val="subscript"/>
        <sz val="11"/>
        <rFont val="Calibri"/>
        <family val="2"/>
        <charset val="238"/>
      </rPr>
      <t>PP</t>
    </r>
    <r>
      <rPr>
        <sz val="11"/>
        <rFont val="Calibri"/>
        <family val="2"/>
      </rPr>
      <t>+X</t>
    </r>
    <r>
      <rPr>
        <vertAlign val="subscript"/>
        <sz val="11"/>
        <rFont val="Calibri"/>
        <family val="2"/>
        <charset val="238"/>
      </rPr>
      <t>PP,PAO,min</t>
    </r>
    <r>
      <rPr>
        <sz val="11"/>
        <rFont val="Calibri"/>
        <family val="2"/>
      </rPr>
      <t>) * X</t>
    </r>
    <r>
      <rPr>
        <vertAlign val="subscript"/>
        <sz val="11"/>
        <rFont val="Calibri"/>
        <family val="2"/>
      </rPr>
      <t>PAO</t>
    </r>
    <r>
      <rPr>
        <sz val="11"/>
        <rFont val="Calibri"/>
        <family val="2"/>
      </rPr>
      <t xml:space="preserve"> * η</t>
    </r>
    <r>
      <rPr>
        <vertAlign val="subscript"/>
        <sz val="11"/>
        <rFont val="Calibri"/>
        <family val="2"/>
      </rPr>
      <t>CASTO,anox</t>
    </r>
    <r>
      <rPr>
        <sz val="11"/>
        <rFont val="Calibri"/>
        <family val="2"/>
      </rPr>
      <t xml:space="preserve"> * Msat</t>
    </r>
    <r>
      <rPr>
        <vertAlign val="subscript"/>
        <sz val="11"/>
        <rFont val="Calibri"/>
        <family val="2"/>
      </rPr>
      <t>SNO2,KNO2,CASTO</t>
    </r>
    <r>
      <rPr>
        <sz val="11"/>
        <rFont val="Calibri"/>
        <family val="2"/>
      </rPr>
      <t xml:space="preserve"> * Minh</t>
    </r>
    <r>
      <rPr>
        <vertAlign val="subscript"/>
        <sz val="11"/>
        <rFont val="Calibri"/>
        <family val="2"/>
      </rPr>
      <t>SO2,KO2,CASTO</t>
    </r>
    <r>
      <rPr>
        <sz val="11"/>
        <rFont val="Calibri"/>
        <family val="2"/>
      </rPr>
      <t xml:space="preserve"> * Logsat</t>
    </r>
    <r>
      <rPr>
        <vertAlign val="subscript"/>
        <sz val="11"/>
        <rFont val="Calibri"/>
        <family val="2"/>
      </rPr>
      <t>SPO4,KPO4,PAO</t>
    </r>
    <r>
      <rPr>
        <sz val="11"/>
        <rFont val="Calibri"/>
        <family val="2"/>
      </rPr>
      <t xml:space="preserve"> * Loginh</t>
    </r>
    <r>
      <rPr>
        <vertAlign val="subscript"/>
        <sz val="11"/>
        <rFont val="Calibri"/>
        <family val="2"/>
      </rPr>
      <t>XPP,XPAO,max</t>
    </r>
    <r>
      <rPr>
        <sz val="11"/>
        <rFont val="Calibri"/>
        <family val="2"/>
      </rPr>
      <t xml:space="preserve"> * Msat</t>
    </r>
    <r>
      <rPr>
        <vertAlign val="subscript"/>
        <sz val="11"/>
        <rFont val="Calibri"/>
        <family val="2"/>
      </rPr>
      <t>SCa,KCa,PAO</t>
    </r>
    <r>
      <rPr>
        <sz val="11"/>
        <rFont val="Calibri"/>
        <family val="2"/>
      </rPr>
      <t xml:space="preserve"> * Msat</t>
    </r>
    <r>
      <rPr>
        <vertAlign val="subscript"/>
        <sz val="11"/>
        <rFont val="Calibri"/>
        <family val="2"/>
      </rPr>
      <t>SMg,KMg,PAO</t>
    </r>
    <r>
      <rPr>
        <sz val="11"/>
        <rFont val="Calibri"/>
        <family val="2"/>
      </rPr>
      <t xml:space="preserve"> * Msat</t>
    </r>
    <r>
      <rPr>
        <vertAlign val="subscript"/>
        <sz val="11"/>
        <rFont val="Calibri"/>
        <family val="2"/>
      </rPr>
      <t>SK,KK,PAO</t>
    </r>
    <r>
      <rPr>
        <sz val="11"/>
        <rFont val="Calibri"/>
        <family val="2"/>
      </rPr>
      <t xml:space="preserve"> * Bellinh</t>
    </r>
    <r>
      <rPr>
        <vertAlign val="subscript"/>
        <sz val="11"/>
        <rFont val="Calibri"/>
        <family val="2"/>
      </rPr>
      <t>pH</t>
    </r>
  </si>
  <si>
    <r>
      <t>q</t>
    </r>
    <r>
      <rPr>
        <vertAlign val="subscript"/>
        <sz val="11"/>
        <rFont val="Calibri"/>
        <family val="2"/>
      </rPr>
      <t>PAO,PP,T</t>
    </r>
    <r>
      <rPr>
        <sz val="11"/>
        <rFont val="Calibri"/>
        <family val="2"/>
      </rPr>
      <t xml:space="preserve"> * X</t>
    </r>
    <r>
      <rPr>
        <vertAlign val="subscript"/>
        <sz val="11"/>
        <rFont val="Calibri"/>
        <family val="2"/>
      </rPr>
      <t>PAO</t>
    </r>
    <r>
      <rPr>
        <sz val="11"/>
        <rFont val="Calibri"/>
        <family val="2"/>
      </rPr>
      <t>/(X</t>
    </r>
    <r>
      <rPr>
        <vertAlign val="subscript"/>
        <sz val="11"/>
        <rFont val="Calibri"/>
        <family val="2"/>
        <charset val="238"/>
      </rPr>
      <t>PP</t>
    </r>
    <r>
      <rPr>
        <sz val="11"/>
        <rFont val="Calibri"/>
        <family val="2"/>
      </rPr>
      <t>+X</t>
    </r>
    <r>
      <rPr>
        <vertAlign val="subscript"/>
        <sz val="11"/>
        <rFont val="Calibri"/>
        <family val="2"/>
        <charset val="238"/>
      </rPr>
      <t>PP,PAO,min</t>
    </r>
    <r>
      <rPr>
        <sz val="11"/>
        <rFont val="Calibri"/>
        <family val="2"/>
      </rPr>
      <t>) * X</t>
    </r>
    <r>
      <rPr>
        <vertAlign val="subscript"/>
        <sz val="11"/>
        <rFont val="Calibri"/>
        <family val="2"/>
      </rPr>
      <t>PAO</t>
    </r>
    <r>
      <rPr>
        <sz val="11"/>
        <rFont val="Calibri"/>
        <family val="2"/>
      </rPr>
      <t xml:space="preserve"> * η</t>
    </r>
    <r>
      <rPr>
        <vertAlign val="subscript"/>
        <sz val="11"/>
        <rFont val="Calibri"/>
        <family val="2"/>
      </rPr>
      <t>CASTO,anox</t>
    </r>
    <r>
      <rPr>
        <sz val="11"/>
        <rFont val="Calibri"/>
        <family val="2"/>
      </rPr>
      <t xml:space="preserve"> * Msat</t>
    </r>
    <r>
      <rPr>
        <vertAlign val="subscript"/>
        <sz val="11"/>
        <rFont val="Calibri"/>
        <family val="2"/>
      </rPr>
      <t>SNO3,KNO3,CASTO</t>
    </r>
    <r>
      <rPr>
        <sz val="11"/>
        <rFont val="Calibri"/>
        <family val="2"/>
      </rPr>
      <t xml:space="preserve"> * Minh</t>
    </r>
    <r>
      <rPr>
        <vertAlign val="subscript"/>
        <sz val="11"/>
        <rFont val="Calibri"/>
        <family val="2"/>
      </rPr>
      <t>SO2,KO2,CASTO</t>
    </r>
    <r>
      <rPr>
        <sz val="11"/>
        <rFont val="Calibri"/>
        <family val="2"/>
      </rPr>
      <t xml:space="preserve"> * Minh</t>
    </r>
    <r>
      <rPr>
        <vertAlign val="subscript"/>
        <sz val="11"/>
        <rFont val="Calibri"/>
        <family val="2"/>
      </rPr>
      <t>SNO2,KNO2,CASTO</t>
    </r>
    <r>
      <rPr>
        <sz val="11"/>
        <rFont val="Calibri"/>
        <family val="2"/>
      </rPr>
      <t xml:space="preserve"> * Logsat</t>
    </r>
    <r>
      <rPr>
        <vertAlign val="subscript"/>
        <sz val="11"/>
        <rFont val="Calibri"/>
        <family val="2"/>
      </rPr>
      <t>SPO4,KPO4,PAO</t>
    </r>
    <r>
      <rPr>
        <sz val="11"/>
        <rFont val="Calibri"/>
        <family val="2"/>
      </rPr>
      <t xml:space="preserve"> * Loginh</t>
    </r>
    <r>
      <rPr>
        <vertAlign val="subscript"/>
        <sz val="11"/>
        <rFont val="Calibri"/>
        <family val="2"/>
      </rPr>
      <t>XPP,XPAO,max</t>
    </r>
    <r>
      <rPr>
        <sz val="11"/>
        <rFont val="Calibri"/>
        <family val="2"/>
      </rPr>
      <t xml:space="preserve"> * Msat</t>
    </r>
    <r>
      <rPr>
        <vertAlign val="subscript"/>
        <sz val="11"/>
        <rFont val="Calibri"/>
        <family val="2"/>
      </rPr>
      <t>SCa,KCa,PAO</t>
    </r>
    <r>
      <rPr>
        <sz val="11"/>
        <rFont val="Calibri"/>
        <family val="2"/>
      </rPr>
      <t xml:space="preserve"> * Msat</t>
    </r>
    <r>
      <rPr>
        <vertAlign val="subscript"/>
        <sz val="11"/>
        <rFont val="Calibri"/>
        <family val="2"/>
      </rPr>
      <t>SMg,KMg,PAO</t>
    </r>
    <r>
      <rPr>
        <sz val="11"/>
        <rFont val="Calibri"/>
        <family val="2"/>
      </rPr>
      <t xml:space="preserve"> * Msat</t>
    </r>
    <r>
      <rPr>
        <vertAlign val="subscript"/>
        <sz val="11"/>
        <rFont val="Calibri"/>
        <family val="2"/>
      </rPr>
      <t>SK,KK,PAO</t>
    </r>
    <r>
      <rPr>
        <sz val="11"/>
        <rFont val="Calibri"/>
        <family val="2"/>
      </rPr>
      <t xml:space="preserve"> * Bellinh</t>
    </r>
    <r>
      <rPr>
        <vertAlign val="subscript"/>
        <sz val="11"/>
        <rFont val="Calibri"/>
        <family val="2"/>
      </rPr>
      <t>pH</t>
    </r>
  </si>
  <si>
    <t>SV group</t>
  </si>
  <si>
    <t>Biomass</t>
  </si>
  <si>
    <t>O2</t>
  </si>
  <si>
    <t>TIC</t>
  </si>
  <si>
    <t>TSS</t>
  </si>
  <si>
    <t>ALPHA</t>
  </si>
  <si>
    <t>MM</t>
  </si>
  <si>
    <t>IS input</t>
  </si>
  <si>
    <t>Non-pHSet; IS</t>
  </si>
  <si>
    <r>
      <t>IS</t>
    </r>
    <r>
      <rPr>
        <vertAlign val="subscript"/>
        <sz val="11"/>
        <rFont val="Calibri"/>
        <family val="2"/>
        <scheme val="minor"/>
      </rPr>
      <t>input,AS</t>
    </r>
  </si>
  <si>
    <r>
      <t>IS</t>
    </r>
    <r>
      <rPr>
        <vertAlign val="subscript"/>
        <sz val="11"/>
        <rFont val="Calibri"/>
        <family val="2"/>
        <scheme val="minor"/>
      </rPr>
      <t>input,DIG</t>
    </r>
  </si>
  <si>
    <r>
      <t>IS</t>
    </r>
    <r>
      <rPr>
        <vertAlign val="subscript"/>
        <sz val="11"/>
        <color theme="1"/>
        <rFont val="Calibri"/>
        <family val="2"/>
        <scheme val="minor"/>
      </rPr>
      <t>input,AS</t>
    </r>
  </si>
  <si>
    <r>
      <t>IS</t>
    </r>
    <r>
      <rPr>
        <vertAlign val="subscript"/>
        <sz val="11"/>
        <color theme="1"/>
        <rFont val="Calibri"/>
        <family val="2"/>
        <scheme val="minor"/>
      </rPr>
      <t>input,DIG</t>
    </r>
  </si>
  <si>
    <t>pH; Non-IS; Non-Input; Digester</t>
  </si>
  <si>
    <r>
      <t>IS</t>
    </r>
    <r>
      <rPr>
        <vertAlign val="subscript"/>
        <sz val="11"/>
        <rFont val="Calibri"/>
        <family val="2"/>
        <scheme val="minor"/>
      </rPr>
      <t>input,sidestream</t>
    </r>
  </si>
  <si>
    <t>pH; Non-IS; Non-Input; Sidestream</t>
  </si>
  <si>
    <t>pH; Non-IS; Non-Input; Non-Digester; Non-Sidestream</t>
  </si>
  <si>
    <t>pH; Non-IS; Input; Non-Digester; Non-Sidestream; Non-pHSet</t>
  </si>
  <si>
    <t>pH; Non-IS; Input; Digester; Non-pHSet</t>
  </si>
  <si>
    <t>pH; Non-IS; Input; Sidestream; Non-pHSet</t>
  </si>
  <si>
    <r>
      <t>IS</t>
    </r>
    <r>
      <rPr>
        <vertAlign val="subscript"/>
        <sz val="11"/>
        <color theme="1"/>
        <rFont val="Calibri"/>
        <family val="2"/>
        <scheme val="minor"/>
      </rPr>
      <t>input,sidestream</t>
    </r>
  </si>
  <si>
    <t>Ionic strength input for sidestream</t>
  </si>
  <si>
    <t>Ionic strength input for activated sludge</t>
  </si>
  <si>
    <t>Ionic strength input for digesters</t>
  </si>
  <si>
    <t>Half-saturation of readily biodegradable substrate in fermentation by OHOs in digester</t>
  </si>
  <si>
    <t>previously 0.03</t>
  </si>
  <si>
    <t>previously 0.05</t>
  </si>
  <si>
    <t>previously 0.005</t>
  </si>
  <si>
    <r>
      <t>S</t>
    </r>
    <r>
      <rPr>
        <vertAlign val="subscript"/>
        <sz val="11"/>
        <rFont val="Calibri"/>
        <family val="2"/>
        <scheme val="minor"/>
      </rPr>
      <t>U,N</t>
    </r>
  </si>
  <si>
    <t>Soluble unbiodegradable organic nitrogen</t>
  </si>
  <si>
    <r>
      <t>S</t>
    </r>
    <r>
      <rPr>
        <vertAlign val="subscript"/>
        <sz val="11"/>
        <rFont val="Calibri"/>
        <family val="2"/>
      </rPr>
      <t>U</t>
    </r>
    <r>
      <rPr>
        <sz val="11"/>
        <rFont val="Calibri"/>
        <family val="2"/>
      </rPr>
      <t xml:space="preserve"> *i</t>
    </r>
    <r>
      <rPr>
        <vertAlign val="subscript"/>
        <sz val="11"/>
        <rFont val="Calibri"/>
        <family val="2"/>
      </rPr>
      <t>N,SU</t>
    </r>
  </si>
  <si>
    <r>
      <t>Loginhswitch(ORP; Logsat</t>
    </r>
    <r>
      <rPr>
        <vertAlign val="subscript"/>
        <sz val="11"/>
        <rFont val="Calibri"/>
        <family val="2"/>
      </rPr>
      <t>ORP,HFO,Half</t>
    </r>
    <r>
      <rPr>
        <sz val="11"/>
        <rFont val="Calibri"/>
        <family val="2"/>
      </rPr>
      <t>; Logsat</t>
    </r>
    <r>
      <rPr>
        <vertAlign val="subscript"/>
        <sz val="11"/>
        <rFont val="Calibri"/>
        <family val="2"/>
      </rPr>
      <t>ORP,HFO,Slope</t>
    </r>
    <r>
      <rPr>
        <sz val="11"/>
        <rFont val="Calibri"/>
        <family val="2"/>
      </rPr>
      <t>)</t>
    </r>
  </si>
  <si>
    <r>
      <t>Loginhswitch(ORP; Logsat</t>
    </r>
    <r>
      <rPr>
        <vertAlign val="subscript"/>
        <sz val="11"/>
        <rFont val="Calibri"/>
        <family val="2"/>
      </rPr>
      <t>ORP,MM,Half</t>
    </r>
    <r>
      <rPr>
        <sz val="11"/>
        <rFont val="Calibri"/>
        <family val="2"/>
      </rPr>
      <t>; Logsat</t>
    </r>
    <r>
      <rPr>
        <vertAlign val="subscript"/>
        <sz val="11"/>
        <rFont val="Calibri"/>
        <family val="2"/>
      </rPr>
      <t>ORP,MM,Slope</t>
    </r>
    <r>
      <rPr>
        <sz val="11"/>
        <rFont val="Calibri"/>
        <family val="2"/>
      </rPr>
      <t>)</t>
    </r>
  </si>
  <si>
    <t>Bellopt(var; xopt; whalf; slope)</t>
  </si>
  <si>
    <t>Bell-shaped filtering function</t>
  </si>
  <si>
    <t>1 / (1 + Pow(Abs((var-xopt)/whalf),slope))</t>
  </si>
  <si>
    <t>Logsatswitch(var; halfval; slope)</t>
  </si>
  <si>
    <t>Logistic saturation switch</t>
  </si>
  <si>
    <t>Loginhswitch(var; halfval; slope)</t>
  </si>
  <si>
    <t>Logistic inhibition switch</t>
  </si>
  <si>
    <r>
      <t>Logrange</t>
    </r>
    <r>
      <rPr>
        <vertAlign val="subscript"/>
        <sz val="11"/>
        <rFont val="Calibri"/>
        <family val="2"/>
        <charset val="238"/>
        <scheme val="minor"/>
      </rPr>
      <t>VFA,FERM,AS</t>
    </r>
  </si>
  <si>
    <t>Effective range of logistic switch for VFA fermentation by OHOs (AS)</t>
  </si>
  <si>
    <t>define range in percentage of half-saturation value</t>
  </si>
  <si>
    <r>
      <t>Logrange</t>
    </r>
    <r>
      <rPr>
        <vertAlign val="subscript"/>
        <sz val="11"/>
        <rFont val="Calibri"/>
        <family val="2"/>
        <scheme val="minor"/>
      </rPr>
      <t>PO4,PAO,AS,sat</t>
    </r>
  </si>
  <si>
    <r>
      <t>Effective range of logistic switch for PO</t>
    </r>
    <r>
      <rPr>
        <vertAlign val="subscript"/>
        <sz val="11"/>
        <rFont val="Calibri"/>
        <family val="2"/>
        <charset val="238"/>
        <scheme val="minor"/>
      </rPr>
      <t>4</t>
    </r>
    <r>
      <rPr>
        <sz val="11"/>
        <rFont val="Calibri"/>
        <family val="2"/>
        <scheme val="minor"/>
      </rPr>
      <t xml:space="preserve"> uptake by PAOs</t>
    </r>
  </si>
  <si>
    <r>
      <t>Logrange</t>
    </r>
    <r>
      <rPr>
        <vertAlign val="subscript"/>
        <sz val="11"/>
        <rFont val="Calibri"/>
        <family val="2"/>
        <charset val="238"/>
        <scheme val="minor"/>
      </rPr>
      <t>PP,PAO,AS,sat</t>
    </r>
  </si>
  <si>
    <t>Effective range of logistic switch for PP cleavage by PAOs</t>
  </si>
  <si>
    <r>
      <t>Logrange</t>
    </r>
    <r>
      <rPr>
        <vertAlign val="subscript"/>
        <sz val="11"/>
        <rFont val="Calibri"/>
        <family val="2"/>
        <charset val="238"/>
        <scheme val="minor"/>
      </rPr>
      <t>PP,PAO,inh</t>
    </r>
  </si>
  <si>
    <t>Effective range of logistic switch for PP/PAO inhibition term</t>
  </si>
  <si>
    <t>define range in percentage of half-inhibition value</t>
  </si>
  <si>
    <r>
      <t>Logrange</t>
    </r>
    <r>
      <rPr>
        <vertAlign val="subscript"/>
        <sz val="11"/>
        <rFont val="Calibri"/>
        <family val="2"/>
        <charset val="238"/>
        <scheme val="minor"/>
      </rPr>
      <t>PHA,PAO,inh</t>
    </r>
  </si>
  <si>
    <t>Effective range of logistic switch for PHA/PAO inhibition term</t>
  </si>
  <si>
    <r>
      <t>Logrange</t>
    </r>
    <r>
      <rPr>
        <vertAlign val="subscript"/>
        <sz val="11"/>
        <rFont val="Calibri"/>
        <family val="2"/>
        <charset val="238"/>
        <scheme val="minor"/>
      </rPr>
      <t>CO2,AOB,pH,AS</t>
    </r>
  </si>
  <si>
    <t>Effective range of bicarbonate logistic switch for AOBs (AS)</t>
  </si>
  <si>
    <r>
      <t>Logrange</t>
    </r>
    <r>
      <rPr>
        <vertAlign val="subscript"/>
        <sz val="11"/>
        <rFont val="Calibri"/>
        <family val="2"/>
        <charset val="238"/>
        <scheme val="minor"/>
      </rPr>
      <t>CO2,AOB,pH,sidestream</t>
    </r>
  </si>
  <si>
    <t>Effective range of bicarbonate logistic switch for AOBs (Sidestream)</t>
  </si>
  <si>
    <r>
      <t>Logrange</t>
    </r>
    <r>
      <rPr>
        <vertAlign val="subscript"/>
        <sz val="11"/>
        <color indexed="8"/>
        <rFont val="Calibri"/>
        <family val="2"/>
        <charset val="238"/>
        <scheme val="minor"/>
      </rPr>
      <t>CO2,NOB,pH,AS</t>
    </r>
  </si>
  <si>
    <t>Effective range of bicarbonate logistic switch for NOBs (AS)</t>
  </si>
  <si>
    <r>
      <t>Logrange</t>
    </r>
    <r>
      <rPr>
        <vertAlign val="subscript"/>
        <sz val="11"/>
        <rFont val="Calibri"/>
        <family val="2"/>
        <charset val="238"/>
        <scheme val="minor"/>
      </rPr>
      <t>CO2,AMX,pH,AS</t>
    </r>
  </si>
  <si>
    <t>Effective range of bicarbonate logistic switch for AMX (AS)</t>
  </si>
  <si>
    <r>
      <t>Logrange</t>
    </r>
    <r>
      <rPr>
        <vertAlign val="subscript"/>
        <sz val="11"/>
        <rFont val="Calibri"/>
        <family val="2"/>
        <charset val="238"/>
        <scheme val="minor"/>
      </rPr>
      <t>P,HFO,DISS</t>
    </r>
  </si>
  <si>
    <t>Effective range of logistic switch for HFO redissolution</t>
  </si>
  <si>
    <r>
      <t>Logrange</t>
    </r>
    <r>
      <rPr>
        <vertAlign val="subscript"/>
        <sz val="11"/>
        <rFont val="Calibri"/>
        <family val="2"/>
        <charset val="238"/>
        <scheme val="minor"/>
      </rPr>
      <t>P,HAO,DISS</t>
    </r>
  </si>
  <si>
    <t>Effective range of logistic switch for HAO redissolution</t>
  </si>
  <si>
    <t>Slope calculations for logistic saturation/inhibition functions</t>
  </si>
  <si>
    <r>
      <t>Logslope</t>
    </r>
    <r>
      <rPr>
        <vertAlign val="subscript"/>
        <sz val="11"/>
        <rFont val="Calibri"/>
        <family val="2"/>
        <scheme val="minor"/>
      </rPr>
      <t>CO2,AOB,pH</t>
    </r>
  </si>
  <si>
    <r>
      <t>Logistic slope of bicarbonate</t>
    </r>
    <r>
      <rPr>
        <sz val="11"/>
        <color rgb="FF000000"/>
        <rFont val="Calibri"/>
        <family val="2"/>
        <charset val="238"/>
        <scheme val="minor"/>
      </rPr>
      <t xml:space="preserve"> for AOBs in AS</t>
    </r>
  </si>
  <si>
    <r>
      <t>L.mol [HCO</t>
    </r>
    <r>
      <rPr>
        <vertAlign val="subscript"/>
        <sz val="11"/>
        <rFont val="Calibri"/>
        <family val="2"/>
        <scheme val="minor"/>
      </rPr>
      <t>3</t>
    </r>
    <r>
      <rPr>
        <vertAlign val="superscript"/>
        <sz val="11"/>
        <rFont val="Calibri"/>
        <family val="2"/>
        <scheme val="minor"/>
      </rPr>
      <t>-</t>
    </r>
    <r>
      <rPr>
        <sz val="11"/>
        <rFont val="Calibri"/>
        <family val="2"/>
        <scheme val="minor"/>
      </rPr>
      <t>]</t>
    </r>
    <r>
      <rPr>
        <vertAlign val="superscript"/>
        <sz val="11"/>
        <rFont val="Calibri"/>
        <family val="2"/>
        <scheme val="minor"/>
      </rPr>
      <t>-1</t>
    </r>
  </si>
  <si>
    <r>
      <t>Logistic slope of bicarbonate</t>
    </r>
    <r>
      <rPr>
        <sz val="11"/>
        <color rgb="FF000000"/>
        <rFont val="Calibri"/>
        <family val="2"/>
        <charset val="238"/>
        <scheme val="minor"/>
      </rPr>
      <t xml:space="preserve"> for AOBs in sidestream</t>
    </r>
  </si>
  <si>
    <r>
      <t>Logslope</t>
    </r>
    <r>
      <rPr>
        <vertAlign val="subscript"/>
        <sz val="11"/>
        <rFont val="Calibri"/>
        <family val="2"/>
        <charset val="238"/>
        <scheme val="minor"/>
      </rPr>
      <t>CO2,NOB,pH</t>
    </r>
  </si>
  <si>
    <t>Logistic slope of bicarbonate for NOBs in AS</t>
  </si>
  <si>
    <r>
      <t>Logslope</t>
    </r>
    <r>
      <rPr>
        <vertAlign val="subscript"/>
        <sz val="11"/>
        <rFont val="Calibri"/>
        <family val="2"/>
        <scheme val="minor"/>
      </rPr>
      <t>CO2,AMX,pH</t>
    </r>
  </si>
  <si>
    <r>
      <t>Logistic slope of bicarbonate</t>
    </r>
    <r>
      <rPr>
        <sz val="11"/>
        <color rgb="FF000000"/>
        <rFont val="Calibri"/>
        <family val="2"/>
        <charset val="238"/>
        <scheme val="minor"/>
      </rPr>
      <t xml:space="preserve"> for AMX in AS</t>
    </r>
  </si>
  <si>
    <r>
      <t>Logslope</t>
    </r>
    <r>
      <rPr>
        <vertAlign val="subscript"/>
        <sz val="11"/>
        <rFont val="Calibri"/>
        <family val="2"/>
        <charset val="238"/>
        <scheme val="minor"/>
      </rPr>
      <t>VFA,FERM</t>
    </r>
  </si>
  <si>
    <t>Logistic slope of VFA fermentation switch for OHOs in AS</t>
  </si>
  <si>
    <r>
      <t>m</t>
    </r>
    <r>
      <rPr>
        <vertAlign val="superscript"/>
        <sz val="11"/>
        <rFont val="Calibri"/>
        <family val="2"/>
        <charset val="238"/>
        <scheme val="minor"/>
      </rPr>
      <t>3</t>
    </r>
    <r>
      <rPr>
        <sz val="11"/>
        <rFont val="Calibri"/>
        <family val="2"/>
        <scheme val="minor"/>
      </rPr>
      <t>.g COD</t>
    </r>
    <r>
      <rPr>
        <vertAlign val="superscript"/>
        <sz val="11"/>
        <rFont val="Calibri"/>
        <family val="2"/>
        <charset val="238"/>
        <scheme val="minor"/>
      </rPr>
      <t>-1</t>
    </r>
  </si>
  <si>
    <t>Logistic slope of VFA fermentation switch for OHOs in biofilm</t>
  </si>
  <si>
    <r>
      <t>Logslope</t>
    </r>
    <r>
      <rPr>
        <vertAlign val="subscript"/>
        <sz val="11"/>
        <rFont val="Calibri"/>
        <family val="2"/>
        <charset val="238"/>
        <scheme val="minor"/>
      </rPr>
      <t>PO4,PAO,sat</t>
    </r>
  </si>
  <si>
    <r>
      <t>Logistic slope of PO</t>
    </r>
    <r>
      <rPr>
        <vertAlign val="subscript"/>
        <sz val="11"/>
        <rFont val="Calibri"/>
        <family val="2"/>
        <charset val="238"/>
        <scheme val="minor"/>
      </rPr>
      <t>4</t>
    </r>
    <r>
      <rPr>
        <sz val="11"/>
        <rFont val="Calibri"/>
        <family val="2"/>
        <scheme val="minor"/>
      </rPr>
      <t xml:space="preserve"> uptake switch for PAOs in AS</t>
    </r>
  </si>
  <si>
    <r>
      <t>m</t>
    </r>
    <r>
      <rPr>
        <vertAlign val="superscript"/>
        <sz val="11"/>
        <rFont val="Calibri"/>
        <family val="2"/>
        <charset val="238"/>
        <scheme val="minor"/>
      </rPr>
      <t>3</t>
    </r>
    <r>
      <rPr>
        <sz val="11"/>
        <rFont val="Calibri"/>
        <family val="2"/>
        <scheme val="minor"/>
      </rPr>
      <t>.g P</t>
    </r>
    <r>
      <rPr>
        <vertAlign val="superscript"/>
        <sz val="11"/>
        <rFont val="Calibri"/>
        <family val="2"/>
        <charset val="238"/>
        <scheme val="minor"/>
      </rPr>
      <t>-1</t>
    </r>
  </si>
  <si>
    <r>
      <t>Logistic slope of PO</t>
    </r>
    <r>
      <rPr>
        <vertAlign val="subscript"/>
        <sz val="11"/>
        <rFont val="Calibri"/>
        <family val="2"/>
        <charset val="238"/>
        <scheme val="minor"/>
      </rPr>
      <t>4</t>
    </r>
    <r>
      <rPr>
        <sz val="11"/>
        <rFont val="Calibri"/>
        <family val="2"/>
        <scheme val="minor"/>
      </rPr>
      <t xml:space="preserve"> uptake switch for PAOs in biofilm</t>
    </r>
  </si>
  <si>
    <r>
      <t>Logslope</t>
    </r>
    <r>
      <rPr>
        <vertAlign val="subscript"/>
        <sz val="11"/>
        <rFont val="Calibri"/>
        <family val="2"/>
        <charset val="238"/>
        <scheme val="minor"/>
      </rPr>
      <t>PP,PAO,sat</t>
    </r>
  </si>
  <si>
    <t>Logistic slope of PP cleavage switch for PAOs in AS</t>
  </si>
  <si>
    <t>Logistic slope of PP cleavage switch for PAOs in biofilm</t>
  </si>
  <si>
    <r>
      <t>Logslope</t>
    </r>
    <r>
      <rPr>
        <vertAlign val="subscript"/>
        <sz val="11"/>
        <rFont val="Calibri"/>
        <family val="2"/>
        <charset val="238"/>
        <scheme val="minor"/>
      </rPr>
      <t>PHA,PAO,inh</t>
    </r>
  </si>
  <si>
    <t>Logistic slope of inhibition term for PHA/PAO</t>
  </si>
  <si>
    <r>
      <t>Logslope</t>
    </r>
    <r>
      <rPr>
        <vertAlign val="subscript"/>
        <sz val="11"/>
        <rFont val="Calibri"/>
        <family val="2"/>
        <charset val="238"/>
        <scheme val="minor"/>
      </rPr>
      <t>PP,PAO,inh</t>
    </r>
  </si>
  <si>
    <t>Logistic slope of inhibition term for PP/PAO</t>
  </si>
  <si>
    <r>
      <t>Logslope</t>
    </r>
    <r>
      <rPr>
        <vertAlign val="subscript"/>
        <sz val="11"/>
        <rFont val="Calibri"/>
        <family val="2"/>
        <charset val="238"/>
        <scheme val="minor"/>
      </rPr>
      <t>P,HFO,DISS</t>
    </r>
  </si>
  <si>
    <r>
      <t>Logistic slope of PO</t>
    </r>
    <r>
      <rPr>
        <vertAlign val="subscript"/>
        <sz val="11"/>
        <rFont val="Calibri"/>
        <family val="2"/>
        <charset val="238"/>
        <scheme val="minor"/>
      </rPr>
      <t>4</t>
    </r>
    <r>
      <rPr>
        <sz val="11"/>
        <rFont val="Calibri"/>
        <family val="2"/>
        <scheme val="minor"/>
      </rPr>
      <t xml:space="preserve"> in HFO redissolution</t>
    </r>
  </si>
  <si>
    <r>
      <t>Logslope</t>
    </r>
    <r>
      <rPr>
        <vertAlign val="subscript"/>
        <sz val="11"/>
        <rFont val="Calibri"/>
        <family val="2"/>
        <charset val="238"/>
        <scheme val="minor"/>
      </rPr>
      <t>P,HAO,DISS</t>
    </r>
  </si>
  <si>
    <r>
      <t>Logistic slope of PO</t>
    </r>
    <r>
      <rPr>
        <vertAlign val="subscript"/>
        <sz val="11"/>
        <rFont val="Calibri"/>
        <family val="2"/>
        <charset val="238"/>
        <scheme val="minor"/>
      </rPr>
      <t>4</t>
    </r>
    <r>
      <rPr>
        <sz val="11"/>
        <rFont val="Calibri"/>
        <family val="2"/>
        <scheme val="minor"/>
      </rPr>
      <t xml:space="preserve"> in HAO redissolution</t>
    </r>
  </si>
  <si>
    <r>
      <t>Logsat([HCO</t>
    </r>
    <r>
      <rPr>
        <vertAlign val="subscript"/>
        <sz val="11"/>
        <rFont val="Calibri"/>
        <family val="2"/>
        <scheme val="minor"/>
      </rPr>
      <t>3</t>
    </r>
    <r>
      <rPr>
        <vertAlign val="superscript"/>
        <sz val="11"/>
        <rFont val="Calibri"/>
        <family val="2"/>
        <scheme val="minor"/>
      </rPr>
      <t>-</t>
    </r>
    <r>
      <rPr>
        <sz val="11"/>
        <rFont val="Calibri"/>
        <family val="2"/>
        <scheme val="minor"/>
      </rPr>
      <t>]; K</t>
    </r>
    <r>
      <rPr>
        <vertAlign val="subscript"/>
        <sz val="11"/>
        <rFont val="Calibri"/>
        <family val="2"/>
        <scheme val="minor"/>
      </rPr>
      <t>CO2,AOB,pH</t>
    </r>
    <r>
      <rPr>
        <sz val="11"/>
        <rFont val="Calibri"/>
        <family val="2"/>
        <scheme val="minor"/>
      </rPr>
      <t>;  Logslope</t>
    </r>
    <r>
      <rPr>
        <vertAlign val="subscript"/>
        <sz val="11"/>
        <rFont val="Calibri"/>
        <family val="2"/>
        <charset val="238"/>
        <scheme val="minor"/>
      </rPr>
      <t>CO2,AOB,pH</t>
    </r>
    <r>
      <rPr>
        <sz val="11"/>
        <rFont val="Calibri"/>
        <family val="2"/>
        <scheme val="minor"/>
      </rPr>
      <t>)</t>
    </r>
  </si>
  <si>
    <r>
      <t>Logsat([HCO</t>
    </r>
    <r>
      <rPr>
        <vertAlign val="subscript"/>
        <sz val="11"/>
        <rFont val="Calibri"/>
        <family val="2"/>
        <scheme val="minor"/>
      </rPr>
      <t>3</t>
    </r>
    <r>
      <rPr>
        <vertAlign val="superscript"/>
        <sz val="11"/>
        <rFont val="Calibri"/>
        <family val="2"/>
        <scheme val="minor"/>
      </rPr>
      <t>-</t>
    </r>
    <r>
      <rPr>
        <sz val="11"/>
        <rFont val="Calibri"/>
        <family val="2"/>
        <scheme val="minor"/>
      </rPr>
      <t>]; K</t>
    </r>
    <r>
      <rPr>
        <vertAlign val="subscript"/>
        <sz val="11"/>
        <rFont val="Calibri"/>
        <family val="2"/>
        <scheme val="minor"/>
      </rPr>
      <t>CO2,NOB,pH</t>
    </r>
    <r>
      <rPr>
        <sz val="11"/>
        <rFont val="Calibri"/>
        <family val="2"/>
        <scheme val="minor"/>
      </rPr>
      <t>; Logslope</t>
    </r>
    <r>
      <rPr>
        <vertAlign val="subscript"/>
        <sz val="11"/>
        <rFont val="Calibri"/>
        <family val="2"/>
        <charset val="238"/>
        <scheme val="minor"/>
      </rPr>
      <t>CO2,NOB,pH</t>
    </r>
    <r>
      <rPr>
        <sz val="11"/>
        <rFont val="Calibri"/>
        <family val="2"/>
        <scheme val="minor"/>
      </rPr>
      <t>)</t>
    </r>
  </si>
  <si>
    <r>
      <t>Logsat([HCO</t>
    </r>
    <r>
      <rPr>
        <vertAlign val="subscript"/>
        <sz val="11"/>
        <rFont val="Calibri"/>
        <family val="2"/>
        <scheme val="minor"/>
      </rPr>
      <t>3</t>
    </r>
    <r>
      <rPr>
        <vertAlign val="superscript"/>
        <sz val="11"/>
        <rFont val="Calibri"/>
        <family val="2"/>
        <scheme val="minor"/>
      </rPr>
      <t>-</t>
    </r>
    <r>
      <rPr>
        <sz val="11"/>
        <rFont val="Calibri"/>
        <family val="2"/>
        <scheme val="minor"/>
      </rPr>
      <t>]; K</t>
    </r>
    <r>
      <rPr>
        <vertAlign val="subscript"/>
        <sz val="11"/>
        <rFont val="Calibri"/>
        <family val="2"/>
        <scheme val="minor"/>
      </rPr>
      <t>CO2,AMX,pH</t>
    </r>
    <r>
      <rPr>
        <sz val="11"/>
        <rFont val="Calibri"/>
        <family val="2"/>
        <scheme val="minor"/>
      </rPr>
      <t>; Logslope</t>
    </r>
    <r>
      <rPr>
        <vertAlign val="subscript"/>
        <sz val="11"/>
        <rFont val="Calibri"/>
        <family val="2"/>
        <charset val="238"/>
        <scheme val="minor"/>
      </rPr>
      <t>CO2,AMX,pH</t>
    </r>
    <r>
      <rPr>
        <sz val="11"/>
        <rFont val="Calibri"/>
        <family val="2"/>
        <scheme val="minor"/>
      </rPr>
      <t>)</t>
    </r>
  </si>
  <si>
    <r>
      <t>Logsat(S</t>
    </r>
    <r>
      <rPr>
        <vertAlign val="subscript"/>
        <sz val="11"/>
        <rFont val="Calibri"/>
        <family val="2"/>
        <scheme val="minor"/>
      </rPr>
      <t>VFA</t>
    </r>
    <r>
      <rPr>
        <sz val="11"/>
        <rFont val="Calibri"/>
        <family val="2"/>
        <scheme val="minor"/>
      </rPr>
      <t>;K</t>
    </r>
    <r>
      <rPr>
        <vertAlign val="subscript"/>
        <sz val="11"/>
        <rFont val="Calibri"/>
        <family val="2"/>
        <scheme val="minor"/>
      </rPr>
      <t>VFA,FERM</t>
    </r>
    <r>
      <rPr>
        <sz val="11"/>
        <rFont val="Calibri"/>
        <family val="2"/>
        <scheme val="minor"/>
      </rPr>
      <t>;Logslope</t>
    </r>
    <r>
      <rPr>
        <vertAlign val="subscript"/>
        <sz val="11"/>
        <rFont val="Calibri"/>
        <family val="2"/>
        <scheme val="minor"/>
      </rPr>
      <t>VFA,FERM</t>
    </r>
    <r>
      <rPr>
        <sz val="11"/>
        <rFont val="Calibri"/>
        <family val="2"/>
        <scheme val="minor"/>
      </rPr>
      <t>)</t>
    </r>
  </si>
  <si>
    <r>
      <t>Loginh(S</t>
    </r>
    <r>
      <rPr>
        <vertAlign val="subscript"/>
        <sz val="11"/>
        <rFont val="Calibri"/>
        <family val="2"/>
        <scheme val="minor"/>
      </rPr>
      <t>VFA</t>
    </r>
    <r>
      <rPr>
        <sz val="11"/>
        <rFont val="Calibri"/>
        <family val="2"/>
        <scheme val="minor"/>
      </rPr>
      <t>;K</t>
    </r>
    <r>
      <rPr>
        <vertAlign val="subscript"/>
        <sz val="11"/>
        <rFont val="Calibri"/>
        <family val="2"/>
        <scheme val="minor"/>
      </rPr>
      <t>VFA,FERM</t>
    </r>
    <r>
      <rPr>
        <sz val="11"/>
        <rFont val="Calibri"/>
        <family val="2"/>
        <scheme val="minor"/>
      </rPr>
      <t>;Logslope</t>
    </r>
    <r>
      <rPr>
        <vertAlign val="subscript"/>
        <sz val="11"/>
        <rFont val="Calibri"/>
        <family val="2"/>
        <scheme val="minor"/>
      </rPr>
      <t>VFA,FERM</t>
    </r>
    <r>
      <rPr>
        <sz val="11"/>
        <rFont val="Calibri"/>
        <family val="2"/>
        <scheme val="minor"/>
      </rPr>
      <t>)</t>
    </r>
  </si>
  <si>
    <r>
      <t>Logsat(S</t>
    </r>
    <r>
      <rPr>
        <vertAlign val="subscript"/>
        <sz val="11"/>
        <rFont val="Calibri"/>
        <family val="2"/>
        <scheme val="minor"/>
      </rPr>
      <t>PO4</t>
    </r>
    <r>
      <rPr>
        <sz val="11"/>
        <rFont val="Calibri"/>
        <family val="2"/>
        <scheme val="minor"/>
      </rPr>
      <t>;K</t>
    </r>
    <r>
      <rPr>
        <vertAlign val="subscript"/>
        <sz val="11"/>
        <rFont val="Calibri"/>
        <family val="2"/>
        <scheme val="minor"/>
      </rPr>
      <t>PO4,PAO</t>
    </r>
    <r>
      <rPr>
        <sz val="11"/>
        <rFont val="Calibri"/>
        <family val="2"/>
        <scheme val="minor"/>
      </rPr>
      <t>;Logslope</t>
    </r>
    <r>
      <rPr>
        <vertAlign val="subscript"/>
        <sz val="11"/>
        <rFont val="Calibri"/>
        <family val="2"/>
        <charset val="238"/>
        <scheme val="minor"/>
      </rPr>
      <t>PO4,PAO,sat</t>
    </r>
    <r>
      <rPr>
        <sz val="11"/>
        <rFont val="Calibri"/>
        <family val="2"/>
        <scheme val="minor"/>
      </rPr>
      <t>)</t>
    </r>
  </si>
  <si>
    <r>
      <t>Logsat(X</t>
    </r>
    <r>
      <rPr>
        <vertAlign val="subscript"/>
        <sz val="11"/>
        <rFont val="Calibri"/>
        <family val="2"/>
        <scheme val="minor"/>
      </rPr>
      <t>PP</t>
    </r>
    <r>
      <rPr>
        <sz val="11"/>
        <rFont val="Calibri"/>
        <family val="2"/>
        <scheme val="minor"/>
      </rPr>
      <t>;K</t>
    </r>
    <r>
      <rPr>
        <vertAlign val="subscript"/>
        <sz val="11"/>
        <rFont val="Calibri"/>
        <family val="2"/>
        <scheme val="minor"/>
      </rPr>
      <t>PO4,PAO</t>
    </r>
    <r>
      <rPr>
        <sz val="11"/>
        <rFont val="Calibri"/>
        <family val="2"/>
        <scheme val="minor"/>
      </rPr>
      <t>;Logslope</t>
    </r>
    <r>
      <rPr>
        <vertAlign val="subscript"/>
        <sz val="11"/>
        <rFont val="Calibri"/>
        <family val="2"/>
        <charset val="238"/>
        <scheme val="minor"/>
      </rPr>
      <t>PP,PAO,sat</t>
    </r>
    <r>
      <rPr>
        <sz val="11"/>
        <rFont val="Calibri"/>
        <family val="2"/>
        <scheme val="minor"/>
      </rPr>
      <t>)</t>
    </r>
  </si>
  <si>
    <r>
      <t>Loginh(X</t>
    </r>
    <r>
      <rPr>
        <vertAlign val="subscript"/>
        <sz val="11"/>
        <rFont val="Calibri"/>
        <family val="2"/>
        <charset val="238"/>
        <scheme val="minor"/>
      </rPr>
      <t>PP</t>
    </r>
    <r>
      <rPr>
        <sz val="11"/>
        <rFont val="Calibri"/>
        <family val="2"/>
        <scheme val="minor"/>
      </rPr>
      <t>/X</t>
    </r>
    <r>
      <rPr>
        <vertAlign val="subscript"/>
        <sz val="11"/>
        <rFont val="Calibri"/>
        <family val="2"/>
        <charset val="238"/>
        <scheme val="minor"/>
      </rPr>
      <t>PAO</t>
    </r>
    <r>
      <rPr>
        <sz val="11"/>
        <rFont val="Calibri"/>
        <family val="2"/>
        <scheme val="minor"/>
      </rPr>
      <t>; Ki</t>
    </r>
    <r>
      <rPr>
        <vertAlign val="subscript"/>
        <sz val="11"/>
        <rFont val="Calibri"/>
        <family val="2"/>
        <charset val="238"/>
        <scheme val="minor"/>
      </rPr>
      <t>PP,PAO,max</t>
    </r>
    <r>
      <rPr>
        <sz val="11"/>
        <rFont val="Calibri"/>
        <family val="2"/>
        <scheme val="minor"/>
      </rPr>
      <t>; Logslope</t>
    </r>
    <r>
      <rPr>
        <vertAlign val="subscript"/>
        <sz val="11"/>
        <rFont val="Calibri"/>
        <family val="2"/>
        <charset val="238"/>
        <scheme val="minor"/>
      </rPr>
      <t>PP,PAO,inh</t>
    </r>
    <r>
      <rPr>
        <sz val="11"/>
        <rFont val="Calibri"/>
        <family val="2"/>
        <scheme val="minor"/>
      </rPr>
      <t>)</t>
    </r>
  </si>
  <si>
    <r>
      <t>Loginh(S</t>
    </r>
    <r>
      <rPr>
        <vertAlign val="subscript"/>
        <sz val="11"/>
        <rFont val="Calibri"/>
        <family val="2"/>
        <scheme val="minor"/>
      </rPr>
      <t>PO4</t>
    </r>
    <r>
      <rPr>
        <sz val="11"/>
        <rFont val="Calibri"/>
        <family val="2"/>
        <scheme val="minor"/>
      </rPr>
      <t>;Ki</t>
    </r>
    <r>
      <rPr>
        <vertAlign val="subscript"/>
        <sz val="11"/>
        <rFont val="Calibri"/>
        <family val="2"/>
        <scheme val="minor"/>
      </rPr>
      <t>P,HFO,DISS</t>
    </r>
    <r>
      <rPr>
        <sz val="11"/>
        <rFont val="Calibri"/>
        <family val="2"/>
        <scheme val="minor"/>
      </rPr>
      <t>;Logslope</t>
    </r>
    <r>
      <rPr>
        <vertAlign val="subscript"/>
        <sz val="11"/>
        <rFont val="Calibri"/>
        <family val="2"/>
        <charset val="238"/>
        <scheme val="minor"/>
      </rPr>
      <t>P,HFO,DISS</t>
    </r>
    <r>
      <rPr>
        <sz val="11"/>
        <rFont val="Calibri"/>
        <family val="2"/>
        <scheme val="minor"/>
      </rPr>
      <t>)</t>
    </r>
  </si>
  <si>
    <r>
      <t>Loginh(S</t>
    </r>
    <r>
      <rPr>
        <vertAlign val="subscript"/>
        <sz val="11"/>
        <rFont val="Calibri"/>
        <family val="2"/>
        <scheme val="minor"/>
      </rPr>
      <t>PO4</t>
    </r>
    <r>
      <rPr>
        <sz val="11"/>
        <rFont val="Calibri"/>
        <family val="2"/>
        <scheme val="minor"/>
      </rPr>
      <t>;Ki</t>
    </r>
    <r>
      <rPr>
        <vertAlign val="subscript"/>
        <sz val="11"/>
        <rFont val="Calibri"/>
        <family val="2"/>
        <scheme val="minor"/>
      </rPr>
      <t>P,HAO,DISS</t>
    </r>
    <r>
      <rPr>
        <sz val="11"/>
        <rFont val="Calibri"/>
        <family val="2"/>
        <scheme val="minor"/>
      </rPr>
      <t>;Logslope</t>
    </r>
    <r>
      <rPr>
        <vertAlign val="subscript"/>
        <sz val="11"/>
        <rFont val="Calibri"/>
        <family val="2"/>
        <charset val="238"/>
        <scheme val="minor"/>
      </rPr>
      <t>P,HAO,DISS</t>
    </r>
    <r>
      <rPr>
        <sz val="11"/>
        <rFont val="Calibri"/>
        <family val="2"/>
        <scheme val="minor"/>
      </rPr>
      <t>)</t>
    </r>
  </si>
  <si>
    <t>var / (var + halfval * Exp((halfval - var) * slope))</t>
  </si>
  <si>
    <t>1 - var / (var + halfval * Exp((halfval - var) * slope))</t>
  </si>
  <si>
    <r>
      <t>mol [HCO</t>
    </r>
    <r>
      <rPr>
        <vertAlign val="subscript"/>
        <sz val="11"/>
        <color indexed="8"/>
        <rFont val="Calibri"/>
        <family val="2"/>
        <scheme val="minor"/>
      </rPr>
      <t>3</t>
    </r>
    <r>
      <rPr>
        <vertAlign val="superscript"/>
        <sz val="11"/>
        <color indexed="8"/>
        <rFont val="Calibri"/>
        <family val="2"/>
        <scheme val="minor"/>
      </rPr>
      <t>-</t>
    </r>
    <r>
      <rPr>
        <sz val="11"/>
        <color indexed="8"/>
        <rFont val="Calibri"/>
        <family val="2"/>
        <scheme val="minor"/>
      </rPr>
      <t>].L</t>
    </r>
    <r>
      <rPr>
        <vertAlign val="superscript"/>
        <sz val="11"/>
        <color indexed="8"/>
        <rFont val="Calibri"/>
        <family val="2"/>
        <charset val="238"/>
        <scheme val="minor"/>
      </rPr>
      <t>-1</t>
    </r>
  </si>
  <si>
    <t>Logisticslope(halfval; range)</t>
  </si>
  <si>
    <t>Slope for logistic saturation and inhibition functions</t>
  </si>
  <si>
    <t>(-1)*(2 / (halfval * range)) * Ln((1/19) * (1 + (1/2) * (halfval * range / halfval)))</t>
  </si>
  <si>
    <r>
      <t>Logisticslope(K</t>
    </r>
    <r>
      <rPr>
        <vertAlign val="subscript"/>
        <sz val="11"/>
        <rFont val="Calibri"/>
        <family val="2"/>
        <charset val="238"/>
        <scheme val="minor"/>
      </rPr>
      <t>PO4,PAO</t>
    </r>
    <r>
      <rPr>
        <sz val="11"/>
        <rFont val="Calibri"/>
        <family val="2"/>
        <scheme val="minor"/>
      </rPr>
      <t>; Logrange</t>
    </r>
    <r>
      <rPr>
        <vertAlign val="subscript"/>
        <sz val="11"/>
        <rFont val="Calibri"/>
        <family val="2"/>
        <charset val="238"/>
        <scheme val="minor"/>
      </rPr>
      <t>PP,PAO,AS,sat</t>
    </r>
    <r>
      <rPr>
        <sz val="11"/>
        <rFont val="Calibri"/>
        <family val="2"/>
        <scheme val="minor"/>
      </rPr>
      <t>) / f</t>
    </r>
    <r>
      <rPr>
        <vertAlign val="subscript"/>
        <sz val="11"/>
        <rFont val="Calibri"/>
        <family val="2"/>
        <scheme val="minor"/>
      </rPr>
      <t>KS</t>
    </r>
  </si>
  <si>
    <r>
      <t>Logisticslope(K</t>
    </r>
    <r>
      <rPr>
        <vertAlign val="subscript"/>
        <sz val="11"/>
        <rFont val="Calibri"/>
        <family val="2"/>
        <charset val="238"/>
        <scheme val="minor"/>
      </rPr>
      <t>PO4,PAO</t>
    </r>
    <r>
      <rPr>
        <sz val="11"/>
        <rFont val="Calibri"/>
        <family val="2"/>
        <scheme val="minor"/>
      </rPr>
      <t>; Logrange</t>
    </r>
    <r>
      <rPr>
        <vertAlign val="subscript"/>
        <sz val="11"/>
        <rFont val="Calibri"/>
        <family val="2"/>
        <charset val="238"/>
        <scheme val="minor"/>
      </rPr>
      <t>PO4,PAO,AS,sat</t>
    </r>
    <r>
      <rPr>
        <sz val="11"/>
        <rFont val="Calibri"/>
        <family val="2"/>
        <scheme val="minor"/>
      </rPr>
      <t>)</t>
    </r>
    <r>
      <rPr>
        <sz val="11"/>
        <rFont val="Calibri"/>
        <family val="2"/>
        <scheme val="minor"/>
      </rPr>
      <t xml:space="preserve"> / f</t>
    </r>
    <r>
      <rPr>
        <vertAlign val="subscript"/>
        <sz val="11"/>
        <rFont val="Calibri"/>
        <family val="2"/>
        <scheme val="minor"/>
      </rPr>
      <t>KS</t>
    </r>
  </si>
  <si>
    <r>
      <t>Logisticslope(K</t>
    </r>
    <r>
      <rPr>
        <vertAlign val="subscript"/>
        <sz val="11"/>
        <rFont val="Calibri"/>
        <family val="2"/>
        <charset val="238"/>
        <scheme val="minor"/>
      </rPr>
      <t>VFA,FERM</t>
    </r>
    <r>
      <rPr>
        <sz val="11"/>
        <rFont val="Calibri"/>
        <family val="2"/>
        <scheme val="minor"/>
      </rPr>
      <t>; Logrange</t>
    </r>
    <r>
      <rPr>
        <vertAlign val="subscript"/>
        <sz val="11"/>
        <rFont val="Calibri"/>
        <family val="2"/>
        <charset val="238"/>
        <scheme val="minor"/>
      </rPr>
      <t>VFA,FERM,AS</t>
    </r>
    <r>
      <rPr>
        <sz val="11"/>
        <rFont val="Calibri"/>
        <family val="2"/>
        <scheme val="minor"/>
      </rPr>
      <t>)</t>
    </r>
    <r>
      <rPr>
        <sz val="11"/>
        <rFont val="Calibri"/>
        <family val="2"/>
        <scheme val="minor"/>
      </rPr>
      <t xml:space="preserve"> / f</t>
    </r>
    <r>
      <rPr>
        <vertAlign val="subscript"/>
        <sz val="11"/>
        <rFont val="Calibri"/>
        <family val="2"/>
        <scheme val="minor"/>
      </rPr>
      <t>KS</t>
    </r>
  </si>
  <si>
    <r>
      <t>Logisticslope(Ki</t>
    </r>
    <r>
      <rPr>
        <vertAlign val="subscript"/>
        <sz val="11"/>
        <rFont val="Calibri"/>
        <family val="2"/>
        <charset val="238"/>
        <scheme val="minor"/>
      </rPr>
      <t>P,HAO,DISS</t>
    </r>
    <r>
      <rPr>
        <sz val="11"/>
        <rFont val="Calibri"/>
        <family val="2"/>
        <scheme val="minor"/>
      </rPr>
      <t>; Logrange</t>
    </r>
    <r>
      <rPr>
        <vertAlign val="subscript"/>
        <sz val="11"/>
        <rFont val="Calibri"/>
        <family val="2"/>
        <charset val="238"/>
        <scheme val="minor"/>
      </rPr>
      <t>P,HAO,DISS</t>
    </r>
    <r>
      <rPr>
        <sz val="11"/>
        <rFont val="Calibri"/>
        <family val="2"/>
        <scheme val="minor"/>
      </rPr>
      <t>)</t>
    </r>
  </si>
  <si>
    <r>
      <t>Logisticslope(Ki</t>
    </r>
    <r>
      <rPr>
        <vertAlign val="subscript"/>
        <sz val="11"/>
        <rFont val="Calibri"/>
        <family val="2"/>
        <charset val="238"/>
        <scheme val="minor"/>
      </rPr>
      <t>P,HFO,DISS</t>
    </r>
    <r>
      <rPr>
        <sz val="11"/>
        <rFont val="Calibri"/>
        <family val="2"/>
        <scheme val="minor"/>
      </rPr>
      <t>; Logrange</t>
    </r>
    <r>
      <rPr>
        <vertAlign val="subscript"/>
        <sz val="11"/>
        <rFont val="Calibri"/>
        <family val="2"/>
        <charset val="238"/>
        <scheme val="minor"/>
      </rPr>
      <t>P,HFO,DISS</t>
    </r>
    <r>
      <rPr>
        <sz val="11"/>
        <rFont val="Calibri"/>
        <family val="2"/>
        <scheme val="minor"/>
      </rPr>
      <t>)</t>
    </r>
  </si>
  <si>
    <r>
      <t>Logisticslope(Ki</t>
    </r>
    <r>
      <rPr>
        <vertAlign val="subscript"/>
        <sz val="11"/>
        <rFont val="Calibri"/>
        <family val="2"/>
        <charset val="238"/>
        <scheme val="minor"/>
      </rPr>
      <t>PP,PAO,max</t>
    </r>
    <r>
      <rPr>
        <sz val="11"/>
        <rFont val="Calibri"/>
        <family val="2"/>
        <scheme val="minor"/>
      </rPr>
      <t>; Logrange</t>
    </r>
    <r>
      <rPr>
        <vertAlign val="subscript"/>
        <sz val="11"/>
        <rFont val="Calibri"/>
        <family val="2"/>
        <charset val="238"/>
        <scheme val="minor"/>
      </rPr>
      <t>PP,PAO,inh</t>
    </r>
    <r>
      <rPr>
        <sz val="11"/>
        <rFont val="Calibri"/>
        <family val="2"/>
        <scheme val="minor"/>
      </rPr>
      <t>)</t>
    </r>
  </si>
  <si>
    <r>
      <t>Logisticslope(Ki</t>
    </r>
    <r>
      <rPr>
        <vertAlign val="subscript"/>
        <sz val="11"/>
        <rFont val="Calibri"/>
        <family val="2"/>
        <charset val="238"/>
        <scheme val="minor"/>
      </rPr>
      <t>PHA,PAO,max</t>
    </r>
    <r>
      <rPr>
        <sz val="11"/>
        <rFont val="Calibri"/>
        <family val="2"/>
        <scheme val="minor"/>
      </rPr>
      <t>; Logrange</t>
    </r>
    <r>
      <rPr>
        <vertAlign val="subscript"/>
        <sz val="11"/>
        <rFont val="Calibri"/>
        <family val="2"/>
        <charset val="238"/>
        <scheme val="minor"/>
      </rPr>
      <t>PHA,PAO,inh</t>
    </r>
    <r>
      <rPr>
        <sz val="11"/>
        <rFont val="Calibri"/>
        <family val="2"/>
        <scheme val="minor"/>
      </rPr>
      <t>)</t>
    </r>
  </si>
  <si>
    <r>
      <t>Logisticslope(K</t>
    </r>
    <r>
      <rPr>
        <vertAlign val="subscript"/>
        <sz val="11"/>
        <rFont val="Calibri"/>
        <family val="2"/>
        <charset val="238"/>
        <scheme val="minor"/>
      </rPr>
      <t>PO4,PAO</t>
    </r>
    <r>
      <rPr>
        <sz val="11"/>
        <rFont val="Calibri"/>
        <family val="2"/>
        <scheme val="minor"/>
      </rPr>
      <t>; Logrange</t>
    </r>
    <r>
      <rPr>
        <vertAlign val="subscript"/>
        <sz val="11"/>
        <rFont val="Calibri"/>
        <family val="2"/>
        <charset val="238"/>
        <scheme val="minor"/>
      </rPr>
      <t>PP,PAO,AS,sat</t>
    </r>
    <r>
      <rPr>
        <sz val="11"/>
        <rFont val="Calibri"/>
        <family val="2"/>
        <scheme val="minor"/>
      </rPr>
      <t>)</t>
    </r>
  </si>
  <si>
    <r>
      <t>Logisticslope(K</t>
    </r>
    <r>
      <rPr>
        <vertAlign val="subscript"/>
        <sz val="11"/>
        <rFont val="Calibri"/>
        <family val="2"/>
        <charset val="238"/>
        <scheme val="minor"/>
      </rPr>
      <t>PO4,PAO</t>
    </r>
    <r>
      <rPr>
        <sz val="11"/>
        <rFont val="Calibri"/>
        <family val="2"/>
        <scheme val="minor"/>
      </rPr>
      <t>; Logrange</t>
    </r>
    <r>
      <rPr>
        <vertAlign val="subscript"/>
        <sz val="11"/>
        <rFont val="Calibri"/>
        <family val="2"/>
        <charset val="238"/>
        <scheme val="minor"/>
      </rPr>
      <t>PO4,PAO,AS,sat</t>
    </r>
    <r>
      <rPr>
        <sz val="11"/>
        <rFont val="Calibri"/>
        <family val="2"/>
        <scheme val="minor"/>
      </rPr>
      <t>)</t>
    </r>
  </si>
  <si>
    <r>
      <t>Logisticslope(K</t>
    </r>
    <r>
      <rPr>
        <vertAlign val="subscript"/>
        <sz val="11"/>
        <rFont val="Calibri"/>
        <family val="2"/>
        <charset val="238"/>
        <scheme val="minor"/>
      </rPr>
      <t>VFA,FERM</t>
    </r>
    <r>
      <rPr>
        <sz val="11"/>
        <rFont val="Calibri"/>
        <family val="2"/>
        <scheme val="minor"/>
      </rPr>
      <t>; Logrange</t>
    </r>
    <r>
      <rPr>
        <vertAlign val="subscript"/>
        <sz val="11"/>
        <rFont val="Calibri"/>
        <family val="2"/>
        <charset val="238"/>
        <scheme val="minor"/>
      </rPr>
      <t>VFA,FERM,AS</t>
    </r>
    <r>
      <rPr>
        <sz val="11"/>
        <rFont val="Calibri"/>
        <family val="2"/>
        <scheme val="minor"/>
      </rPr>
      <t>)</t>
    </r>
  </si>
  <si>
    <r>
      <t>Logisticslope(K</t>
    </r>
    <r>
      <rPr>
        <vertAlign val="subscript"/>
        <sz val="11"/>
        <rFont val="Calibri"/>
        <family val="2"/>
        <charset val="238"/>
        <scheme val="minor"/>
      </rPr>
      <t>CO2,AMX,pH,AS</t>
    </r>
    <r>
      <rPr>
        <sz val="11"/>
        <rFont val="Calibri"/>
        <family val="2"/>
        <scheme val="minor"/>
      </rPr>
      <t>; Logrange</t>
    </r>
    <r>
      <rPr>
        <vertAlign val="subscript"/>
        <sz val="11"/>
        <rFont val="Calibri"/>
        <family val="2"/>
        <charset val="238"/>
        <scheme val="minor"/>
      </rPr>
      <t>CO2,AMX,pH,AS</t>
    </r>
    <r>
      <rPr>
        <sz val="11"/>
        <rFont val="Calibri"/>
        <family val="2"/>
        <scheme val="minor"/>
      </rPr>
      <t>)</t>
    </r>
  </si>
  <si>
    <r>
      <t>Logisticslope(K</t>
    </r>
    <r>
      <rPr>
        <vertAlign val="subscript"/>
        <sz val="11"/>
        <rFont val="Calibri"/>
        <family val="2"/>
        <charset val="238"/>
        <scheme val="minor"/>
      </rPr>
      <t>CO2,AOB,pH,AS</t>
    </r>
    <r>
      <rPr>
        <sz val="11"/>
        <rFont val="Calibri"/>
        <family val="2"/>
        <scheme val="minor"/>
      </rPr>
      <t>; Logrange</t>
    </r>
    <r>
      <rPr>
        <vertAlign val="subscript"/>
        <sz val="11"/>
        <rFont val="Calibri"/>
        <family val="2"/>
        <charset val="238"/>
        <scheme val="minor"/>
      </rPr>
      <t>CO2,AOB,pH,AS</t>
    </r>
    <r>
      <rPr>
        <sz val="11"/>
        <rFont val="Calibri"/>
        <family val="2"/>
        <scheme val="minor"/>
      </rPr>
      <t>)</t>
    </r>
  </si>
  <si>
    <r>
      <t>Logisticslope(K</t>
    </r>
    <r>
      <rPr>
        <vertAlign val="subscript"/>
        <sz val="11"/>
        <rFont val="Calibri"/>
        <family val="2"/>
        <charset val="238"/>
        <scheme val="minor"/>
      </rPr>
      <t>CO2,AOB,pH,sidestream</t>
    </r>
    <r>
      <rPr>
        <sz val="11"/>
        <rFont val="Calibri"/>
        <family val="2"/>
        <scheme val="minor"/>
      </rPr>
      <t>; Logrange</t>
    </r>
    <r>
      <rPr>
        <vertAlign val="subscript"/>
        <sz val="11"/>
        <rFont val="Calibri"/>
        <family val="2"/>
        <charset val="238"/>
        <scheme val="minor"/>
      </rPr>
      <t>CO2,AOB,pH,sidestream</t>
    </r>
    <r>
      <rPr>
        <sz val="11"/>
        <rFont val="Calibri"/>
        <family val="2"/>
        <scheme val="minor"/>
      </rPr>
      <t>)</t>
    </r>
  </si>
  <si>
    <r>
      <t>Logisticslope(K</t>
    </r>
    <r>
      <rPr>
        <vertAlign val="subscript"/>
        <sz val="11"/>
        <rFont val="Calibri"/>
        <family val="2"/>
        <charset val="238"/>
        <scheme val="minor"/>
      </rPr>
      <t>CO2,NOB,pH,AS</t>
    </r>
    <r>
      <rPr>
        <sz val="11"/>
        <rFont val="Calibri"/>
        <family val="2"/>
        <scheme val="minor"/>
      </rPr>
      <t>; Logrange</t>
    </r>
    <r>
      <rPr>
        <vertAlign val="subscript"/>
        <sz val="11"/>
        <rFont val="Calibri"/>
        <family val="2"/>
        <charset val="238"/>
        <scheme val="minor"/>
      </rPr>
      <t>CO2,NOB,pH,AS</t>
    </r>
    <r>
      <rPr>
        <sz val="11"/>
        <rFont val="Calibri"/>
        <family val="2"/>
        <scheme val="minor"/>
      </rPr>
      <t>)</t>
    </r>
  </si>
  <si>
    <t>based on the 95% percentile of the saturation function</t>
  </si>
  <si>
    <r>
      <t>i</t>
    </r>
    <r>
      <rPr>
        <vertAlign val="subscript"/>
        <sz val="11"/>
        <rFont val="Calibri"/>
        <family val="2"/>
        <scheme val="minor"/>
      </rPr>
      <t>S,BIO</t>
    </r>
    <r>
      <rPr>
        <sz val="11"/>
        <rFont val="Calibri"/>
        <family val="2"/>
        <scheme val="minor"/>
      </rPr>
      <t>*(X</t>
    </r>
    <r>
      <rPr>
        <vertAlign val="subscript"/>
        <sz val="11"/>
        <rFont val="Calibri"/>
        <family val="2"/>
        <scheme val="minor"/>
      </rPr>
      <t>BIO</t>
    </r>
    <r>
      <rPr>
        <sz val="11"/>
        <rFont val="Calibri"/>
        <family val="2"/>
        <scheme val="minor"/>
      </rPr>
      <t>+X</t>
    </r>
    <r>
      <rPr>
        <vertAlign val="subscript"/>
        <sz val="11"/>
        <rFont val="Calibri"/>
        <family val="2"/>
        <scheme val="minor"/>
      </rPr>
      <t>E,ana</t>
    </r>
    <r>
      <rPr>
        <sz val="11"/>
        <rFont val="Calibri"/>
        <family val="2"/>
        <scheme val="minor"/>
      </rPr>
      <t>+X</t>
    </r>
    <r>
      <rPr>
        <vertAlign val="subscript"/>
        <sz val="11"/>
        <rFont val="Calibri"/>
        <family val="2"/>
        <scheme val="minor"/>
      </rPr>
      <t>E</t>
    </r>
    <r>
      <rPr>
        <sz val="11"/>
        <rFont val="Calibri"/>
        <family val="2"/>
        <scheme val="minor"/>
      </rPr>
      <t>) + i</t>
    </r>
    <r>
      <rPr>
        <vertAlign val="subscript"/>
        <sz val="11"/>
        <rFont val="Calibri"/>
        <family val="2"/>
        <scheme val="minor"/>
      </rPr>
      <t>S,SB</t>
    </r>
    <r>
      <rPr>
        <sz val="11"/>
        <rFont val="Calibri"/>
        <family val="2"/>
        <scheme val="minor"/>
      </rPr>
      <t>*S</t>
    </r>
    <r>
      <rPr>
        <vertAlign val="subscript"/>
        <sz val="11"/>
        <rFont val="Calibri"/>
        <family val="2"/>
        <scheme val="minor"/>
      </rPr>
      <t>B</t>
    </r>
    <r>
      <rPr>
        <sz val="11"/>
        <rFont val="Calibri"/>
        <family val="2"/>
        <scheme val="minor"/>
      </rPr>
      <t>+i</t>
    </r>
    <r>
      <rPr>
        <vertAlign val="subscript"/>
        <sz val="11"/>
        <rFont val="Calibri"/>
        <family val="2"/>
        <scheme val="minor"/>
      </rPr>
      <t>S,CB</t>
    </r>
    <r>
      <rPr>
        <sz val="11"/>
        <rFont val="Calibri"/>
        <family val="2"/>
        <scheme val="minor"/>
      </rPr>
      <t>*C</t>
    </r>
    <r>
      <rPr>
        <vertAlign val="subscript"/>
        <sz val="11"/>
        <rFont val="Calibri"/>
        <family val="2"/>
        <scheme val="minor"/>
      </rPr>
      <t>B</t>
    </r>
    <r>
      <rPr>
        <sz val="11"/>
        <rFont val="Calibri"/>
        <family val="2"/>
        <scheme val="minor"/>
      </rPr>
      <t>+i</t>
    </r>
    <r>
      <rPr>
        <vertAlign val="subscript"/>
        <sz val="11"/>
        <rFont val="Calibri"/>
        <family val="2"/>
        <scheme val="minor"/>
      </rPr>
      <t>S,XB</t>
    </r>
    <r>
      <rPr>
        <sz val="11"/>
        <rFont val="Calibri"/>
        <family val="2"/>
        <scheme val="minor"/>
      </rPr>
      <t>*X</t>
    </r>
    <r>
      <rPr>
        <vertAlign val="subscript"/>
        <sz val="11"/>
        <rFont val="Calibri"/>
        <family val="2"/>
        <scheme val="minor"/>
      </rPr>
      <t>B</t>
    </r>
    <r>
      <rPr>
        <sz val="11"/>
        <rFont val="Calibri"/>
        <family val="2"/>
        <scheme val="minor"/>
      </rPr>
      <t>+i</t>
    </r>
    <r>
      <rPr>
        <vertAlign val="subscript"/>
        <sz val="11"/>
        <rFont val="Calibri"/>
        <family val="2"/>
        <scheme val="minor"/>
      </rPr>
      <t>S,SU</t>
    </r>
    <r>
      <rPr>
        <sz val="11"/>
        <rFont val="Calibri"/>
        <family val="2"/>
        <scheme val="minor"/>
      </rPr>
      <t>*S</t>
    </r>
    <r>
      <rPr>
        <vertAlign val="subscript"/>
        <sz val="11"/>
        <rFont val="Calibri"/>
        <family val="2"/>
        <scheme val="minor"/>
      </rPr>
      <t>U</t>
    </r>
    <r>
      <rPr>
        <sz val="11"/>
        <rFont val="Calibri"/>
        <family val="2"/>
        <scheme val="minor"/>
      </rPr>
      <t>+i</t>
    </r>
    <r>
      <rPr>
        <vertAlign val="subscript"/>
        <sz val="11"/>
        <rFont val="Calibri"/>
        <family val="2"/>
        <scheme val="minor"/>
      </rPr>
      <t>S,XU</t>
    </r>
    <r>
      <rPr>
        <sz val="11"/>
        <rFont val="Calibri"/>
        <family val="2"/>
        <scheme val="minor"/>
      </rPr>
      <t>*X</t>
    </r>
    <r>
      <rPr>
        <vertAlign val="subscript"/>
        <sz val="11"/>
        <rFont val="Calibri"/>
        <family val="2"/>
        <scheme val="minor"/>
      </rPr>
      <t>U</t>
    </r>
    <r>
      <rPr>
        <sz val="11"/>
        <rFont val="Calibri"/>
        <family val="2"/>
        <scheme val="minor"/>
      </rPr>
      <t>+i</t>
    </r>
    <r>
      <rPr>
        <vertAlign val="subscript"/>
        <sz val="11"/>
        <rFont val="Calibri"/>
        <family val="2"/>
        <scheme val="minor"/>
      </rPr>
      <t>S,CU</t>
    </r>
    <r>
      <rPr>
        <sz val="11"/>
        <rFont val="Calibri"/>
        <family val="2"/>
        <scheme val="minor"/>
      </rPr>
      <t>*C</t>
    </r>
    <r>
      <rPr>
        <vertAlign val="subscript"/>
        <sz val="11"/>
        <rFont val="Calibri"/>
        <family val="2"/>
        <scheme val="minor"/>
      </rPr>
      <t>U</t>
    </r>
    <r>
      <rPr>
        <sz val="11"/>
        <rFont val="Calibri"/>
        <family val="2"/>
        <scheme val="minor"/>
      </rPr>
      <t xml:space="preserve"> + i</t>
    </r>
    <r>
      <rPr>
        <vertAlign val="subscript"/>
        <sz val="11"/>
        <rFont val="Calibri"/>
        <family val="2"/>
        <scheme val="minor"/>
      </rPr>
      <t>S,FeS</t>
    </r>
    <r>
      <rPr>
        <sz val="11"/>
        <rFont val="Calibri"/>
        <family val="2"/>
        <scheme val="minor"/>
      </rPr>
      <t>*X</t>
    </r>
    <r>
      <rPr>
        <vertAlign val="subscript"/>
        <sz val="11"/>
        <rFont val="Calibri"/>
        <family val="2"/>
        <scheme val="minor"/>
      </rPr>
      <t>FeS</t>
    </r>
    <r>
      <rPr>
        <sz val="11"/>
        <rFont val="Calibri"/>
        <family val="2"/>
        <scheme val="minor"/>
      </rPr>
      <t xml:space="preserve"> + S</t>
    </r>
    <r>
      <rPr>
        <vertAlign val="subscript"/>
        <sz val="11"/>
        <rFont val="Calibri"/>
        <family val="2"/>
        <scheme val="minor"/>
      </rPr>
      <t>H2S</t>
    </r>
    <r>
      <rPr>
        <sz val="11"/>
        <rFont val="Calibri"/>
        <family val="2"/>
        <scheme val="minor"/>
      </rPr>
      <t xml:space="preserve"> + S</t>
    </r>
    <r>
      <rPr>
        <vertAlign val="subscript"/>
        <sz val="11"/>
        <rFont val="Calibri"/>
        <family val="2"/>
        <scheme val="minor"/>
      </rPr>
      <t>SO4</t>
    </r>
    <r>
      <rPr>
        <sz val="11"/>
        <rFont val="Calibri"/>
        <family val="2"/>
        <scheme val="minor"/>
      </rPr>
      <t xml:space="preserve"> + X</t>
    </r>
    <r>
      <rPr>
        <vertAlign val="subscript"/>
        <sz val="11"/>
        <rFont val="Calibri"/>
        <family val="2"/>
        <scheme val="minor"/>
      </rPr>
      <t>S</t>
    </r>
  </si>
  <si>
    <r>
      <t>Ki</t>
    </r>
    <r>
      <rPr>
        <vertAlign val="subscript"/>
        <sz val="11"/>
        <rFont val="Calibri"/>
        <family val="2"/>
        <scheme val="minor"/>
      </rPr>
      <t>NH3,AMETO,pH,AS</t>
    </r>
  </si>
  <si>
    <r>
      <t>Half-inhibition of NH3</t>
    </r>
    <r>
      <rPr>
        <sz val="11"/>
        <color rgb="FF000000"/>
        <rFont val="Calibri"/>
        <family val="2"/>
        <charset val="238"/>
        <scheme val="minor"/>
      </rPr>
      <t xml:space="preserve"> for AMETOs (AS)</t>
    </r>
  </si>
  <si>
    <r>
      <t>Logrange</t>
    </r>
    <r>
      <rPr>
        <vertAlign val="subscript"/>
        <sz val="11"/>
        <rFont val="Calibri"/>
        <family val="2"/>
        <charset val="238"/>
        <scheme val="minor"/>
      </rPr>
      <t>NH3,AMETO</t>
    </r>
  </si>
  <si>
    <t>Effective range of NH3 logistic switch for AMETOs</t>
  </si>
  <si>
    <t>A_MP/M_MBSH</t>
  </si>
  <si>
    <r>
      <t>Ki</t>
    </r>
    <r>
      <rPr>
        <vertAlign val="subscript"/>
        <sz val="11"/>
        <rFont val="Calibri"/>
        <family val="2"/>
        <scheme val="minor"/>
      </rPr>
      <t>NH3,AMETO,pH</t>
    </r>
  </si>
  <si>
    <r>
      <t>Ki</t>
    </r>
    <r>
      <rPr>
        <vertAlign val="subscript"/>
        <sz val="11"/>
        <rFont val="Calibri"/>
        <family val="2"/>
        <scheme val="minor"/>
      </rPr>
      <t>NH3,AMETO,pH,AS</t>
    </r>
    <r>
      <rPr>
        <sz val="11"/>
        <rFont val="Calibri"/>
        <family val="2"/>
        <scheme val="minor"/>
      </rPr>
      <t>*f</t>
    </r>
    <r>
      <rPr>
        <vertAlign val="subscript"/>
        <sz val="11"/>
        <rFont val="Calibri"/>
        <family val="2"/>
        <scheme val="minor"/>
      </rPr>
      <t>KS</t>
    </r>
  </si>
  <si>
    <r>
      <t>Half-inhibition of NH</t>
    </r>
    <r>
      <rPr>
        <vertAlign val="subscript"/>
        <sz val="11"/>
        <rFont val="Calibri"/>
        <family val="2"/>
        <scheme val="minor"/>
      </rPr>
      <t>3</t>
    </r>
    <r>
      <rPr>
        <sz val="11"/>
        <color rgb="FF000000"/>
        <rFont val="Calibri"/>
        <family val="2"/>
        <charset val="238"/>
        <scheme val="minor"/>
      </rPr>
      <t xml:space="preserve"> for AMETOs (AS)</t>
    </r>
  </si>
  <si>
    <r>
      <t>Logslope</t>
    </r>
    <r>
      <rPr>
        <vertAlign val="subscript"/>
        <sz val="11"/>
        <rFont val="Calibri"/>
        <family val="2"/>
        <scheme val="minor"/>
      </rPr>
      <t>NH3,AMETO,pH</t>
    </r>
  </si>
  <si>
    <r>
      <t>Logisticslope(Ki</t>
    </r>
    <r>
      <rPr>
        <vertAlign val="subscript"/>
        <sz val="11"/>
        <rFont val="Calibri"/>
        <family val="2"/>
        <charset val="238"/>
        <scheme val="minor"/>
      </rPr>
      <t>NH3,AMETO,pH;</t>
    </r>
    <r>
      <rPr>
        <sz val="11"/>
        <rFont val="Calibri"/>
        <family val="2"/>
        <scheme val="minor"/>
      </rPr>
      <t xml:space="preserve"> Logrange</t>
    </r>
    <r>
      <rPr>
        <vertAlign val="subscript"/>
        <sz val="11"/>
        <rFont val="Calibri"/>
        <family val="2"/>
        <charset val="238"/>
        <scheme val="minor"/>
      </rPr>
      <t>NH3,AMETO</t>
    </r>
    <r>
      <rPr>
        <sz val="11"/>
        <rFont val="Calibri"/>
        <family val="2"/>
        <scheme val="minor"/>
      </rPr>
      <t>)</t>
    </r>
  </si>
  <si>
    <r>
      <t>L.mol [NH</t>
    </r>
    <r>
      <rPr>
        <vertAlign val="subscript"/>
        <sz val="11"/>
        <rFont val="Calibri"/>
        <family val="2"/>
        <scheme val="minor"/>
      </rPr>
      <t>3</t>
    </r>
    <r>
      <rPr>
        <vertAlign val="superscript"/>
        <sz val="11"/>
        <rFont val="Calibri"/>
        <family val="2"/>
        <scheme val="minor"/>
      </rPr>
      <t>-</t>
    </r>
    <r>
      <rPr>
        <sz val="11"/>
        <rFont val="Calibri"/>
        <family val="2"/>
        <scheme val="minor"/>
      </rPr>
      <t>]</t>
    </r>
    <r>
      <rPr>
        <vertAlign val="superscript"/>
        <sz val="11"/>
        <rFont val="Calibri"/>
        <family val="2"/>
        <scheme val="minor"/>
      </rPr>
      <t>-1</t>
    </r>
  </si>
  <si>
    <r>
      <t>Logistic slope of NH</t>
    </r>
    <r>
      <rPr>
        <vertAlign val="subscript"/>
        <sz val="11"/>
        <rFont val="Calibri"/>
        <family val="2"/>
        <scheme val="minor"/>
      </rPr>
      <t>3</t>
    </r>
    <r>
      <rPr>
        <sz val="11"/>
        <color rgb="FF000000"/>
        <rFont val="Calibri"/>
        <family val="2"/>
        <charset val="238"/>
        <scheme val="minor"/>
      </rPr>
      <t xml:space="preserve"> for AMETOs</t>
    </r>
  </si>
  <si>
    <r>
      <t>LoginhpH</t>
    </r>
    <r>
      <rPr>
        <vertAlign val="subscript"/>
        <sz val="11"/>
        <rFont val="Calibri"/>
        <family val="2"/>
        <scheme val="minor"/>
      </rPr>
      <t>NH3,AMETO</t>
    </r>
  </si>
  <si>
    <r>
      <t>Logistic inhibition term for NHx</t>
    </r>
    <r>
      <rPr>
        <sz val="11"/>
        <color rgb="FF000000"/>
        <rFont val="Calibri"/>
        <family val="2"/>
        <charset val="238"/>
        <scheme val="minor"/>
      </rPr>
      <t>/NH</t>
    </r>
    <r>
      <rPr>
        <vertAlign val="subscript"/>
        <sz val="11"/>
        <color rgb="FF000000"/>
        <rFont val="Calibri"/>
        <family val="2"/>
        <scheme val="minor"/>
      </rPr>
      <t>3</t>
    </r>
    <r>
      <rPr>
        <sz val="11"/>
        <color rgb="FF000000"/>
        <rFont val="Calibri"/>
        <family val="2"/>
        <charset val="238"/>
        <scheme val="minor"/>
      </rPr>
      <t xml:space="preserve"> (AMETO)</t>
    </r>
  </si>
  <si>
    <r>
      <t>Loginh([NH</t>
    </r>
    <r>
      <rPr>
        <vertAlign val="subscript"/>
        <sz val="11"/>
        <rFont val="Calibri"/>
        <family val="2"/>
        <scheme val="minor"/>
      </rPr>
      <t>3</t>
    </r>
    <r>
      <rPr>
        <sz val="11"/>
        <rFont val="Calibri"/>
        <family val="2"/>
        <scheme val="minor"/>
      </rPr>
      <t>]; Ki</t>
    </r>
    <r>
      <rPr>
        <vertAlign val="subscript"/>
        <sz val="11"/>
        <rFont val="Calibri"/>
        <family val="2"/>
        <scheme val="minor"/>
      </rPr>
      <t>NH3,AMETO,pH</t>
    </r>
    <r>
      <rPr>
        <sz val="11"/>
        <rFont val="Calibri"/>
        <family val="2"/>
        <scheme val="minor"/>
      </rPr>
      <t>; Logslope</t>
    </r>
    <r>
      <rPr>
        <vertAlign val="subscript"/>
        <sz val="11"/>
        <rFont val="Calibri"/>
        <family val="2"/>
        <charset val="238"/>
        <scheme val="minor"/>
      </rPr>
      <t>NH3,AMETO,pH</t>
    </r>
    <r>
      <rPr>
        <sz val="11"/>
        <rFont val="Calibri"/>
        <family val="2"/>
        <scheme val="minor"/>
      </rPr>
      <t>)</t>
    </r>
  </si>
  <si>
    <r>
      <t>µ</t>
    </r>
    <r>
      <rPr>
        <vertAlign val="subscript"/>
        <sz val="11"/>
        <rFont val="Calibri"/>
        <family val="2"/>
      </rPr>
      <t>AMETO,T</t>
    </r>
    <r>
      <rPr>
        <sz val="11"/>
        <rFont val="Calibri"/>
        <family val="2"/>
      </rPr>
      <t>*X</t>
    </r>
    <r>
      <rPr>
        <vertAlign val="subscript"/>
        <sz val="11"/>
        <rFont val="Calibri"/>
        <family val="2"/>
      </rPr>
      <t>AMETO</t>
    </r>
    <r>
      <rPr>
        <sz val="11"/>
        <rFont val="Calibri"/>
        <family val="2"/>
      </rPr>
      <t>*Hsat</t>
    </r>
    <r>
      <rPr>
        <vertAlign val="subscript"/>
        <sz val="11"/>
        <rFont val="Calibri"/>
        <family val="2"/>
      </rPr>
      <t>SVFA,AMETO</t>
    </r>
    <r>
      <rPr>
        <sz val="11"/>
        <rFont val="Calibri"/>
        <family val="2"/>
      </rPr>
      <t>*Minh</t>
    </r>
    <r>
      <rPr>
        <vertAlign val="subscript"/>
        <sz val="11"/>
        <rFont val="Calibri"/>
        <family val="2"/>
      </rPr>
      <t>SO2,KiO2,AMETO</t>
    </r>
    <r>
      <rPr>
        <sz val="11"/>
        <rFont val="Calibri"/>
        <family val="2"/>
      </rPr>
      <t>*Minh</t>
    </r>
    <r>
      <rPr>
        <vertAlign val="subscript"/>
        <sz val="11"/>
        <rFont val="Calibri"/>
        <family val="2"/>
      </rPr>
      <t>SNOx,KNO3,AMETO</t>
    </r>
    <r>
      <rPr>
        <sz val="11"/>
        <rFont val="Calibri"/>
        <family val="2"/>
      </rPr>
      <t>*LoginhpH</t>
    </r>
    <r>
      <rPr>
        <vertAlign val="subscript"/>
        <sz val="11"/>
        <rFont val="Calibri"/>
        <family val="2"/>
      </rPr>
      <t>NH3,AMETO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*Msat</t>
    </r>
    <r>
      <rPr>
        <vertAlign val="subscript"/>
        <sz val="11"/>
        <rFont val="Calibri"/>
        <family val="2"/>
      </rPr>
      <t>SSO4,KSO4,BIO</t>
    </r>
    <r>
      <rPr>
        <sz val="11"/>
        <rFont val="Calibri"/>
        <family val="2"/>
      </rPr>
      <t>*Bellinh</t>
    </r>
    <r>
      <rPr>
        <vertAlign val="subscript"/>
        <sz val="11"/>
        <rFont val="Calibri"/>
        <family val="2"/>
      </rPr>
      <t>pH,AMETO</t>
    </r>
  </si>
  <si>
    <t>Atmosphere composition</t>
  </si>
  <si>
    <r>
      <t>K</t>
    </r>
    <r>
      <rPr>
        <vertAlign val="subscript"/>
        <sz val="11"/>
        <rFont val="Calibri"/>
        <family val="2"/>
        <scheme val="minor"/>
      </rPr>
      <t>Prop,param</t>
    </r>
  </si>
  <si>
    <r>
      <t>D</t>
    </r>
    <r>
      <rPr>
        <vertAlign val="subscript"/>
        <sz val="11"/>
        <rFont val="Calibri"/>
        <family val="2"/>
        <charset val="238"/>
        <scheme val="minor"/>
      </rPr>
      <t>SALPHA</t>
    </r>
  </si>
  <si>
    <t>Diffusion coefficient of alpha indicator</t>
  </si>
  <si>
    <t>Input</t>
  </si>
  <si>
    <t>SOTECorr_cdisc</t>
  </si>
  <si>
    <t>SOTECorr_mdisc</t>
  </si>
  <si>
    <t>SOTECorr_pdisc</t>
  </si>
  <si>
    <t>SOTECorr_cdome</t>
  </si>
  <si>
    <t>SOTECorr_mtube</t>
  </si>
  <si>
    <t>SOTEFixed_fine</t>
  </si>
  <si>
    <t>PondWaterColumn</t>
  </si>
  <si>
    <t>PondSediments</t>
  </si>
  <si>
    <t>Alpha improvement rate</t>
  </si>
  <si>
    <t>Maximum alpha indicator</t>
  </si>
  <si>
    <r>
      <t>K</t>
    </r>
    <r>
      <rPr>
        <vertAlign val="subscript"/>
        <sz val="11"/>
        <rFont val="Calibri"/>
        <family val="2"/>
        <charset val="238"/>
        <scheme val="minor"/>
      </rPr>
      <t>O2,ALPHA</t>
    </r>
  </si>
  <si>
    <t>Half-saturation of dissolved oxygen for alpha rate</t>
  </si>
  <si>
    <r>
      <t>f</t>
    </r>
    <r>
      <rPr>
        <vertAlign val="subscript"/>
        <sz val="11"/>
        <rFont val="Calibri"/>
        <family val="2"/>
        <charset val="238"/>
        <scheme val="minor"/>
      </rPr>
      <t>O2,max,ALPHA</t>
    </r>
  </si>
  <si>
    <t>Non-aerated zone alpha improvement rate increase</t>
  </si>
  <si>
    <t>Coefficient of alpha first order limitation-dampening term</t>
  </si>
  <si>
    <t>Power of alpha first order limitation-dampening term</t>
  </si>
  <si>
    <r>
      <t>sl</t>
    </r>
    <r>
      <rPr>
        <vertAlign val="subscript"/>
        <sz val="11"/>
        <color theme="1"/>
        <rFont val="Calibri"/>
        <family val="2"/>
        <scheme val="minor"/>
      </rPr>
      <t>h,diff,α</t>
    </r>
  </si>
  <si>
    <t>Slope of depth-related alpha factor correction term</t>
  </si>
  <si>
    <r>
      <t>m</t>
    </r>
    <r>
      <rPr>
        <vertAlign val="superscript"/>
        <sz val="11"/>
        <rFont val="Calibri"/>
        <family val="2"/>
        <scheme val="minor"/>
      </rPr>
      <t>-1</t>
    </r>
  </si>
  <si>
    <t>Slope of solids-related alpha factor correction term, default</t>
  </si>
  <si>
    <r>
      <t>m</t>
    </r>
    <r>
      <rPr>
        <vertAlign val="superscript"/>
        <sz val="11"/>
        <rFont val="Calibri"/>
        <family val="2"/>
        <charset val="238"/>
        <scheme val="minor"/>
      </rPr>
      <t>3</t>
    </r>
    <r>
      <rPr>
        <sz val="11"/>
        <rFont val="Calibri"/>
        <family val="2"/>
        <scheme val="minor"/>
      </rPr>
      <t>.kg TSS</t>
    </r>
    <r>
      <rPr>
        <vertAlign val="superscript"/>
        <sz val="11"/>
        <rFont val="Calibri"/>
        <family val="2"/>
        <scheme val="minor"/>
      </rPr>
      <t>-1</t>
    </r>
  </si>
  <si>
    <t>Slope of solids-related alpha factor correction term, coarse bubbles</t>
  </si>
  <si>
    <r>
      <t>m</t>
    </r>
    <r>
      <rPr>
        <vertAlign val="superscript"/>
        <sz val="11"/>
        <rFont val="Calibri"/>
        <family val="2"/>
        <charset val="238"/>
        <scheme val="minor"/>
      </rPr>
      <t>3</t>
    </r>
    <r>
      <rPr>
        <sz val="11"/>
        <rFont val="Calibri"/>
        <family val="2"/>
        <scheme val="minor"/>
      </rPr>
      <t>.kg TSS</t>
    </r>
    <r>
      <rPr>
        <vertAlign val="superscript"/>
        <sz val="11"/>
        <rFont val="Calibri"/>
        <family val="2"/>
        <charset val="238"/>
        <scheme val="minor"/>
      </rPr>
      <t>-1</t>
    </r>
  </si>
  <si>
    <t>Leading coefficient of solids-related alpha correction term, mechanical aeration</t>
  </si>
  <si>
    <r>
      <t>(kg TSS.m</t>
    </r>
    <r>
      <rPr>
        <vertAlign val="superscript"/>
        <sz val="11"/>
        <rFont val="Calibri"/>
        <family val="2"/>
        <charset val="238"/>
        <scheme val="minor"/>
      </rPr>
      <t>-3</t>
    </r>
    <r>
      <rPr>
        <sz val="11"/>
        <rFont val="Calibri"/>
        <family val="2"/>
        <scheme val="minor"/>
      </rPr>
      <t>)</t>
    </r>
    <r>
      <rPr>
        <vertAlign val="superscript"/>
        <sz val="11"/>
        <rFont val="Calibri"/>
        <family val="2"/>
        <charset val="238"/>
        <scheme val="minor"/>
      </rPr>
      <t>-2</t>
    </r>
  </si>
  <si>
    <t>Linear coefficient of solids-related alpha correction term, mechanical aeration</t>
  </si>
  <si>
    <t>Constant of solids-related alpha correction term, mechanical aeration</t>
  </si>
  <si>
    <r>
      <t>q</t>
    </r>
    <r>
      <rPr>
        <vertAlign val="subscript"/>
        <sz val="11"/>
        <rFont val="Calibri"/>
        <family val="2"/>
        <charset val="238"/>
        <scheme val="minor"/>
      </rPr>
      <t>ALPHA,O2</t>
    </r>
  </si>
  <si>
    <t>Alpha improvement rate (dissolved oxygen corrected)</t>
  </si>
  <si>
    <r>
      <t>q</t>
    </r>
    <r>
      <rPr>
        <vertAlign val="subscript"/>
        <sz val="11"/>
        <rFont val="Calibri"/>
        <family val="2"/>
        <charset val="238"/>
        <scheme val="minor"/>
      </rPr>
      <t>ALPHA</t>
    </r>
    <r>
      <rPr>
        <sz val="11"/>
        <rFont val="Calibri"/>
        <family val="2"/>
        <charset val="238"/>
        <scheme val="minor"/>
      </rPr>
      <t>*((1-f</t>
    </r>
    <r>
      <rPr>
        <vertAlign val="subscript"/>
        <sz val="11"/>
        <rFont val="Calibri"/>
        <family val="2"/>
        <charset val="238"/>
        <scheme val="minor"/>
      </rPr>
      <t>O2,max,ALPHA</t>
    </r>
    <r>
      <rPr>
        <sz val="11"/>
        <rFont val="Calibri"/>
        <family val="2"/>
        <charset val="238"/>
        <scheme val="minor"/>
      </rPr>
      <t>)*S</t>
    </r>
    <r>
      <rPr>
        <vertAlign val="subscript"/>
        <sz val="11"/>
        <rFont val="Calibri"/>
        <family val="2"/>
        <charset val="238"/>
        <scheme val="minor"/>
      </rPr>
      <t>O2</t>
    </r>
    <r>
      <rPr>
        <sz val="11"/>
        <rFont val="Calibri"/>
        <family val="2"/>
        <charset val="238"/>
        <scheme val="minor"/>
      </rPr>
      <t>/(K</t>
    </r>
    <r>
      <rPr>
        <vertAlign val="subscript"/>
        <sz val="11"/>
        <rFont val="Calibri"/>
        <family val="2"/>
        <charset val="238"/>
        <scheme val="minor"/>
      </rPr>
      <t>O2,ALPHA</t>
    </r>
    <r>
      <rPr>
        <sz val="11"/>
        <rFont val="Calibri"/>
        <family val="2"/>
        <charset val="238"/>
        <scheme val="minor"/>
      </rPr>
      <t>+S</t>
    </r>
    <r>
      <rPr>
        <vertAlign val="subscript"/>
        <sz val="11"/>
        <rFont val="Calibri"/>
        <family val="2"/>
        <charset val="238"/>
        <scheme val="minor"/>
      </rPr>
      <t>O2</t>
    </r>
    <r>
      <rPr>
        <sz val="11"/>
        <rFont val="Calibri"/>
        <family val="2"/>
        <charset val="238"/>
        <scheme val="minor"/>
      </rPr>
      <t>)+f</t>
    </r>
    <r>
      <rPr>
        <vertAlign val="subscript"/>
        <sz val="11"/>
        <rFont val="Calibri"/>
        <family val="2"/>
        <charset val="238"/>
        <scheme val="minor"/>
      </rPr>
      <t>O2,max,ALPHA</t>
    </r>
    <r>
      <rPr>
        <sz val="11"/>
        <rFont val="Calibri"/>
        <family val="2"/>
        <charset val="238"/>
        <scheme val="minor"/>
      </rPr>
      <t>)</t>
    </r>
  </si>
  <si>
    <t>Alpha first order limitation-dampening term</t>
  </si>
  <si>
    <r>
      <t>corr</t>
    </r>
    <r>
      <rPr>
        <vertAlign val="subscript"/>
        <sz val="11"/>
        <rFont val="Calibri"/>
        <family val="2"/>
        <charset val="238"/>
        <scheme val="minor"/>
      </rPr>
      <t>h,diff,</t>
    </r>
    <r>
      <rPr>
        <vertAlign val="subscript"/>
        <sz val="11"/>
        <rFont val="Calibri"/>
        <family val="2"/>
        <charset val="238"/>
      </rPr>
      <t>α</t>
    </r>
  </si>
  <si>
    <t>Depth-related alpha factor correction term</t>
  </si>
  <si>
    <r>
      <t>(S</t>
    </r>
    <r>
      <rPr>
        <vertAlign val="subscript"/>
        <sz val="11"/>
        <color theme="1"/>
        <rFont val="Calibri"/>
        <family val="2"/>
        <scheme val="minor"/>
      </rPr>
      <t>ALPHA</t>
    </r>
    <r>
      <rPr>
        <sz val="11"/>
        <color theme="1"/>
        <rFont val="Calibri"/>
        <family val="2"/>
        <scheme val="minor"/>
      </rPr>
      <t>-1</t>
    </r>
    <r>
      <rPr>
        <sz val="11"/>
        <color indexed="8"/>
        <rFont val="Calibri"/>
        <family val="2"/>
      </rPr>
      <t>)*Exp(sl</t>
    </r>
    <r>
      <rPr>
        <vertAlign val="subscript"/>
        <sz val="11"/>
        <color theme="1"/>
        <rFont val="Calibri"/>
        <family val="2"/>
        <scheme val="minor"/>
      </rPr>
      <t>h,diff,α</t>
    </r>
    <r>
      <rPr>
        <sz val="11"/>
        <color indexed="8"/>
        <rFont val="Calibri"/>
        <family val="2"/>
      </rPr>
      <t>*h</t>
    </r>
    <r>
      <rPr>
        <vertAlign val="subscript"/>
        <sz val="11"/>
        <color theme="1"/>
        <rFont val="Calibri"/>
        <family val="2"/>
        <scheme val="minor"/>
      </rPr>
      <t>diff</t>
    </r>
    <r>
      <rPr>
        <sz val="11"/>
        <color indexed="8"/>
        <rFont val="Calibri"/>
        <family val="2"/>
      </rPr>
      <t>)+1</t>
    </r>
  </si>
  <si>
    <t>Solids-related alpha factor correction term</t>
  </si>
  <si>
    <r>
      <t>S</t>
    </r>
    <r>
      <rPr>
        <vertAlign val="subscript"/>
        <sz val="11"/>
        <rFont val="Calibri"/>
        <family val="2"/>
        <charset val="238"/>
        <scheme val="minor"/>
      </rPr>
      <t>ALPHA</t>
    </r>
    <r>
      <rPr>
        <sz val="11"/>
        <rFont val="Calibri"/>
        <family val="2"/>
        <scheme val="minor"/>
      </rPr>
      <t>/corr</t>
    </r>
    <r>
      <rPr>
        <vertAlign val="subscript"/>
        <sz val="11"/>
        <rFont val="Calibri"/>
        <family val="2"/>
        <scheme val="minor"/>
      </rPr>
      <t>h,diff,α</t>
    </r>
    <r>
      <rPr>
        <sz val="11"/>
        <rFont val="Calibri"/>
        <family val="2"/>
        <scheme val="minor"/>
      </rPr>
      <t>*corr</t>
    </r>
    <r>
      <rPr>
        <vertAlign val="subscript"/>
        <sz val="11"/>
        <rFont val="Calibri"/>
        <family val="2"/>
        <charset val="238"/>
        <scheme val="minor"/>
      </rPr>
      <t>TSS,</t>
    </r>
    <r>
      <rPr>
        <vertAlign val="subscript"/>
        <sz val="11"/>
        <rFont val="Calibri"/>
        <family val="2"/>
        <charset val="238"/>
      </rPr>
      <t>α</t>
    </r>
  </si>
  <si>
    <r>
      <t>h</t>
    </r>
    <r>
      <rPr>
        <vertAlign val="subscript"/>
        <sz val="11"/>
        <rFont val="Calibri"/>
        <family val="2"/>
      </rPr>
      <t>diff</t>
    </r>
  </si>
  <si>
    <t>Diffuser submergence</t>
  </si>
  <si>
    <t>m</t>
  </si>
  <si>
    <r>
      <t>q</t>
    </r>
    <r>
      <rPr>
        <vertAlign val="subscript"/>
        <sz val="11"/>
        <rFont val="Calibri"/>
        <family val="2"/>
      </rPr>
      <t>ALPHA,O2</t>
    </r>
    <r>
      <rPr>
        <sz val="11"/>
        <rFont val="Calibri"/>
        <family val="2"/>
      </rPr>
      <t>*X</t>
    </r>
    <r>
      <rPr>
        <vertAlign val="subscript"/>
        <sz val="11"/>
        <rFont val="Calibri"/>
        <family val="2"/>
      </rPr>
      <t>VSS</t>
    </r>
    <r>
      <rPr>
        <sz val="11"/>
        <rFont val="Calibri"/>
        <family val="2"/>
      </rPr>
      <t>*damp</t>
    </r>
    <r>
      <rPr>
        <vertAlign val="subscript"/>
        <sz val="11"/>
        <rFont val="Calibri"/>
        <family val="2"/>
        <charset val="238"/>
      </rPr>
      <t>ALPHA</t>
    </r>
    <r>
      <rPr>
        <sz val="11"/>
        <rFont val="Calibri"/>
        <family val="2"/>
      </rPr>
      <t>*(S</t>
    </r>
    <r>
      <rPr>
        <vertAlign val="subscript"/>
        <sz val="11"/>
        <rFont val="Calibri"/>
        <family val="2"/>
      </rPr>
      <t>ALPHA,sat</t>
    </r>
    <r>
      <rPr>
        <sz val="11"/>
        <rFont val="Calibri"/>
        <family val="2"/>
      </rPr>
      <t>-S</t>
    </r>
    <r>
      <rPr>
        <vertAlign val="subscript"/>
        <sz val="11"/>
        <rFont val="Calibri"/>
        <family val="2"/>
      </rPr>
      <t>ALPHA</t>
    </r>
    <r>
      <rPr>
        <sz val="11"/>
        <rFont val="Calibri"/>
        <family val="2"/>
      </rPr>
      <t>)</t>
    </r>
  </si>
  <si>
    <t>Diffused</t>
  </si>
  <si>
    <t>Diffused; Non-SOTECorr_cap; Non-SOTEFixed_coarse</t>
  </si>
  <si>
    <r>
      <t>S</t>
    </r>
    <r>
      <rPr>
        <vertAlign val="subscript"/>
        <sz val="11"/>
        <rFont val="Calibri"/>
        <family val="2"/>
        <charset val="238"/>
        <scheme val="minor"/>
      </rPr>
      <t>ALPHA</t>
    </r>
    <r>
      <rPr>
        <sz val="11"/>
        <rFont val="Calibri"/>
        <family val="2"/>
        <scheme val="minor"/>
      </rPr>
      <t>*corr</t>
    </r>
    <r>
      <rPr>
        <vertAlign val="subscript"/>
        <sz val="11"/>
        <rFont val="Calibri"/>
        <family val="2"/>
        <charset val="238"/>
        <scheme val="minor"/>
      </rPr>
      <t>TSS,</t>
    </r>
    <r>
      <rPr>
        <vertAlign val="subscript"/>
        <sz val="11"/>
        <rFont val="Calibri"/>
        <family val="2"/>
        <charset val="238"/>
      </rPr>
      <t>α</t>
    </r>
  </si>
  <si>
    <r>
      <t>k</t>
    </r>
    <r>
      <rPr>
        <vertAlign val="subscript"/>
        <sz val="11"/>
        <rFont val="Calibri"/>
        <family val="2"/>
        <charset val="238"/>
        <scheme val="minor"/>
      </rPr>
      <t>ORPswitch</t>
    </r>
  </si>
  <si>
    <t>sets inertia for the speed of CASTO activity switches' response to ORP changes</t>
  </si>
  <si>
    <r>
      <t>offset</t>
    </r>
    <r>
      <rPr>
        <vertAlign val="subscript"/>
        <sz val="11"/>
        <rFont val="Calibri"/>
        <family val="2"/>
        <charset val="238"/>
        <scheme val="minor"/>
      </rPr>
      <t>ORPswitch</t>
    </r>
  </si>
  <si>
    <t>used for keeping auxiliary ORP state variable in positive range - not recommended to alter</t>
  </si>
  <si>
    <r>
      <t>S</t>
    </r>
    <r>
      <rPr>
        <b/>
        <vertAlign val="subscript"/>
        <sz val="11"/>
        <rFont val="Calibri"/>
        <family val="2"/>
        <charset val="238"/>
        <scheme val="minor"/>
      </rPr>
      <t>ORPswitch</t>
    </r>
  </si>
  <si>
    <t>ORP driver for CASTO activity switches</t>
  </si>
  <si>
    <r>
      <t>Loginhswitch(S</t>
    </r>
    <r>
      <rPr>
        <vertAlign val="subscript"/>
        <sz val="11"/>
        <rFont val="Calibri"/>
        <family val="2"/>
        <charset val="238"/>
        <scheme val="minor"/>
      </rPr>
      <t>ORPswitch</t>
    </r>
    <r>
      <rPr>
        <sz val="11"/>
        <rFont val="Calibri"/>
        <family val="2"/>
        <charset val="238"/>
        <scheme val="minor"/>
      </rPr>
      <t xml:space="preserve"> - offset</t>
    </r>
    <r>
      <rPr>
        <vertAlign val="subscript"/>
        <sz val="11"/>
        <rFont val="Calibri"/>
        <family val="2"/>
        <charset val="238"/>
        <scheme val="minor"/>
      </rPr>
      <t>ORPswitch</t>
    </r>
    <r>
      <rPr>
        <sz val="11"/>
        <rFont val="Calibri"/>
        <family val="2"/>
        <scheme val="minor"/>
      </rPr>
      <t>; Logsat</t>
    </r>
    <r>
      <rPr>
        <vertAlign val="subscript"/>
        <sz val="11"/>
        <rFont val="Calibri"/>
        <family val="2"/>
      </rPr>
      <t>ORP,PAO,Half</t>
    </r>
    <r>
      <rPr>
        <sz val="11"/>
        <rFont val="Calibri"/>
        <family val="2"/>
      </rPr>
      <t>; Logsat</t>
    </r>
    <r>
      <rPr>
        <vertAlign val="subscript"/>
        <sz val="11"/>
        <rFont val="Calibri"/>
        <family val="2"/>
      </rPr>
      <t>ORP,PAO,Slope</t>
    </r>
    <r>
      <rPr>
        <sz val="11"/>
        <rFont val="Calibri"/>
        <family val="2"/>
      </rPr>
      <t>)</t>
    </r>
  </si>
  <si>
    <r>
      <t>Logsatswitch(S</t>
    </r>
    <r>
      <rPr>
        <vertAlign val="subscript"/>
        <sz val="11"/>
        <rFont val="Calibri"/>
        <family val="2"/>
        <charset val="238"/>
      </rPr>
      <t>ORPswitch</t>
    </r>
    <r>
      <rPr>
        <sz val="11"/>
        <rFont val="Calibri"/>
        <family val="2"/>
        <charset val="238"/>
      </rPr>
      <t xml:space="preserve"> - offset</t>
    </r>
    <r>
      <rPr>
        <vertAlign val="subscript"/>
        <sz val="11"/>
        <rFont val="Calibri"/>
        <family val="2"/>
        <charset val="238"/>
      </rPr>
      <t>ORPswitch</t>
    </r>
    <r>
      <rPr>
        <sz val="11"/>
        <rFont val="Calibri"/>
        <family val="2"/>
      </rPr>
      <t>; Logsat</t>
    </r>
    <r>
      <rPr>
        <vertAlign val="subscript"/>
        <sz val="11"/>
        <rFont val="Calibri"/>
        <family val="2"/>
      </rPr>
      <t>ORP,GAO,Half,T</t>
    </r>
    <r>
      <rPr>
        <sz val="11"/>
        <rFont val="Calibri"/>
        <family val="2"/>
      </rPr>
      <t>; Logsat</t>
    </r>
    <r>
      <rPr>
        <vertAlign val="subscript"/>
        <sz val="11"/>
        <rFont val="Calibri"/>
        <family val="2"/>
      </rPr>
      <t>ORP,GAO,Slope</t>
    </r>
    <r>
      <rPr>
        <sz val="11"/>
        <rFont val="Calibri"/>
        <family val="2"/>
      </rPr>
      <t>)</t>
    </r>
  </si>
  <si>
    <r>
      <t>S</t>
    </r>
    <r>
      <rPr>
        <b/>
        <vertAlign val="subscript"/>
        <sz val="12"/>
        <rFont val="Calibri"/>
        <family val="2"/>
        <charset val="238"/>
        <scheme val="minor"/>
      </rPr>
      <t>ORPswitch</t>
    </r>
  </si>
  <si>
    <t>ORP lag for CASTO activity switches</t>
  </si>
  <si>
    <r>
      <t>k</t>
    </r>
    <r>
      <rPr>
        <vertAlign val="subscript"/>
        <sz val="11"/>
        <rFont val="Calibri"/>
        <family val="2"/>
        <charset val="238"/>
      </rPr>
      <t>ORPswitch</t>
    </r>
    <r>
      <rPr>
        <sz val="11"/>
        <rFont val="Calibri"/>
        <family val="2"/>
      </rPr>
      <t>*(ORP + offset</t>
    </r>
    <r>
      <rPr>
        <vertAlign val="subscript"/>
        <sz val="11"/>
        <rFont val="Calibri"/>
        <family val="2"/>
        <charset val="238"/>
      </rPr>
      <t>ORPswitch</t>
    </r>
    <r>
      <rPr>
        <sz val="11"/>
        <rFont val="Calibri"/>
        <family val="2"/>
      </rPr>
      <t xml:space="preserve"> - S</t>
    </r>
    <r>
      <rPr>
        <vertAlign val="subscript"/>
        <sz val="11"/>
        <rFont val="Calibri"/>
        <family val="2"/>
        <charset val="238"/>
      </rPr>
      <t>ORPswitch</t>
    </r>
    <r>
      <rPr>
        <sz val="11"/>
        <rFont val="Calibri"/>
        <family val="2"/>
      </rPr>
      <t>)</t>
    </r>
  </si>
  <si>
    <r>
      <t>mV.d</t>
    </r>
    <r>
      <rPr>
        <vertAlign val="superscript"/>
        <sz val="11"/>
        <color indexed="8"/>
        <rFont val="Calibri"/>
        <family val="2"/>
        <charset val="238"/>
      </rPr>
      <t>-1</t>
    </r>
  </si>
  <si>
    <t>r122</t>
  </si>
  <si>
    <r>
      <t>-(v37_S</t>
    </r>
    <r>
      <rPr>
        <vertAlign val="subscript"/>
        <sz val="11"/>
        <rFont val="Calibri"/>
        <family val="2"/>
        <scheme val="minor"/>
      </rPr>
      <t>O2</t>
    </r>
    <r>
      <rPr>
        <sz val="11"/>
        <rFont val="Calibri"/>
        <family val="2"/>
        <scheme val="minor"/>
      </rPr>
      <t xml:space="preserve"> * r37 + v40_S</t>
    </r>
    <r>
      <rPr>
        <vertAlign val="subscript"/>
        <sz val="11"/>
        <rFont val="Calibri"/>
        <family val="2"/>
        <scheme val="minor"/>
      </rPr>
      <t>O2</t>
    </r>
    <r>
      <rPr>
        <sz val="11"/>
        <rFont val="Calibri"/>
        <family val="2"/>
        <scheme val="minor"/>
      </rPr>
      <t xml:space="preserve"> * r40)</t>
    </r>
  </si>
  <si>
    <r>
      <t>i</t>
    </r>
    <r>
      <rPr>
        <vertAlign val="subscript"/>
        <sz val="11"/>
        <rFont val="Calibri"/>
        <family val="2"/>
        <scheme val="minor"/>
      </rPr>
      <t>P,BIO</t>
    </r>
    <r>
      <rPr>
        <sz val="11"/>
        <rFont val="Calibri"/>
        <family val="2"/>
        <scheme val="minor"/>
      </rPr>
      <t xml:space="preserve"> * (r1 + r2 + r3 + r4 + r5 + r6 + r7 + r8 + r9 + r12 + r13 + r16 + r17 + r18 + r32 + r33 + r37 + r40 + r43 + r46 + r49 + r52 + r55 + r58 + r59 + r60 + r61 + r62 + r63) + PUR</t>
    </r>
    <r>
      <rPr>
        <vertAlign val="subscript"/>
        <sz val="11"/>
        <rFont val="Calibri"/>
        <family val="2"/>
        <charset val="238"/>
        <scheme val="minor"/>
      </rPr>
      <t>BIOP</t>
    </r>
  </si>
  <si>
    <t>theoretical complete reaction</t>
  </si>
  <si>
    <t>Stricker et al. (2004) for Fe, calculation for Al</t>
  </si>
  <si>
    <t>loss at 105°C</t>
  </si>
  <si>
    <r>
      <t>X</t>
    </r>
    <r>
      <rPr>
        <vertAlign val="subscript"/>
        <sz val="11"/>
        <rFont val="Calibri"/>
        <family val="2"/>
        <scheme val="minor"/>
      </rPr>
      <t>HFO,ISS</t>
    </r>
  </si>
  <si>
    <t>Total HFOs in ISS unit</t>
  </si>
  <si>
    <r>
      <t>(1-f</t>
    </r>
    <r>
      <rPr>
        <vertAlign val="subscript"/>
        <sz val="11"/>
        <rFont val="Calibri"/>
        <family val="2"/>
        <scheme val="minor"/>
      </rPr>
      <t>H2O,HFO,VSS</t>
    </r>
    <r>
      <rPr>
        <sz val="11"/>
        <rFont val="Calibri"/>
        <family val="2"/>
        <scheme val="minor"/>
      </rPr>
      <t>)*X</t>
    </r>
    <r>
      <rPr>
        <vertAlign val="subscript"/>
        <sz val="11"/>
        <rFont val="Calibri"/>
        <family val="2"/>
        <scheme val="minor"/>
      </rPr>
      <t>HFO</t>
    </r>
    <r>
      <rPr>
        <sz val="11"/>
        <rFont val="Calibri"/>
        <family val="2"/>
        <scheme val="minor"/>
      </rPr>
      <t>*MM</t>
    </r>
    <r>
      <rPr>
        <vertAlign val="subscript"/>
        <sz val="11"/>
        <rFont val="Calibri"/>
        <family val="2"/>
        <scheme val="minor"/>
      </rPr>
      <t>FeOH3</t>
    </r>
    <r>
      <rPr>
        <sz val="11"/>
        <rFont val="Calibri"/>
        <family val="2"/>
        <scheme val="minor"/>
      </rPr>
      <t>/AM</t>
    </r>
    <r>
      <rPr>
        <vertAlign val="subscript"/>
        <sz val="11"/>
        <rFont val="Calibri"/>
        <family val="2"/>
        <scheme val="minor"/>
      </rPr>
      <t>Fe</t>
    </r>
    <r>
      <rPr>
        <sz val="11"/>
        <rFont val="Calibri"/>
        <family val="2"/>
        <scheme val="minor"/>
      </rPr>
      <t>+ (X</t>
    </r>
    <r>
      <rPr>
        <vertAlign val="subscript"/>
        <sz val="11"/>
        <rFont val="Calibri"/>
        <family val="2"/>
        <scheme val="minor"/>
      </rPr>
      <t>HFO,L,P</t>
    </r>
    <r>
      <rPr>
        <sz val="11"/>
        <rFont val="Calibri"/>
        <family val="2"/>
        <scheme val="minor"/>
      </rPr>
      <t>+X</t>
    </r>
    <r>
      <rPr>
        <vertAlign val="subscript"/>
        <sz val="11"/>
        <rFont val="Calibri"/>
        <family val="2"/>
        <scheme val="minor"/>
      </rPr>
      <t>HFO,L,P,old</t>
    </r>
    <r>
      <rPr>
        <sz val="11"/>
        <rFont val="Calibri"/>
        <family val="2"/>
        <scheme val="minor"/>
      </rPr>
      <t>)*ASF</t>
    </r>
    <r>
      <rPr>
        <vertAlign val="subscript"/>
        <sz val="11"/>
        <rFont val="Calibri"/>
        <family val="2"/>
        <scheme val="minor"/>
      </rPr>
      <t>HFO,L</t>
    </r>
    <r>
      <rPr>
        <sz val="11"/>
        <rFont val="Calibri"/>
        <family val="2"/>
        <scheme val="minor"/>
      </rPr>
      <t>*(MM</t>
    </r>
    <r>
      <rPr>
        <vertAlign val="subscript"/>
        <sz val="11"/>
        <rFont val="Calibri"/>
        <family val="2"/>
        <scheme val="minor"/>
      </rPr>
      <t>PO4</t>
    </r>
    <r>
      <rPr>
        <sz val="11"/>
        <rFont val="Calibri"/>
        <family val="2"/>
        <scheme val="minor"/>
      </rPr>
      <t>/AM</t>
    </r>
    <r>
      <rPr>
        <vertAlign val="subscript"/>
        <sz val="11"/>
        <rFont val="Calibri"/>
        <family val="2"/>
        <scheme val="minor"/>
      </rPr>
      <t>Fe</t>
    </r>
    <r>
      <rPr>
        <sz val="11"/>
        <rFont val="Calibri"/>
        <family val="2"/>
        <scheme val="minor"/>
      </rPr>
      <t>)+(X</t>
    </r>
    <r>
      <rPr>
        <vertAlign val="subscript"/>
        <sz val="11"/>
        <rFont val="Calibri"/>
        <family val="2"/>
        <scheme val="minor"/>
      </rPr>
      <t>HFO,H,P</t>
    </r>
    <r>
      <rPr>
        <sz val="11"/>
        <rFont val="Calibri"/>
        <family val="2"/>
        <scheme val="minor"/>
      </rPr>
      <t>+X</t>
    </r>
    <r>
      <rPr>
        <vertAlign val="subscript"/>
        <sz val="11"/>
        <rFont val="Calibri"/>
        <family val="2"/>
        <scheme val="minor"/>
      </rPr>
      <t>HFO,H,P,old</t>
    </r>
    <r>
      <rPr>
        <sz val="11"/>
        <rFont val="Calibri"/>
        <family val="2"/>
        <scheme val="minor"/>
      </rPr>
      <t>)*ASF</t>
    </r>
    <r>
      <rPr>
        <vertAlign val="subscript"/>
        <sz val="11"/>
        <rFont val="Calibri"/>
        <family val="2"/>
        <scheme val="minor"/>
      </rPr>
      <t>HFO,H</t>
    </r>
    <r>
      <rPr>
        <sz val="11"/>
        <rFont val="Calibri"/>
        <family val="2"/>
        <scheme val="minor"/>
      </rPr>
      <t>*(MM</t>
    </r>
    <r>
      <rPr>
        <vertAlign val="subscript"/>
        <sz val="11"/>
        <rFont val="Calibri"/>
        <family val="2"/>
        <scheme val="minor"/>
      </rPr>
      <t>PO4</t>
    </r>
    <r>
      <rPr>
        <sz val="11"/>
        <rFont val="Calibri"/>
        <family val="2"/>
        <scheme val="minor"/>
      </rPr>
      <t>/AM</t>
    </r>
    <r>
      <rPr>
        <vertAlign val="subscript"/>
        <sz val="11"/>
        <rFont val="Calibri"/>
        <family val="2"/>
        <scheme val="minor"/>
      </rPr>
      <t>Fe</t>
    </r>
    <r>
      <rPr>
        <sz val="11"/>
        <rFont val="Calibri"/>
        <family val="2"/>
        <scheme val="minor"/>
      </rPr>
      <t>)</t>
    </r>
  </si>
  <si>
    <r>
      <t>X</t>
    </r>
    <r>
      <rPr>
        <vertAlign val="subscript"/>
        <sz val="11"/>
        <rFont val="Calibri"/>
        <family val="2"/>
        <scheme val="minor"/>
      </rPr>
      <t>HAO,ISS</t>
    </r>
  </si>
  <si>
    <t>Total HAOs in ISS unit</t>
  </si>
  <si>
    <r>
      <t>(1-f</t>
    </r>
    <r>
      <rPr>
        <vertAlign val="subscript"/>
        <sz val="11"/>
        <rFont val="Calibri"/>
        <family val="2"/>
        <scheme val="minor"/>
      </rPr>
      <t>H2O,HAO,VSS</t>
    </r>
    <r>
      <rPr>
        <sz val="11"/>
        <rFont val="Calibri"/>
        <family val="2"/>
        <scheme val="minor"/>
      </rPr>
      <t>)*X</t>
    </r>
    <r>
      <rPr>
        <vertAlign val="subscript"/>
        <sz val="11"/>
        <rFont val="Calibri"/>
        <family val="2"/>
        <scheme val="minor"/>
      </rPr>
      <t>HAO</t>
    </r>
    <r>
      <rPr>
        <sz val="11"/>
        <rFont val="Calibri"/>
        <family val="2"/>
        <scheme val="minor"/>
      </rPr>
      <t>*MM</t>
    </r>
    <r>
      <rPr>
        <vertAlign val="subscript"/>
        <sz val="11"/>
        <rFont val="Calibri"/>
        <family val="2"/>
        <scheme val="minor"/>
      </rPr>
      <t>AlOH3</t>
    </r>
    <r>
      <rPr>
        <sz val="11"/>
        <rFont val="Calibri"/>
        <family val="2"/>
        <scheme val="minor"/>
      </rPr>
      <t>/AM</t>
    </r>
    <r>
      <rPr>
        <vertAlign val="subscript"/>
        <sz val="11"/>
        <rFont val="Calibri"/>
        <family val="2"/>
        <scheme val="minor"/>
      </rPr>
      <t>Al</t>
    </r>
    <r>
      <rPr>
        <sz val="11"/>
        <rFont val="Calibri"/>
        <family val="2"/>
        <scheme val="minor"/>
      </rPr>
      <t>+ (X</t>
    </r>
    <r>
      <rPr>
        <vertAlign val="subscript"/>
        <sz val="11"/>
        <rFont val="Calibri"/>
        <family val="2"/>
        <scheme val="minor"/>
      </rPr>
      <t>HAO,L,P</t>
    </r>
    <r>
      <rPr>
        <sz val="11"/>
        <rFont val="Calibri"/>
        <family val="2"/>
        <scheme val="minor"/>
      </rPr>
      <t>+X</t>
    </r>
    <r>
      <rPr>
        <vertAlign val="subscript"/>
        <sz val="11"/>
        <rFont val="Calibri"/>
        <family val="2"/>
        <scheme val="minor"/>
      </rPr>
      <t>HAO,L,P,old</t>
    </r>
    <r>
      <rPr>
        <sz val="11"/>
        <rFont val="Calibri"/>
        <family val="2"/>
        <scheme val="minor"/>
      </rPr>
      <t>)*ASF</t>
    </r>
    <r>
      <rPr>
        <vertAlign val="subscript"/>
        <sz val="11"/>
        <rFont val="Calibri"/>
        <family val="2"/>
        <scheme val="minor"/>
      </rPr>
      <t>HAO,L</t>
    </r>
    <r>
      <rPr>
        <sz val="11"/>
        <rFont val="Calibri"/>
        <family val="2"/>
        <scheme val="minor"/>
      </rPr>
      <t>*(MM</t>
    </r>
    <r>
      <rPr>
        <vertAlign val="subscript"/>
        <sz val="11"/>
        <rFont val="Calibri"/>
        <family val="2"/>
        <scheme val="minor"/>
      </rPr>
      <t>PO4</t>
    </r>
    <r>
      <rPr>
        <sz val="11"/>
        <rFont val="Calibri"/>
        <family val="2"/>
        <scheme val="minor"/>
      </rPr>
      <t>/AM</t>
    </r>
    <r>
      <rPr>
        <vertAlign val="subscript"/>
        <sz val="11"/>
        <rFont val="Calibri"/>
        <family val="2"/>
        <scheme val="minor"/>
      </rPr>
      <t>Al</t>
    </r>
    <r>
      <rPr>
        <sz val="11"/>
        <rFont val="Calibri"/>
        <family val="2"/>
        <scheme val="minor"/>
      </rPr>
      <t>) +(X</t>
    </r>
    <r>
      <rPr>
        <vertAlign val="subscript"/>
        <sz val="11"/>
        <rFont val="Calibri"/>
        <family val="2"/>
        <scheme val="minor"/>
      </rPr>
      <t>HAO,H,P</t>
    </r>
    <r>
      <rPr>
        <sz val="11"/>
        <rFont val="Calibri"/>
        <family val="2"/>
        <scheme val="minor"/>
      </rPr>
      <t>+X</t>
    </r>
    <r>
      <rPr>
        <vertAlign val="subscript"/>
        <sz val="11"/>
        <rFont val="Calibri"/>
        <family val="2"/>
        <scheme val="minor"/>
      </rPr>
      <t>HAO,H,P,old</t>
    </r>
    <r>
      <rPr>
        <sz val="11"/>
        <rFont val="Calibri"/>
        <family val="2"/>
        <scheme val="minor"/>
      </rPr>
      <t>)*ASF</t>
    </r>
    <r>
      <rPr>
        <vertAlign val="subscript"/>
        <sz val="11"/>
        <rFont val="Calibri"/>
        <family val="2"/>
        <scheme val="minor"/>
      </rPr>
      <t>HAO,H</t>
    </r>
    <r>
      <rPr>
        <sz val="11"/>
        <rFont val="Calibri"/>
        <family val="2"/>
        <scheme val="minor"/>
      </rPr>
      <t>*(MM</t>
    </r>
    <r>
      <rPr>
        <vertAlign val="subscript"/>
        <sz val="11"/>
        <rFont val="Calibri"/>
        <family val="2"/>
        <scheme val="minor"/>
      </rPr>
      <t>PO4</t>
    </r>
    <r>
      <rPr>
        <sz val="11"/>
        <rFont val="Calibri"/>
        <family val="2"/>
        <scheme val="minor"/>
      </rPr>
      <t>/AM</t>
    </r>
    <r>
      <rPr>
        <vertAlign val="subscript"/>
        <sz val="11"/>
        <rFont val="Calibri"/>
        <family val="2"/>
        <scheme val="minor"/>
      </rPr>
      <t>Al</t>
    </r>
    <r>
      <rPr>
        <sz val="11"/>
        <rFont val="Calibri"/>
        <family val="2"/>
        <scheme val="minor"/>
      </rPr>
      <t>)</t>
    </r>
  </si>
  <si>
    <r>
      <t>X</t>
    </r>
    <r>
      <rPr>
        <vertAlign val="subscript"/>
        <sz val="11"/>
        <rFont val="Calibri"/>
        <family val="2"/>
        <scheme val="minor"/>
      </rPr>
      <t>Me,ISS</t>
    </r>
  </si>
  <si>
    <t>Metal precipitates in ISS unit</t>
  </si>
  <si>
    <r>
      <t>X</t>
    </r>
    <r>
      <rPr>
        <vertAlign val="subscript"/>
        <sz val="11"/>
        <rFont val="Calibri"/>
        <family val="2"/>
        <scheme val="minor"/>
      </rPr>
      <t>HFO,ISS</t>
    </r>
    <r>
      <rPr>
        <sz val="11"/>
        <rFont val="Calibri"/>
        <family val="2"/>
        <scheme val="minor"/>
      </rPr>
      <t xml:space="preserve"> + X</t>
    </r>
    <r>
      <rPr>
        <vertAlign val="subscript"/>
        <sz val="11"/>
        <rFont val="Calibri"/>
        <family val="2"/>
        <scheme val="minor"/>
      </rPr>
      <t>HAO,ISS</t>
    </r>
  </si>
  <si>
    <r>
      <t>X</t>
    </r>
    <r>
      <rPr>
        <vertAlign val="subscript"/>
        <sz val="11"/>
        <rFont val="Calibri"/>
        <family val="2"/>
        <scheme val="minor"/>
      </rPr>
      <t>Me,H2O,VSS</t>
    </r>
  </si>
  <si>
    <t>Water associated with metals measured in VSS Test</t>
  </si>
  <si>
    <r>
      <t>X</t>
    </r>
    <r>
      <rPr>
        <vertAlign val="subscript"/>
        <sz val="11"/>
        <rFont val="Calibri"/>
        <family val="2"/>
        <scheme val="minor"/>
      </rPr>
      <t>Me,H2O,TSS</t>
    </r>
  </si>
  <si>
    <t>Water associated with metals measured in TSS Test</t>
  </si>
  <si>
    <r>
      <t>X</t>
    </r>
    <r>
      <rPr>
        <vertAlign val="subscript"/>
        <sz val="11"/>
        <rFont val="Calibri"/>
        <family val="2"/>
        <scheme val="minor"/>
      </rPr>
      <t xml:space="preserve">VSS </t>
    </r>
    <r>
      <rPr>
        <sz val="11"/>
        <rFont val="Calibri"/>
        <family val="2"/>
        <scheme val="minor"/>
      </rPr>
      <t>+ X</t>
    </r>
    <r>
      <rPr>
        <vertAlign val="subscript"/>
        <sz val="11"/>
        <rFont val="Calibri"/>
        <family val="2"/>
        <scheme val="minor"/>
      </rPr>
      <t xml:space="preserve">ISS </t>
    </r>
    <r>
      <rPr>
        <sz val="11"/>
        <rFont val="Calibri"/>
        <family val="2"/>
        <scheme val="minor"/>
      </rPr>
      <t>- X</t>
    </r>
    <r>
      <rPr>
        <vertAlign val="subscript"/>
        <sz val="11"/>
        <rFont val="Calibri"/>
        <family val="2"/>
        <scheme val="minor"/>
      </rPr>
      <t>Me,H2O,TSS</t>
    </r>
  </si>
  <si>
    <r>
      <t>f</t>
    </r>
    <r>
      <rPr>
        <vertAlign val="subscript"/>
        <sz val="11"/>
        <rFont val="Calibri"/>
        <family val="2"/>
        <scheme val="minor"/>
      </rPr>
      <t>H2O,HFO,TSS</t>
    </r>
    <r>
      <rPr>
        <sz val="11"/>
        <rFont val="Calibri"/>
        <family val="2"/>
        <scheme val="minor"/>
      </rPr>
      <t>*X</t>
    </r>
    <r>
      <rPr>
        <vertAlign val="subscript"/>
        <sz val="11"/>
        <rFont val="Calibri"/>
        <family val="2"/>
        <scheme val="minor"/>
      </rPr>
      <t>HFO</t>
    </r>
    <r>
      <rPr>
        <sz val="11"/>
        <rFont val="Calibri"/>
        <family val="2"/>
        <scheme val="minor"/>
      </rPr>
      <t>*MM</t>
    </r>
    <r>
      <rPr>
        <vertAlign val="subscript"/>
        <sz val="11"/>
        <rFont val="Calibri"/>
        <family val="2"/>
        <scheme val="minor"/>
      </rPr>
      <t>FeOH3</t>
    </r>
    <r>
      <rPr>
        <sz val="11"/>
        <rFont val="Calibri"/>
        <family val="2"/>
        <scheme val="minor"/>
      </rPr>
      <t>/AM</t>
    </r>
    <r>
      <rPr>
        <vertAlign val="subscript"/>
        <sz val="11"/>
        <rFont val="Calibri"/>
        <family val="2"/>
        <scheme val="minor"/>
      </rPr>
      <t>Fe</t>
    </r>
    <r>
      <rPr>
        <sz val="11"/>
        <rFont val="Calibri"/>
        <family val="2"/>
        <scheme val="minor"/>
      </rPr>
      <t>+f</t>
    </r>
    <r>
      <rPr>
        <vertAlign val="subscript"/>
        <sz val="11"/>
        <rFont val="Calibri"/>
        <family val="2"/>
        <scheme val="minor"/>
      </rPr>
      <t>H2O,HAO,TSS</t>
    </r>
    <r>
      <rPr>
        <sz val="11"/>
        <rFont val="Calibri"/>
        <family val="2"/>
        <scheme val="minor"/>
      </rPr>
      <t>*X</t>
    </r>
    <r>
      <rPr>
        <vertAlign val="subscript"/>
        <sz val="11"/>
        <rFont val="Calibri"/>
        <family val="2"/>
        <scheme val="minor"/>
      </rPr>
      <t>HAO</t>
    </r>
    <r>
      <rPr>
        <sz val="11"/>
        <rFont val="Calibri"/>
        <family val="2"/>
        <scheme val="minor"/>
      </rPr>
      <t>*MM</t>
    </r>
    <r>
      <rPr>
        <vertAlign val="subscript"/>
        <sz val="11"/>
        <rFont val="Calibri"/>
        <family val="2"/>
        <scheme val="minor"/>
      </rPr>
      <t>AlOH3</t>
    </r>
    <r>
      <rPr>
        <sz val="11"/>
        <rFont val="Calibri"/>
        <family val="2"/>
        <scheme val="minor"/>
      </rPr>
      <t>/AM</t>
    </r>
    <r>
      <rPr>
        <vertAlign val="subscript"/>
        <sz val="11"/>
        <rFont val="Calibri"/>
        <family val="2"/>
        <scheme val="minor"/>
      </rPr>
      <t>Al</t>
    </r>
  </si>
  <si>
    <r>
      <t>(f</t>
    </r>
    <r>
      <rPr>
        <vertAlign val="subscript"/>
        <sz val="11"/>
        <rFont val="Calibri"/>
        <family val="2"/>
        <scheme val="minor"/>
      </rPr>
      <t>H2O,HFO,VSS</t>
    </r>
    <r>
      <rPr>
        <sz val="11"/>
        <rFont val="Calibri"/>
        <family val="2"/>
        <scheme val="minor"/>
      </rPr>
      <t>-f</t>
    </r>
    <r>
      <rPr>
        <vertAlign val="subscript"/>
        <sz val="11"/>
        <rFont val="Calibri"/>
        <family val="2"/>
        <scheme val="minor"/>
      </rPr>
      <t>H2O,HFO,TSS</t>
    </r>
    <r>
      <rPr>
        <sz val="11"/>
        <rFont val="Calibri"/>
        <family val="2"/>
        <scheme val="minor"/>
      </rPr>
      <t>)*X</t>
    </r>
    <r>
      <rPr>
        <vertAlign val="subscript"/>
        <sz val="11"/>
        <rFont val="Calibri"/>
        <family val="2"/>
        <scheme val="minor"/>
      </rPr>
      <t>HFO</t>
    </r>
    <r>
      <rPr>
        <sz val="11"/>
        <rFont val="Calibri"/>
        <family val="2"/>
        <scheme val="minor"/>
      </rPr>
      <t>*MM</t>
    </r>
    <r>
      <rPr>
        <vertAlign val="subscript"/>
        <sz val="11"/>
        <rFont val="Calibri"/>
        <family val="2"/>
        <scheme val="minor"/>
      </rPr>
      <t>FeOH3</t>
    </r>
    <r>
      <rPr>
        <sz val="11"/>
        <rFont val="Calibri"/>
        <family val="2"/>
        <scheme val="minor"/>
      </rPr>
      <t>/AM</t>
    </r>
    <r>
      <rPr>
        <vertAlign val="subscript"/>
        <sz val="11"/>
        <rFont val="Calibri"/>
        <family val="2"/>
        <scheme val="minor"/>
      </rPr>
      <t>Fe</t>
    </r>
    <r>
      <rPr>
        <sz val="11"/>
        <rFont val="Calibri"/>
        <family val="2"/>
        <scheme val="minor"/>
      </rPr>
      <t>+(f</t>
    </r>
    <r>
      <rPr>
        <vertAlign val="subscript"/>
        <sz val="11"/>
        <rFont val="Calibri"/>
        <family val="2"/>
        <scheme val="minor"/>
      </rPr>
      <t>H2O,HAO,VSS</t>
    </r>
    <r>
      <rPr>
        <sz val="11"/>
        <rFont val="Calibri"/>
        <family val="2"/>
        <scheme val="minor"/>
      </rPr>
      <t>-f</t>
    </r>
    <r>
      <rPr>
        <vertAlign val="subscript"/>
        <sz val="11"/>
        <rFont val="Calibri"/>
        <family val="2"/>
        <scheme val="minor"/>
      </rPr>
      <t>H2O,HAO,TSS</t>
    </r>
    <r>
      <rPr>
        <sz val="11"/>
        <rFont val="Calibri"/>
        <family val="2"/>
        <scheme val="minor"/>
      </rPr>
      <t>)*X</t>
    </r>
    <r>
      <rPr>
        <vertAlign val="subscript"/>
        <sz val="11"/>
        <rFont val="Calibri"/>
        <family val="2"/>
        <scheme val="minor"/>
      </rPr>
      <t>HAO</t>
    </r>
    <r>
      <rPr>
        <sz val="11"/>
        <rFont val="Calibri"/>
        <family val="2"/>
        <scheme val="minor"/>
      </rPr>
      <t>*MM</t>
    </r>
    <r>
      <rPr>
        <vertAlign val="subscript"/>
        <sz val="11"/>
        <rFont val="Calibri"/>
        <family val="2"/>
        <scheme val="minor"/>
      </rPr>
      <t>AlOH3</t>
    </r>
    <r>
      <rPr>
        <sz val="11"/>
        <rFont val="Calibri"/>
        <family val="2"/>
        <scheme val="minor"/>
      </rPr>
      <t>/AM</t>
    </r>
    <r>
      <rPr>
        <vertAlign val="subscript"/>
        <sz val="11"/>
        <rFont val="Calibri"/>
        <family val="2"/>
        <scheme val="minor"/>
      </rPr>
      <t>Al</t>
    </r>
  </si>
  <si>
    <t>Non-pH; Non-Digester; Non-Sidestream</t>
  </si>
  <si>
    <t>Non-pH; Sidestream</t>
  </si>
  <si>
    <t>NURAMX</t>
  </si>
  <si>
    <t>Ammonia and nitrite uptake rate by Anammox (NURAMX)</t>
  </si>
  <si>
    <r>
      <t>- (v43_S</t>
    </r>
    <r>
      <rPr>
        <vertAlign val="subscript"/>
        <sz val="11"/>
        <rFont val="Calibri"/>
        <family val="2"/>
        <scheme val="minor"/>
      </rPr>
      <t>NHx</t>
    </r>
    <r>
      <rPr>
        <sz val="11"/>
        <rFont val="Calibri"/>
        <family val="2"/>
        <scheme val="minor"/>
      </rPr>
      <t xml:space="preserve"> * r43 + v43_S</t>
    </r>
    <r>
      <rPr>
        <vertAlign val="subscript"/>
        <sz val="11"/>
        <rFont val="Calibri"/>
        <family val="2"/>
        <scheme val="minor"/>
      </rPr>
      <t>NO2</t>
    </r>
    <r>
      <rPr>
        <sz val="11"/>
        <rFont val="Calibri"/>
        <family val="2"/>
        <scheme val="minor"/>
      </rPr>
      <t xml:space="preserve"> * r43)</t>
    </r>
  </si>
  <si>
    <r>
      <t>g COD.g COD</t>
    </r>
    <r>
      <rPr>
        <vertAlign val="superscript"/>
        <sz val="11"/>
        <rFont val="Calibri"/>
        <family val="2"/>
        <charset val="238"/>
        <scheme val="minor"/>
      </rPr>
      <t>-1</t>
    </r>
  </si>
  <si>
    <r>
      <t>g COD.g P</t>
    </r>
    <r>
      <rPr>
        <vertAlign val="superscript"/>
        <sz val="11"/>
        <rFont val="Calibri"/>
        <family val="2"/>
        <charset val="238"/>
        <scheme val="minor"/>
      </rPr>
      <t>-1</t>
    </r>
  </si>
  <si>
    <r>
      <t>g P.g COD</t>
    </r>
    <r>
      <rPr>
        <vertAlign val="superscript"/>
        <sz val="11"/>
        <rFont val="Calibri"/>
        <family val="2"/>
        <charset val="238"/>
        <scheme val="minor"/>
      </rPr>
      <t>-1</t>
    </r>
  </si>
  <si>
    <r>
      <t>g TSS.g P</t>
    </r>
    <r>
      <rPr>
        <vertAlign val="superscript"/>
        <sz val="11"/>
        <rFont val="Calibri"/>
        <family val="2"/>
        <charset val="238"/>
        <scheme val="minor"/>
      </rPr>
      <t>-1</t>
    </r>
  </si>
  <si>
    <r>
      <t>g COD.g N</t>
    </r>
    <r>
      <rPr>
        <vertAlign val="superscript"/>
        <sz val="11"/>
        <rFont val="Calibri"/>
        <family val="2"/>
        <scheme val="minor"/>
      </rPr>
      <t>-1</t>
    </r>
  </si>
  <si>
    <r>
      <t>mol NO</t>
    </r>
    <r>
      <rPr>
        <vertAlign val="subscript"/>
        <sz val="11"/>
        <rFont val="Calibri"/>
        <family val="2"/>
        <scheme val="minor"/>
      </rPr>
      <t>2</t>
    </r>
    <r>
      <rPr>
        <sz val="11"/>
        <rFont val="Calibri"/>
        <family val="2"/>
        <scheme val="minor"/>
      </rPr>
      <t>.mol NH</t>
    </r>
    <r>
      <rPr>
        <vertAlign val="subscript"/>
        <sz val="11"/>
        <rFont val="Calibri"/>
        <family val="2"/>
        <scheme val="minor"/>
      </rPr>
      <t>4</t>
    </r>
    <r>
      <rPr>
        <vertAlign val="superscript"/>
        <sz val="11"/>
        <rFont val="Calibri"/>
        <family val="2"/>
        <scheme val="minor"/>
      </rPr>
      <t>-1</t>
    </r>
  </si>
  <si>
    <r>
      <t>mol NO</t>
    </r>
    <r>
      <rPr>
        <vertAlign val="subscript"/>
        <sz val="11"/>
        <rFont val="Calibri"/>
        <family val="2"/>
        <scheme val="minor"/>
      </rPr>
      <t>3</t>
    </r>
    <r>
      <rPr>
        <sz val="11"/>
        <rFont val="Calibri"/>
        <family val="2"/>
        <scheme val="minor"/>
      </rPr>
      <t>.mol NH</t>
    </r>
    <r>
      <rPr>
        <vertAlign val="subscript"/>
        <sz val="11"/>
        <rFont val="Calibri"/>
        <family val="2"/>
        <scheme val="minor"/>
      </rPr>
      <t>4</t>
    </r>
    <r>
      <rPr>
        <vertAlign val="superscript"/>
        <sz val="11"/>
        <rFont val="Calibri"/>
        <family val="2"/>
        <scheme val="minor"/>
      </rPr>
      <t>-1</t>
    </r>
  </si>
  <si>
    <r>
      <t>X</t>
    </r>
    <r>
      <rPr>
        <vertAlign val="subscript"/>
        <sz val="11"/>
        <rFont val="Calibri"/>
        <family val="2"/>
        <scheme val="minor"/>
      </rPr>
      <t>Me,ISS</t>
    </r>
    <r>
      <rPr>
        <sz val="11"/>
        <rFont val="Calibri"/>
        <family val="2"/>
        <scheme val="minor"/>
      </rPr>
      <t>+X</t>
    </r>
    <r>
      <rPr>
        <vertAlign val="subscript"/>
        <sz val="11"/>
        <rFont val="Calibri"/>
        <family val="2"/>
        <scheme val="minor"/>
      </rPr>
      <t>precip</t>
    </r>
    <r>
      <rPr>
        <sz val="11"/>
        <rFont val="Calibri"/>
        <family val="2"/>
        <scheme val="minor"/>
      </rPr>
      <t>+X</t>
    </r>
    <r>
      <rPr>
        <vertAlign val="subscript"/>
        <sz val="11"/>
        <rFont val="Calibri"/>
        <family val="2"/>
        <scheme val="minor"/>
      </rPr>
      <t>INORG</t>
    </r>
    <r>
      <rPr>
        <sz val="11"/>
        <rFont val="Calibri"/>
        <family val="2"/>
        <scheme val="minor"/>
      </rPr>
      <t>+i</t>
    </r>
    <r>
      <rPr>
        <vertAlign val="subscript"/>
        <sz val="11"/>
        <rFont val="Calibri"/>
        <family val="2"/>
        <scheme val="minor"/>
      </rPr>
      <t>TSS,PP</t>
    </r>
    <r>
      <rPr>
        <sz val="11"/>
        <rFont val="Calibri"/>
        <family val="2"/>
        <scheme val="minor"/>
      </rPr>
      <t>*X</t>
    </r>
    <r>
      <rPr>
        <vertAlign val="subscript"/>
        <sz val="11"/>
        <rFont val="Calibri"/>
        <family val="2"/>
        <scheme val="minor"/>
      </rPr>
      <t>PP</t>
    </r>
    <r>
      <rPr>
        <sz val="11"/>
        <rFont val="Calibri"/>
        <family val="2"/>
        <charset val="238"/>
        <scheme val="minor"/>
      </rPr>
      <t/>
    </r>
  </si>
  <si>
    <t>Primary effluent</t>
  </si>
  <si>
    <t>r123</t>
  </si>
  <si>
    <r>
      <t>X</t>
    </r>
    <r>
      <rPr>
        <vertAlign val="subscript"/>
        <sz val="11"/>
        <rFont val="Calibri"/>
        <family val="2"/>
      </rPr>
      <t>N,U</t>
    </r>
    <r>
      <rPr>
        <sz val="11"/>
        <rFont val="Calibri"/>
        <family val="2"/>
      </rPr>
      <t>/X</t>
    </r>
    <r>
      <rPr>
        <vertAlign val="subscript"/>
        <sz val="11"/>
        <rFont val="Calibri"/>
        <family val="2"/>
      </rPr>
      <t>U</t>
    </r>
  </si>
  <si>
    <r>
      <t>-X</t>
    </r>
    <r>
      <rPr>
        <vertAlign val="subscript"/>
        <sz val="11"/>
        <rFont val="Calibri"/>
        <family val="2"/>
      </rPr>
      <t>N,U</t>
    </r>
    <r>
      <rPr>
        <sz val="11"/>
        <rFont val="Calibri"/>
        <family val="2"/>
      </rPr>
      <t>/X</t>
    </r>
    <r>
      <rPr>
        <vertAlign val="subscript"/>
        <sz val="11"/>
        <rFont val="Calibri"/>
        <family val="2"/>
      </rPr>
      <t>U</t>
    </r>
  </si>
  <si>
    <r>
      <t>X</t>
    </r>
    <r>
      <rPr>
        <vertAlign val="subscript"/>
        <sz val="11"/>
        <rFont val="Calibri"/>
        <family val="2"/>
      </rPr>
      <t>P,U</t>
    </r>
    <r>
      <rPr>
        <sz val="11"/>
        <rFont val="Calibri"/>
        <family val="2"/>
      </rPr>
      <t>/X</t>
    </r>
    <r>
      <rPr>
        <vertAlign val="subscript"/>
        <sz val="11"/>
        <rFont val="Calibri"/>
        <family val="2"/>
      </rPr>
      <t>U</t>
    </r>
  </si>
  <si>
    <r>
      <t>-X</t>
    </r>
    <r>
      <rPr>
        <vertAlign val="subscript"/>
        <sz val="11"/>
        <rFont val="Calibri"/>
        <family val="2"/>
      </rPr>
      <t>P,U</t>
    </r>
    <r>
      <rPr>
        <sz val="11"/>
        <rFont val="Calibri"/>
        <family val="2"/>
      </rPr>
      <t>/X</t>
    </r>
    <r>
      <rPr>
        <vertAlign val="subscript"/>
        <sz val="11"/>
        <rFont val="Calibri"/>
        <family val="2"/>
      </rPr>
      <t>U</t>
    </r>
  </si>
  <si>
    <r>
      <t>q</t>
    </r>
    <r>
      <rPr>
        <vertAlign val="subscript"/>
        <sz val="11"/>
        <color indexed="8"/>
        <rFont val="Calibri"/>
        <family val="2"/>
        <scheme val="minor"/>
      </rPr>
      <t>XU</t>
    </r>
  </si>
  <si>
    <t>Rate of particulate unbiodegradable organics conversion</t>
  </si>
  <si>
    <r>
      <t>θ</t>
    </r>
    <r>
      <rPr>
        <vertAlign val="subscript"/>
        <sz val="11"/>
        <color indexed="8"/>
        <rFont val="Calibri"/>
        <family val="2"/>
        <scheme val="minor"/>
      </rPr>
      <t>q,XU</t>
    </r>
  </si>
  <si>
    <t>Arrhenius particulate unbiodegradable organics conversion</t>
  </si>
  <si>
    <r>
      <t>q</t>
    </r>
    <r>
      <rPr>
        <vertAlign val="subscript"/>
        <sz val="11"/>
        <color indexed="8"/>
        <rFont val="Calibri"/>
        <family val="2"/>
        <scheme val="minor"/>
      </rPr>
      <t>XU,T</t>
    </r>
  </si>
  <si>
    <t>Rate of particulate unbiodegradable organics conversion (temperature corrected)</t>
  </si>
  <si>
    <r>
      <t>q</t>
    </r>
    <r>
      <rPr>
        <vertAlign val="subscript"/>
        <sz val="11"/>
        <color indexed="8"/>
        <rFont val="Calibri"/>
        <family val="2"/>
        <scheme val="minor"/>
      </rPr>
      <t>XU</t>
    </r>
    <r>
      <rPr>
        <sz val="11"/>
        <color indexed="8"/>
        <rFont val="Calibri"/>
        <family val="2"/>
        <scheme val="minor"/>
      </rPr>
      <t>*Arrh(θ</t>
    </r>
    <r>
      <rPr>
        <vertAlign val="subscript"/>
        <sz val="11"/>
        <color indexed="8"/>
        <rFont val="Calibri"/>
        <family val="2"/>
        <scheme val="minor"/>
      </rPr>
      <t>q,XU</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</si>
  <si>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i</t>
    </r>
    <r>
      <rPr>
        <vertAlign val="subscript"/>
        <sz val="11"/>
        <rFont val="Calibri"/>
        <family val="2"/>
      </rPr>
      <t>S,XU</t>
    </r>
    <r>
      <rPr>
        <sz val="11"/>
        <rFont val="Calibri"/>
        <family val="2"/>
      </rPr>
      <t>-i</t>
    </r>
    <r>
      <rPr>
        <vertAlign val="subscript"/>
        <sz val="11"/>
        <rFont val="Calibri"/>
        <family val="2"/>
      </rPr>
      <t>S,XB</t>
    </r>
  </si>
  <si>
    <t>Total gas molar rate</t>
  </si>
  <si>
    <r>
      <t>mol.m</t>
    </r>
    <r>
      <rPr>
        <vertAlign val="superscript"/>
        <sz val="11"/>
        <rFont val="Calibri"/>
        <family val="2"/>
      </rPr>
      <t>-3</t>
    </r>
    <r>
      <rPr>
        <sz val="11"/>
        <rFont val="Calibri"/>
        <family val="2"/>
      </rPr>
      <t>.d</t>
    </r>
    <r>
      <rPr>
        <vertAlign val="superscript"/>
        <sz val="11"/>
        <rFont val="Calibri"/>
        <family val="2"/>
      </rPr>
      <t>-1</t>
    </r>
  </si>
  <si>
    <r>
      <t>m</t>
    </r>
    <r>
      <rPr>
        <vertAlign val="superscript"/>
        <sz val="11"/>
        <rFont val="Calibri"/>
        <family val="2"/>
      </rPr>
      <t>-3</t>
    </r>
    <r>
      <rPr>
        <sz val="11"/>
        <rFont val="Calibri"/>
        <family val="2"/>
      </rPr>
      <t>.d</t>
    </r>
    <r>
      <rPr>
        <vertAlign val="superscript"/>
        <sz val="11"/>
        <rFont val="Calibri"/>
        <family val="2"/>
      </rPr>
      <t>-1</t>
    </r>
  </si>
  <si>
    <r>
      <t>mol</t>
    </r>
    <r>
      <rPr>
        <vertAlign val="superscript"/>
        <sz val="11"/>
        <rFont val="Calibri"/>
        <family val="2"/>
        <scheme val="minor"/>
      </rPr>
      <t>-1</t>
    </r>
  </si>
  <si>
    <r>
      <t>rate</t>
    </r>
    <r>
      <rPr>
        <vertAlign val="subscript"/>
        <sz val="11"/>
        <rFont val="Calibri"/>
        <family val="2"/>
        <scheme val="minor"/>
      </rPr>
      <t>gas,transfer</t>
    </r>
  </si>
  <si>
    <r>
      <t>k</t>
    </r>
    <r>
      <rPr>
        <vertAlign val="subscript"/>
        <sz val="11"/>
        <rFont val="Calibri"/>
        <family val="2"/>
      </rPr>
      <t>transfer,MM</t>
    </r>
    <r>
      <rPr>
        <sz val="11"/>
        <rFont val="Calibri"/>
        <family val="2"/>
      </rPr>
      <t>*S</t>
    </r>
    <r>
      <rPr>
        <vertAlign val="subscript"/>
        <sz val="11"/>
        <rFont val="Calibri"/>
        <family val="2"/>
      </rPr>
      <t>MM,index</t>
    </r>
    <r>
      <rPr>
        <sz val="11"/>
        <rFont val="Calibri"/>
        <family val="2"/>
      </rPr>
      <t>*rate</t>
    </r>
    <r>
      <rPr>
        <vertAlign val="subscript"/>
        <sz val="11"/>
        <rFont val="Calibri"/>
        <family val="2"/>
      </rPr>
      <t>gas,transfer</t>
    </r>
  </si>
  <si>
    <r>
      <t>Msat</t>
    </r>
    <r>
      <rPr>
        <vertAlign val="subscript"/>
        <sz val="11"/>
        <rFont val="Calibri"/>
        <family val="2"/>
      </rPr>
      <t>XU,KXU</t>
    </r>
  </si>
  <si>
    <t>Saturation term for XU</t>
  </si>
  <si>
    <r>
      <t>Msat(X</t>
    </r>
    <r>
      <rPr>
        <vertAlign val="subscript"/>
        <sz val="11"/>
        <rFont val="Calibri"/>
        <family val="2"/>
      </rPr>
      <t>U</t>
    </r>
    <r>
      <rPr>
        <sz val="11"/>
        <rFont val="Calibri"/>
        <family val="2"/>
      </rPr>
      <t>;K</t>
    </r>
    <r>
      <rPr>
        <vertAlign val="subscript"/>
        <sz val="11"/>
        <rFont val="Calibri"/>
        <family val="2"/>
      </rPr>
      <t>XU</t>
    </r>
    <r>
      <rPr>
        <sz val="11"/>
        <rFont val="Calibri"/>
        <family val="2"/>
      </rPr>
      <t>)</t>
    </r>
  </si>
  <si>
    <r>
      <t>q</t>
    </r>
    <r>
      <rPr>
        <vertAlign val="subscript"/>
        <sz val="11"/>
        <rFont val="Calibri"/>
        <family val="2"/>
      </rPr>
      <t>XU,T</t>
    </r>
    <r>
      <rPr>
        <sz val="11"/>
        <rFont val="Calibri"/>
        <family val="2"/>
      </rPr>
      <t>*X</t>
    </r>
    <r>
      <rPr>
        <vertAlign val="subscript"/>
        <sz val="11"/>
        <rFont val="Calibri"/>
        <family val="2"/>
      </rPr>
      <t>U</t>
    </r>
    <r>
      <rPr>
        <sz val="11"/>
        <rFont val="Calibri"/>
        <family val="2"/>
      </rPr>
      <t>*Msat</t>
    </r>
    <r>
      <rPr>
        <vertAlign val="subscript"/>
        <sz val="11"/>
        <rFont val="Calibri"/>
        <family val="2"/>
      </rPr>
      <t>XU,KXU</t>
    </r>
  </si>
  <si>
    <r>
      <t>K</t>
    </r>
    <r>
      <rPr>
        <vertAlign val="subscript"/>
        <sz val="11"/>
        <color indexed="8"/>
        <rFont val="Calibri"/>
        <family val="2"/>
        <scheme val="minor"/>
      </rPr>
      <t>XU</t>
    </r>
  </si>
  <si>
    <t>Aged P-bound hydrous ferric oxide, high surface (HFO,H,P,old)</t>
  </si>
  <si>
    <t>Aged P-bound hydrous ferric oxide, low surface (HFO,L,P,old)</t>
  </si>
  <si>
    <t>Conversion factor of TCOD into total organic carbon at effluent</t>
  </si>
  <si>
    <t>Conversion constant of TCOD into total organic carbon at effluent</t>
  </si>
  <si>
    <t>Saturation term for PHA storage (PAO)</t>
  </si>
  <si>
    <t>Inhibition term for PHA storage (PAO)</t>
  </si>
  <si>
    <t>Inhibition term for PP storage compound (PAO)</t>
  </si>
  <si>
    <t>Saturation term for PP storage (PAO)</t>
  </si>
  <si>
    <t>Kinetic rate of ORP lag for CASTO activity switches</t>
  </si>
  <si>
    <t>Offset of ORP lag for CASTO activity switches</t>
  </si>
  <si>
    <t>Inhibition term for VFAs in fermentation</t>
  </si>
  <si>
    <t>Half-saturation of particulate unbiodegradable organics</t>
  </si>
  <si>
    <t>Parameters from solver settings</t>
  </si>
  <si>
    <t>Sumo__MSatMin</t>
  </si>
  <si>
    <t>Msat cut off value</t>
  </si>
  <si>
    <t xml:space="preserve"> </t>
  </si>
  <si>
    <t>Environmental Variables</t>
  </si>
  <si>
    <t>Solar Irradiation</t>
  </si>
  <si>
    <t>W.m-2</t>
  </si>
  <si>
    <t>Optimal irradiation for photosynthesis</t>
  </si>
  <si>
    <t>TSS concentration for calculating light extinction switching factor</t>
  </si>
  <si>
    <t>g.m-3</t>
  </si>
  <si>
    <t>Max(var - Sumo__MSatMin; 0) / (k + var)</t>
  </si>
  <si>
    <r>
      <t>X</t>
    </r>
    <r>
      <rPr>
        <b/>
        <vertAlign val="subscript"/>
        <sz val="11"/>
        <rFont val="Calibri"/>
        <family val="2"/>
        <charset val="238"/>
        <scheme val="minor"/>
      </rPr>
      <t>ALGAE</t>
    </r>
  </si>
  <si>
    <t>Photosynthetic organisms (ALGAE)</t>
  </si>
  <si>
    <t>Photosynthetic organisms kinetics (ALGAE)</t>
  </si>
  <si>
    <r>
      <t>µ</t>
    </r>
    <r>
      <rPr>
        <vertAlign val="subscript"/>
        <sz val="11"/>
        <color rgb="FF000000"/>
        <rFont val="Calibri"/>
        <family val="2"/>
        <scheme val="minor"/>
      </rPr>
      <t>ALGAE</t>
    </r>
  </si>
  <si>
    <t>Maximum specific growth rate of ALGAE</t>
  </si>
  <si>
    <r>
      <t>b</t>
    </r>
    <r>
      <rPr>
        <vertAlign val="subscript"/>
        <sz val="11"/>
        <color indexed="8"/>
        <rFont val="Calibri"/>
        <family val="2"/>
        <scheme val="minor"/>
      </rPr>
      <t>ALGAE</t>
    </r>
  </si>
  <si>
    <t>Decay rate of ALGAE</t>
  </si>
  <si>
    <r>
      <t>K</t>
    </r>
    <r>
      <rPr>
        <vertAlign val="subscript"/>
        <sz val="11"/>
        <color rgb="FF000000"/>
        <rFont val="Calibri"/>
        <family val="2"/>
        <scheme val="minor"/>
      </rPr>
      <t>CO2,ALGAE</t>
    </r>
  </si>
  <si>
    <r>
      <t>Half-saturation of CO</t>
    </r>
    <r>
      <rPr>
        <vertAlign val="subscript"/>
        <sz val="11"/>
        <color rgb="FF000000"/>
        <rFont val="Calibri"/>
        <family val="2"/>
        <scheme val="minor"/>
      </rPr>
      <t>2</t>
    </r>
    <r>
      <rPr>
        <sz val="11"/>
        <color indexed="8"/>
        <rFont val="Calibri"/>
        <family val="2"/>
        <scheme val="minor"/>
      </rPr>
      <t xml:space="preserve"> for ALGAE</t>
    </r>
  </si>
  <si>
    <r>
      <t>K</t>
    </r>
    <r>
      <rPr>
        <vertAlign val="subscript"/>
        <sz val="11"/>
        <color rgb="FF000000"/>
        <rFont val="Calibri"/>
        <family val="2"/>
        <scheme val="minor"/>
      </rPr>
      <t>NOx,ALGAE</t>
    </r>
  </si>
  <si>
    <r>
      <t>Half-saturation of NO</t>
    </r>
    <r>
      <rPr>
        <vertAlign val="subscript"/>
        <sz val="11"/>
        <color rgb="FF000000"/>
        <rFont val="Calibri"/>
        <family val="2"/>
        <scheme val="minor"/>
      </rPr>
      <t>x</t>
    </r>
    <r>
      <rPr>
        <sz val="11"/>
        <color indexed="8"/>
        <rFont val="Calibri"/>
        <family val="2"/>
        <scheme val="minor"/>
      </rPr>
      <t xml:space="preserve"> for ALGAE</t>
    </r>
  </si>
  <si>
    <r>
      <t>K</t>
    </r>
    <r>
      <rPr>
        <vertAlign val="subscript"/>
        <sz val="11"/>
        <color rgb="FF000000"/>
        <rFont val="Calibri"/>
        <family val="2"/>
        <scheme val="minor"/>
      </rPr>
      <t>O2,ALGAE</t>
    </r>
  </si>
  <si>
    <r>
      <t>Half-saturation of O</t>
    </r>
    <r>
      <rPr>
        <vertAlign val="subscript"/>
        <sz val="11"/>
        <color rgb="FF000000"/>
        <rFont val="Calibri"/>
        <family val="2"/>
        <scheme val="minor"/>
      </rPr>
      <t>2</t>
    </r>
    <r>
      <rPr>
        <sz val="11"/>
        <color indexed="8"/>
        <rFont val="Calibri"/>
        <family val="2"/>
        <scheme val="minor"/>
      </rPr>
      <t xml:space="preserve"> for ALGAE</t>
    </r>
  </si>
  <si>
    <r>
      <t>K</t>
    </r>
    <r>
      <rPr>
        <sz val="11"/>
        <color rgb="FF000000"/>
        <rFont val="Calibri"/>
        <family val="2"/>
        <scheme val="minor"/>
      </rPr>
      <t>i</t>
    </r>
    <r>
      <rPr>
        <vertAlign val="subscript"/>
        <sz val="11"/>
        <color rgb="FF000000"/>
        <rFont val="Calibri"/>
        <family val="2"/>
        <scheme val="minor"/>
      </rPr>
      <t>NHx,ALGAE</t>
    </r>
  </si>
  <si>
    <r>
      <t>Half-inhibition of NH</t>
    </r>
    <r>
      <rPr>
        <vertAlign val="subscript"/>
        <sz val="11"/>
        <color rgb="FF000000"/>
        <rFont val="Calibri"/>
        <family val="2"/>
        <scheme val="minor"/>
      </rPr>
      <t>x</t>
    </r>
    <r>
      <rPr>
        <sz val="11"/>
        <color indexed="8"/>
        <rFont val="Calibri"/>
        <family val="2"/>
        <scheme val="minor"/>
      </rPr>
      <t xml:space="preserve"> for ALGAE</t>
    </r>
  </si>
  <si>
    <r>
      <t>i</t>
    </r>
    <r>
      <rPr>
        <vertAlign val="subscript"/>
        <sz val="11"/>
        <rFont val="Calibri"/>
        <family val="2"/>
        <scheme val="minor"/>
      </rPr>
      <t>N,ALGAE</t>
    </r>
  </si>
  <si>
    <t>N content of algae</t>
  </si>
  <si>
    <t>g N.g COD-1</t>
  </si>
  <si>
    <r>
      <t>i</t>
    </r>
    <r>
      <rPr>
        <vertAlign val="subscript"/>
        <sz val="11"/>
        <rFont val="Calibri"/>
        <family val="2"/>
        <scheme val="minor"/>
      </rPr>
      <t>P,ALGAE</t>
    </r>
  </si>
  <si>
    <t>P content of algae</t>
  </si>
  <si>
    <t>g P.g COD-1</t>
  </si>
  <si>
    <r>
      <t>i</t>
    </r>
    <r>
      <rPr>
        <vertAlign val="subscript"/>
        <sz val="11"/>
        <rFont val="Calibri"/>
        <family val="2"/>
        <scheme val="minor"/>
      </rPr>
      <t>CIT,ALGAE</t>
    </r>
  </si>
  <si>
    <t>Inorganic carbon content of algae</t>
  </si>
  <si>
    <t>g TIC.g COD-1</t>
  </si>
  <si>
    <t>C5H7O2N: 32 g COD/mol C</t>
  </si>
  <si>
    <r>
      <t>k</t>
    </r>
    <r>
      <rPr>
        <vertAlign val="subscript"/>
        <sz val="11"/>
        <rFont val="Calibri"/>
        <family val="2"/>
      </rPr>
      <t>L,GO2,PondSurface</t>
    </r>
  </si>
  <si>
    <r>
      <t>Liquid-side mass transfer coefficient of O</t>
    </r>
    <r>
      <rPr>
        <vertAlign val="subscript"/>
        <sz val="11"/>
        <color rgb="FF000000"/>
        <rFont val="Calibri"/>
        <family val="2"/>
        <scheme val="minor"/>
      </rPr>
      <t>2</t>
    </r>
    <r>
      <rPr>
        <sz val="11"/>
        <rFont val="Calibri"/>
        <family val="2"/>
        <scheme val="minor"/>
      </rPr>
      <t xml:space="preserve"> at liquid surface of a pond</t>
    </r>
  </si>
  <si>
    <t>Pond calculated variables</t>
  </si>
  <si>
    <t>LightSwitch</t>
  </si>
  <si>
    <t>Light switch to account for solar irradiation and TSS shading</t>
  </si>
  <si>
    <r>
      <t>d</t>
    </r>
    <r>
      <rPr>
        <vertAlign val="superscript"/>
        <sz val="11"/>
        <color indexed="8"/>
        <rFont val="Calibri"/>
        <family val="2"/>
      </rPr>
      <t>-1</t>
    </r>
  </si>
  <si>
    <t>GenThreePondModel</t>
  </si>
  <si>
    <r>
      <t>Msat</t>
    </r>
    <r>
      <rPr>
        <vertAlign val="subscript"/>
        <sz val="11"/>
        <rFont val="Calibri"/>
        <family val="2"/>
        <scheme val="minor"/>
      </rPr>
      <t>SCO2,KCO2,ALGAE</t>
    </r>
  </si>
  <si>
    <t>Saturation term for CO2 (ALGAE)</t>
  </si>
  <si>
    <r>
      <t>Msat(S</t>
    </r>
    <r>
      <rPr>
        <vertAlign val="subscript"/>
        <sz val="11"/>
        <rFont val="Calibri"/>
        <family val="2"/>
        <scheme val="minor"/>
      </rPr>
      <t>CO2</t>
    </r>
    <r>
      <rPr>
        <sz val="11"/>
        <rFont val="Calibri"/>
        <family val="2"/>
        <scheme val="minor"/>
      </rPr>
      <t>;K</t>
    </r>
    <r>
      <rPr>
        <vertAlign val="subscript"/>
        <sz val="11"/>
        <rFont val="Calibri"/>
        <family val="2"/>
        <scheme val="minor"/>
      </rPr>
      <t>CO2,ALGAE</t>
    </r>
    <r>
      <rPr>
        <sz val="11"/>
        <rFont val="Calibri"/>
        <family val="2"/>
        <scheme val="minor"/>
      </rPr>
      <t>)</t>
    </r>
  </si>
  <si>
    <r>
      <t>Msat</t>
    </r>
    <r>
      <rPr>
        <vertAlign val="subscript"/>
        <sz val="11"/>
        <rFont val="Calibri"/>
        <family val="2"/>
        <scheme val="minor"/>
      </rPr>
      <t>SNOx,KNOx,ALGAE</t>
    </r>
  </si>
  <si>
    <r>
      <t>Msat(S</t>
    </r>
    <r>
      <rPr>
        <vertAlign val="subscript"/>
        <sz val="11"/>
        <rFont val="Calibri"/>
        <family val="2"/>
        <scheme val="minor"/>
      </rPr>
      <t>NOx</t>
    </r>
    <r>
      <rPr>
        <sz val="11"/>
        <rFont val="Calibri"/>
        <family val="2"/>
        <scheme val="minor"/>
      </rPr>
      <t>;K</t>
    </r>
    <r>
      <rPr>
        <vertAlign val="subscript"/>
        <sz val="11"/>
        <rFont val="Calibri"/>
        <family val="2"/>
        <scheme val="minor"/>
      </rPr>
      <t>NOx,ALGAE</t>
    </r>
    <r>
      <rPr>
        <sz val="11"/>
        <rFont val="Calibri"/>
        <family val="2"/>
        <scheme val="minor"/>
      </rPr>
      <t>)</t>
    </r>
  </si>
  <si>
    <r>
      <t>Msat</t>
    </r>
    <r>
      <rPr>
        <vertAlign val="subscript"/>
        <sz val="11"/>
        <rFont val="Calibri"/>
        <family val="2"/>
        <scheme val="minor"/>
      </rPr>
      <t>SO2,KO2,ALGAE</t>
    </r>
  </si>
  <si>
    <t>Saturation term for O2 (ALGAE)</t>
  </si>
  <si>
    <r>
      <t>Msat(S</t>
    </r>
    <r>
      <rPr>
        <vertAlign val="subscript"/>
        <sz val="11"/>
        <rFont val="Calibri"/>
        <family val="2"/>
        <scheme val="minor"/>
      </rPr>
      <t>O2</t>
    </r>
    <r>
      <rPr>
        <sz val="11"/>
        <rFont val="Calibri"/>
        <family val="2"/>
        <scheme val="minor"/>
      </rPr>
      <t>;K</t>
    </r>
    <r>
      <rPr>
        <vertAlign val="subscript"/>
        <sz val="11"/>
        <rFont val="Calibri"/>
        <family val="2"/>
        <scheme val="minor"/>
      </rPr>
      <t>O2,ALGAE</t>
    </r>
    <r>
      <rPr>
        <sz val="11"/>
        <rFont val="Calibri"/>
        <family val="2"/>
        <scheme val="minor"/>
      </rPr>
      <t>)</t>
    </r>
  </si>
  <si>
    <r>
      <t>Minh</t>
    </r>
    <r>
      <rPr>
        <vertAlign val="subscript"/>
        <sz val="11"/>
        <rFont val="Calibri"/>
        <family val="2"/>
        <scheme val="minor"/>
      </rPr>
      <t>SO2,KO2,ALGAE</t>
    </r>
  </si>
  <si>
    <t>Inhibition term for O2 (ALGAE)</t>
  </si>
  <si>
    <r>
      <t>Minh(S</t>
    </r>
    <r>
      <rPr>
        <vertAlign val="subscript"/>
        <sz val="11"/>
        <rFont val="Calibri"/>
        <family val="2"/>
        <scheme val="minor"/>
      </rPr>
      <t>O2</t>
    </r>
    <r>
      <rPr>
        <sz val="11"/>
        <rFont val="Calibri"/>
        <family val="2"/>
        <scheme val="minor"/>
      </rPr>
      <t>;K</t>
    </r>
    <r>
      <rPr>
        <vertAlign val="subscript"/>
        <sz val="11"/>
        <rFont val="Calibri"/>
        <family val="2"/>
        <scheme val="minor"/>
      </rPr>
      <t>O2,ALGAE</t>
    </r>
    <r>
      <rPr>
        <sz val="11"/>
        <rFont val="Calibri"/>
        <family val="2"/>
        <scheme val="minor"/>
      </rPr>
      <t>)</t>
    </r>
  </si>
  <si>
    <r>
      <t>Minh</t>
    </r>
    <r>
      <rPr>
        <vertAlign val="subscript"/>
        <sz val="11"/>
        <rFont val="Calibri"/>
        <family val="2"/>
        <scheme val="minor"/>
      </rPr>
      <t>SNHx,KiNHx,ALGAE</t>
    </r>
  </si>
  <si>
    <t>Inhibition term for NHx (ALGAE)</t>
  </si>
  <si>
    <r>
      <t>Minh(S</t>
    </r>
    <r>
      <rPr>
        <vertAlign val="subscript"/>
        <sz val="11"/>
        <rFont val="Calibri"/>
        <family val="2"/>
        <scheme val="minor"/>
      </rPr>
      <t>NHx</t>
    </r>
    <r>
      <rPr>
        <sz val="11"/>
        <rFont val="Calibri"/>
        <family val="2"/>
        <scheme val="minor"/>
      </rPr>
      <t>;Ki</t>
    </r>
    <r>
      <rPr>
        <vertAlign val="subscript"/>
        <sz val="11"/>
        <rFont val="Calibri"/>
        <family val="2"/>
        <scheme val="minor"/>
      </rPr>
      <t>NHx,ALGAE</t>
    </r>
    <r>
      <rPr>
        <sz val="11"/>
        <rFont val="Calibri"/>
        <family val="2"/>
        <scheme val="minor"/>
      </rPr>
      <t>)</t>
    </r>
  </si>
  <si>
    <r>
      <t>X</t>
    </r>
    <r>
      <rPr>
        <b/>
        <vertAlign val="subscript"/>
        <sz val="11"/>
        <rFont val="Calibri"/>
        <family val="2"/>
        <scheme val="minor"/>
      </rPr>
      <t>ALGAE</t>
    </r>
  </si>
  <si>
    <t>ALGAE growth on Nitrate</t>
  </si>
  <si>
    <t>ALGAE growth on Ammonia</t>
  </si>
  <si>
    <t>ALGAE respiration</t>
  </si>
  <si>
    <t>ALGAE decay</t>
  </si>
  <si>
    <t>r124</t>
  </si>
  <si>
    <t>r125</t>
  </si>
  <si>
    <t>r126</t>
  </si>
  <si>
    <t>r127</t>
  </si>
  <si>
    <r>
      <t>µ</t>
    </r>
    <r>
      <rPr>
        <vertAlign val="subscript"/>
        <sz val="11"/>
        <rFont val="Calibri"/>
        <family val="2"/>
      </rPr>
      <t>ALGAE,T</t>
    </r>
    <r>
      <rPr>
        <sz val="11"/>
        <rFont val="Calibri"/>
        <family val="2"/>
      </rPr>
      <t xml:space="preserve"> * X</t>
    </r>
    <r>
      <rPr>
        <vertAlign val="subscript"/>
        <sz val="11"/>
        <rFont val="Calibri"/>
        <family val="2"/>
      </rPr>
      <t>ALGAE</t>
    </r>
    <r>
      <rPr>
        <sz val="11"/>
        <rFont val="Calibri"/>
        <family val="2"/>
      </rPr>
      <t xml:space="preserve"> * Msat</t>
    </r>
    <r>
      <rPr>
        <vertAlign val="subscript"/>
        <sz val="11"/>
        <rFont val="Calibri"/>
        <family val="2"/>
      </rPr>
      <t xml:space="preserve">SPO4,KPO4,BIO </t>
    </r>
    <r>
      <rPr>
        <sz val="11"/>
        <rFont val="Calibri"/>
        <family val="2"/>
      </rPr>
      <t>* Msat</t>
    </r>
    <r>
      <rPr>
        <vertAlign val="subscript"/>
        <sz val="11"/>
        <rFont val="Calibri"/>
        <family val="2"/>
      </rPr>
      <t>SCO2,KCO2,ALGAE</t>
    </r>
    <r>
      <rPr>
        <sz val="11"/>
        <rFont val="Calibri"/>
        <family val="2"/>
      </rPr>
      <t xml:space="preserve"> * LightSwitch * Msat</t>
    </r>
    <r>
      <rPr>
        <vertAlign val="subscript"/>
        <sz val="11"/>
        <rFont val="Calibri"/>
        <family val="2"/>
      </rPr>
      <t>SNOx,KNOx,ALGAE</t>
    </r>
    <r>
      <rPr>
        <sz val="11"/>
        <rFont val="Calibri"/>
        <family val="2"/>
      </rPr>
      <t xml:space="preserve">  * Minh</t>
    </r>
    <r>
      <rPr>
        <vertAlign val="subscript"/>
        <sz val="11"/>
        <rFont val="Calibri"/>
        <family val="2"/>
      </rPr>
      <t>SNHx,KiNHx,ALGAE</t>
    </r>
  </si>
  <si>
    <r>
      <t>b</t>
    </r>
    <r>
      <rPr>
        <vertAlign val="subscript"/>
        <sz val="11"/>
        <color rgb="FF000000"/>
        <rFont val="Calibri"/>
        <family val="2"/>
      </rPr>
      <t xml:space="preserve">ALGAE,T </t>
    </r>
    <r>
      <rPr>
        <sz val="11"/>
        <color indexed="8"/>
        <rFont val="Calibri"/>
        <family val="2"/>
      </rPr>
      <t>* X</t>
    </r>
    <r>
      <rPr>
        <vertAlign val="subscript"/>
        <sz val="11"/>
        <color rgb="FF000000"/>
        <rFont val="Calibri"/>
        <family val="2"/>
      </rPr>
      <t>ALGAE</t>
    </r>
    <r>
      <rPr>
        <sz val="11"/>
        <color indexed="8"/>
        <rFont val="Calibri"/>
        <family val="2"/>
      </rPr>
      <t xml:space="preserve"> * Msat</t>
    </r>
    <r>
      <rPr>
        <vertAlign val="subscript"/>
        <sz val="11"/>
        <color rgb="FF000000"/>
        <rFont val="Calibri"/>
        <family val="2"/>
      </rPr>
      <t>SO2,KO2,ALGAE</t>
    </r>
  </si>
  <si>
    <r>
      <t>b</t>
    </r>
    <r>
      <rPr>
        <vertAlign val="subscript"/>
        <sz val="11"/>
        <color rgb="FF000000"/>
        <rFont val="Calibri"/>
        <family val="2"/>
      </rPr>
      <t xml:space="preserve">ALGAE,T </t>
    </r>
    <r>
      <rPr>
        <sz val="11"/>
        <color indexed="8"/>
        <rFont val="Calibri"/>
        <family val="2"/>
      </rPr>
      <t>* X</t>
    </r>
    <r>
      <rPr>
        <vertAlign val="subscript"/>
        <sz val="11"/>
        <color rgb="FF000000"/>
        <rFont val="Calibri"/>
        <family val="2"/>
      </rPr>
      <t>ALGAE</t>
    </r>
    <r>
      <rPr>
        <sz val="11"/>
        <color indexed="8"/>
        <rFont val="Calibri"/>
        <family val="2"/>
      </rPr>
      <t xml:space="preserve"> * Minh</t>
    </r>
    <r>
      <rPr>
        <vertAlign val="subscript"/>
        <sz val="11"/>
        <color rgb="FF000000"/>
        <rFont val="Calibri"/>
        <family val="2"/>
      </rPr>
      <t>SO2,KO2,ALGAE</t>
    </r>
  </si>
  <si>
    <r>
      <t>-i</t>
    </r>
    <r>
      <rPr>
        <vertAlign val="subscript"/>
        <sz val="11"/>
        <color indexed="8"/>
        <rFont val="Calibri"/>
        <family val="2"/>
      </rPr>
      <t>N,ALGAE</t>
    </r>
  </si>
  <si>
    <r>
      <t>i</t>
    </r>
    <r>
      <rPr>
        <vertAlign val="subscript"/>
        <sz val="11"/>
        <color indexed="8"/>
        <rFont val="Calibri"/>
        <family val="2"/>
      </rPr>
      <t>N,ALGAE</t>
    </r>
  </si>
  <si>
    <r>
      <t>-i</t>
    </r>
    <r>
      <rPr>
        <vertAlign val="subscript"/>
        <sz val="11"/>
        <color indexed="8"/>
        <rFont val="Calibri"/>
        <family val="2"/>
      </rPr>
      <t>P,ALGAE</t>
    </r>
  </si>
  <si>
    <r>
      <t>i</t>
    </r>
    <r>
      <rPr>
        <vertAlign val="subscript"/>
        <sz val="11"/>
        <color indexed="8"/>
        <rFont val="Calibri"/>
        <family val="2"/>
      </rPr>
      <t>P,ALGAE</t>
    </r>
  </si>
  <si>
    <r>
      <t>i</t>
    </r>
    <r>
      <rPr>
        <vertAlign val="subscript"/>
        <sz val="11"/>
        <color indexed="8"/>
        <rFont val="Calibri"/>
        <family val="2"/>
      </rPr>
      <t>P,ALGAE</t>
    </r>
    <r>
      <rPr>
        <sz val="11"/>
        <color rgb="FF000000"/>
        <rFont val="Calibri"/>
        <family val="2"/>
      </rPr>
      <t>-i</t>
    </r>
    <r>
      <rPr>
        <vertAlign val="subscript"/>
        <sz val="11"/>
        <color indexed="8"/>
        <rFont val="Calibri"/>
        <family val="2"/>
      </rPr>
      <t>P,BIO</t>
    </r>
  </si>
  <si>
    <r>
      <t>-i</t>
    </r>
    <r>
      <rPr>
        <vertAlign val="subscript"/>
        <sz val="11"/>
        <rFont val="Calibri"/>
        <family val="2"/>
        <scheme val="minor"/>
      </rPr>
      <t>CIT,ALGAE</t>
    </r>
  </si>
  <si>
    <r>
      <t>µ</t>
    </r>
    <r>
      <rPr>
        <vertAlign val="subscript"/>
        <sz val="11"/>
        <color indexed="8"/>
        <rFont val="Calibri"/>
        <family val="2"/>
      </rPr>
      <t>ALGAE,T</t>
    </r>
  </si>
  <si>
    <t>Maximum specific growth rate of ALGAE (temperature corrected)</t>
  </si>
  <si>
    <r>
      <t>b</t>
    </r>
    <r>
      <rPr>
        <vertAlign val="subscript"/>
        <sz val="11"/>
        <color indexed="8"/>
        <rFont val="Calibri"/>
        <family val="2"/>
      </rPr>
      <t>ALGAE,T</t>
    </r>
  </si>
  <si>
    <t>Respiration rate of ALGAE (temperature corrected)</t>
  </si>
  <si>
    <r>
      <t>µ</t>
    </r>
    <r>
      <rPr>
        <vertAlign val="subscript"/>
        <sz val="11"/>
        <rFont val="Calibri"/>
        <family val="2"/>
      </rPr>
      <t>ALGAE,T</t>
    </r>
    <r>
      <rPr>
        <sz val="11"/>
        <rFont val="Calibri"/>
        <family val="2"/>
      </rPr>
      <t xml:space="preserve"> * X</t>
    </r>
    <r>
      <rPr>
        <vertAlign val="subscript"/>
        <sz val="11"/>
        <rFont val="Calibri"/>
        <family val="2"/>
      </rPr>
      <t>ALGAE</t>
    </r>
    <r>
      <rPr>
        <sz val="11"/>
        <rFont val="Calibri"/>
        <family val="2"/>
      </rPr>
      <t xml:space="preserve"> *Msat</t>
    </r>
    <r>
      <rPr>
        <vertAlign val="subscript"/>
        <sz val="11"/>
        <rFont val="Calibri"/>
        <family val="2"/>
      </rPr>
      <t>SNHx,KNHx,ALGAE</t>
    </r>
    <r>
      <rPr>
        <sz val="11"/>
        <rFont val="Calibri"/>
        <family val="2"/>
      </rPr>
      <t>* Msat</t>
    </r>
    <r>
      <rPr>
        <vertAlign val="subscript"/>
        <sz val="11"/>
        <rFont val="Calibri"/>
        <family val="2"/>
      </rPr>
      <t xml:space="preserve">SPO4,KPO4,BIO </t>
    </r>
    <r>
      <rPr>
        <sz val="11"/>
        <rFont val="Calibri"/>
        <family val="2"/>
      </rPr>
      <t>* Msat</t>
    </r>
    <r>
      <rPr>
        <vertAlign val="subscript"/>
        <sz val="11"/>
        <rFont val="Calibri"/>
        <family val="2"/>
      </rPr>
      <t>SCO2,KCO2,ALGAE</t>
    </r>
    <r>
      <rPr>
        <sz val="11"/>
        <rFont val="Calibri"/>
        <family val="2"/>
      </rPr>
      <t xml:space="preserve"> * LightSwitch </t>
    </r>
  </si>
  <si>
    <r>
      <t>Msat</t>
    </r>
    <r>
      <rPr>
        <vertAlign val="subscript"/>
        <sz val="11"/>
        <rFont val="Calibri"/>
        <family val="2"/>
        <scheme val="minor"/>
      </rPr>
      <t>SNHx,KNHx,ALGAE</t>
    </r>
  </si>
  <si>
    <r>
      <t>Msat(S</t>
    </r>
    <r>
      <rPr>
        <vertAlign val="subscript"/>
        <sz val="11"/>
        <rFont val="Calibri"/>
        <family val="2"/>
        <scheme val="minor"/>
      </rPr>
      <t>NHx</t>
    </r>
    <r>
      <rPr>
        <sz val="11"/>
        <rFont val="Calibri"/>
        <family val="2"/>
        <scheme val="minor"/>
      </rPr>
      <t>;K</t>
    </r>
    <r>
      <rPr>
        <vertAlign val="subscript"/>
        <sz val="11"/>
        <rFont val="Calibri"/>
        <family val="2"/>
        <scheme val="minor"/>
      </rPr>
      <t>NHx,ALGAE</t>
    </r>
    <r>
      <rPr>
        <sz val="11"/>
        <rFont val="Calibri"/>
        <family val="2"/>
        <scheme val="minor"/>
      </rPr>
      <t>)</t>
    </r>
  </si>
  <si>
    <r>
      <t>K</t>
    </r>
    <r>
      <rPr>
        <vertAlign val="subscript"/>
        <sz val="11"/>
        <rFont val="Calibri"/>
        <family val="2"/>
        <scheme val="minor"/>
      </rPr>
      <t>NHx,ALGAE</t>
    </r>
  </si>
  <si>
    <r>
      <t>Half-saturation of NH</t>
    </r>
    <r>
      <rPr>
        <vertAlign val="subscript"/>
        <sz val="11"/>
        <color rgb="FF000000"/>
        <rFont val="Calibri"/>
        <family val="2"/>
        <scheme val="minor"/>
      </rPr>
      <t>x</t>
    </r>
    <r>
      <rPr>
        <sz val="11"/>
        <color rgb="FF000000"/>
        <rFont val="Calibri"/>
        <family val="2"/>
        <charset val="238"/>
        <scheme val="minor"/>
      </rPr>
      <t xml:space="preserve"> for ALGAE</t>
    </r>
  </si>
  <si>
    <r>
      <t>i</t>
    </r>
    <r>
      <rPr>
        <vertAlign val="subscript"/>
        <sz val="11"/>
        <rFont val="Calibri"/>
        <family val="2"/>
      </rPr>
      <t>N,ALGAE</t>
    </r>
  </si>
  <si>
    <r>
      <t>i</t>
    </r>
    <r>
      <rPr>
        <vertAlign val="subscript"/>
        <sz val="11"/>
        <rFont val="Calibri"/>
        <family val="2"/>
      </rPr>
      <t>P,ALGAE</t>
    </r>
  </si>
  <si>
    <r>
      <t>-i</t>
    </r>
    <r>
      <rPr>
        <vertAlign val="subscript"/>
        <sz val="11"/>
        <color indexed="8"/>
        <rFont val="Calibri"/>
        <family val="2"/>
      </rPr>
      <t>N,ALGAE</t>
    </r>
    <r>
      <rPr>
        <sz val="11"/>
        <color indexed="8"/>
        <rFont val="Calibri"/>
        <family val="2"/>
      </rPr>
      <t>*S</t>
    </r>
    <r>
      <rPr>
        <vertAlign val="subscript"/>
        <sz val="11"/>
        <color rgb="FF000000"/>
        <rFont val="Calibri"/>
        <family val="2"/>
      </rPr>
      <t>NO3</t>
    </r>
    <r>
      <rPr>
        <sz val="11"/>
        <color indexed="8"/>
        <rFont val="Calibri"/>
        <family val="2"/>
      </rPr>
      <t>/S</t>
    </r>
    <r>
      <rPr>
        <vertAlign val="subscript"/>
        <sz val="11"/>
        <color rgb="FF000000"/>
        <rFont val="Calibri"/>
        <family val="2"/>
      </rPr>
      <t>NOx</t>
    </r>
  </si>
  <si>
    <r>
      <t>-i</t>
    </r>
    <r>
      <rPr>
        <vertAlign val="subscript"/>
        <sz val="11"/>
        <color indexed="8"/>
        <rFont val="Calibri"/>
        <family val="2"/>
      </rPr>
      <t>N,ALGAE</t>
    </r>
    <r>
      <rPr>
        <sz val="11"/>
        <color indexed="8"/>
        <rFont val="Calibri"/>
        <family val="2"/>
      </rPr>
      <t>*S</t>
    </r>
    <r>
      <rPr>
        <vertAlign val="subscript"/>
        <sz val="11"/>
        <color rgb="FF000000"/>
        <rFont val="Calibri"/>
        <family val="2"/>
      </rPr>
      <t>NO2</t>
    </r>
    <r>
      <rPr>
        <sz val="11"/>
        <color indexed="8"/>
        <rFont val="Calibri"/>
        <family val="2"/>
      </rPr>
      <t>/S</t>
    </r>
    <r>
      <rPr>
        <vertAlign val="subscript"/>
        <sz val="11"/>
        <color rgb="FF000000"/>
        <rFont val="Calibri"/>
        <family val="2"/>
      </rPr>
      <t>NOx</t>
    </r>
  </si>
  <si>
    <r>
      <t>1 + i</t>
    </r>
    <r>
      <rPr>
        <vertAlign val="subscript"/>
        <sz val="11"/>
        <color rgb="FF000000"/>
        <rFont val="Calibri"/>
        <family val="2"/>
      </rPr>
      <t>N,ALGAE</t>
    </r>
    <r>
      <rPr>
        <sz val="11"/>
        <color indexed="8"/>
        <rFont val="Calibri"/>
        <family val="2"/>
      </rPr>
      <t>*(EEQ</t>
    </r>
    <r>
      <rPr>
        <vertAlign val="subscript"/>
        <sz val="11"/>
        <color rgb="FF000000"/>
        <rFont val="Calibri"/>
        <family val="2"/>
      </rPr>
      <t>NO3</t>
    </r>
    <r>
      <rPr>
        <sz val="11"/>
        <color indexed="8"/>
        <rFont val="Calibri"/>
        <family val="2"/>
      </rPr>
      <t>*S</t>
    </r>
    <r>
      <rPr>
        <vertAlign val="subscript"/>
        <sz val="11"/>
        <color rgb="FF000000"/>
        <rFont val="Calibri"/>
        <family val="2"/>
      </rPr>
      <t>NO3</t>
    </r>
    <r>
      <rPr>
        <sz val="11"/>
        <color indexed="8"/>
        <rFont val="Calibri"/>
        <family val="2"/>
      </rPr>
      <t>/S</t>
    </r>
    <r>
      <rPr>
        <vertAlign val="subscript"/>
        <sz val="11"/>
        <color rgb="FF000000"/>
        <rFont val="Calibri"/>
        <family val="2"/>
      </rPr>
      <t>NOx</t>
    </r>
    <r>
      <rPr>
        <sz val="11"/>
        <color indexed="8"/>
        <rFont val="Calibri"/>
        <family val="2"/>
      </rPr>
      <t>+EEQ</t>
    </r>
    <r>
      <rPr>
        <vertAlign val="subscript"/>
        <sz val="11"/>
        <color rgb="FF000000"/>
        <rFont val="Calibri"/>
        <family val="2"/>
      </rPr>
      <t>NO2</t>
    </r>
    <r>
      <rPr>
        <sz val="11"/>
        <color indexed="8"/>
        <rFont val="Calibri"/>
        <family val="2"/>
      </rPr>
      <t>*S</t>
    </r>
    <r>
      <rPr>
        <vertAlign val="subscript"/>
        <sz val="11"/>
        <color rgb="FF000000"/>
        <rFont val="Calibri"/>
        <family val="2"/>
      </rPr>
      <t>NO2</t>
    </r>
    <r>
      <rPr>
        <sz val="11"/>
        <color indexed="8"/>
        <rFont val="Calibri"/>
        <family val="2"/>
      </rPr>
      <t>/S</t>
    </r>
    <r>
      <rPr>
        <vertAlign val="subscript"/>
        <sz val="11"/>
        <color rgb="FF000000"/>
        <rFont val="Calibri"/>
        <family val="2"/>
      </rPr>
      <t>NOx</t>
    </r>
    <r>
      <rPr>
        <sz val="11"/>
        <color indexed="8"/>
        <rFont val="Calibri"/>
        <family val="2"/>
      </rPr>
      <t>)</t>
    </r>
  </si>
  <si>
    <r>
      <t>i</t>
    </r>
    <r>
      <rPr>
        <vertAlign val="subscript"/>
        <sz val="11"/>
        <rFont val="Calibri"/>
        <family val="2"/>
      </rPr>
      <t>S,ALGAE</t>
    </r>
  </si>
  <si>
    <r>
      <t>-i</t>
    </r>
    <r>
      <rPr>
        <vertAlign val="subscript"/>
        <sz val="11"/>
        <rFont val="Calibri"/>
        <family val="2"/>
      </rPr>
      <t>S,ALGAE</t>
    </r>
  </si>
  <si>
    <r>
      <t>i</t>
    </r>
    <r>
      <rPr>
        <vertAlign val="subscript"/>
        <sz val="11"/>
        <rFont val="Calibri"/>
        <family val="2"/>
        <scheme val="minor"/>
      </rPr>
      <t>S,ALGAE</t>
    </r>
  </si>
  <si>
    <t>S content of algae</t>
  </si>
  <si>
    <r>
      <t>i</t>
    </r>
    <r>
      <rPr>
        <vertAlign val="subscript"/>
        <sz val="11"/>
        <rFont val="Calibri"/>
        <family val="2"/>
      </rPr>
      <t>S,ALGAE</t>
    </r>
    <r>
      <rPr>
        <sz val="11"/>
        <rFont val="Calibri"/>
        <family val="2"/>
      </rPr>
      <t>-(1-f</t>
    </r>
    <r>
      <rPr>
        <vertAlign val="subscript"/>
        <sz val="11"/>
        <rFont val="Calibri"/>
        <family val="2"/>
      </rPr>
      <t>E</t>
    </r>
    <r>
      <rPr>
        <sz val="11"/>
        <rFont val="Calibri"/>
        <family val="2"/>
      </rPr>
      <t>)*i</t>
    </r>
    <r>
      <rPr>
        <vertAlign val="subscript"/>
        <sz val="11"/>
        <rFont val="Calibri"/>
        <family val="2"/>
      </rPr>
      <t>S,SB</t>
    </r>
    <r>
      <rPr>
        <sz val="11"/>
        <rFont val="Calibri"/>
        <family val="2"/>
      </rPr>
      <t>-f</t>
    </r>
    <r>
      <rPr>
        <vertAlign val="subscript"/>
        <sz val="11"/>
        <rFont val="Calibri"/>
        <family val="2"/>
      </rPr>
      <t>E</t>
    </r>
    <r>
      <rPr>
        <sz val="11"/>
        <rFont val="Calibri"/>
        <family val="2"/>
      </rPr>
      <t>*i</t>
    </r>
    <r>
      <rPr>
        <vertAlign val="subscript"/>
        <sz val="11"/>
        <rFont val="Calibri"/>
        <family val="2"/>
      </rPr>
      <t>S,BIO</t>
    </r>
  </si>
  <si>
    <r>
      <t>θ</t>
    </r>
    <r>
      <rPr>
        <vertAlign val="subscript"/>
        <sz val="11"/>
        <color indexed="8"/>
        <rFont val="Calibri"/>
        <family val="2"/>
        <scheme val="minor"/>
      </rPr>
      <t>µ,ALGAE</t>
    </r>
  </si>
  <si>
    <t>Arrhenius coefficient for ALGAE growth</t>
  </si>
  <si>
    <r>
      <t>θ</t>
    </r>
    <r>
      <rPr>
        <vertAlign val="subscript"/>
        <sz val="11"/>
        <color indexed="8"/>
        <rFont val="Calibri"/>
        <family val="2"/>
        <scheme val="minor"/>
      </rPr>
      <t>b,ALGAE</t>
    </r>
  </si>
  <si>
    <t>Arrhenius coefficient for ALGAE decay</t>
  </si>
  <si>
    <r>
      <t>µ</t>
    </r>
    <r>
      <rPr>
        <vertAlign val="subscript"/>
        <sz val="11"/>
        <color indexed="8"/>
        <rFont val="Calibri"/>
        <family val="2"/>
      </rPr>
      <t>ALGAE</t>
    </r>
    <r>
      <rPr>
        <sz val="11"/>
        <color indexed="8"/>
        <rFont val="Calibri"/>
        <family val="2"/>
      </rPr>
      <t>*Arrh(θ</t>
    </r>
    <r>
      <rPr>
        <vertAlign val="subscript"/>
        <sz val="11"/>
        <color indexed="8"/>
        <rFont val="Calibri"/>
        <family val="2"/>
      </rPr>
      <t>µ,ALGAE</t>
    </r>
    <r>
      <rPr>
        <sz val="11"/>
        <color indexed="8"/>
        <rFont val="Calibri"/>
        <family val="2"/>
      </rPr>
      <t>; T; T</t>
    </r>
    <r>
      <rPr>
        <vertAlign val="subscript"/>
        <sz val="11"/>
        <color indexed="8"/>
        <rFont val="Calibri"/>
        <family val="2"/>
      </rPr>
      <t>base</t>
    </r>
    <r>
      <rPr>
        <sz val="11"/>
        <color indexed="8"/>
        <rFont val="Calibri"/>
        <family val="2"/>
      </rPr>
      <t>)</t>
    </r>
  </si>
  <si>
    <r>
      <t>b</t>
    </r>
    <r>
      <rPr>
        <vertAlign val="subscript"/>
        <sz val="11"/>
        <color indexed="8"/>
        <rFont val="Calibri"/>
        <family val="2"/>
      </rPr>
      <t>ALGAE</t>
    </r>
    <r>
      <rPr>
        <sz val="11"/>
        <color indexed="8"/>
        <rFont val="Calibri"/>
        <family val="2"/>
      </rPr>
      <t>*Arrh(θ</t>
    </r>
    <r>
      <rPr>
        <vertAlign val="subscript"/>
        <sz val="11"/>
        <color indexed="8"/>
        <rFont val="Calibri"/>
        <family val="2"/>
      </rPr>
      <t>b,ALGAE</t>
    </r>
    <r>
      <rPr>
        <sz val="11"/>
        <color indexed="8"/>
        <rFont val="Calibri"/>
        <family val="2"/>
      </rPr>
      <t>;T;T</t>
    </r>
    <r>
      <rPr>
        <vertAlign val="subscript"/>
        <sz val="11"/>
        <color indexed="8"/>
        <rFont val="Calibri"/>
        <family val="2"/>
      </rPr>
      <t>base</t>
    </r>
    <r>
      <rPr>
        <sz val="11"/>
        <color indexed="8"/>
        <rFont val="Calibri"/>
        <family val="2"/>
      </rPr>
      <t>)</t>
    </r>
  </si>
  <si>
    <r>
      <t>q</t>
    </r>
    <r>
      <rPr>
        <vertAlign val="subscript"/>
        <sz val="11"/>
        <rFont val="Calibri"/>
        <family val="2"/>
      </rPr>
      <t>ASSIM,T</t>
    </r>
    <r>
      <rPr>
        <sz val="11"/>
        <rFont val="Calibri"/>
        <family val="2"/>
      </rPr>
      <t>*X</t>
    </r>
    <r>
      <rPr>
        <vertAlign val="subscript"/>
        <sz val="11"/>
        <rFont val="Calibri"/>
        <family val="2"/>
      </rPr>
      <t>BIO</t>
    </r>
    <r>
      <rPr>
        <sz val="11"/>
        <rFont val="Calibri"/>
        <family val="2"/>
      </rPr>
      <t>*Msat</t>
    </r>
    <r>
      <rPr>
        <vertAlign val="subscript"/>
        <sz val="11"/>
        <rFont val="Calibri"/>
        <family val="2"/>
      </rPr>
      <t>SH2S,KH2S,ASSIM</t>
    </r>
    <r>
      <rPr>
        <sz val="11"/>
        <rFont val="Calibri"/>
        <family val="2"/>
      </rPr>
      <t>*Minh</t>
    </r>
    <r>
      <rPr>
        <vertAlign val="subscript"/>
        <sz val="11"/>
        <rFont val="Calibri"/>
        <family val="2"/>
      </rPr>
      <t>SSO4,KiSO4,ASSIM</t>
    </r>
  </si>
  <si>
    <r>
      <t>Min(Max(r127/r</t>
    </r>
    <r>
      <rPr>
        <vertAlign val="subscript"/>
        <sz val="11"/>
        <color indexed="8"/>
        <rFont val="Calibri"/>
        <family val="2"/>
      </rPr>
      <t>transfer,MM,lim</t>
    </r>
    <r>
      <rPr>
        <sz val="11"/>
        <color indexed="8"/>
        <rFont val="Calibri"/>
        <family val="2"/>
      </rPr>
      <t>;0)*10;10)</t>
    </r>
  </si>
  <si>
    <t>Saturation term for NOx (ALGAE)</t>
  </si>
  <si>
    <t>Saturation term for NHx (ALGAE)</t>
  </si>
  <si>
    <r>
      <t>X</t>
    </r>
    <r>
      <rPr>
        <vertAlign val="subscript"/>
        <sz val="11"/>
        <rFont val="Calibri"/>
        <family val="2"/>
        <scheme val="minor"/>
      </rPr>
      <t>HET</t>
    </r>
  </si>
  <si>
    <t>COD of heterotrophs</t>
  </si>
  <si>
    <r>
      <t>MRsat</t>
    </r>
    <r>
      <rPr>
        <vertAlign val="subscript"/>
        <sz val="11"/>
        <rFont val="Calibri"/>
        <family val="2"/>
        <scheme val="minor"/>
      </rPr>
      <t>XB,XHET,KHYD</t>
    </r>
  </si>
  <si>
    <r>
      <rPr>
        <sz val="11"/>
        <rFont val="Calibri"/>
        <family val="2"/>
        <scheme val="minor"/>
      </rPr>
      <t>MRsat</t>
    </r>
    <r>
      <rPr>
        <vertAlign val="subscript"/>
        <sz val="11"/>
        <rFont val="Calibri"/>
        <family val="2"/>
        <scheme val="minor"/>
      </rPr>
      <t>XEana,XHET,KHYD</t>
    </r>
  </si>
  <si>
    <r>
      <t>MRsat(X</t>
    </r>
    <r>
      <rPr>
        <vertAlign val="subscript"/>
        <sz val="11"/>
        <rFont val="Calibri"/>
        <family val="2"/>
        <scheme val="minor"/>
      </rPr>
      <t>B</t>
    </r>
    <r>
      <rPr>
        <sz val="11"/>
        <rFont val="Calibri"/>
        <family val="2"/>
        <scheme val="minor"/>
      </rPr>
      <t>;X</t>
    </r>
    <r>
      <rPr>
        <vertAlign val="subscript"/>
        <sz val="11"/>
        <rFont val="Calibri"/>
        <family val="2"/>
        <scheme val="minor"/>
      </rPr>
      <t>HET</t>
    </r>
    <r>
      <rPr>
        <sz val="11"/>
        <rFont val="Calibri"/>
        <family val="2"/>
        <scheme val="minor"/>
      </rPr>
      <t>;K</t>
    </r>
    <r>
      <rPr>
        <vertAlign val="subscript"/>
        <sz val="11"/>
        <rFont val="Calibri"/>
        <family val="2"/>
        <scheme val="minor"/>
      </rPr>
      <t>HYD</t>
    </r>
    <r>
      <rPr>
        <sz val="11"/>
        <rFont val="Calibri"/>
        <family val="2"/>
        <scheme val="minor"/>
      </rPr>
      <t>)</t>
    </r>
  </si>
  <si>
    <r>
      <t>MRsat(X</t>
    </r>
    <r>
      <rPr>
        <vertAlign val="subscript"/>
        <sz val="11"/>
        <rFont val="Calibri"/>
        <family val="2"/>
        <scheme val="minor"/>
      </rPr>
      <t>E,ana</t>
    </r>
    <r>
      <rPr>
        <sz val="11"/>
        <rFont val="Calibri"/>
        <family val="2"/>
        <scheme val="minor"/>
      </rPr>
      <t>;X</t>
    </r>
    <r>
      <rPr>
        <vertAlign val="subscript"/>
        <sz val="11"/>
        <rFont val="Calibri"/>
        <family val="2"/>
        <scheme val="minor"/>
      </rPr>
      <t>HET</t>
    </r>
    <r>
      <rPr>
        <sz val="11"/>
        <rFont val="Calibri"/>
        <family val="2"/>
        <scheme val="minor"/>
      </rPr>
      <t>;K</t>
    </r>
    <r>
      <rPr>
        <vertAlign val="subscript"/>
        <sz val="11"/>
        <rFont val="Calibri"/>
        <family val="2"/>
        <scheme val="minor"/>
      </rPr>
      <t>HYD</t>
    </r>
    <r>
      <rPr>
        <sz val="11"/>
        <rFont val="Calibri"/>
        <family val="2"/>
        <scheme val="minor"/>
      </rPr>
      <t>)</t>
    </r>
  </si>
  <si>
    <r>
      <t>q</t>
    </r>
    <r>
      <rPr>
        <vertAlign val="subscript"/>
        <sz val="11"/>
        <rFont val="Calibri"/>
        <family val="2"/>
      </rPr>
      <t>AMMON,T</t>
    </r>
    <r>
      <rPr>
        <sz val="11"/>
        <rFont val="Calibri"/>
        <family val="2"/>
      </rPr>
      <t>*S</t>
    </r>
    <r>
      <rPr>
        <vertAlign val="subscript"/>
        <sz val="11"/>
        <rFont val="Calibri"/>
        <family val="2"/>
      </rPr>
      <t>N,B</t>
    </r>
    <r>
      <rPr>
        <sz val="11"/>
        <rFont val="Calibri"/>
        <family val="2"/>
      </rPr>
      <t>*X</t>
    </r>
    <r>
      <rPr>
        <vertAlign val="subscript"/>
        <sz val="11"/>
        <rFont val="Calibri"/>
        <family val="2"/>
      </rPr>
      <t>HET</t>
    </r>
  </si>
  <si>
    <r>
      <t>q</t>
    </r>
    <r>
      <rPr>
        <vertAlign val="subscript"/>
        <sz val="11"/>
        <rFont val="Calibri"/>
        <family val="2"/>
      </rPr>
      <t>SPB,T</t>
    </r>
    <r>
      <rPr>
        <sz val="11"/>
        <rFont val="Calibri"/>
        <family val="2"/>
      </rPr>
      <t>*S</t>
    </r>
    <r>
      <rPr>
        <vertAlign val="subscript"/>
        <sz val="11"/>
        <rFont val="Calibri"/>
        <family val="2"/>
      </rPr>
      <t>P,B</t>
    </r>
    <r>
      <rPr>
        <sz val="11"/>
        <rFont val="Calibri"/>
        <family val="2"/>
      </rPr>
      <t>*X</t>
    </r>
    <r>
      <rPr>
        <vertAlign val="subscript"/>
        <sz val="11"/>
        <rFont val="Calibri"/>
        <family val="2"/>
      </rPr>
      <t>HET</t>
    </r>
  </si>
  <si>
    <r>
      <t>X</t>
    </r>
    <r>
      <rPr>
        <vertAlign val="subscript"/>
        <sz val="11"/>
        <rFont val="Calibri"/>
        <family val="2"/>
        <scheme val="minor"/>
      </rPr>
      <t>OHO</t>
    </r>
    <r>
      <rPr>
        <sz val="11"/>
        <rFont val="Calibri"/>
        <family val="2"/>
        <scheme val="minor"/>
      </rPr>
      <t xml:space="preserve"> + X</t>
    </r>
    <r>
      <rPr>
        <vertAlign val="subscript"/>
        <sz val="11"/>
        <rFont val="Calibri"/>
        <family val="2"/>
        <scheme val="minor"/>
      </rPr>
      <t>CASTO</t>
    </r>
    <r>
      <rPr>
        <sz val="11"/>
        <rFont val="Calibri"/>
        <family val="2"/>
        <scheme val="minor"/>
      </rPr>
      <t xml:space="preserve"> + X</t>
    </r>
    <r>
      <rPr>
        <vertAlign val="subscript"/>
        <sz val="11"/>
        <rFont val="Calibri"/>
        <family val="2"/>
        <scheme val="minor"/>
      </rPr>
      <t>AMETO</t>
    </r>
  </si>
  <si>
    <r>
      <t>-EEQ</t>
    </r>
    <r>
      <rPr>
        <vertAlign val="subscript"/>
        <sz val="11"/>
        <rFont val="Calibri"/>
        <family val="2"/>
      </rPr>
      <t>NO2</t>
    </r>
    <r>
      <rPr>
        <sz val="11"/>
        <rFont val="Calibri"/>
        <family val="2"/>
      </rPr>
      <t>*X</t>
    </r>
    <r>
      <rPr>
        <vertAlign val="subscript"/>
        <sz val="11"/>
        <rFont val="Calibri"/>
        <family val="2"/>
      </rPr>
      <t>OHO</t>
    </r>
    <r>
      <rPr>
        <sz val="11"/>
        <rFont val="Calibri"/>
        <family val="2"/>
      </rPr>
      <t>/X</t>
    </r>
    <r>
      <rPr>
        <vertAlign val="subscript"/>
        <sz val="11"/>
        <rFont val="Calibri"/>
        <family val="2"/>
      </rPr>
      <t>BIO</t>
    </r>
  </si>
  <si>
    <r>
      <t>-EEQ</t>
    </r>
    <r>
      <rPr>
        <vertAlign val="subscript"/>
        <sz val="11"/>
        <rFont val="Calibri"/>
        <family val="2"/>
      </rPr>
      <t>NO2</t>
    </r>
    <r>
      <rPr>
        <sz val="11"/>
        <rFont val="Calibri"/>
        <family val="2"/>
      </rPr>
      <t>*X</t>
    </r>
    <r>
      <rPr>
        <vertAlign val="subscript"/>
        <sz val="11"/>
        <rFont val="Calibri"/>
        <family val="2"/>
      </rPr>
      <t>CASTO</t>
    </r>
    <r>
      <rPr>
        <sz val="11"/>
        <rFont val="Calibri"/>
        <family val="2"/>
      </rPr>
      <t>/X</t>
    </r>
    <r>
      <rPr>
        <vertAlign val="subscript"/>
        <sz val="11"/>
        <rFont val="Calibri"/>
        <family val="2"/>
      </rPr>
      <t>BIO</t>
    </r>
  </si>
  <si>
    <r>
      <t>-EEQ</t>
    </r>
    <r>
      <rPr>
        <vertAlign val="subscript"/>
        <sz val="11"/>
        <rFont val="Calibri"/>
        <family val="2"/>
      </rPr>
      <t>NO2</t>
    </r>
    <r>
      <rPr>
        <sz val="11"/>
        <rFont val="Calibri"/>
        <family val="2"/>
      </rPr>
      <t>*X</t>
    </r>
    <r>
      <rPr>
        <vertAlign val="subscript"/>
        <sz val="11"/>
        <rFont val="Calibri"/>
        <family val="2"/>
      </rPr>
      <t>MEOLO</t>
    </r>
    <r>
      <rPr>
        <sz val="11"/>
        <rFont val="Calibri"/>
        <family val="2"/>
      </rPr>
      <t>/X</t>
    </r>
    <r>
      <rPr>
        <vertAlign val="subscript"/>
        <sz val="11"/>
        <rFont val="Calibri"/>
        <family val="2"/>
      </rPr>
      <t>BIO</t>
    </r>
  </si>
  <si>
    <r>
      <t>-EEQ</t>
    </r>
    <r>
      <rPr>
        <vertAlign val="subscript"/>
        <sz val="11"/>
        <rFont val="Calibri"/>
        <family val="2"/>
      </rPr>
      <t>NO2</t>
    </r>
    <r>
      <rPr>
        <sz val="11"/>
        <rFont val="Calibri"/>
        <family val="2"/>
      </rPr>
      <t>*X</t>
    </r>
    <r>
      <rPr>
        <vertAlign val="subscript"/>
        <sz val="11"/>
        <rFont val="Calibri"/>
        <family val="2"/>
      </rPr>
      <t>AOB</t>
    </r>
    <r>
      <rPr>
        <sz val="11"/>
        <rFont val="Calibri"/>
        <family val="2"/>
      </rPr>
      <t>/X</t>
    </r>
    <r>
      <rPr>
        <vertAlign val="subscript"/>
        <sz val="11"/>
        <rFont val="Calibri"/>
        <family val="2"/>
      </rPr>
      <t>BIO</t>
    </r>
  </si>
  <si>
    <r>
      <t>-EEQ</t>
    </r>
    <r>
      <rPr>
        <vertAlign val="subscript"/>
        <sz val="11"/>
        <rFont val="Calibri"/>
        <family val="2"/>
      </rPr>
      <t>NO2</t>
    </r>
    <r>
      <rPr>
        <sz val="11"/>
        <rFont val="Calibri"/>
        <family val="2"/>
      </rPr>
      <t>*X</t>
    </r>
    <r>
      <rPr>
        <vertAlign val="subscript"/>
        <sz val="11"/>
        <rFont val="Calibri"/>
        <family val="2"/>
      </rPr>
      <t>NOB</t>
    </r>
    <r>
      <rPr>
        <sz val="11"/>
        <rFont val="Calibri"/>
        <family val="2"/>
      </rPr>
      <t>/X</t>
    </r>
    <r>
      <rPr>
        <vertAlign val="subscript"/>
        <sz val="11"/>
        <rFont val="Calibri"/>
        <family val="2"/>
      </rPr>
      <t>BIO</t>
    </r>
  </si>
  <si>
    <r>
      <t>-EEQ</t>
    </r>
    <r>
      <rPr>
        <vertAlign val="subscript"/>
        <sz val="11"/>
        <rFont val="Calibri"/>
        <family val="2"/>
      </rPr>
      <t>NO2</t>
    </r>
    <r>
      <rPr>
        <sz val="11"/>
        <rFont val="Calibri"/>
        <family val="2"/>
      </rPr>
      <t>*X</t>
    </r>
    <r>
      <rPr>
        <vertAlign val="subscript"/>
        <sz val="11"/>
        <rFont val="Calibri"/>
        <family val="2"/>
      </rPr>
      <t>AMX</t>
    </r>
    <r>
      <rPr>
        <sz val="11"/>
        <rFont val="Calibri"/>
        <family val="2"/>
      </rPr>
      <t>/X</t>
    </r>
    <r>
      <rPr>
        <vertAlign val="subscript"/>
        <sz val="11"/>
        <rFont val="Calibri"/>
        <family val="2"/>
      </rPr>
      <t>BIO</t>
    </r>
  </si>
  <si>
    <r>
      <t>-EEQ</t>
    </r>
    <r>
      <rPr>
        <vertAlign val="subscript"/>
        <sz val="11"/>
        <rFont val="Calibri"/>
        <family val="2"/>
      </rPr>
      <t>NO2</t>
    </r>
    <r>
      <rPr>
        <sz val="11"/>
        <rFont val="Calibri"/>
        <family val="2"/>
      </rPr>
      <t>*X</t>
    </r>
    <r>
      <rPr>
        <vertAlign val="subscript"/>
        <sz val="11"/>
        <rFont val="Calibri"/>
        <family val="2"/>
      </rPr>
      <t>AMETO</t>
    </r>
    <r>
      <rPr>
        <sz val="11"/>
        <rFont val="Calibri"/>
        <family val="2"/>
      </rPr>
      <t>/X</t>
    </r>
    <r>
      <rPr>
        <vertAlign val="subscript"/>
        <sz val="11"/>
        <rFont val="Calibri"/>
        <family val="2"/>
      </rPr>
      <t>BIO</t>
    </r>
  </si>
  <si>
    <r>
      <t>-EEQ</t>
    </r>
    <r>
      <rPr>
        <vertAlign val="subscript"/>
        <sz val="11"/>
        <rFont val="Calibri"/>
        <family val="2"/>
      </rPr>
      <t>NO2</t>
    </r>
    <r>
      <rPr>
        <sz val="11"/>
        <rFont val="Calibri"/>
        <family val="2"/>
      </rPr>
      <t>*X</t>
    </r>
    <r>
      <rPr>
        <vertAlign val="subscript"/>
        <sz val="11"/>
        <rFont val="Calibri"/>
        <family val="2"/>
      </rPr>
      <t>HMETO</t>
    </r>
    <r>
      <rPr>
        <sz val="11"/>
        <rFont val="Calibri"/>
        <family val="2"/>
      </rPr>
      <t>/X</t>
    </r>
    <r>
      <rPr>
        <vertAlign val="subscript"/>
        <sz val="11"/>
        <rFont val="Calibri"/>
        <family val="2"/>
      </rPr>
      <t>BIO</t>
    </r>
  </si>
  <si>
    <r>
      <t>-EEQ</t>
    </r>
    <r>
      <rPr>
        <vertAlign val="subscript"/>
        <sz val="11"/>
        <rFont val="Calibri"/>
        <family val="2"/>
      </rPr>
      <t>NO2</t>
    </r>
    <r>
      <rPr>
        <sz val="11"/>
        <rFont val="Calibri"/>
        <family val="2"/>
      </rPr>
      <t>*X</t>
    </r>
    <r>
      <rPr>
        <vertAlign val="subscript"/>
        <sz val="11"/>
        <rFont val="Calibri"/>
        <family val="2"/>
      </rPr>
      <t>ALGAE</t>
    </r>
    <r>
      <rPr>
        <sz val="11"/>
        <rFont val="Calibri"/>
        <family val="2"/>
      </rPr>
      <t>/X</t>
    </r>
    <r>
      <rPr>
        <vertAlign val="subscript"/>
        <sz val="11"/>
        <rFont val="Calibri"/>
        <family val="2"/>
      </rPr>
      <t>BIO</t>
    </r>
  </si>
  <si>
    <r>
      <t>1+(i</t>
    </r>
    <r>
      <rPr>
        <vertAlign val="subscript"/>
        <sz val="11"/>
        <rFont val="Calibri"/>
        <family val="2"/>
      </rPr>
      <t>N,BIO</t>
    </r>
    <r>
      <rPr>
        <sz val="11"/>
        <rFont val="Calibri"/>
        <family val="2"/>
      </rPr>
      <t>*EEQ</t>
    </r>
    <r>
      <rPr>
        <vertAlign val="subscript"/>
        <sz val="11"/>
        <rFont val="Calibri"/>
        <family val="2"/>
      </rPr>
      <t>NO2</t>
    </r>
    <r>
      <rPr>
        <sz val="11"/>
        <rFont val="Calibri"/>
        <family val="2"/>
      </rPr>
      <t>*(X</t>
    </r>
    <r>
      <rPr>
        <vertAlign val="subscript"/>
        <sz val="11"/>
        <rFont val="Calibri"/>
        <family val="2"/>
      </rPr>
      <t>BIO</t>
    </r>
    <r>
      <rPr>
        <sz val="11"/>
        <rFont val="Calibri"/>
        <family val="2"/>
      </rPr>
      <t>-X</t>
    </r>
    <r>
      <rPr>
        <vertAlign val="subscript"/>
        <sz val="11"/>
        <rFont val="Calibri"/>
        <family val="2"/>
      </rPr>
      <t>ALGAE</t>
    </r>
    <r>
      <rPr>
        <sz val="11"/>
        <rFont val="Calibri"/>
        <family val="2"/>
      </rPr>
      <t>)+i</t>
    </r>
    <r>
      <rPr>
        <vertAlign val="subscript"/>
        <sz val="11"/>
        <rFont val="Calibri"/>
        <family val="2"/>
      </rPr>
      <t>N,ALGAE</t>
    </r>
    <r>
      <rPr>
        <sz val="11"/>
        <rFont val="Calibri"/>
        <family val="2"/>
      </rPr>
      <t>*EEQ</t>
    </r>
    <r>
      <rPr>
        <vertAlign val="subscript"/>
        <sz val="11"/>
        <rFont val="Calibri"/>
        <family val="2"/>
      </rPr>
      <t>NO2</t>
    </r>
    <r>
      <rPr>
        <sz val="11"/>
        <rFont val="Calibri"/>
        <family val="2"/>
      </rPr>
      <t>*X</t>
    </r>
    <r>
      <rPr>
        <vertAlign val="subscript"/>
        <sz val="11"/>
        <rFont val="Calibri"/>
        <family val="2"/>
      </rPr>
      <t>ALGAE</t>
    </r>
    <r>
      <rPr>
        <sz val="11"/>
        <rFont val="Calibri"/>
        <family val="2"/>
      </rPr>
      <t>)/X</t>
    </r>
    <r>
      <rPr>
        <vertAlign val="subscript"/>
        <sz val="11"/>
        <rFont val="Calibri"/>
        <family val="2"/>
      </rPr>
      <t>BIO</t>
    </r>
  </si>
  <si>
    <r>
      <t>-EEQ</t>
    </r>
    <r>
      <rPr>
        <vertAlign val="subscript"/>
        <sz val="11"/>
        <rFont val="Calibri"/>
        <family val="2"/>
      </rPr>
      <t>NO3</t>
    </r>
    <r>
      <rPr>
        <sz val="11"/>
        <rFont val="Calibri"/>
        <family val="2"/>
      </rPr>
      <t>*X</t>
    </r>
    <r>
      <rPr>
        <vertAlign val="subscript"/>
        <sz val="11"/>
        <rFont val="Calibri"/>
        <family val="2"/>
      </rPr>
      <t>OHO</t>
    </r>
    <r>
      <rPr>
        <sz val="11"/>
        <rFont val="Calibri"/>
        <family val="2"/>
      </rPr>
      <t>/X</t>
    </r>
    <r>
      <rPr>
        <vertAlign val="subscript"/>
        <sz val="11"/>
        <rFont val="Calibri"/>
        <family val="2"/>
      </rPr>
      <t>BIO</t>
    </r>
  </si>
  <si>
    <r>
      <t>-EEQ</t>
    </r>
    <r>
      <rPr>
        <vertAlign val="subscript"/>
        <sz val="11"/>
        <rFont val="Calibri"/>
        <family val="2"/>
      </rPr>
      <t>NO3</t>
    </r>
    <r>
      <rPr>
        <sz val="11"/>
        <rFont val="Calibri"/>
        <family val="2"/>
      </rPr>
      <t>*X</t>
    </r>
    <r>
      <rPr>
        <vertAlign val="subscript"/>
        <sz val="11"/>
        <rFont val="Calibri"/>
        <family val="2"/>
      </rPr>
      <t>CASTO</t>
    </r>
    <r>
      <rPr>
        <sz val="11"/>
        <rFont val="Calibri"/>
        <family val="2"/>
      </rPr>
      <t>/X</t>
    </r>
    <r>
      <rPr>
        <vertAlign val="subscript"/>
        <sz val="11"/>
        <rFont val="Calibri"/>
        <family val="2"/>
      </rPr>
      <t>BIO</t>
    </r>
  </si>
  <si>
    <r>
      <t>-EEQ</t>
    </r>
    <r>
      <rPr>
        <vertAlign val="subscript"/>
        <sz val="11"/>
        <rFont val="Calibri"/>
        <family val="2"/>
      </rPr>
      <t>NO3</t>
    </r>
    <r>
      <rPr>
        <sz val="11"/>
        <rFont val="Calibri"/>
        <family val="2"/>
      </rPr>
      <t>*X</t>
    </r>
    <r>
      <rPr>
        <vertAlign val="subscript"/>
        <sz val="11"/>
        <rFont val="Calibri"/>
        <family val="2"/>
      </rPr>
      <t>MEOLO</t>
    </r>
    <r>
      <rPr>
        <sz val="11"/>
        <rFont val="Calibri"/>
        <family val="2"/>
      </rPr>
      <t>/X</t>
    </r>
    <r>
      <rPr>
        <vertAlign val="subscript"/>
        <sz val="11"/>
        <rFont val="Calibri"/>
        <family val="2"/>
      </rPr>
      <t>BIO</t>
    </r>
  </si>
  <si>
    <r>
      <t>-EEQ</t>
    </r>
    <r>
      <rPr>
        <vertAlign val="subscript"/>
        <sz val="11"/>
        <rFont val="Calibri"/>
        <family val="2"/>
      </rPr>
      <t>NO3</t>
    </r>
    <r>
      <rPr>
        <sz val="11"/>
        <rFont val="Calibri"/>
        <family val="2"/>
      </rPr>
      <t>*X</t>
    </r>
    <r>
      <rPr>
        <vertAlign val="subscript"/>
        <sz val="11"/>
        <rFont val="Calibri"/>
        <family val="2"/>
      </rPr>
      <t>AOB</t>
    </r>
    <r>
      <rPr>
        <sz val="11"/>
        <rFont val="Calibri"/>
        <family val="2"/>
      </rPr>
      <t>/X</t>
    </r>
    <r>
      <rPr>
        <vertAlign val="subscript"/>
        <sz val="11"/>
        <rFont val="Calibri"/>
        <family val="2"/>
      </rPr>
      <t>BIO</t>
    </r>
  </si>
  <si>
    <r>
      <t>-EEQ</t>
    </r>
    <r>
      <rPr>
        <vertAlign val="subscript"/>
        <sz val="11"/>
        <rFont val="Calibri"/>
        <family val="2"/>
      </rPr>
      <t>NO3</t>
    </r>
    <r>
      <rPr>
        <sz val="11"/>
        <rFont val="Calibri"/>
        <family val="2"/>
      </rPr>
      <t>*X</t>
    </r>
    <r>
      <rPr>
        <vertAlign val="subscript"/>
        <sz val="11"/>
        <rFont val="Calibri"/>
        <family val="2"/>
      </rPr>
      <t>NOB</t>
    </r>
    <r>
      <rPr>
        <sz val="11"/>
        <rFont val="Calibri"/>
        <family val="2"/>
      </rPr>
      <t>/X</t>
    </r>
    <r>
      <rPr>
        <vertAlign val="subscript"/>
        <sz val="11"/>
        <rFont val="Calibri"/>
        <family val="2"/>
      </rPr>
      <t>BIO</t>
    </r>
  </si>
  <si>
    <r>
      <t>-EEQ</t>
    </r>
    <r>
      <rPr>
        <vertAlign val="subscript"/>
        <sz val="11"/>
        <rFont val="Calibri"/>
        <family val="2"/>
      </rPr>
      <t>NO3</t>
    </r>
    <r>
      <rPr>
        <sz val="11"/>
        <rFont val="Calibri"/>
        <family val="2"/>
      </rPr>
      <t>*X</t>
    </r>
    <r>
      <rPr>
        <vertAlign val="subscript"/>
        <sz val="11"/>
        <rFont val="Calibri"/>
        <family val="2"/>
      </rPr>
      <t>AMX</t>
    </r>
    <r>
      <rPr>
        <sz val="11"/>
        <rFont val="Calibri"/>
        <family val="2"/>
      </rPr>
      <t>/X</t>
    </r>
    <r>
      <rPr>
        <vertAlign val="subscript"/>
        <sz val="11"/>
        <rFont val="Calibri"/>
        <family val="2"/>
      </rPr>
      <t>BIO</t>
    </r>
  </si>
  <si>
    <r>
      <t>-EEQ</t>
    </r>
    <r>
      <rPr>
        <vertAlign val="subscript"/>
        <sz val="11"/>
        <rFont val="Calibri"/>
        <family val="2"/>
      </rPr>
      <t>NO3</t>
    </r>
    <r>
      <rPr>
        <sz val="11"/>
        <rFont val="Calibri"/>
        <family val="2"/>
      </rPr>
      <t>*X</t>
    </r>
    <r>
      <rPr>
        <vertAlign val="subscript"/>
        <sz val="11"/>
        <rFont val="Calibri"/>
        <family val="2"/>
      </rPr>
      <t>AMETO</t>
    </r>
    <r>
      <rPr>
        <sz val="11"/>
        <rFont val="Calibri"/>
        <family val="2"/>
      </rPr>
      <t>/X</t>
    </r>
    <r>
      <rPr>
        <vertAlign val="subscript"/>
        <sz val="11"/>
        <rFont val="Calibri"/>
        <family val="2"/>
      </rPr>
      <t>BIO</t>
    </r>
  </si>
  <si>
    <r>
      <t>-EEQ</t>
    </r>
    <r>
      <rPr>
        <vertAlign val="subscript"/>
        <sz val="11"/>
        <rFont val="Calibri"/>
        <family val="2"/>
      </rPr>
      <t>NO3</t>
    </r>
    <r>
      <rPr>
        <sz val="11"/>
        <rFont val="Calibri"/>
        <family val="2"/>
      </rPr>
      <t>*X</t>
    </r>
    <r>
      <rPr>
        <vertAlign val="subscript"/>
        <sz val="11"/>
        <rFont val="Calibri"/>
        <family val="2"/>
      </rPr>
      <t>HMETO</t>
    </r>
    <r>
      <rPr>
        <sz val="11"/>
        <rFont val="Calibri"/>
        <family val="2"/>
      </rPr>
      <t>/X</t>
    </r>
    <r>
      <rPr>
        <vertAlign val="subscript"/>
        <sz val="11"/>
        <rFont val="Calibri"/>
        <family val="2"/>
      </rPr>
      <t>BIO</t>
    </r>
  </si>
  <si>
    <r>
      <t>-EEQ</t>
    </r>
    <r>
      <rPr>
        <vertAlign val="subscript"/>
        <sz val="11"/>
        <rFont val="Calibri"/>
        <family val="2"/>
      </rPr>
      <t>NO3</t>
    </r>
    <r>
      <rPr>
        <sz val="11"/>
        <rFont val="Calibri"/>
        <family val="2"/>
      </rPr>
      <t>*X</t>
    </r>
    <r>
      <rPr>
        <vertAlign val="subscript"/>
        <sz val="11"/>
        <rFont val="Calibri"/>
        <family val="2"/>
      </rPr>
      <t>ALGAE</t>
    </r>
    <r>
      <rPr>
        <sz val="11"/>
        <rFont val="Calibri"/>
        <family val="2"/>
      </rPr>
      <t>/X</t>
    </r>
    <r>
      <rPr>
        <vertAlign val="subscript"/>
        <sz val="11"/>
        <rFont val="Calibri"/>
        <family val="2"/>
      </rPr>
      <t>BIO</t>
    </r>
  </si>
  <si>
    <r>
      <t>1+(i</t>
    </r>
    <r>
      <rPr>
        <vertAlign val="subscript"/>
        <sz val="11"/>
        <rFont val="Calibri"/>
        <family val="2"/>
      </rPr>
      <t>N,BIO</t>
    </r>
    <r>
      <rPr>
        <sz val="11"/>
        <rFont val="Calibri"/>
        <family val="2"/>
      </rPr>
      <t>*EEQ</t>
    </r>
    <r>
      <rPr>
        <vertAlign val="subscript"/>
        <sz val="11"/>
        <rFont val="Calibri"/>
        <family val="2"/>
      </rPr>
      <t>NO3</t>
    </r>
    <r>
      <rPr>
        <sz val="11"/>
        <rFont val="Calibri"/>
        <family val="2"/>
      </rPr>
      <t>*(X</t>
    </r>
    <r>
      <rPr>
        <vertAlign val="subscript"/>
        <sz val="11"/>
        <rFont val="Calibri"/>
        <family val="2"/>
      </rPr>
      <t>BIO</t>
    </r>
    <r>
      <rPr>
        <sz val="11"/>
        <rFont val="Calibri"/>
        <family val="2"/>
      </rPr>
      <t>-X</t>
    </r>
    <r>
      <rPr>
        <vertAlign val="subscript"/>
        <sz val="11"/>
        <rFont val="Calibri"/>
        <family val="2"/>
      </rPr>
      <t>ALGAE</t>
    </r>
    <r>
      <rPr>
        <sz val="11"/>
        <rFont val="Calibri"/>
        <family val="2"/>
      </rPr>
      <t>)+i</t>
    </r>
    <r>
      <rPr>
        <vertAlign val="subscript"/>
        <sz val="11"/>
        <rFont val="Calibri"/>
        <family val="2"/>
      </rPr>
      <t>N,ALGAE</t>
    </r>
    <r>
      <rPr>
        <sz val="11"/>
        <rFont val="Calibri"/>
        <family val="2"/>
      </rPr>
      <t>*EEQ</t>
    </r>
    <r>
      <rPr>
        <vertAlign val="subscript"/>
        <sz val="11"/>
        <rFont val="Calibri"/>
        <family val="2"/>
      </rPr>
      <t>NO3</t>
    </r>
    <r>
      <rPr>
        <sz val="11"/>
        <rFont val="Calibri"/>
        <family val="2"/>
      </rPr>
      <t>*X</t>
    </r>
    <r>
      <rPr>
        <vertAlign val="subscript"/>
        <sz val="11"/>
        <rFont val="Calibri"/>
        <family val="2"/>
      </rPr>
      <t>ALGAE</t>
    </r>
    <r>
      <rPr>
        <sz val="11"/>
        <rFont val="Calibri"/>
        <family val="2"/>
      </rPr>
      <t>)/X</t>
    </r>
    <r>
      <rPr>
        <vertAlign val="subscript"/>
        <sz val="11"/>
        <rFont val="Calibri"/>
        <family val="2"/>
      </rPr>
      <t>BIO</t>
    </r>
  </si>
  <si>
    <r>
      <t>-EEQ</t>
    </r>
    <r>
      <rPr>
        <vertAlign val="subscript"/>
        <sz val="11"/>
        <rFont val="Calibri"/>
        <family val="2"/>
      </rPr>
      <t>NO2</t>
    </r>
    <r>
      <rPr>
        <sz val="11"/>
        <rFont val="Calibri"/>
        <family val="2"/>
      </rPr>
      <t>*X</t>
    </r>
    <r>
      <rPr>
        <vertAlign val="subscript"/>
        <sz val="11"/>
        <rFont val="Calibri"/>
        <family val="2"/>
      </rPr>
      <t>ASRO</t>
    </r>
    <r>
      <rPr>
        <sz val="11"/>
        <rFont val="Calibri"/>
        <family val="2"/>
      </rPr>
      <t>/X</t>
    </r>
    <r>
      <rPr>
        <vertAlign val="subscript"/>
        <sz val="11"/>
        <rFont val="Calibri"/>
        <family val="2"/>
      </rPr>
      <t>BIO</t>
    </r>
  </si>
  <si>
    <r>
      <t>-EEQ</t>
    </r>
    <r>
      <rPr>
        <vertAlign val="subscript"/>
        <sz val="11"/>
        <rFont val="Calibri"/>
        <family val="2"/>
      </rPr>
      <t>NO3</t>
    </r>
    <r>
      <rPr>
        <sz val="11"/>
        <rFont val="Calibri"/>
        <family val="2"/>
      </rPr>
      <t>*X</t>
    </r>
    <r>
      <rPr>
        <vertAlign val="subscript"/>
        <sz val="11"/>
        <rFont val="Calibri"/>
        <family val="2"/>
      </rPr>
      <t>ASRO</t>
    </r>
    <r>
      <rPr>
        <sz val="11"/>
        <rFont val="Calibri"/>
        <family val="2"/>
      </rPr>
      <t>/X</t>
    </r>
    <r>
      <rPr>
        <vertAlign val="subscript"/>
        <sz val="11"/>
        <rFont val="Calibri"/>
        <family val="2"/>
      </rPr>
      <t>BIO</t>
    </r>
  </si>
  <si>
    <r>
      <t>-EEQ</t>
    </r>
    <r>
      <rPr>
        <vertAlign val="subscript"/>
        <sz val="11"/>
        <rFont val="Calibri"/>
        <family val="2"/>
      </rPr>
      <t>NO2</t>
    </r>
    <r>
      <rPr>
        <sz val="11"/>
        <rFont val="Calibri"/>
        <family val="2"/>
      </rPr>
      <t>*X</t>
    </r>
    <r>
      <rPr>
        <vertAlign val="subscript"/>
        <sz val="11"/>
        <rFont val="Calibri"/>
        <family val="2"/>
      </rPr>
      <t>HSRO</t>
    </r>
    <r>
      <rPr>
        <sz val="11"/>
        <rFont val="Calibri"/>
        <family val="2"/>
      </rPr>
      <t>/X</t>
    </r>
    <r>
      <rPr>
        <vertAlign val="subscript"/>
        <sz val="11"/>
        <rFont val="Calibri"/>
        <family val="2"/>
      </rPr>
      <t>BIO</t>
    </r>
  </si>
  <si>
    <r>
      <t>-EEQ</t>
    </r>
    <r>
      <rPr>
        <vertAlign val="subscript"/>
        <sz val="11"/>
        <rFont val="Calibri"/>
        <family val="2"/>
      </rPr>
      <t>NO3</t>
    </r>
    <r>
      <rPr>
        <sz val="11"/>
        <rFont val="Calibri"/>
        <family val="2"/>
      </rPr>
      <t>*X</t>
    </r>
    <r>
      <rPr>
        <vertAlign val="subscript"/>
        <sz val="11"/>
        <rFont val="Calibri"/>
        <family val="2"/>
      </rPr>
      <t>HSRO</t>
    </r>
    <r>
      <rPr>
        <sz val="11"/>
        <rFont val="Calibri"/>
        <family val="2"/>
      </rPr>
      <t>/X</t>
    </r>
    <r>
      <rPr>
        <vertAlign val="subscript"/>
        <sz val="11"/>
        <rFont val="Calibri"/>
        <family val="2"/>
      </rPr>
      <t>BIO</t>
    </r>
  </si>
  <si>
    <r>
      <t>-EEQ</t>
    </r>
    <r>
      <rPr>
        <vertAlign val="subscript"/>
        <sz val="11"/>
        <rFont val="Calibri"/>
        <family val="2"/>
      </rPr>
      <t>NO2</t>
    </r>
    <r>
      <rPr>
        <sz val="11"/>
        <rFont val="Calibri"/>
        <family val="2"/>
      </rPr>
      <t>*X</t>
    </r>
    <r>
      <rPr>
        <vertAlign val="subscript"/>
        <sz val="11"/>
        <rFont val="Calibri"/>
        <family val="2"/>
      </rPr>
      <t>SOO</t>
    </r>
    <r>
      <rPr>
        <sz val="11"/>
        <rFont val="Calibri"/>
        <family val="2"/>
      </rPr>
      <t>/X</t>
    </r>
    <r>
      <rPr>
        <vertAlign val="subscript"/>
        <sz val="11"/>
        <rFont val="Calibri"/>
        <family val="2"/>
      </rPr>
      <t>BIO</t>
    </r>
  </si>
  <si>
    <r>
      <t>-EEQ</t>
    </r>
    <r>
      <rPr>
        <vertAlign val="subscript"/>
        <sz val="11"/>
        <rFont val="Calibri"/>
        <family val="2"/>
      </rPr>
      <t>NO3</t>
    </r>
    <r>
      <rPr>
        <sz val="11"/>
        <rFont val="Calibri"/>
        <family val="2"/>
      </rPr>
      <t>*X</t>
    </r>
    <r>
      <rPr>
        <vertAlign val="subscript"/>
        <sz val="11"/>
        <rFont val="Calibri"/>
        <family val="2"/>
      </rPr>
      <t>SOO</t>
    </r>
    <r>
      <rPr>
        <sz val="11"/>
        <rFont val="Calibri"/>
        <family val="2"/>
      </rPr>
      <t>/X</t>
    </r>
    <r>
      <rPr>
        <vertAlign val="subscript"/>
        <sz val="11"/>
        <rFont val="Calibri"/>
        <family val="2"/>
      </rPr>
      <t>BIO</t>
    </r>
  </si>
  <si>
    <r>
      <t>(i</t>
    </r>
    <r>
      <rPr>
        <vertAlign val="subscript"/>
        <sz val="11"/>
        <rFont val="Calibri"/>
        <family val="2"/>
      </rPr>
      <t>P,BIO</t>
    </r>
    <r>
      <rPr>
        <sz val="11"/>
        <rFont val="Calibri"/>
        <family val="2"/>
      </rPr>
      <t>*EEQ</t>
    </r>
    <r>
      <rPr>
        <vertAlign val="subscript"/>
        <sz val="11"/>
        <rFont val="Calibri"/>
        <family val="2"/>
      </rPr>
      <t>NO2</t>
    </r>
    <r>
      <rPr>
        <sz val="11"/>
        <rFont val="Calibri"/>
        <family val="2"/>
      </rPr>
      <t>*(X</t>
    </r>
    <r>
      <rPr>
        <vertAlign val="subscript"/>
        <sz val="11"/>
        <rFont val="Calibri"/>
        <family val="2"/>
      </rPr>
      <t>BIO</t>
    </r>
    <r>
      <rPr>
        <sz val="11"/>
        <rFont val="Calibri"/>
        <family val="2"/>
      </rPr>
      <t>-X</t>
    </r>
    <r>
      <rPr>
        <vertAlign val="subscript"/>
        <sz val="11"/>
        <rFont val="Calibri"/>
        <family val="2"/>
      </rPr>
      <t>ALGAE</t>
    </r>
    <r>
      <rPr>
        <sz val="11"/>
        <rFont val="Calibri"/>
        <family val="2"/>
      </rPr>
      <t>)+i</t>
    </r>
    <r>
      <rPr>
        <vertAlign val="subscript"/>
        <sz val="11"/>
        <rFont val="Calibri"/>
        <family val="2"/>
      </rPr>
      <t>P,ALGAE</t>
    </r>
    <r>
      <rPr>
        <sz val="11"/>
        <rFont val="Calibri"/>
        <family val="2"/>
      </rPr>
      <t>*EEQ</t>
    </r>
    <r>
      <rPr>
        <vertAlign val="subscript"/>
        <sz val="11"/>
        <rFont val="Calibri"/>
        <family val="2"/>
      </rPr>
      <t>NO2</t>
    </r>
    <r>
      <rPr>
        <sz val="11"/>
        <rFont val="Calibri"/>
        <family val="2"/>
      </rPr>
      <t>*X</t>
    </r>
    <r>
      <rPr>
        <vertAlign val="subscript"/>
        <sz val="11"/>
        <rFont val="Calibri"/>
        <family val="2"/>
      </rPr>
      <t>ALGAE</t>
    </r>
    <r>
      <rPr>
        <sz val="11"/>
        <rFont val="Calibri"/>
        <family val="2"/>
      </rPr>
      <t>)/X</t>
    </r>
    <r>
      <rPr>
        <vertAlign val="subscript"/>
        <sz val="11"/>
        <rFont val="Calibri"/>
        <family val="2"/>
      </rPr>
      <t>BIO</t>
    </r>
  </si>
  <si>
    <r>
      <t>(i</t>
    </r>
    <r>
      <rPr>
        <vertAlign val="subscript"/>
        <sz val="11"/>
        <rFont val="Calibri"/>
        <family val="2"/>
      </rPr>
      <t>P,BIO</t>
    </r>
    <r>
      <rPr>
        <sz val="11"/>
        <rFont val="Calibri"/>
        <family val="2"/>
      </rPr>
      <t>*EEQ</t>
    </r>
    <r>
      <rPr>
        <vertAlign val="subscript"/>
        <sz val="11"/>
        <rFont val="Calibri"/>
        <family val="2"/>
      </rPr>
      <t>NO3</t>
    </r>
    <r>
      <rPr>
        <sz val="11"/>
        <rFont val="Calibri"/>
        <family val="2"/>
      </rPr>
      <t>*(X</t>
    </r>
    <r>
      <rPr>
        <vertAlign val="subscript"/>
        <sz val="11"/>
        <rFont val="Calibri"/>
        <family val="2"/>
      </rPr>
      <t>BIO</t>
    </r>
    <r>
      <rPr>
        <sz val="11"/>
        <rFont val="Calibri"/>
        <family val="2"/>
      </rPr>
      <t>-X</t>
    </r>
    <r>
      <rPr>
        <vertAlign val="subscript"/>
        <sz val="11"/>
        <rFont val="Calibri"/>
        <family val="2"/>
      </rPr>
      <t>ALGAE</t>
    </r>
    <r>
      <rPr>
        <sz val="11"/>
        <rFont val="Calibri"/>
        <family val="2"/>
      </rPr>
      <t>)+i</t>
    </r>
    <r>
      <rPr>
        <vertAlign val="subscript"/>
        <sz val="11"/>
        <rFont val="Calibri"/>
        <family val="2"/>
      </rPr>
      <t>P,ALGAE</t>
    </r>
    <r>
      <rPr>
        <sz val="11"/>
        <rFont val="Calibri"/>
        <family val="2"/>
      </rPr>
      <t>*EEQ</t>
    </r>
    <r>
      <rPr>
        <vertAlign val="subscript"/>
        <sz val="11"/>
        <rFont val="Calibri"/>
        <family val="2"/>
      </rPr>
      <t>NO3</t>
    </r>
    <r>
      <rPr>
        <sz val="11"/>
        <rFont val="Calibri"/>
        <family val="2"/>
      </rPr>
      <t>*X</t>
    </r>
    <r>
      <rPr>
        <vertAlign val="subscript"/>
        <sz val="11"/>
        <rFont val="Calibri"/>
        <family val="2"/>
      </rPr>
      <t>ALGAE</t>
    </r>
    <r>
      <rPr>
        <sz val="11"/>
        <rFont val="Calibri"/>
        <family val="2"/>
      </rPr>
      <t>)/X</t>
    </r>
    <r>
      <rPr>
        <vertAlign val="subscript"/>
        <sz val="11"/>
        <rFont val="Calibri"/>
        <family val="2"/>
      </rPr>
      <t>BIO</t>
    </r>
  </si>
  <si>
    <r>
      <t>(i</t>
    </r>
    <r>
      <rPr>
        <vertAlign val="subscript"/>
        <sz val="11"/>
        <rFont val="Calibri"/>
        <family val="2"/>
      </rPr>
      <t>CIT,BIO</t>
    </r>
    <r>
      <rPr>
        <sz val="11"/>
        <rFont val="Calibri"/>
        <family val="2"/>
      </rPr>
      <t>*EEQ</t>
    </r>
    <r>
      <rPr>
        <vertAlign val="subscript"/>
        <sz val="11"/>
        <rFont val="Calibri"/>
        <family val="2"/>
      </rPr>
      <t>NO2</t>
    </r>
    <r>
      <rPr>
        <sz val="11"/>
        <rFont val="Calibri"/>
        <family val="2"/>
      </rPr>
      <t>*(X</t>
    </r>
    <r>
      <rPr>
        <vertAlign val="subscript"/>
        <sz val="11"/>
        <rFont val="Calibri"/>
        <family val="2"/>
      </rPr>
      <t>BIO</t>
    </r>
    <r>
      <rPr>
        <sz val="11"/>
        <rFont val="Calibri"/>
        <family val="2"/>
      </rPr>
      <t>-X</t>
    </r>
    <r>
      <rPr>
        <vertAlign val="subscript"/>
        <sz val="11"/>
        <rFont val="Calibri"/>
        <family val="2"/>
      </rPr>
      <t>ALGAE</t>
    </r>
    <r>
      <rPr>
        <sz val="11"/>
        <rFont val="Calibri"/>
        <family val="2"/>
      </rPr>
      <t>)+i</t>
    </r>
    <r>
      <rPr>
        <vertAlign val="subscript"/>
        <sz val="11"/>
        <rFont val="Calibri"/>
        <family val="2"/>
      </rPr>
      <t>CIT,ALGAE</t>
    </r>
    <r>
      <rPr>
        <sz val="11"/>
        <rFont val="Calibri"/>
        <family val="2"/>
      </rPr>
      <t>*EEQ</t>
    </r>
    <r>
      <rPr>
        <vertAlign val="subscript"/>
        <sz val="11"/>
        <rFont val="Calibri"/>
        <family val="2"/>
      </rPr>
      <t>NO2</t>
    </r>
    <r>
      <rPr>
        <sz val="11"/>
        <rFont val="Calibri"/>
        <family val="2"/>
      </rPr>
      <t>*X</t>
    </r>
    <r>
      <rPr>
        <vertAlign val="subscript"/>
        <sz val="11"/>
        <rFont val="Calibri"/>
        <family val="2"/>
      </rPr>
      <t>ALGAE</t>
    </r>
    <r>
      <rPr>
        <sz val="11"/>
        <rFont val="Calibri"/>
        <family val="2"/>
      </rPr>
      <t>)/X</t>
    </r>
    <r>
      <rPr>
        <vertAlign val="subscript"/>
        <sz val="11"/>
        <rFont val="Calibri"/>
        <family val="2"/>
      </rPr>
      <t>BIO</t>
    </r>
  </si>
  <si>
    <r>
      <t>(i</t>
    </r>
    <r>
      <rPr>
        <vertAlign val="subscript"/>
        <sz val="11"/>
        <rFont val="Calibri"/>
        <family val="2"/>
      </rPr>
      <t>CIT,BIO</t>
    </r>
    <r>
      <rPr>
        <sz val="11"/>
        <rFont val="Calibri"/>
        <family val="2"/>
      </rPr>
      <t>*EEQ</t>
    </r>
    <r>
      <rPr>
        <vertAlign val="subscript"/>
        <sz val="11"/>
        <rFont val="Calibri"/>
        <family val="2"/>
      </rPr>
      <t>NO3</t>
    </r>
    <r>
      <rPr>
        <sz val="11"/>
        <rFont val="Calibri"/>
        <family val="2"/>
      </rPr>
      <t>*(X</t>
    </r>
    <r>
      <rPr>
        <vertAlign val="subscript"/>
        <sz val="11"/>
        <rFont val="Calibri"/>
        <family val="2"/>
      </rPr>
      <t>BIO</t>
    </r>
    <r>
      <rPr>
        <sz val="11"/>
        <rFont val="Calibri"/>
        <family val="2"/>
      </rPr>
      <t>-X</t>
    </r>
    <r>
      <rPr>
        <vertAlign val="subscript"/>
        <sz val="11"/>
        <rFont val="Calibri"/>
        <family val="2"/>
      </rPr>
      <t>ALGAE</t>
    </r>
    <r>
      <rPr>
        <sz val="11"/>
        <rFont val="Calibri"/>
        <family val="2"/>
      </rPr>
      <t>)+i</t>
    </r>
    <r>
      <rPr>
        <vertAlign val="subscript"/>
        <sz val="11"/>
        <rFont val="Calibri"/>
        <family val="2"/>
      </rPr>
      <t>CIT,ALGAE</t>
    </r>
    <r>
      <rPr>
        <sz val="11"/>
        <rFont val="Calibri"/>
        <family val="2"/>
      </rPr>
      <t>*EEQ</t>
    </r>
    <r>
      <rPr>
        <vertAlign val="subscript"/>
        <sz val="11"/>
        <rFont val="Calibri"/>
        <family val="2"/>
      </rPr>
      <t>NO3</t>
    </r>
    <r>
      <rPr>
        <sz val="11"/>
        <rFont val="Calibri"/>
        <family val="2"/>
      </rPr>
      <t>*X</t>
    </r>
    <r>
      <rPr>
        <vertAlign val="subscript"/>
        <sz val="11"/>
        <rFont val="Calibri"/>
        <family val="2"/>
      </rPr>
      <t>ALGAE</t>
    </r>
    <r>
      <rPr>
        <sz val="11"/>
        <rFont val="Calibri"/>
        <family val="2"/>
      </rPr>
      <t>)/X</t>
    </r>
    <r>
      <rPr>
        <vertAlign val="subscript"/>
        <sz val="11"/>
        <rFont val="Calibri"/>
        <family val="2"/>
      </rPr>
      <t>BIO</t>
    </r>
  </si>
  <si>
    <r>
      <t>(i</t>
    </r>
    <r>
      <rPr>
        <vertAlign val="subscript"/>
        <sz val="11"/>
        <rFont val="Calibri"/>
        <family val="2"/>
      </rPr>
      <t>S,BIO</t>
    </r>
    <r>
      <rPr>
        <sz val="11"/>
        <rFont val="Calibri"/>
        <family val="2"/>
      </rPr>
      <t>*EEQ</t>
    </r>
    <r>
      <rPr>
        <vertAlign val="subscript"/>
        <sz val="11"/>
        <rFont val="Calibri"/>
        <family val="2"/>
      </rPr>
      <t>NO2</t>
    </r>
    <r>
      <rPr>
        <sz val="11"/>
        <rFont val="Calibri"/>
        <family val="2"/>
      </rPr>
      <t>*(X</t>
    </r>
    <r>
      <rPr>
        <vertAlign val="subscript"/>
        <sz val="11"/>
        <rFont val="Calibri"/>
        <family val="2"/>
      </rPr>
      <t>BIO</t>
    </r>
    <r>
      <rPr>
        <sz val="11"/>
        <rFont val="Calibri"/>
        <family val="2"/>
      </rPr>
      <t>-X</t>
    </r>
    <r>
      <rPr>
        <vertAlign val="subscript"/>
        <sz val="11"/>
        <rFont val="Calibri"/>
        <family val="2"/>
      </rPr>
      <t>ALGAE</t>
    </r>
    <r>
      <rPr>
        <sz val="11"/>
        <rFont val="Calibri"/>
        <family val="2"/>
      </rPr>
      <t>)+i</t>
    </r>
    <r>
      <rPr>
        <vertAlign val="subscript"/>
        <sz val="11"/>
        <rFont val="Calibri"/>
        <family val="2"/>
      </rPr>
      <t>S,ALGAE</t>
    </r>
    <r>
      <rPr>
        <sz val="11"/>
        <rFont val="Calibri"/>
        <family val="2"/>
      </rPr>
      <t>*EEQ</t>
    </r>
    <r>
      <rPr>
        <vertAlign val="subscript"/>
        <sz val="11"/>
        <rFont val="Calibri"/>
        <family val="2"/>
      </rPr>
      <t>NO2</t>
    </r>
    <r>
      <rPr>
        <sz val="11"/>
        <rFont val="Calibri"/>
        <family val="2"/>
      </rPr>
      <t>*X</t>
    </r>
    <r>
      <rPr>
        <vertAlign val="subscript"/>
        <sz val="11"/>
        <rFont val="Calibri"/>
        <family val="2"/>
      </rPr>
      <t>ALGAE</t>
    </r>
    <r>
      <rPr>
        <sz val="11"/>
        <rFont val="Calibri"/>
        <family val="2"/>
      </rPr>
      <t>)/X</t>
    </r>
    <r>
      <rPr>
        <vertAlign val="subscript"/>
        <sz val="11"/>
        <rFont val="Calibri"/>
        <family val="2"/>
      </rPr>
      <t>BIO</t>
    </r>
  </si>
  <si>
    <r>
      <t>(i</t>
    </r>
    <r>
      <rPr>
        <vertAlign val="subscript"/>
        <sz val="11"/>
        <rFont val="Calibri"/>
        <family val="2"/>
      </rPr>
      <t>S,BIO</t>
    </r>
    <r>
      <rPr>
        <sz val="11"/>
        <rFont val="Calibri"/>
        <family val="2"/>
      </rPr>
      <t>*EEQ</t>
    </r>
    <r>
      <rPr>
        <vertAlign val="subscript"/>
        <sz val="11"/>
        <rFont val="Calibri"/>
        <family val="2"/>
      </rPr>
      <t>NO3</t>
    </r>
    <r>
      <rPr>
        <sz val="11"/>
        <rFont val="Calibri"/>
        <family val="2"/>
      </rPr>
      <t>*(X</t>
    </r>
    <r>
      <rPr>
        <vertAlign val="subscript"/>
        <sz val="11"/>
        <rFont val="Calibri"/>
        <family val="2"/>
      </rPr>
      <t>BIO</t>
    </r>
    <r>
      <rPr>
        <sz val="11"/>
        <rFont val="Calibri"/>
        <family val="2"/>
      </rPr>
      <t>-X</t>
    </r>
    <r>
      <rPr>
        <vertAlign val="subscript"/>
        <sz val="11"/>
        <rFont val="Calibri"/>
        <family val="2"/>
      </rPr>
      <t>ALGAE</t>
    </r>
    <r>
      <rPr>
        <sz val="11"/>
        <rFont val="Calibri"/>
        <family val="2"/>
      </rPr>
      <t>)+i</t>
    </r>
    <r>
      <rPr>
        <vertAlign val="subscript"/>
        <sz val="11"/>
        <rFont val="Calibri"/>
        <family val="2"/>
      </rPr>
      <t>S,ALGAE</t>
    </r>
    <r>
      <rPr>
        <sz val="11"/>
        <rFont val="Calibri"/>
        <family val="2"/>
      </rPr>
      <t>*EEQ</t>
    </r>
    <r>
      <rPr>
        <vertAlign val="subscript"/>
        <sz val="11"/>
        <rFont val="Calibri"/>
        <family val="2"/>
      </rPr>
      <t>NO3</t>
    </r>
    <r>
      <rPr>
        <sz val="11"/>
        <rFont val="Calibri"/>
        <family val="2"/>
      </rPr>
      <t>*X</t>
    </r>
    <r>
      <rPr>
        <vertAlign val="subscript"/>
        <sz val="11"/>
        <rFont val="Calibri"/>
        <family val="2"/>
      </rPr>
      <t>ALGAE</t>
    </r>
    <r>
      <rPr>
        <sz val="11"/>
        <rFont val="Calibri"/>
        <family val="2"/>
      </rPr>
      <t>)/X</t>
    </r>
    <r>
      <rPr>
        <vertAlign val="subscript"/>
        <sz val="11"/>
        <rFont val="Calibri"/>
        <family val="2"/>
      </rPr>
      <t>BIO</t>
    </r>
  </si>
  <si>
    <r>
      <t>q</t>
    </r>
    <r>
      <rPr>
        <vertAlign val="subscript"/>
        <sz val="11"/>
        <rFont val="Calibri"/>
        <family val="2"/>
      </rPr>
      <t>ASSIM,T</t>
    </r>
    <r>
      <rPr>
        <sz val="11"/>
        <rFont val="Calibri"/>
        <family val="2"/>
      </rPr>
      <t>*X</t>
    </r>
    <r>
      <rPr>
        <vertAlign val="subscript"/>
        <sz val="11"/>
        <rFont val="Calibri"/>
        <family val="2"/>
      </rPr>
      <t>BIO</t>
    </r>
    <r>
      <rPr>
        <sz val="11"/>
        <rFont val="Calibri"/>
        <family val="2"/>
      </rPr>
      <t>*Msat</t>
    </r>
    <r>
      <rPr>
        <vertAlign val="subscript"/>
        <sz val="11"/>
        <rFont val="Calibri"/>
        <family val="2"/>
      </rPr>
      <t>SNO2,KNO2,ASSIM</t>
    </r>
    <r>
      <rPr>
        <sz val="11"/>
        <rFont val="Calibri"/>
        <family val="2"/>
      </rPr>
      <t>*Minh</t>
    </r>
    <r>
      <rPr>
        <vertAlign val="subscript"/>
        <sz val="11"/>
        <rFont val="Calibri"/>
        <family val="2"/>
      </rPr>
      <t>SNHx,KiNHx,ASSIM</t>
    </r>
  </si>
  <si>
    <r>
      <t>q</t>
    </r>
    <r>
      <rPr>
        <vertAlign val="subscript"/>
        <sz val="11"/>
        <rFont val="Calibri"/>
        <family val="2"/>
      </rPr>
      <t>ASSIM,T</t>
    </r>
    <r>
      <rPr>
        <sz val="11"/>
        <rFont val="Calibri"/>
        <family val="2"/>
      </rPr>
      <t>*X</t>
    </r>
    <r>
      <rPr>
        <vertAlign val="subscript"/>
        <sz val="11"/>
        <rFont val="Calibri"/>
        <family val="2"/>
      </rPr>
      <t>BIO</t>
    </r>
    <r>
      <rPr>
        <sz val="11"/>
        <rFont val="Calibri"/>
        <family val="2"/>
      </rPr>
      <t>*Msat</t>
    </r>
    <r>
      <rPr>
        <vertAlign val="subscript"/>
        <sz val="11"/>
        <rFont val="Calibri"/>
        <family val="2"/>
      </rPr>
      <t>SNO3,KNO3,ASSIM</t>
    </r>
    <r>
      <rPr>
        <sz val="11"/>
        <rFont val="Calibri"/>
        <family val="2"/>
      </rPr>
      <t>*Minh</t>
    </r>
    <r>
      <rPr>
        <vertAlign val="subscript"/>
        <sz val="11"/>
        <rFont val="Calibri"/>
        <family val="2"/>
      </rPr>
      <t>SNO2,KNO2,ASSIM</t>
    </r>
    <r>
      <rPr>
        <sz val="11"/>
        <rFont val="Calibri"/>
        <family val="2"/>
      </rPr>
      <t>*Minh</t>
    </r>
    <r>
      <rPr>
        <vertAlign val="subscript"/>
        <sz val="11"/>
        <rFont val="Calibri"/>
        <family val="2"/>
      </rPr>
      <t>SNHx,KiNHx,ASSIM</t>
    </r>
  </si>
  <si>
    <r>
      <t>Loginhswitch(X</t>
    </r>
    <r>
      <rPr>
        <vertAlign val="subscript"/>
        <sz val="11"/>
        <color rgb="FF000000"/>
        <rFont val="Calibri"/>
        <family val="2"/>
      </rPr>
      <t>TSS</t>
    </r>
    <r>
      <rPr>
        <sz val="11"/>
        <color indexed="8"/>
        <rFont val="Calibri"/>
        <family val="2"/>
      </rPr>
      <t>/K</t>
    </r>
    <r>
      <rPr>
        <vertAlign val="subscript"/>
        <sz val="11"/>
        <color rgb="FF000000"/>
        <rFont val="Calibri"/>
        <family val="2"/>
      </rPr>
      <t>XTSS,lightextinction</t>
    </r>
    <r>
      <rPr>
        <sz val="11"/>
        <color indexed="8"/>
        <rFont val="Calibri"/>
        <family val="2"/>
      </rPr>
      <t>; 1; 100) * Logsatswitch(J</t>
    </r>
    <r>
      <rPr>
        <vertAlign val="subscript"/>
        <sz val="11"/>
        <color rgb="FF000000"/>
        <rFont val="Calibri"/>
        <family val="2"/>
      </rPr>
      <t>photosynt,solar</t>
    </r>
    <r>
      <rPr>
        <sz val="11"/>
        <color indexed="8"/>
        <rFont val="Calibri"/>
        <family val="2"/>
      </rPr>
      <t>/J</t>
    </r>
    <r>
      <rPr>
        <vertAlign val="subscript"/>
        <sz val="11"/>
        <color rgb="FF000000"/>
        <rFont val="Calibri"/>
        <family val="2"/>
      </rPr>
      <t>photosynt,solar,opt</t>
    </r>
    <r>
      <rPr>
        <sz val="11"/>
        <color indexed="8"/>
        <rFont val="Calibri"/>
        <family val="2"/>
      </rPr>
      <t>;1;100)</t>
    </r>
  </si>
  <si>
    <r>
      <t>J</t>
    </r>
    <r>
      <rPr>
        <vertAlign val="subscript"/>
        <sz val="11"/>
        <rFont val="Calibri"/>
        <family val="2"/>
        <scheme val="minor"/>
      </rPr>
      <t>photosynt,solar</t>
    </r>
  </si>
  <si>
    <r>
      <t>J</t>
    </r>
    <r>
      <rPr>
        <vertAlign val="subscript"/>
        <sz val="11"/>
        <rFont val="Calibri"/>
        <family val="2"/>
        <scheme val="minor"/>
      </rPr>
      <t>photosynt,solar,opt</t>
    </r>
  </si>
  <si>
    <r>
      <t>K</t>
    </r>
    <r>
      <rPr>
        <vertAlign val="subscript"/>
        <sz val="11"/>
        <rFont val="Calibri"/>
        <family val="2"/>
        <scheme val="minor"/>
      </rPr>
      <t>XTSS,lightextinction</t>
    </r>
  </si>
  <si>
    <r>
      <t>Saturation term for O</t>
    </r>
    <r>
      <rPr>
        <vertAlign val="subscript"/>
        <sz val="11"/>
        <color rgb="FF000000"/>
        <rFont val="Calibri"/>
        <family val="2"/>
        <scheme val="minor"/>
      </rPr>
      <t>2</t>
    </r>
    <r>
      <rPr>
        <sz val="11"/>
        <color rgb="FF000000"/>
        <rFont val="Calibri"/>
        <family val="2"/>
        <charset val="238"/>
        <scheme val="minor"/>
      </rPr>
      <t xml:space="preserve"> for S° oxidation (SOO)</t>
    </r>
  </si>
  <si>
    <r>
      <t>pH</t>
    </r>
    <r>
      <rPr>
        <vertAlign val="subscript"/>
        <sz val="11"/>
        <rFont val="Calibri"/>
        <family val="2"/>
        <scheme val="minor"/>
      </rPr>
      <t>low,NOB</t>
    </r>
  </si>
  <si>
    <t>pH inhibition low value for NOBs</t>
  </si>
  <si>
    <r>
      <t>pH</t>
    </r>
    <r>
      <rPr>
        <vertAlign val="subscript"/>
        <sz val="11"/>
        <rFont val="Calibri"/>
        <family val="2"/>
        <scheme val="minor"/>
      </rPr>
      <t>high,NOB</t>
    </r>
  </si>
  <si>
    <t>pH inhibition high value for NOBs</t>
  </si>
  <si>
    <r>
      <t>pH</t>
    </r>
    <r>
      <rPr>
        <vertAlign val="subscript"/>
        <sz val="11"/>
        <rFont val="Calibri"/>
        <family val="2"/>
        <scheme val="minor"/>
      </rPr>
      <t>low,AOB</t>
    </r>
  </si>
  <si>
    <t>pH inhibition low value for AOBs</t>
  </si>
  <si>
    <r>
      <t>pH</t>
    </r>
    <r>
      <rPr>
        <vertAlign val="subscript"/>
        <sz val="11"/>
        <rFont val="Calibri"/>
        <family val="2"/>
        <scheme val="minor"/>
      </rPr>
      <t>high,AOB</t>
    </r>
  </si>
  <si>
    <t>pH inhibition high value for AOBs</t>
  </si>
  <si>
    <r>
      <t>Bellinh</t>
    </r>
    <r>
      <rPr>
        <vertAlign val="subscript"/>
        <sz val="11"/>
        <rFont val="Calibri"/>
        <family val="2"/>
        <scheme val="minor"/>
      </rPr>
      <t>pH,AOB</t>
    </r>
  </si>
  <si>
    <t>pH inhibition (Bell shaped) (AOB)</t>
  </si>
  <si>
    <r>
      <t>Bellinh(pH;pH</t>
    </r>
    <r>
      <rPr>
        <vertAlign val="subscript"/>
        <sz val="11"/>
        <rFont val="Calibri"/>
        <family val="2"/>
        <scheme val="minor"/>
      </rPr>
      <t>low,AOB</t>
    </r>
    <r>
      <rPr>
        <sz val="11"/>
        <rFont val="Calibri"/>
        <family val="2"/>
        <scheme val="minor"/>
      </rPr>
      <t>;pH</t>
    </r>
    <r>
      <rPr>
        <vertAlign val="subscript"/>
        <sz val="11"/>
        <rFont val="Calibri"/>
        <family val="2"/>
        <scheme val="minor"/>
      </rPr>
      <t>high,AOB</t>
    </r>
    <r>
      <rPr>
        <sz val="11"/>
        <rFont val="Calibri"/>
        <family val="2"/>
        <scheme val="minor"/>
      </rPr>
      <t>)</t>
    </r>
  </si>
  <si>
    <r>
      <t>Bellinh</t>
    </r>
    <r>
      <rPr>
        <vertAlign val="subscript"/>
        <sz val="11"/>
        <rFont val="Calibri"/>
        <family val="2"/>
        <scheme val="minor"/>
      </rPr>
      <t>pH,NOB</t>
    </r>
  </si>
  <si>
    <t>pH inhibition (Bell shaped) (NOB)</t>
  </si>
  <si>
    <r>
      <t>Bellinh(pH;pH</t>
    </r>
    <r>
      <rPr>
        <vertAlign val="subscript"/>
        <sz val="11"/>
        <rFont val="Calibri"/>
        <family val="2"/>
        <scheme val="minor"/>
      </rPr>
      <t>low,NOB</t>
    </r>
    <r>
      <rPr>
        <sz val="11"/>
        <rFont val="Calibri"/>
        <family val="2"/>
        <scheme val="minor"/>
      </rPr>
      <t>;pH</t>
    </r>
    <r>
      <rPr>
        <vertAlign val="subscript"/>
        <sz val="11"/>
        <rFont val="Calibri"/>
        <family val="2"/>
        <scheme val="minor"/>
      </rPr>
      <t>high,NOB</t>
    </r>
    <r>
      <rPr>
        <sz val="11"/>
        <rFont val="Calibri"/>
        <family val="2"/>
        <scheme val="minor"/>
      </rPr>
      <t>)</t>
    </r>
  </si>
  <si>
    <r>
      <t>µ</t>
    </r>
    <r>
      <rPr>
        <vertAlign val="subscript"/>
        <sz val="11"/>
        <rFont val="Calibri"/>
        <family val="2"/>
      </rPr>
      <t>AOB,T</t>
    </r>
    <r>
      <rPr>
        <sz val="11"/>
        <rFont val="Calibri"/>
        <family val="2"/>
      </rPr>
      <t>*X</t>
    </r>
    <r>
      <rPr>
        <vertAlign val="subscript"/>
        <sz val="11"/>
        <rFont val="Calibri"/>
        <family val="2"/>
      </rPr>
      <t>AOB</t>
    </r>
    <r>
      <rPr>
        <sz val="11"/>
        <rFont val="Calibri"/>
        <family val="2"/>
      </rPr>
      <t>*Msat</t>
    </r>
    <r>
      <rPr>
        <vertAlign val="subscript"/>
        <sz val="11"/>
        <rFont val="Calibri"/>
        <family val="2"/>
      </rPr>
      <t>SNHx,KNHx,AOB</t>
    </r>
    <r>
      <rPr>
        <sz val="11"/>
        <rFont val="Calibri"/>
        <family val="2"/>
      </rPr>
      <t>*LogsatpH</t>
    </r>
    <r>
      <rPr>
        <vertAlign val="subscript"/>
        <sz val="11"/>
        <rFont val="Calibri"/>
        <family val="2"/>
      </rPr>
      <t>CO2,AOB</t>
    </r>
    <r>
      <rPr>
        <sz val="11"/>
        <rFont val="Calibri"/>
        <family val="2"/>
      </rPr>
      <t>*Msat</t>
    </r>
    <r>
      <rPr>
        <vertAlign val="subscript"/>
        <sz val="11"/>
        <rFont val="Calibri"/>
        <family val="2"/>
      </rPr>
      <t>SO2,KO2,AOB</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*Msat</t>
    </r>
    <r>
      <rPr>
        <vertAlign val="subscript"/>
        <sz val="11"/>
        <rFont val="Calibri"/>
        <family val="2"/>
      </rPr>
      <t>SSO4,KSO4,BIO</t>
    </r>
    <r>
      <rPr>
        <sz val="11"/>
        <rFont val="Calibri"/>
        <family val="2"/>
      </rPr>
      <t>*MinhpH</t>
    </r>
    <r>
      <rPr>
        <vertAlign val="subscript"/>
        <sz val="11"/>
        <rFont val="Calibri"/>
        <family val="2"/>
      </rPr>
      <t>HNO2,AOB</t>
    </r>
    <r>
      <rPr>
        <sz val="11"/>
        <rFont val="Calibri"/>
        <family val="2"/>
      </rPr>
      <t>*Bellinh</t>
    </r>
    <r>
      <rPr>
        <vertAlign val="subscript"/>
        <sz val="11"/>
        <rFont val="Calibri"/>
        <family val="2"/>
      </rPr>
      <t>pH,AOB</t>
    </r>
  </si>
  <si>
    <r>
      <t>µ</t>
    </r>
    <r>
      <rPr>
        <vertAlign val="subscript"/>
        <sz val="11"/>
        <rFont val="Calibri"/>
        <family val="2"/>
      </rPr>
      <t>NOB,T</t>
    </r>
    <r>
      <rPr>
        <sz val="11"/>
        <rFont val="Calibri"/>
        <family val="2"/>
      </rPr>
      <t>*X</t>
    </r>
    <r>
      <rPr>
        <vertAlign val="subscript"/>
        <sz val="11"/>
        <rFont val="Calibri"/>
        <family val="2"/>
      </rPr>
      <t>NOB</t>
    </r>
    <r>
      <rPr>
        <sz val="11"/>
        <rFont val="Calibri"/>
        <family val="2"/>
      </rPr>
      <t>*Msat</t>
    </r>
    <r>
      <rPr>
        <vertAlign val="subscript"/>
        <sz val="11"/>
        <rFont val="Calibri"/>
        <family val="2"/>
      </rPr>
      <t>SNO2,KNO2,NOB</t>
    </r>
    <r>
      <rPr>
        <sz val="11"/>
        <rFont val="Calibri"/>
        <family val="2"/>
      </rPr>
      <t>*LogsatpH</t>
    </r>
    <r>
      <rPr>
        <vertAlign val="subscript"/>
        <sz val="11"/>
        <rFont val="Calibri"/>
        <family val="2"/>
      </rPr>
      <t>CO2,NOB</t>
    </r>
    <r>
      <rPr>
        <sz val="11"/>
        <rFont val="Calibri"/>
        <family val="2"/>
      </rPr>
      <t>*Msat</t>
    </r>
    <r>
      <rPr>
        <vertAlign val="subscript"/>
        <sz val="11"/>
        <rFont val="Calibri"/>
        <family val="2"/>
      </rPr>
      <t>SO2,KO2,NOB</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*Msat</t>
    </r>
    <r>
      <rPr>
        <vertAlign val="subscript"/>
        <sz val="11"/>
        <rFont val="Calibri"/>
        <family val="2"/>
      </rPr>
      <t>SSO4,KSO4,BIO</t>
    </r>
    <r>
      <rPr>
        <sz val="11"/>
        <rFont val="Calibri"/>
        <family val="2"/>
      </rPr>
      <t>*MinhpH</t>
    </r>
    <r>
      <rPr>
        <vertAlign val="subscript"/>
        <sz val="11"/>
        <rFont val="Calibri"/>
        <family val="2"/>
      </rPr>
      <t>NH3,NOB</t>
    </r>
    <r>
      <rPr>
        <sz val="11"/>
        <rFont val="Calibri"/>
        <family val="2"/>
      </rPr>
      <t>*Bellinh</t>
    </r>
    <r>
      <rPr>
        <vertAlign val="subscript"/>
        <sz val="11"/>
        <rFont val="Calibri"/>
        <family val="2"/>
      </rPr>
      <t>pH,NOB</t>
    </r>
  </si>
  <si>
    <r>
      <t>(S</t>
    </r>
    <r>
      <rPr>
        <vertAlign val="subscript"/>
        <sz val="11"/>
        <rFont val="Calibri"/>
        <family val="2"/>
        <charset val="238"/>
        <scheme val="minor"/>
      </rPr>
      <t>H</t>
    </r>
    <r>
      <rPr>
        <sz val="11"/>
        <rFont val="Calibri"/>
        <family val="2"/>
        <scheme val="minor"/>
      </rPr>
      <t>-H</t>
    </r>
    <r>
      <rPr>
        <vertAlign val="subscript"/>
        <sz val="11"/>
        <rFont val="Calibri"/>
        <family val="2"/>
        <scheme val="minor"/>
      </rPr>
      <t>STP</t>
    </r>
    <r>
      <rPr>
        <sz val="11"/>
        <rFont val="Calibri"/>
        <family val="2"/>
        <scheme val="minor"/>
      </rPr>
      <t>)/c</t>
    </r>
    <r>
      <rPr>
        <vertAlign val="subscript"/>
        <sz val="11"/>
        <rFont val="Calibri"/>
        <family val="2"/>
        <scheme val="minor"/>
      </rPr>
      <t>p,water</t>
    </r>
  </si>
  <si>
    <r>
      <t>S</t>
    </r>
    <r>
      <rPr>
        <b/>
        <vertAlign val="subscript"/>
        <sz val="11"/>
        <rFont val="Calibri"/>
        <family val="2"/>
        <charset val="238"/>
        <scheme val="minor"/>
      </rPr>
      <t>H</t>
    </r>
  </si>
  <si>
    <t>Non-Input; pHSet; IS</t>
  </si>
  <si>
    <t>Energy</t>
  </si>
  <si>
    <t>Particulate total nitrogen</t>
  </si>
  <si>
    <r>
      <t>T</t>
    </r>
    <r>
      <rPr>
        <vertAlign val="subscript"/>
        <sz val="11"/>
        <rFont val="Calibri"/>
        <family val="2"/>
        <scheme val="minor"/>
      </rPr>
      <t>KN</t>
    </r>
    <r>
      <rPr>
        <sz val="11"/>
        <rFont val="Calibri"/>
        <family val="2"/>
        <scheme val="minor"/>
      </rPr>
      <t>-S</t>
    </r>
    <r>
      <rPr>
        <vertAlign val="subscript"/>
        <sz val="11"/>
        <rFont val="Calibri"/>
        <family val="2"/>
        <scheme val="minor"/>
      </rPr>
      <t>KN</t>
    </r>
  </si>
  <si>
    <r>
      <t>X</t>
    </r>
    <r>
      <rPr>
        <vertAlign val="subscript"/>
        <sz val="11"/>
        <rFont val="Calibri"/>
        <family val="2"/>
        <scheme val="minor"/>
      </rPr>
      <t>P</t>
    </r>
  </si>
  <si>
    <t>Particulate phosphorus</t>
  </si>
  <si>
    <r>
      <t>T</t>
    </r>
    <r>
      <rPr>
        <vertAlign val="subscript"/>
        <sz val="11"/>
        <rFont val="Calibri"/>
        <family val="2"/>
        <scheme val="minor"/>
      </rPr>
      <t>P</t>
    </r>
    <r>
      <rPr>
        <sz val="11"/>
        <rFont val="Calibri"/>
        <family val="2"/>
        <scheme val="minor"/>
      </rPr>
      <t>-S</t>
    </r>
    <r>
      <rPr>
        <vertAlign val="subscript"/>
        <sz val="11"/>
        <rFont val="Calibri"/>
        <family val="2"/>
        <scheme val="minor"/>
      </rPr>
      <t>P</t>
    </r>
  </si>
  <si>
    <r>
      <t>X</t>
    </r>
    <r>
      <rPr>
        <vertAlign val="subscript"/>
        <sz val="11"/>
        <rFont val="Calibri"/>
        <family val="2"/>
        <scheme val="minor"/>
      </rPr>
      <t>KN</t>
    </r>
  </si>
  <si>
    <t>define range in percentage of XBIO limit</t>
  </si>
  <si>
    <r>
      <t>X</t>
    </r>
    <r>
      <rPr>
        <vertAlign val="subscript"/>
        <sz val="11"/>
        <color rgb="FF000000"/>
        <rFont val="Calibri"/>
        <family val="2"/>
        <scheme val="minor"/>
      </rPr>
      <t>HET,HYD,lim</t>
    </r>
  </si>
  <si>
    <r>
      <t>X</t>
    </r>
    <r>
      <rPr>
        <vertAlign val="subscript"/>
        <sz val="11"/>
        <color rgb="FF000000"/>
        <rFont val="Calibri"/>
        <family val="2"/>
        <scheme val="minor"/>
      </rPr>
      <t>HET</t>
    </r>
    <r>
      <rPr>
        <sz val="11"/>
        <color indexed="8"/>
        <rFont val="Calibri"/>
        <family val="2"/>
        <scheme val="minor"/>
      </rPr>
      <t xml:space="preserve"> limit concentration for hydrolysis</t>
    </r>
  </si>
  <si>
    <r>
      <t>Logrange</t>
    </r>
    <r>
      <rPr>
        <vertAlign val="subscript"/>
        <sz val="11"/>
        <rFont val="Calibri"/>
        <family val="2"/>
        <charset val="238"/>
        <scheme val="minor"/>
      </rPr>
      <t>XHET,HYD,lim</t>
    </r>
  </si>
  <si>
    <t>Effective range of logistic switch for XHET limit</t>
  </si>
  <si>
    <r>
      <t>K</t>
    </r>
    <r>
      <rPr>
        <vertAlign val="subscript"/>
        <sz val="11"/>
        <color indexed="8"/>
        <rFont val="Calibri"/>
        <family val="2"/>
        <scheme val="minor"/>
      </rPr>
      <t>CB,FLOC</t>
    </r>
  </si>
  <si>
    <r>
      <t>K</t>
    </r>
    <r>
      <rPr>
        <vertAlign val="subscript"/>
        <sz val="11"/>
        <color indexed="8"/>
        <rFont val="Calibri"/>
        <family val="2"/>
        <scheme val="minor"/>
      </rPr>
      <t>CU,FLOC</t>
    </r>
  </si>
  <si>
    <r>
      <t>K</t>
    </r>
    <r>
      <rPr>
        <vertAlign val="subscript"/>
        <sz val="11"/>
        <color indexed="8"/>
        <rFont val="Calibri"/>
        <family val="2"/>
        <scheme val="minor"/>
      </rPr>
      <t>XB,HYD</t>
    </r>
  </si>
  <si>
    <t>Half-saturation of slowly biodegradable substrate in low biomass condition hydrolysis</t>
  </si>
  <si>
    <t>Goel et al, 1998</t>
  </si>
  <si>
    <r>
      <t>K</t>
    </r>
    <r>
      <rPr>
        <vertAlign val="subscript"/>
        <sz val="11"/>
        <color indexed="8"/>
        <rFont val="Calibri"/>
        <family val="2"/>
        <scheme val="minor"/>
      </rPr>
      <t>XEana,HYD</t>
    </r>
  </si>
  <si>
    <t>Half-saturation of anaerobic endogenous decay products in low biomass condition hydrolysis</t>
  </si>
  <si>
    <t xml:space="preserve">pH and IS parameters </t>
  </si>
  <si>
    <t>set pH when not calculated</t>
  </si>
  <si>
    <t>set IS when not calculated</t>
  </si>
  <si>
    <r>
      <t>Msat</t>
    </r>
    <r>
      <rPr>
        <vertAlign val="subscript"/>
        <sz val="11"/>
        <rFont val="Calibri"/>
        <family val="2"/>
        <scheme val="minor"/>
      </rPr>
      <t>CB,KCB,FLOC</t>
    </r>
  </si>
  <si>
    <t>Saturation term for colloidal biodegradable substrate in low biomass condition (flocculation)</t>
  </si>
  <si>
    <r>
      <t>Msat(C</t>
    </r>
    <r>
      <rPr>
        <vertAlign val="subscript"/>
        <sz val="11"/>
        <rFont val="Calibri"/>
        <family val="2"/>
        <scheme val="minor"/>
      </rPr>
      <t>B</t>
    </r>
    <r>
      <rPr>
        <sz val="11"/>
        <rFont val="Calibri"/>
        <family val="2"/>
        <scheme val="minor"/>
      </rPr>
      <t>;K</t>
    </r>
    <r>
      <rPr>
        <vertAlign val="subscript"/>
        <sz val="11"/>
        <rFont val="Calibri"/>
        <family val="2"/>
        <scheme val="minor"/>
      </rPr>
      <t>CB,FLOC</t>
    </r>
    <r>
      <rPr>
        <sz val="11"/>
        <rFont val="Calibri"/>
        <family val="2"/>
        <scheme val="minor"/>
      </rPr>
      <t>)</t>
    </r>
  </si>
  <si>
    <r>
      <t>Msat</t>
    </r>
    <r>
      <rPr>
        <vertAlign val="subscript"/>
        <sz val="11"/>
        <rFont val="Calibri"/>
        <family val="2"/>
        <scheme val="minor"/>
      </rPr>
      <t>CU,KCU,FLOC</t>
    </r>
  </si>
  <si>
    <t>Saturation term for colloidal unbiodegradable organics in low biomass condition  (floculation)</t>
  </si>
  <si>
    <r>
      <t>Msat(C</t>
    </r>
    <r>
      <rPr>
        <vertAlign val="subscript"/>
        <sz val="11"/>
        <rFont val="Calibri"/>
        <family val="2"/>
        <scheme val="minor"/>
      </rPr>
      <t>U</t>
    </r>
    <r>
      <rPr>
        <sz val="11"/>
        <rFont val="Calibri"/>
        <family val="2"/>
        <scheme val="minor"/>
      </rPr>
      <t>;K</t>
    </r>
    <r>
      <rPr>
        <vertAlign val="subscript"/>
        <sz val="11"/>
        <rFont val="Calibri"/>
        <family val="2"/>
        <scheme val="minor"/>
      </rPr>
      <t>CU,FLOC</t>
    </r>
    <r>
      <rPr>
        <sz val="11"/>
        <rFont val="Calibri"/>
        <family val="2"/>
        <scheme val="minor"/>
      </rPr>
      <t>)</t>
    </r>
  </si>
  <si>
    <r>
      <t>Msat</t>
    </r>
    <r>
      <rPr>
        <vertAlign val="subscript"/>
        <sz val="11"/>
        <rFont val="Calibri"/>
        <family val="2"/>
        <scheme val="minor"/>
      </rPr>
      <t>XB,KXB,HYD</t>
    </r>
  </si>
  <si>
    <t>Saturation term for slowly biodegradable substrate in low biomass condition (hydrolysis)</t>
  </si>
  <si>
    <r>
      <t>Msat(X</t>
    </r>
    <r>
      <rPr>
        <vertAlign val="subscript"/>
        <sz val="11"/>
        <rFont val="Calibri"/>
        <family val="2"/>
        <scheme val="minor"/>
      </rPr>
      <t>B</t>
    </r>
    <r>
      <rPr>
        <sz val="11"/>
        <rFont val="Calibri"/>
        <family val="2"/>
        <scheme val="minor"/>
      </rPr>
      <t>;K</t>
    </r>
    <r>
      <rPr>
        <vertAlign val="subscript"/>
        <sz val="11"/>
        <rFont val="Calibri"/>
        <family val="2"/>
        <scheme val="minor"/>
      </rPr>
      <t>XB,HYD</t>
    </r>
    <r>
      <rPr>
        <sz val="11"/>
        <rFont val="Calibri"/>
        <family val="2"/>
        <scheme val="minor"/>
      </rPr>
      <t>)</t>
    </r>
  </si>
  <si>
    <r>
      <t>Msat</t>
    </r>
    <r>
      <rPr>
        <vertAlign val="subscript"/>
        <sz val="11"/>
        <rFont val="Calibri"/>
        <family val="2"/>
        <scheme val="minor"/>
      </rPr>
      <t>XEana,KXEana,HYD</t>
    </r>
  </si>
  <si>
    <t>Saturation term for anaerobic endogenous decay products in low biomass condition (hydrolysis)</t>
  </si>
  <si>
    <r>
      <t>Msat(X</t>
    </r>
    <r>
      <rPr>
        <vertAlign val="subscript"/>
        <sz val="11"/>
        <rFont val="Calibri"/>
        <family val="2"/>
        <scheme val="minor"/>
      </rPr>
      <t>E,ana</t>
    </r>
    <r>
      <rPr>
        <sz val="11"/>
        <rFont val="Calibri"/>
        <family val="2"/>
        <scheme val="minor"/>
      </rPr>
      <t>;K</t>
    </r>
    <r>
      <rPr>
        <vertAlign val="subscript"/>
        <sz val="11"/>
        <rFont val="Calibri"/>
        <family val="2"/>
        <scheme val="minor"/>
      </rPr>
      <t>XEana,HYD</t>
    </r>
    <r>
      <rPr>
        <sz val="11"/>
        <rFont val="Calibri"/>
        <family val="2"/>
        <scheme val="minor"/>
      </rPr>
      <t>)</t>
    </r>
  </si>
  <si>
    <r>
      <t>Logslope</t>
    </r>
    <r>
      <rPr>
        <vertAlign val="subscript"/>
        <sz val="11"/>
        <rFont val="Calibri"/>
        <family val="2"/>
        <charset val="238"/>
        <scheme val="minor"/>
      </rPr>
      <t>XHET,HYD,lim</t>
    </r>
  </si>
  <si>
    <r>
      <t>Logisticslope(X</t>
    </r>
    <r>
      <rPr>
        <vertAlign val="subscript"/>
        <sz val="11"/>
        <rFont val="Calibri"/>
        <family val="2"/>
        <scheme val="minor"/>
      </rPr>
      <t>HET,HYD,lim</t>
    </r>
    <r>
      <rPr>
        <sz val="11"/>
        <rFont val="Calibri"/>
        <family val="2"/>
        <scheme val="minor"/>
      </rPr>
      <t>; Logrange</t>
    </r>
    <r>
      <rPr>
        <vertAlign val="subscript"/>
        <sz val="11"/>
        <rFont val="Calibri"/>
        <family val="2"/>
        <charset val="238"/>
        <scheme val="minor"/>
      </rPr>
      <t>XHET,HYD,lim</t>
    </r>
    <r>
      <rPr>
        <sz val="11"/>
        <rFont val="Calibri"/>
        <family val="2"/>
        <scheme val="minor"/>
      </rPr>
      <t>)</t>
    </r>
  </si>
  <si>
    <r>
      <t>Logsat</t>
    </r>
    <r>
      <rPr>
        <vertAlign val="subscript"/>
        <sz val="11"/>
        <rFont val="Calibri"/>
        <family val="2"/>
        <scheme val="minor"/>
      </rPr>
      <t>XHET,HYD,lim</t>
    </r>
  </si>
  <si>
    <t>Logistic saturation term for XHET in hydrolysis process</t>
  </si>
  <si>
    <r>
      <t>Logsat(X</t>
    </r>
    <r>
      <rPr>
        <vertAlign val="subscript"/>
        <sz val="11"/>
        <rFont val="Calibri"/>
        <family val="2"/>
        <scheme val="minor"/>
      </rPr>
      <t>HET</t>
    </r>
    <r>
      <rPr>
        <sz val="11"/>
        <rFont val="Calibri"/>
        <family val="2"/>
        <scheme val="minor"/>
      </rPr>
      <t>;X</t>
    </r>
    <r>
      <rPr>
        <vertAlign val="subscript"/>
        <sz val="11"/>
        <rFont val="Calibri"/>
        <family val="2"/>
        <scheme val="minor"/>
      </rPr>
      <t>HET,HYD,lim</t>
    </r>
    <r>
      <rPr>
        <sz val="11"/>
        <rFont val="Calibri"/>
        <family val="2"/>
        <scheme val="minor"/>
      </rPr>
      <t>;Logslope</t>
    </r>
    <r>
      <rPr>
        <vertAlign val="subscript"/>
        <sz val="11"/>
        <rFont val="Calibri"/>
        <family val="2"/>
        <charset val="238"/>
        <scheme val="minor"/>
      </rPr>
      <t>XHET,HYD,lim</t>
    </r>
    <r>
      <rPr>
        <sz val="11"/>
        <rFont val="Calibri"/>
        <family val="2"/>
        <scheme val="minor"/>
      </rPr>
      <t>)</t>
    </r>
  </si>
  <si>
    <r>
      <t>Loginh</t>
    </r>
    <r>
      <rPr>
        <vertAlign val="subscript"/>
        <sz val="11"/>
        <rFont val="Calibri"/>
        <family val="2"/>
        <scheme val="minor"/>
      </rPr>
      <t>XHET,HYD,lim</t>
    </r>
  </si>
  <si>
    <t>Logistic inhibition term for XHET in hydrolysis process</t>
  </si>
  <si>
    <r>
      <t>Loginh(X</t>
    </r>
    <r>
      <rPr>
        <vertAlign val="subscript"/>
        <sz val="11"/>
        <rFont val="Calibri"/>
        <family val="2"/>
        <scheme val="minor"/>
      </rPr>
      <t>HET</t>
    </r>
    <r>
      <rPr>
        <sz val="11"/>
        <rFont val="Calibri"/>
        <family val="2"/>
        <scheme val="minor"/>
      </rPr>
      <t>;X</t>
    </r>
    <r>
      <rPr>
        <vertAlign val="subscript"/>
        <sz val="11"/>
        <rFont val="Calibri"/>
        <family val="2"/>
        <scheme val="minor"/>
      </rPr>
      <t>HET,HYD,lim</t>
    </r>
    <r>
      <rPr>
        <sz val="11"/>
        <rFont val="Calibri"/>
        <family val="2"/>
        <scheme val="minor"/>
      </rPr>
      <t>;Logslope</t>
    </r>
    <r>
      <rPr>
        <vertAlign val="subscript"/>
        <sz val="11"/>
        <rFont val="Calibri"/>
        <family val="2"/>
        <charset val="238"/>
        <scheme val="minor"/>
      </rPr>
      <t>XHET,HYD,lim</t>
    </r>
    <r>
      <rPr>
        <sz val="11"/>
        <rFont val="Calibri"/>
        <family val="2"/>
        <scheme val="minor"/>
      </rPr>
      <t>)</t>
    </r>
  </si>
  <si>
    <t>Unitless</t>
  </si>
  <si>
    <r>
      <t>f</t>
    </r>
    <r>
      <rPr>
        <vertAlign val="subscript"/>
        <sz val="11"/>
        <rFont val="Calibri"/>
        <family val="2"/>
        <scheme val="minor"/>
      </rPr>
      <t>tri,field</t>
    </r>
  </si>
  <si>
    <r>
      <t>10^(-A</t>
    </r>
    <r>
      <rPr>
        <vertAlign val="subscript"/>
        <sz val="11"/>
        <rFont val="Calibri"/>
        <family val="2"/>
        <scheme val="minor"/>
      </rPr>
      <t>Davies</t>
    </r>
    <r>
      <rPr>
        <sz val="11"/>
        <rFont val="Calibri"/>
        <family val="2"/>
        <scheme val="minor"/>
      </rPr>
      <t>*3^(2)*(IS</t>
    </r>
    <r>
      <rPr>
        <vertAlign val="subscript"/>
        <sz val="11"/>
        <rFont val="Calibri"/>
        <family val="2"/>
        <scheme val="minor"/>
      </rPr>
      <t>field</t>
    </r>
    <r>
      <rPr>
        <sz val="11"/>
        <rFont val="Calibri"/>
        <family val="2"/>
        <scheme val="minor"/>
      </rPr>
      <t>^(0.5)/(1+1.5*IS</t>
    </r>
    <r>
      <rPr>
        <vertAlign val="subscript"/>
        <sz val="11"/>
        <rFont val="Calibri"/>
        <family val="2"/>
        <scheme val="minor"/>
      </rPr>
      <t>field</t>
    </r>
    <r>
      <rPr>
        <sz val="11"/>
        <rFont val="Calibri"/>
        <family val="2"/>
        <scheme val="minor"/>
      </rPr>
      <t>^(0.5))-0.3*IS</t>
    </r>
    <r>
      <rPr>
        <vertAlign val="subscript"/>
        <sz val="11"/>
        <rFont val="Calibri"/>
        <family val="2"/>
        <scheme val="minor"/>
      </rPr>
      <t>field</t>
    </r>
    <r>
      <rPr>
        <sz val="11"/>
        <rFont val="Calibri"/>
        <family val="2"/>
        <scheme val="minor"/>
      </rPr>
      <t>))</t>
    </r>
  </si>
  <si>
    <r>
      <t>K</t>
    </r>
    <r>
      <rPr>
        <vertAlign val="subscript"/>
        <sz val="11"/>
        <rFont val="Calibri"/>
        <family val="2"/>
        <scheme val="minor"/>
      </rPr>
      <t>W,T</t>
    </r>
    <r>
      <rPr>
        <sz val="11"/>
        <rFont val="Calibri"/>
        <family val="2"/>
        <scheme val="minor"/>
      </rPr>
      <t>/f</t>
    </r>
    <r>
      <rPr>
        <vertAlign val="subscript"/>
        <sz val="11"/>
        <rFont val="Calibri"/>
        <family val="2"/>
        <scheme val="minor"/>
      </rPr>
      <t>mono,field</t>
    </r>
    <r>
      <rPr>
        <sz val="11"/>
        <rFont val="Calibri"/>
        <family val="2"/>
        <scheme val="minor"/>
      </rPr>
      <t>^2</t>
    </r>
  </si>
  <si>
    <r>
      <t>K</t>
    </r>
    <r>
      <rPr>
        <vertAlign val="subscript"/>
        <sz val="11"/>
        <rFont val="Calibri"/>
        <family val="2"/>
        <scheme val="minor"/>
      </rPr>
      <t>P1,T</t>
    </r>
    <r>
      <rPr>
        <sz val="11"/>
        <rFont val="Calibri"/>
        <family val="2"/>
        <scheme val="minor"/>
      </rPr>
      <t>/f</t>
    </r>
    <r>
      <rPr>
        <vertAlign val="subscript"/>
        <sz val="11"/>
        <rFont val="Calibri"/>
        <family val="2"/>
        <scheme val="minor"/>
      </rPr>
      <t>mono,field</t>
    </r>
    <r>
      <rPr>
        <sz val="11"/>
        <rFont val="Calibri"/>
        <family val="2"/>
        <scheme val="minor"/>
      </rPr>
      <t>^2</t>
    </r>
  </si>
  <si>
    <r>
      <t>K</t>
    </r>
    <r>
      <rPr>
        <vertAlign val="subscript"/>
        <sz val="11"/>
        <rFont val="Calibri"/>
        <family val="2"/>
        <scheme val="minor"/>
      </rPr>
      <t>P2,T</t>
    </r>
    <r>
      <rPr>
        <sz val="11"/>
        <rFont val="Calibri"/>
        <family val="2"/>
        <scheme val="minor"/>
      </rPr>
      <t>/f</t>
    </r>
    <r>
      <rPr>
        <vertAlign val="subscript"/>
        <sz val="11"/>
        <rFont val="Calibri"/>
        <family val="2"/>
        <scheme val="minor"/>
      </rPr>
      <t>di,field</t>
    </r>
  </si>
  <si>
    <r>
      <t>K</t>
    </r>
    <r>
      <rPr>
        <vertAlign val="subscript"/>
        <sz val="11"/>
        <rFont val="Calibri"/>
        <family val="2"/>
        <scheme val="minor"/>
      </rPr>
      <t>P3,T</t>
    </r>
    <r>
      <rPr>
        <sz val="11"/>
        <rFont val="Calibri"/>
        <family val="2"/>
        <scheme val="minor"/>
      </rPr>
      <t>/(f</t>
    </r>
    <r>
      <rPr>
        <vertAlign val="subscript"/>
        <sz val="11"/>
        <rFont val="Calibri"/>
        <family val="2"/>
        <scheme val="minor"/>
      </rPr>
      <t>mono,field</t>
    </r>
    <r>
      <rPr>
        <sz val="11"/>
        <rFont val="Calibri"/>
        <family val="2"/>
        <scheme val="minor"/>
      </rPr>
      <t>*f</t>
    </r>
    <r>
      <rPr>
        <vertAlign val="subscript"/>
        <sz val="11"/>
        <rFont val="Calibri"/>
        <family val="2"/>
        <scheme val="minor"/>
      </rPr>
      <t>tri,field</t>
    </r>
    <r>
      <rPr>
        <sz val="11"/>
        <rFont val="Calibri"/>
        <family val="2"/>
        <scheme val="minor"/>
      </rPr>
      <t>)*f</t>
    </r>
    <r>
      <rPr>
        <vertAlign val="subscript"/>
        <sz val="11"/>
        <rFont val="Calibri"/>
        <family val="2"/>
        <scheme val="minor"/>
      </rPr>
      <t>di,field</t>
    </r>
  </si>
  <si>
    <r>
      <t>K</t>
    </r>
    <r>
      <rPr>
        <vertAlign val="subscript"/>
        <sz val="11"/>
        <rFont val="Calibri"/>
        <family val="2"/>
        <scheme val="minor"/>
      </rPr>
      <t>Ac,T</t>
    </r>
    <r>
      <rPr>
        <sz val="11"/>
        <rFont val="Calibri"/>
        <family val="2"/>
        <scheme val="minor"/>
      </rPr>
      <t>/f</t>
    </r>
    <r>
      <rPr>
        <vertAlign val="subscript"/>
        <sz val="11"/>
        <rFont val="Calibri"/>
        <family val="2"/>
        <scheme val="minor"/>
      </rPr>
      <t>mono,field</t>
    </r>
    <r>
      <rPr>
        <sz val="11"/>
        <rFont val="Calibri"/>
        <family val="2"/>
        <scheme val="minor"/>
      </rPr>
      <t>^2</t>
    </r>
  </si>
  <si>
    <r>
      <t>K</t>
    </r>
    <r>
      <rPr>
        <vertAlign val="subscript"/>
        <sz val="11"/>
        <rFont val="Calibri"/>
        <family val="2"/>
        <scheme val="minor"/>
      </rPr>
      <t>NO2,T</t>
    </r>
    <r>
      <rPr>
        <sz val="11"/>
        <rFont val="Calibri"/>
        <family val="2"/>
        <scheme val="minor"/>
      </rPr>
      <t>/f</t>
    </r>
    <r>
      <rPr>
        <vertAlign val="subscript"/>
        <sz val="11"/>
        <rFont val="Calibri"/>
        <family val="2"/>
        <scheme val="minor"/>
      </rPr>
      <t>mono,field</t>
    </r>
    <r>
      <rPr>
        <sz val="11"/>
        <rFont val="Calibri"/>
        <family val="2"/>
        <scheme val="minor"/>
      </rPr>
      <t>^2</t>
    </r>
  </si>
  <si>
    <r>
      <t>K</t>
    </r>
    <r>
      <rPr>
        <vertAlign val="subscript"/>
        <sz val="11"/>
        <rFont val="Calibri"/>
        <family val="2"/>
        <scheme val="minor"/>
      </rPr>
      <t>sp,CaCO3,param</t>
    </r>
    <r>
      <rPr>
        <sz val="11"/>
        <rFont val="Calibri"/>
        <family val="2"/>
        <scheme val="minor"/>
      </rPr>
      <t>/f</t>
    </r>
    <r>
      <rPr>
        <vertAlign val="subscript"/>
        <sz val="11"/>
        <rFont val="Calibri"/>
        <family val="2"/>
        <scheme val="minor"/>
      </rPr>
      <t>di,field</t>
    </r>
  </si>
  <si>
    <r>
      <t>K</t>
    </r>
    <r>
      <rPr>
        <vertAlign val="subscript"/>
        <sz val="11"/>
        <rFont val="Calibri"/>
        <family val="2"/>
        <scheme val="minor"/>
      </rPr>
      <t>sp,STR,param</t>
    </r>
    <r>
      <rPr>
        <sz val="11"/>
        <rFont val="Calibri"/>
        <family val="2"/>
        <scheme val="minor"/>
      </rPr>
      <t>/(f</t>
    </r>
    <r>
      <rPr>
        <vertAlign val="subscript"/>
        <sz val="11"/>
        <rFont val="Calibri"/>
        <family val="2"/>
        <scheme val="minor"/>
      </rPr>
      <t>di,field</t>
    </r>
    <r>
      <rPr>
        <sz val="11"/>
        <rFont val="Calibri"/>
        <family val="2"/>
        <scheme val="minor"/>
      </rPr>
      <t>^</t>
    </r>
    <r>
      <rPr>
        <vertAlign val="superscript"/>
        <sz val="11"/>
        <rFont val="Calibri"/>
        <family val="2"/>
        <scheme val="minor"/>
      </rPr>
      <t>(1/3)</t>
    </r>
    <r>
      <rPr>
        <sz val="11"/>
        <rFont val="Calibri"/>
        <family val="2"/>
        <scheme val="minor"/>
      </rPr>
      <t>*f</t>
    </r>
    <r>
      <rPr>
        <vertAlign val="subscript"/>
        <sz val="11"/>
        <rFont val="Calibri"/>
        <family val="2"/>
        <scheme val="minor"/>
      </rPr>
      <t>mono,field</t>
    </r>
    <r>
      <rPr>
        <sz val="11"/>
        <rFont val="Calibri"/>
        <family val="2"/>
        <scheme val="minor"/>
      </rPr>
      <t>^</t>
    </r>
    <r>
      <rPr>
        <vertAlign val="superscript"/>
        <sz val="11"/>
        <rFont val="Calibri"/>
        <family val="2"/>
        <scheme val="minor"/>
      </rPr>
      <t>(1/3)</t>
    </r>
    <r>
      <rPr>
        <sz val="11"/>
        <rFont val="Calibri"/>
        <family val="2"/>
        <scheme val="minor"/>
      </rPr>
      <t>*f</t>
    </r>
    <r>
      <rPr>
        <vertAlign val="subscript"/>
        <sz val="11"/>
        <rFont val="Calibri"/>
        <family val="2"/>
        <scheme val="minor"/>
      </rPr>
      <t>tri,field</t>
    </r>
    <r>
      <rPr>
        <sz val="11"/>
        <rFont val="Calibri"/>
        <family val="2"/>
        <scheme val="minor"/>
      </rPr>
      <t>^</t>
    </r>
    <r>
      <rPr>
        <vertAlign val="superscript"/>
        <sz val="11"/>
        <rFont val="Calibri"/>
        <family val="2"/>
        <scheme val="minor"/>
      </rPr>
      <t>(1/3)</t>
    </r>
    <r>
      <rPr>
        <sz val="11"/>
        <rFont val="Calibri"/>
        <family val="2"/>
        <charset val="238"/>
        <scheme val="minor"/>
      </rPr>
      <t>)</t>
    </r>
  </si>
  <si>
    <r>
      <t>K</t>
    </r>
    <r>
      <rPr>
        <vertAlign val="subscript"/>
        <sz val="11"/>
        <rFont val="Calibri"/>
        <family val="2"/>
        <scheme val="minor"/>
      </rPr>
      <t>sp,Vivi,param</t>
    </r>
    <r>
      <rPr>
        <sz val="11"/>
        <rFont val="Calibri"/>
        <family val="2"/>
        <scheme val="minor"/>
      </rPr>
      <t>/(f</t>
    </r>
    <r>
      <rPr>
        <vertAlign val="subscript"/>
        <sz val="11"/>
        <rFont val="Calibri"/>
        <family val="2"/>
        <scheme val="minor"/>
      </rPr>
      <t>di,field</t>
    </r>
    <r>
      <rPr>
        <vertAlign val="superscript"/>
        <sz val="11"/>
        <rFont val="Calibri"/>
        <family val="2"/>
        <scheme val="minor"/>
      </rPr>
      <t>^(3/5)</t>
    </r>
    <r>
      <rPr>
        <sz val="11"/>
        <rFont val="Calibri"/>
        <family val="2"/>
        <scheme val="minor"/>
      </rPr>
      <t>*f</t>
    </r>
    <r>
      <rPr>
        <vertAlign val="subscript"/>
        <sz val="11"/>
        <rFont val="Calibri"/>
        <family val="2"/>
        <scheme val="minor"/>
      </rPr>
      <t>tri,field</t>
    </r>
    <r>
      <rPr>
        <vertAlign val="superscript"/>
        <sz val="11"/>
        <rFont val="Calibri"/>
        <family val="2"/>
        <scheme val="minor"/>
      </rPr>
      <t>^(2/5)</t>
    </r>
    <r>
      <rPr>
        <sz val="11"/>
        <rFont val="Calibri"/>
        <family val="2"/>
        <scheme val="minor"/>
      </rPr>
      <t>)</t>
    </r>
  </si>
  <si>
    <r>
      <t>K</t>
    </r>
    <r>
      <rPr>
        <vertAlign val="subscript"/>
        <sz val="11"/>
        <rFont val="Calibri"/>
        <family val="2"/>
        <scheme val="minor"/>
      </rPr>
      <t>sp,ACP,param</t>
    </r>
    <r>
      <rPr>
        <sz val="11"/>
        <rFont val="Calibri"/>
        <family val="2"/>
        <scheme val="minor"/>
      </rPr>
      <t>/(f</t>
    </r>
    <r>
      <rPr>
        <vertAlign val="subscript"/>
        <sz val="11"/>
        <rFont val="Calibri"/>
        <family val="2"/>
        <scheme val="minor"/>
      </rPr>
      <t>di,field</t>
    </r>
    <r>
      <rPr>
        <vertAlign val="superscript"/>
        <sz val="11"/>
        <rFont val="Calibri"/>
        <family val="2"/>
        <scheme val="minor"/>
      </rPr>
      <t>^(3/5)</t>
    </r>
    <r>
      <rPr>
        <sz val="11"/>
        <rFont val="Calibri"/>
        <family val="2"/>
        <scheme val="minor"/>
      </rPr>
      <t>*f</t>
    </r>
    <r>
      <rPr>
        <vertAlign val="subscript"/>
        <sz val="11"/>
        <rFont val="Calibri"/>
        <family val="2"/>
        <scheme val="minor"/>
      </rPr>
      <t>tri,field</t>
    </r>
    <r>
      <rPr>
        <vertAlign val="superscript"/>
        <sz val="11"/>
        <rFont val="Calibri"/>
        <family val="2"/>
        <scheme val="minor"/>
      </rPr>
      <t>^(2/5)</t>
    </r>
    <r>
      <rPr>
        <sz val="11"/>
        <rFont val="Calibri"/>
        <family val="2"/>
        <scheme val="minor"/>
      </rPr>
      <t>)</t>
    </r>
  </si>
  <si>
    <r>
      <t>K</t>
    </r>
    <r>
      <rPr>
        <vertAlign val="subscript"/>
        <sz val="11"/>
        <rFont val="Calibri"/>
        <family val="2"/>
        <scheme val="minor"/>
      </rPr>
      <t>sp,BSH,param</t>
    </r>
    <r>
      <rPr>
        <sz val="11"/>
        <rFont val="Calibri"/>
        <family val="2"/>
        <scheme val="minor"/>
      </rPr>
      <t>/(f</t>
    </r>
    <r>
      <rPr>
        <vertAlign val="subscript"/>
        <sz val="11"/>
        <rFont val="Calibri"/>
        <family val="2"/>
        <scheme val="minor"/>
      </rPr>
      <t>di,field</t>
    </r>
    <r>
      <rPr>
        <vertAlign val="superscript"/>
        <sz val="11"/>
        <rFont val="Calibri"/>
        <family val="2"/>
        <scheme val="minor"/>
      </rPr>
      <t>^(1/2)</t>
    </r>
    <r>
      <rPr>
        <sz val="11"/>
        <rFont val="Calibri"/>
        <family val="2"/>
        <scheme val="minor"/>
      </rPr>
      <t>*f</t>
    </r>
    <r>
      <rPr>
        <vertAlign val="subscript"/>
        <sz val="11"/>
        <rFont val="Calibri"/>
        <family val="2"/>
        <scheme val="minor"/>
      </rPr>
      <t>di,field</t>
    </r>
    <r>
      <rPr>
        <vertAlign val="superscript"/>
        <sz val="11"/>
        <rFont val="Calibri"/>
        <family val="2"/>
        <scheme val="minor"/>
      </rPr>
      <t>^(1/2)</t>
    </r>
    <r>
      <rPr>
        <sz val="11"/>
        <rFont val="Calibri"/>
        <family val="2"/>
        <scheme val="minor"/>
      </rPr>
      <t>)</t>
    </r>
  </si>
  <si>
    <r>
      <t>[H</t>
    </r>
    <r>
      <rPr>
        <vertAlign val="superscript"/>
        <sz val="11"/>
        <rFont val="Calibri"/>
        <family val="2"/>
      </rPr>
      <t>+</t>
    </r>
    <r>
      <rPr>
        <sz val="11"/>
        <rFont val="Calibri"/>
        <family val="2"/>
      </rPr>
      <t>]</t>
    </r>
  </si>
  <si>
    <r>
      <t>10^(-pH</t>
    </r>
    <r>
      <rPr>
        <vertAlign val="subscript"/>
        <sz val="11"/>
        <rFont val="Calibri"/>
        <family val="2"/>
        <scheme val="minor"/>
      </rPr>
      <t>field</t>
    </r>
    <r>
      <rPr>
        <sz val="11"/>
        <rFont val="Calibri"/>
        <family val="2"/>
        <scheme val="minor"/>
      </rPr>
      <t>)</t>
    </r>
  </si>
  <si>
    <r>
      <t>[H</t>
    </r>
    <r>
      <rPr>
        <b/>
        <vertAlign val="superscript"/>
        <sz val="11"/>
        <rFont val="Calibri"/>
        <family val="2"/>
      </rPr>
      <t>+</t>
    </r>
    <r>
      <rPr>
        <b/>
        <sz val="11"/>
        <rFont val="Calibri"/>
        <family val="2"/>
      </rPr>
      <t>]</t>
    </r>
    <r>
      <rPr>
        <b/>
        <vertAlign val="subscript"/>
        <sz val="11"/>
        <rFont val="Calibri"/>
        <family val="2"/>
      </rPr>
      <t>field</t>
    </r>
  </si>
  <si>
    <r>
      <t>[OH</t>
    </r>
    <r>
      <rPr>
        <vertAlign val="superscript"/>
        <sz val="11"/>
        <rFont val="Calibri"/>
        <family val="2"/>
      </rPr>
      <t>-</t>
    </r>
    <r>
      <rPr>
        <sz val="11"/>
        <rFont val="Calibri"/>
        <family val="2"/>
      </rPr>
      <t>]</t>
    </r>
  </si>
  <si>
    <t>KW/[H+]</t>
  </si>
  <si>
    <r>
      <t>[OH</t>
    </r>
    <r>
      <rPr>
        <b/>
        <vertAlign val="superscript"/>
        <sz val="11"/>
        <rFont val="Calibri"/>
        <family val="2"/>
      </rPr>
      <t>-</t>
    </r>
    <r>
      <rPr>
        <b/>
        <sz val="11"/>
        <rFont val="Calibri"/>
        <family val="2"/>
      </rPr>
      <t>]</t>
    </r>
    <r>
      <rPr>
        <b/>
        <vertAlign val="subscript"/>
        <sz val="11"/>
        <rFont val="Calibri"/>
        <family val="2"/>
      </rPr>
      <t>field</t>
    </r>
  </si>
  <si>
    <r>
      <t>[NH</t>
    </r>
    <r>
      <rPr>
        <vertAlign val="subscript"/>
        <sz val="11"/>
        <rFont val="Calibri"/>
        <family val="2"/>
      </rPr>
      <t>3</t>
    </r>
    <r>
      <rPr>
        <sz val="11"/>
        <rFont val="Calibri"/>
        <family val="2"/>
      </rPr>
      <t>]</t>
    </r>
  </si>
  <si>
    <r>
      <t>(S</t>
    </r>
    <r>
      <rPr>
        <vertAlign val="subscript"/>
        <sz val="11"/>
        <rFont val="Calibri"/>
        <family val="2"/>
      </rPr>
      <t>NHx</t>
    </r>
    <r>
      <rPr>
        <sz val="11"/>
        <rFont val="Calibri"/>
        <family val="2"/>
      </rPr>
      <t>/(AM</t>
    </r>
    <r>
      <rPr>
        <vertAlign val="subscript"/>
        <sz val="11"/>
        <rFont val="Calibri"/>
        <family val="2"/>
      </rPr>
      <t>N</t>
    </r>
    <r>
      <rPr>
        <sz val="11"/>
        <rFont val="Calibri"/>
        <family val="2"/>
      </rPr>
      <t>*1000))*K</t>
    </r>
    <r>
      <rPr>
        <vertAlign val="subscript"/>
        <sz val="11"/>
        <rFont val="Calibri"/>
        <family val="2"/>
      </rPr>
      <t>NH3</t>
    </r>
    <r>
      <rPr>
        <sz val="11"/>
        <rFont val="Calibri"/>
        <family val="2"/>
      </rPr>
      <t>/([H+]+K</t>
    </r>
    <r>
      <rPr>
        <vertAlign val="subscript"/>
        <sz val="11"/>
        <rFont val="Calibri"/>
        <family val="2"/>
      </rPr>
      <t>NH3</t>
    </r>
    <r>
      <rPr>
        <sz val="11"/>
        <rFont val="Calibri"/>
        <family val="2"/>
      </rPr>
      <t>)</t>
    </r>
  </si>
  <si>
    <r>
      <t>[NH</t>
    </r>
    <r>
      <rPr>
        <b/>
        <vertAlign val="subscript"/>
        <sz val="11"/>
        <rFont val="Calibri"/>
        <family val="2"/>
      </rPr>
      <t>3</t>
    </r>
    <r>
      <rPr>
        <b/>
        <sz val="11"/>
        <rFont val="Calibri"/>
        <family val="2"/>
      </rPr>
      <t>]</t>
    </r>
    <r>
      <rPr>
        <b/>
        <vertAlign val="subscript"/>
        <sz val="11"/>
        <rFont val="Calibri"/>
        <family val="2"/>
      </rPr>
      <t>field</t>
    </r>
  </si>
  <si>
    <r>
      <t>[NH</t>
    </r>
    <r>
      <rPr>
        <vertAlign val="subscript"/>
        <sz val="11"/>
        <rFont val="Calibri"/>
        <family val="2"/>
      </rPr>
      <t>4</t>
    </r>
    <r>
      <rPr>
        <vertAlign val="superscript"/>
        <sz val="11"/>
        <rFont val="Calibri"/>
        <family val="2"/>
      </rPr>
      <t>+</t>
    </r>
    <r>
      <rPr>
        <sz val="11"/>
        <rFont val="Calibri"/>
        <family val="2"/>
      </rPr>
      <t>]</t>
    </r>
  </si>
  <si>
    <t>(SNHx/(AMN*1000))*[H+]/([H+]+KNH3)</t>
  </si>
  <si>
    <r>
      <t>[NH</t>
    </r>
    <r>
      <rPr>
        <b/>
        <vertAlign val="subscript"/>
        <sz val="11"/>
        <rFont val="Calibri"/>
        <family val="2"/>
      </rPr>
      <t>4</t>
    </r>
    <r>
      <rPr>
        <b/>
        <vertAlign val="superscript"/>
        <sz val="11"/>
        <rFont val="Calibri"/>
        <family val="2"/>
      </rPr>
      <t>+</t>
    </r>
    <r>
      <rPr>
        <b/>
        <sz val="11"/>
        <rFont val="Calibri"/>
        <family val="2"/>
      </rPr>
      <t>]</t>
    </r>
    <r>
      <rPr>
        <b/>
        <vertAlign val="subscript"/>
        <sz val="11"/>
        <rFont val="Calibri"/>
        <family val="2"/>
      </rPr>
      <t>field</t>
    </r>
  </si>
  <si>
    <r>
      <t>[HNO</t>
    </r>
    <r>
      <rPr>
        <vertAlign val="subscript"/>
        <sz val="11"/>
        <rFont val="Calibri"/>
        <family val="2"/>
      </rPr>
      <t>2</t>
    </r>
    <r>
      <rPr>
        <sz val="11"/>
        <rFont val="Calibri"/>
        <family val="2"/>
      </rPr>
      <t>]</t>
    </r>
  </si>
  <si>
    <r>
      <t>[NO</t>
    </r>
    <r>
      <rPr>
        <vertAlign val="subscript"/>
        <sz val="11"/>
        <rFont val="Calibri"/>
        <family val="2"/>
      </rPr>
      <t>2</t>
    </r>
    <r>
      <rPr>
        <vertAlign val="superscript"/>
        <sz val="11"/>
        <rFont val="Calibri"/>
        <family val="2"/>
      </rPr>
      <t>-</t>
    </r>
    <r>
      <rPr>
        <sz val="11"/>
        <rFont val="Calibri"/>
        <family val="2"/>
      </rPr>
      <t>]</t>
    </r>
  </si>
  <si>
    <r>
      <t>[NO</t>
    </r>
    <r>
      <rPr>
        <vertAlign val="subscript"/>
        <sz val="11"/>
        <rFont val="Calibri"/>
        <family val="2"/>
      </rPr>
      <t>3</t>
    </r>
    <r>
      <rPr>
        <vertAlign val="superscript"/>
        <sz val="11"/>
        <rFont val="Calibri"/>
        <family val="2"/>
      </rPr>
      <t>-</t>
    </r>
    <r>
      <rPr>
        <sz val="11"/>
        <rFont val="Calibri"/>
        <family val="2"/>
      </rPr>
      <t>]</t>
    </r>
  </si>
  <si>
    <r>
      <t>S</t>
    </r>
    <r>
      <rPr>
        <vertAlign val="subscript"/>
        <sz val="11"/>
        <rFont val="Calibri"/>
        <family val="2"/>
      </rPr>
      <t>NOx</t>
    </r>
    <r>
      <rPr>
        <sz val="11"/>
        <rFont val="Calibri"/>
        <family val="2"/>
      </rPr>
      <t>/(AM</t>
    </r>
    <r>
      <rPr>
        <vertAlign val="subscript"/>
        <sz val="11"/>
        <rFont val="Calibri"/>
        <family val="2"/>
      </rPr>
      <t>N</t>
    </r>
    <r>
      <rPr>
        <sz val="11"/>
        <rFont val="Calibri"/>
        <family val="2"/>
      </rPr>
      <t>*1000)</t>
    </r>
  </si>
  <si>
    <r>
      <t>[NO</t>
    </r>
    <r>
      <rPr>
        <b/>
        <vertAlign val="subscript"/>
        <sz val="11"/>
        <rFont val="Calibri"/>
        <family val="2"/>
      </rPr>
      <t>3</t>
    </r>
    <r>
      <rPr>
        <b/>
        <vertAlign val="superscript"/>
        <sz val="11"/>
        <rFont val="Calibri"/>
        <family val="2"/>
      </rPr>
      <t>-</t>
    </r>
    <r>
      <rPr>
        <b/>
        <sz val="11"/>
        <rFont val="Calibri"/>
        <family val="2"/>
      </rPr>
      <t>]</t>
    </r>
    <r>
      <rPr>
        <b/>
        <vertAlign val="subscript"/>
        <sz val="11"/>
        <rFont val="Calibri"/>
        <family val="2"/>
      </rPr>
      <t>field</t>
    </r>
  </si>
  <si>
    <r>
      <t>[H</t>
    </r>
    <r>
      <rPr>
        <vertAlign val="subscript"/>
        <sz val="11"/>
        <rFont val="Calibri"/>
        <family val="2"/>
      </rPr>
      <t>2</t>
    </r>
    <r>
      <rPr>
        <sz val="11"/>
        <rFont val="Calibri"/>
        <family val="2"/>
      </rPr>
      <t>CO</t>
    </r>
    <r>
      <rPr>
        <vertAlign val="subscript"/>
        <sz val="11"/>
        <rFont val="Calibri"/>
        <family val="2"/>
      </rPr>
      <t>3</t>
    </r>
    <r>
      <rPr>
        <sz val="11"/>
        <rFont val="Calibri"/>
        <family val="2"/>
      </rPr>
      <t>]</t>
    </r>
  </si>
  <si>
    <r>
      <t>[H</t>
    </r>
    <r>
      <rPr>
        <b/>
        <vertAlign val="subscript"/>
        <sz val="11"/>
        <rFont val="Calibri"/>
        <family val="2"/>
      </rPr>
      <t>2</t>
    </r>
    <r>
      <rPr>
        <b/>
        <sz val="11"/>
        <rFont val="Calibri"/>
        <family val="2"/>
      </rPr>
      <t>CO</t>
    </r>
    <r>
      <rPr>
        <b/>
        <vertAlign val="subscript"/>
        <sz val="11"/>
        <rFont val="Calibri"/>
        <family val="2"/>
      </rPr>
      <t>3</t>
    </r>
    <r>
      <rPr>
        <b/>
        <sz val="11"/>
        <rFont val="Calibri"/>
        <family val="2"/>
      </rPr>
      <t>]</t>
    </r>
    <r>
      <rPr>
        <b/>
        <vertAlign val="subscript"/>
        <sz val="11"/>
        <rFont val="Calibri"/>
        <family val="2"/>
      </rPr>
      <t>field</t>
    </r>
  </si>
  <si>
    <r>
      <t>[HCO</t>
    </r>
    <r>
      <rPr>
        <vertAlign val="subscript"/>
        <sz val="11"/>
        <rFont val="Calibri"/>
        <family val="2"/>
      </rPr>
      <t>3</t>
    </r>
    <r>
      <rPr>
        <vertAlign val="superscript"/>
        <sz val="11"/>
        <rFont val="Calibri"/>
        <family val="2"/>
      </rPr>
      <t>-</t>
    </r>
    <r>
      <rPr>
        <sz val="11"/>
        <rFont val="Calibri"/>
        <family val="2"/>
      </rPr>
      <t>]</t>
    </r>
  </si>
  <si>
    <r>
      <t>[HCO</t>
    </r>
    <r>
      <rPr>
        <b/>
        <vertAlign val="subscript"/>
        <sz val="11"/>
        <rFont val="Calibri"/>
        <family val="2"/>
      </rPr>
      <t>3</t>
    </r>
    <r>
      <rPr>
        <b/>
        <vertAlign val="superscript"/>
        <sz val="11"/>
        <rFont val="Calibri"/>
        <family val="2"/>
      </rPr>
      <t>-</t>
    </r>
    <r>
      <rPr>
        <b/>
        <sz val="11"/>
        <rFont val="Calibri"/>
        <family val="2"/>
      </rPr>
      <t>]</t>
    </r>
    <r>
      <rPr>
        <b/>
        <vertAlign val="subscript"/>
        <sz val="11"/>
        <rFont val="Calibri"/>
        <family val="2"/>
      </rPr>
      <t>field</t>
    </r>
  </si>
  <si>
    <r>
      <t>[CO</t>
    </r>
    <r>
      <rPr>
        <vertAlign val="subscript"/>
        <sz val="11"/>
        <rFont val="Calibri"/>
        <family val="2"/>
      </rPr>
      <t>3</t>
    </r>
    <r>
      <rPr>
        <vertAlign val="superscript"/>
        <sz val="11"/>
        <rFont val="Calibri"/>
        <family val="2"/>
      </rPr>
      <t>2-</t>
    </r>
    <r>
      <rPr>
        <sz val="11"/>
        <rFont val="Calibri"/>
        <family val="2"/>
      </rPr>
      <t>]</t>
    </r>
  </si>
  <si>
    <r>
      <t>[CO</t>
    </r>
    <r>
      <rPr>
        <b/>
        <vertAlign val="subscript"/>
        <sz val="11"/>
        <rFont val="Calibri"/>
        <family val="2"/>
      </rPr>
      <t>3</t>
    </r>
    <r>
      <rPr>
        <b/>
        <vertAlign val="superscript"/>
        <sz val="11"/>
        <rFont val="Calibri"/>
        <family val="2"/>
      </rPr>
      <t>2-</t>
    </r>
    <r>
      <rPr>
        <b/>
        <sz val="11"/>
        <rFont val="Calibri"/>
        <family val="2"/>
      </rPr>
      <t>]</t>
    </r>
    <r>
      <rPr>
        <b/>
        <vertAlign val="subscript"/>
        <sz val="11"/>
        <rFont val="Calibri"/>
        <family val="2"/>
      </rPr>
      <t>field</t>
    </r>
  </si>
  <si>
    <r>
      <t>[H</t>
    </r>
    <r>
      <rPr>
        <vertAlign val="subscript"/>
        <sz val="11"/>
        <rFont val="Calibri"/>
        <family val="2"/>
      </rPr>
      <t>3</t>
    </r>
    <r>
      <rPr>
        <sz val="11"/>
        <rFont val="Calibri"/>
        <family val="2"/>
      </rPr>
      <t>PO</t>
    </r>
    <r>
      <rPr>
        <vertAlign val="subscript"/>
        <sz val="11"/>
        <rFont val="Calibri"/>
        <family val="2"/>
      </rPr>
      <t>4</t>
    </r>
    <r>
      <rPr>
        <sz val="11"/>
        <rFont val="Calibri"/>
        <family val="2"/>
      </rPr>
      <t>]</t>
    </r>
  </si>
  <si>
    <r>
      <t>[H</t>
    </r>
    <r>
      <rPr>
        <b/>
        <vertAlign val="subscript"/>
        <sz val="11"/>
        <rFont val="Calibri"/>
        <family val="2"/>
      </rPr>
      <t>3</t>
    </r>
    <r>
      <rPr>
        <b/>
        <sz val="11"/>
        <rFont val="Calibri"/>
        <family val="2"/>
      </rPr>
      <t>PO</t>
    </r>
    <r>
      <rPr>
        <b/>
        <vertAlign val="subscript"/>
        <sz val="11"/>
        <rFont val="Calibri"/>
        <family val="2"/>
      </rPr>
      <t>4</t>
    </r>
    <r>
      <rPr>
        <b/>
        <sz val="11"/>
        <rFont val="Calibri"/>
        <family val="2"/>
      </rPr>
      <t>]</t>
    </r>
    <r>
      <rPr>
        <b/>
        <vertAlign val="subscript"/>
        <sz val="11"/>
        <rFont val="Calibri"/>
        <family val="2"/>
      </rPr>
      <t>field</t>
    </r>
  </si>
  <si>
    <r>
      <t>[H</t>
    </r>
    <r>
      <rPr>
        <vertAlign val="subscript"/>
        <sz val="11"/>
        <rFont val="Calibri"/>
        <family val="2"/>
      </rPr>
      <t>2</t>
    </r>
    <r>
      <rPr>
        <sz val="11"/>
        <rFont val="Calibri"/>
        <family val="2"/>
      </rPr>
      <t>PO</t>
    </r>
    <r>
      <rPr>
        <vertAlign val="subscript"/>
        <sz val="11"/>
        <rFont val="Calibri"/>
        <family val="2"/>
      </rPr>
      <t>4</t>
    </r>
    <r>
      <rPr>
        <vertAlign val="superscript"/>
        <sz val="11"/>
        <rFont val="Calibri"/>
        <family val="2"/>
      </rPr>
      <t>-</t>
    </r>
    <r>
      <rPr>
        <sz val="11"/>
        <rFont val="Calibri"/>
        <family val="2"/>
      </rPr>
      <t>]</t>
    </r>
  </si>
  <si>
    <r>
      <t>[H</t>
    </r>
    <r>
      <rPr>
        <b/>
        <vertAlign val="subscript"/>
        <sz val="11"/>
        <rFont val="Calibri"/>
        <family val="2"/>
      </rPr>
      <t>2</t>
    </r>
    <r>
      <rPr>
        <b/>
        <sz val="11"/>
        <rFont val="Calibri"/>
        <family val="2"/>
      </rPr>
      <t>PO</t>
    </r>
    <r>
      <rPr>
        <b/>
        <vertAlign val="subscript"/>
        <sz val="11"/>
        <rFont val="Calibri"/>
        <family val="2"/>
      </rPr>
      <t>4</t>
    </r>
    <r>
      <rPr>
        <b/>
        <vertAlign val="superscript"/>
        <sz val="11"/>
        <rFont val="Calibri"/>
        <family val="2"/>
      </rPr>
      <t>-</t>
    </r>
    <r>
      <rPr>
        <b/>
        <sz val="11"/>
        <rFont val="Calibri"/>
        <family val="2"/>
      </rPr>
      <t>]</t>
    </r>
    <r>
      <rPr>
        <b/>
        <vertAlign val="subscript"/>
        <sz val="11"/>
        <rFont val="Calibri"/>
        <family val="2"/>
      </rPr>
      <t>field</t>
    </r>
  </si>
  <si>
    <r>
      <t>[HPO</t>
    </r>
    <r>
      <rPr>
        <vertAlign val="subscript"/>
        <sz val="11"/>
        <rFont val="Calibri"/>
        <family val="2"/>
      </rPr>
      <t>4</t>
    </r>
    <r>
      <rPr>
        <vertAlign val="superscript"/>
        <sz val="11"/>
        <rFont val="Calibri"/>
        <family val="2"/>
      </rPr>
      <t>2-</t>
    </r>
    <r>
      <rPr>
        <sz val="11"/>
        <rFont val="Calibri"/>
        <family val="2"/>
      </rPr>
      <t>]</t>
    </r>
  </si>
  <si>
    <r>
      <t>[HPO</t>
    </r>
    <r>
      <rPr>
        <b/>
        <vertAlign val="subscript"/>
        <sz val="11"/>
        <rFont val="Calibri"/>
        <family val="2"/>
      </rPr>
      <t>4</t>
    </r>
    <r>
      <rPr>
        <b/>
        <vertAlign val="superscript"/>
        <sz val="11"/>
        <rFont val="Calibri"/>
        <family val="2"/>
      </rPr>
      <t>2-</t>
    </r>
    <r>
      <rPr>
        <b/>
        <sz val="11"/>
        <rFont val="Calibri"/>
        <family val="2"/>
      </rPr>
      <t>]</t>
    </r>
    <r>
      <rPr>
        <b/>
        <vertAlign val="subscript"/>
        <sz val="11"/>
        <rFont val="Calibri"/>
        <family val="2"/>
      </rPr>
      <t>field</t>
    </r>
  </si>
  <si>
    <r>
      <t>[PO</t>
    </r>
    <r>
      <rPr>
        <vertAlign val="subscript"/>
        <sz val="11"/>
        <rFont val="Calibri"/>
        <family val="2"/>
      </rPr>
      <t>4</t>
    </r>
    <r>
      <rPr>
        <vertAlign val="superscript"/>
        <sz val="11"/>
        <rFont val="Calibri"/>
        <family val="2"/>
      </rPr>
      <t>3-</t>
    </r>
    <r>
      <rPr>
        <sz val="11"/>
        <rFont val="Calibri"/>
        <family val="2"/>
      </rPr>
      <t>]</t>
    </r>
  </si>
  <si>
    <r>
      <t>[PO</t>
    </r>
    <r>
      <rPr>
        <b/>
        <vertAlign val="subscript"/>
        <sz val="11"/>
        <rFont val="Calibri"/>
        <family val="2"/>
      </rPr>
      <t>4</t>
    </r>
    <r>
      <rPr>
        <b/>
        <vertAlign val="superscript"/>
        <sz val="11"/>
        <rFont val="Calibri"/>
        <family val="2"/>
      </rPr>
      <t>3-</t>
    </r>
    <r>
      <rPr>
        <b/>
        <sz val="11"/>
        <rFont val="Calibri"/>
        <family val="2"/>
      </rPr>
      <t>]</t>
    </r>
    <r>
      <rPr>
        <b/>
        <vertAlign val="subscript"/>
        <sz val="11"/>
        <rFont val="Calibri"/>
        <family val="2"/>
      </rPr>
      <t>field</t>
    </r>
  </si>
  <si>
    <r>
      <t>[HAc]</t>
    </r>
    <r>
      <rPr>
        <b/>
        <vertAlign val="subscript"/>
        <sz val="11"/>
        <rFont val="Calibri"/>
        <family val="2"/>
      </rPr>
      <t>field</t>
    </r>
  </si>
  <si>
    <r>
      <t>[Ac</t>
    </r>
    <r>
      <rPr>
        <vertAlign val="superscript"/>
        <sz val="11"/>
        <rFont val="Calibri"/>
        <family val="2"/>
      </rPr>
      <t>-</t>
    </r>
    <r>
      <rPr>
        <sz val="11"/>
        <rFont val="Calibri"/>
        <family val="2"/>
      </rPr>
      <t>]</t>
    </r>
  </si>
  <si>
    <r>
      <t>[Ac</t>
    </r>
    <r>
      <rPr>
        <b/>
        <vertAlign val="superscript"/>
        <sz val="11"/>
        <rFont val="Calibri"/>
        <family val="2"/>
      </rPr>
      <t>-</t>
    </r>
    <r>
      <rPr>
        <b/>
        <sz val="11"/>
        <rFont val="Calibri"/>
        <family val="2"/>
      </rPr>
      <t>]</t>
    </r>
    <r>
      <rPr>
        <b/>
        <vertAlign val="subscript"/>
        <sz val="11"/>
        <rFont val="Calibri"/>
        <family val="2"/>
      </rPr>
      <t>field</t>
    </r>
  </si>
  <si>
    <r>
      <t>[Ca</t>
    </r>
    <r>
      <rPr>
        <vertAlign val="superscript"/>
        <sz val="11"/>
        <rFont val="Calibri"/>
        <family val="2"/>
      </rPr>
      <t>2+</t>
    </r>
    <r>
      <rPr>
        <sz val="11"/>
        <rFont val="Calibri"/>
        <family val="2"/>
      </rPr>
      <t>]</t>
    </r>
  </si>
  <si>
    <r>
      <t>[Ca</t>
    </r>
    <r>
      <rPr>
        <b/>
        <vertAlign val="superscript"/>
        <sz val="11"/>
        <rFont val="Calibri"/>
        <family val="2"/>
      </rPr>
      <t>2+</t>
    </r>
    <r>
      <rPr>
        <b/>
        <sz val="11"/>
        <rFont val="Calibri"/>
        <family val="2"/>
      </rPr>
      <t>]</t>
    </r>
    <r>
      <rPr>
        <b/>
        <vertAlign val="subscript"/>
        <sz val="11"/>
        <rFont val="Calibri"/>
        <family val="2"/>
      </rPr>
      <t>field</t>
    </r>
  </si>
  <si>
    <r>
      <t>[Mg</t>
    </r>
    <r>
      <rPr>
        <vertAlign val="superscript"/>
        <sz val="11"/>
        <rFont val="Calibri"/>
        <family val="2"/>
      </rPr>
      <t>2+</t>
    </r>
    <r>
      <rPr>
        <sz val="11"/>
        <rFont val="Calibri"/>
        <family val="2"/>
      </rPr>
      <t>]</t>
    </r>
  </si>
  <si>
    <r>
      <t>[Mg</t>
    </r>
    <r>
      <rPr>
        <b/>
        <vertAlign val="superscript"/>
        <sz val="11"/>
        <rFont val="Calibri"/>
        <family val="2"/>
      </rPr>
      <t>2+</t>
    </r>
    <r>
      <rPr>
        <b/>
        <sz val="11"/>
        <rFont val="Calibri"/>
        <family val="2"/>
      </rPr>
      <t>]</t>
    </r>
    <r>
      <rPr>
        <b/>
        <vertAlign val="subscript"/>
        <sz val="11"/>
        <rFont val="Calibri"/>
        <family val="2"/>
      </rPr>
      <t>field</t>
    </r>
  </si>
  <si>
    <r>
      <t>[CAT</t>
    </r>
    <r>
      <rPr>
        <vertAlign val="superscript"/>
        <sz val="11"/>
        <rFont val="Calibri"/>
        <family val="2"/>
      </rPr>
      <t>+</t>
    </r>
    <r>
      <rPr>
        <sz val="11"/>
        <rFont val="Calibri"/>
        <family val="2"/>
      </rPr>
      <t>]</t>
    </r>
  </si>
  <si>
    <r>
      <t>[CAT</t>
    </r>
    <r>
      <rPr>
        <b/>
        <vertAlign val="superscript"/>
        <sz val="11"/>
        <rFont val="Calibri"/>
        <family val="2"/>
      </rPr>
      <t>+</t>
    </r>
    <r>
      <rPr>
        <b/>
        <sz val="11"/>
        <rFont val="Calibri"/>
        <family val="2"/>
      </rPr>
      <t>]</t>
    </r>
    <r>
      <rPr>
        <b/>
        <vertAlign val="subscript"/>
        <sz val="11"/>
        <rFont val="Calibri"/>
        <family val="2"/>
      </rPr>
      <t>field</t>
    </r>
  </si>
  <si>
    <r>
      <t>[K</t>
    </r>
    <r>
      <rPr>
        <vertAlign val="superscript"/>
        <sz val="11"/>
        <rFont val="Calibri"/>
        <family val="2"/>
      </rPr>
      <t>+</t>
    </r>
    <r>
      <rPr>
        <sz val="11"/>
        <rFont val="Calibri"/>
        <family val="2"/>
      </rPr>
      <t>]</t>
    </r>
  </si>
  <si>
    <r>
      <t>[K</t>
    </r>
    <r>
      <rPr>
        <b/>
        <vertAlign val="superscript"/>
        <sz val="11"/>
        <rFont val="Calibri"/>
        <family val="2"/>
      </rPr>
      <t>+</t>
    </r>
    <r>
      <rPr>
        <b/>
        <sz val="11"/>
        <rFont val="Calibri"/>
        <family val="2"/>
      </rPr>
      <t>]</t>
    </r>
    <r>
      <rPr>
        <b/>
        <vertAlign val="subscript"/>
        <sz val="11"/>
        <rFont val="Calibri"/>
        <family val="2"/>
      </rPr>
      <t>field</t>
    </r>
  </si>
  <si>
    <r>
      <t>[AN</t>
    </r>
    <r>
      <rPr>
        <vertAlign val="superscript"/>
        <sz val="11"/>
        <rFont val="Calibri"/>
        <family val="2"/>
      </rPr>
      <t>-</t>
    </r>
    <r>
      <rPr>
        <sz val="11"/>
        <rFont val="Calibri"/>
        <family val="2"/>
      </rPr>
      <t>]</t>
    </r>
  </si>
  <si>
    <r>
      <t>[AN</t>
    </r>
    <r>
      <rPr>
        <b/>
        <vertAlign val="superscript"/>
        <sz val="11"/>
        <rFont val="Calibri"/>
        <family val="2"/>
      </rPr>
      <t>-</t>
    </r>
    <r>
      <rPr>
        <b/>
        <sz val="11"/>
        <rFont val="Calibri"/>
        <family val="2"/>
      </rPr>
      <t>]</t>
    </r>
    <r>
      <rPr>
        <b/>
        <vertAlign val="subscript"/>
        <sz val="11"/>
        <rFont val="Calibri"/>
        <family val="2"/>
      </rPr>
      <t>field</t>
    </r>
  </si>
  <si>
    <r>
      <t>[Fe</t>
    </r>
    <r>
      <rPr>
        <vertAlign val="superscript"/>
        <sz val="11"/>
        <rFont val="Calibri"/>
        <family val="2"/>
      </rPr>
      <t>2+</t>
    </r>
    <r>
      <rPr>
        <sz val="11"/>
        <rFont val="Calibri"/>
        <family val="2"/>
      </rPr>
      <t>]</t>
    </r>
  </si>
  <si>
    <r>
      <t>[Fe</t>
    </r>
    <r>
      <rPr>
        <b/>
        <vertAlign val="superscript"/>
        <sz val="11"/>
        <rFont val="Calibri"/>
        <family val="2"/>
      </rPr>
      <t>2+</t>
    </r>
    <r>
      <rPr>
        <b/>
        <sz val="11"/>
        <rFont val="Calibri"/>
        <family val="2"/>
      </rPr>
      <t>]</t>
    </r>
    <r>
      <rPr>
        <b/>
        <vertAlign val="subscript"/>
        <sz val="11"/>
        <rFont val="Calibri"/>
        <family val="2"/>
      </rPr>
      <t>field</t>
    </r>
  </si>
  <si>
    <t>Gas transfer rates for pH-dependent gases</t>
  </si>
  <si>
    <r>
      <t>K</t>
    </r>
    <r>
      <rPr>
        <vertAlign val="subscript"/>
        <sz val="11"/>
        <rFont val="Calibri"/>
        <family val="2"/>
        <scheme val="minor"/>
      </rPr>
      <t>SO41,T</t>
    </r>
    <r>
      <rPr>
        <sz val="11"/>
        <rFont val="Calibri"/>
        <family val="2"/>
        <scheme val="minor"/>
      </rPr>
      <t>/f</t>
    </r>
    <r>
      <rPr>
        <vertAlign val="subscript"/>
        <sz val="11"/>
        <rFont val="Calibri"/>
        <family val="2"/>
        <scheme val="minor"/>
      </rPr>
      <t>mono,field</t>
    </r>
    <r>
      <rPr>
        <sz val="11"/>
        <rFont val="Calibri"/>
        <family val="2"/>
        <scheme val="minor"/>
      </rPr>
      <t>^2</t>
    </r>
  </si>
  <si>
    <r>
      <t>K</t>
    </r>
    <r>
      <rPr>
        <vertAlign val="subscript"/>
        <sz val="11"/>
        <rFont val="Calibri"/>
        <family val="2"/>
        <scheme val="minor"/>
      </rPr>
      <t>SO42,T</t>
    </r>
    <r>
      <rPr>
        <sz val="11"/>
        <rFont val="Calibri"/>
        <family val="2"/>
        <scheme val="minor"/>
      </rPr>
      <t>/f</t>
    </r>
    <r>
      <rPr>
        <vertAlign val="subscript"/>
        <sz val="11"/>
        <rFont val="Calibri"/>
        <family val="2"/>
        <scheme val="minor"/>
      </rPr>
      <t>di,field</t>
    </r>
  </si>
  <si>
    <r>
      <t>K</t>
    </r>
    <r>
      <rPr>
        <vertAlign val="subscript"/>
        <sz val="11"/>
        <rFont val="Calibri"/>
        <family val="2"/>
        <scheme val="minor"/>
      </rPr>
      <t>sp,FeS,param</t>
    </r>
    <r>
      <rPr>
        <sz val="11"/>
        <rFont val="Calibri"/>
        <family val="2"/>
        <scheme val="minor"/>
      </rPr>
      <t>/f</t>
    </r>
    <r>
      <rPr>
        <vertAlign val="subscript"/>
        <sz val="11"/>
        <rFont val="Calibri"/>
        <family val="2"/>
        <scheme val="minor"/>
      </rPr>
      <t>di,field</t>
    </r>
  </si>
  <si>
    <r>
      <t>[H</t>
    </r>
    <r>
      <rPr>
        <vertAlign val="subscript"/>
        <sz val="11"/>
        <rFont val="Calibri"/>
        <family val="2"/>
      </rPr>
      <t>2</t>
    </r>
    <r>
      <rPr>
        <sz val="11"/>
        <rFont val="Calibri"/>
        <family val="2"/>
      </rPr>
      <t>SO</t>
    </r>
    <r>
      <rPr>
        <vertAlign val="subscript"/>
        <sz val="11"/>
        <rFont val="Calibri"/>
        <family val="2"/>
      </rPr>
      <t>4</t>
    </r>
    <r>
      <rPr>
        <sz val="11"/>
        <rFont val="Calibri"/>
        <family val="2"/>
      </rPr>
      <t>]</t>
    </r>
  </si>
  <si>
    <r>
      <t>[HSO</t>
    </r>
    <r>
      <rPr>
        <vertAlign val="subscript"/>
        <sz val="11"/>
        <rFont val="Calibri"/>
        <family val="2"/>
      </rPr>
      <t>4</t>
    </r>
    <r>
      <rPr>
        <vertAlign val="superscript"/>
        <sz val="11"/>
        <rFont val="Calibri"/>
        <family val="2"/>
      </rPr>
      <t>-</t>
    </r>
    <r>
      <rPr>
        <sz val="11"/>
        <rFont val="Calibri"/>
        <family val="2"/>
      </rPr>
      <t>]</t>
    </r>
  </si>
  <si>
    <r>
      <t>[SO</t>
    </r>
    <r>
      <rPr>
        <vertAlign val="subscript"/>
        <sz val="11"/>
        <rFont val="Calibri"/>
        <family val="2"/>
      </rPr>
      <t>4</t>
    </r>
    <r>
      <rPr>
        <vertAlign val="superscript"/>
        <sz val="11"/>
        <rFont val="Calibri"/>
        <family val="2"/>
      </rPr>
      <t>2-</t>
    </r>
    <r>
      <rPr>
        <sz val="11"/>
        <rFont val="Calibri"/>
        <family val="2"/>
      </rPr>
      <t>]</t>
    </r>
  </si>
  <si>
    <r>
      <t>[H</t>
    </r>
    <r>
      <rPr>
        <vertAlign val="subscript"/>
        <sz val="11"/>
        <rFont val="Calibri"/>
        <family val="2"/>
      </rPr>
      <t>2</t>
    </r>
    <r>
      <rPr>
        <sz val="11"/>
        <rFont val="Calibri"/>
        <family val="2"/>
      </rPr>
      <t>S]</t>
    </r>
  </si>
  <si>
    <r>
      <t>[HS</t>
    </r>
    <r>
      <rPr>
        <vertAlign val="superscript"/>
        <sz val="11"/>
        <rFont val="Calibri"/>
        <family val="2"/>
      </rPr>
      <t>-</t>
    </r>
    <r>
      <rPr>
        <sz val="11"/>
        <rFont val="Calibri"/>
        <family val="2"/>
      </rPr>
      <t>]</t>
    </r>
  </si>
  <si>
    <r>
      <t>[S</t>
    </r>
    <r>
      <rPr>
        <vertAlign val="superscript"/>
        <sz val="11"/>
        <rFont val="Calibri"/>
        <family val="2"/>
      </rPr>
      <t>2-</t>
    </r>
    <r>
      <rPr>
        <sz val="11"/>
        <rFont val="Calibri"/>
        <family val="2"/>
      </rPr>
      <t>]</t>
    </r>
  </si>
  <si>
    <t>Logistic slope of logistic term for XHET limit</t>
  </si>
  <si>
    <t>Non-Precipitation; Digester</t>
  </si>
  <si>
    <t>Non-Precipitation; Non-Digester</t>
  </si>
  <si>
    <t>Non-Sidestream</t>
  </si>
  <si>
    <r>
      <t>Bellinh(pH</t>
    </r>
    <r>
      <rPr>
        <vertAlign val="subscript"/>
        <sz val="11"/>
        <rFont val="Calibri"/>
        <family val="2"/>
        <scheme val="minor"/>
      </rPr>
      <t>field</t>
    </r>
    <r>
      <rPr>
        <sz val="11"/>
        <rFont val="Calibri"/>
        <family val="2"/>
        <scheme val="minor"/>
      </rPr>
      <t>;pH</t>
    </r>
    <r>
      <rPr>
        <vertAlign val="subscript"/>
        <sz val="11"/>
        <rFont val="Calibri"/>
        <family val="2"/>
        <scheme val="minor"/>
      </rPr>
      <t>low</t>
    </r>
    <r>
      <rPr>
        <sz val="11"/>
        <rFont val="Calibri"/>
        <family val="2"/>
        <scheme val="minor"/>
      </rPr>
      <t>;pH</t>
    </r>
    <r>
      <rPr>
        <vertAlign val="subscript"/>
        <sz val="11"/>
        <rFont val="Calibri"/>
        <family val="2"/>
        <scheme val="minor"/>
      </rPr>
      <t>high</t>
    </r>
    <r>
      <rPr>
        <sz val="11"/>
        <rFont val="Calibri"/>
        <family val="2"/>
        <scheme val="minor"/>
      </rPr>
      <t>)</t>
    </r>
  </si>
  <si>
    <r>
      <t>Bellinh(pH</t>
    </r>
    <r>
      <rPr>
        <vertAlign val="subscript"/>
        <sz val="11"/>
        <rFont val="Calibri"/>
        <family val="2"/>
        <scheme val="minor"/>
      </rPr>
      <t>field</t>
    </r>
    <r>
      <rPr>
        <sz val="11"/>
        <rFont val="Calibri"/>
        <family val="2"/>
        <scheme val="minor"/>
      </rPr>
      <t>;pH</t>
    </r>
    <r>
      <rPr>
        <vertAlign val="subscript"/>
        <sz val="11"/>
        <rFont val="Calibri"/>
        <family val="2"/>
        <scheme val="minor"/>
      </rPr>
      <t>low,AOB</t>
    </r>
    <r>
      <rPr>
        <sz val="11"/>
        <rFont val="Calibri"/>
        <family val="2"/>
        <scheme val="minor"/>
      </rPr>
      <t>;pH</t>
    </r>
    <r>
      <rPr>
        <vertAlign val="subscript"/>
        <sz val="11"/>
        <rFont val="Calibri"/>
        <family val="2"/>
        <scheme val="minor"/>
      </rPr>
      <t>high,AOB</t>
    </r>
    <r>
      <rPr>
        <sz val="11"/>
        <rFont val="Calibri"/>
        <family val="2"/>
        <scheme val="minor"/>
      </rPr>
      <t>)</t>
    </r>
  </si>
  <si>
    <r>
      <t>Bellinh(pH</t>
    </r>
    <r>
      <rPr>
        <vertAlign val="subscript"/>
        <sz val="11"/>
        <rFont val="Calibri"/>
        <family val="2"/>
        <scheme val="minor"/>
      </rPr>
      <t>field</t>
    </r>
    <r>
      <rPr>
        <sz val="11"/>
        <rFont val="Calibri"/>
        <family val="2"/>
        <scheme val="minor"/>
      </rPr>
      <t>;pH</t>
    </r>
    <r>
      <rPr>
        <vertAlign val="subscript"/>
        <sz val="11"/>
        <rFont val="Calibri"/>
        <family val="2"/>
        <scheme val="minor"/>
      </rPr>
      <t>low,NOB</t>
    </r>
    <r>
      <rPr>
        <sz val="11"/>
        <rFont val="Calibri"/>
        <family val="2"/>
        <scheme val="minor"/>
      </rPr>
      <t>;pH</t>
    </r>
    <r>
      <rPr>
        <vertAlign val="subscript"/>
        <sz val="11"/>
        <rFont val="Calibri"/>
        <family val="2"/>
        <scheme val="minor"/>
      </rPr>
      <t>high,NOB</t>
    </r>
    <r>
      <rPr>
        <sz val="11"/>
        <rFont val="Calibri"/>
        <family val="2"/>
        <scheme val="minor"/>
      </rPr>
      <t>)</t>
    </r>
  </si>
  <si>
    <r>
      <t>Bellinh(pH</t>
    </r>
    <r>
      <rPr>
        <vertAlign val="subscript"/>
        <sz val="11"/>
        <rFont val="Calibri"/>
        <family val="2"/>
        <scheme val="minor"/>
      </rPr>
      <t>field</t>
    </r>
    <r>
      <rPr>
        <sz val="11"/>
        <rFont val="Calibri"/>
        <family val="2"/>
        <scheme val="minor"/>
      </rPr>
      <t>;pH</t>
    </r>
    <r>
      <rPr>
        <vertAlign val="subscript"/>
        <sz val="11"/>
        <rFont val="Calibri"/>
        <family val="2"/>
        <scheme val="minor"/>
      </rPr>
      <t>low,AMETO</t>
    </r>
    <r>
      <rPr>
        <sz val="11"/>
        <rFont val="Calibri"/>
        <family val="2"/>
        <scheme val="minor"/>
      </rPr>
      <t>;pH</t>
    </r>
    <r>
      <rPr>
        <vertAlign val="subscript"/>
        <sz val="11"/>
        <rFont val="Calibri"/>
        <family val="2"/>
        <scheme val="minor"/>
      </rPr>
      <t>high,AMETO</t>
    </r>
    <r>
      <rPr>
        <sz val="11"/>
        <rFont val="Calibri"/>
        <family val="2"/>
        <scheme val="minor"/>
      </rPr>
      <t>)</t>
    </r>
  </si>
  <si>
    <r>
      <t>Bellinh(pH</t>
    </r>
    <r>
      <rPr>
        <vertAlign val="subscript"/>
        <sz val="11"/>
        <rFont val="Calibri"/>
        <family val="2"/>
        <scheme val="minor"/>
      </rPr>
      <t>field</t>
    </r>
    <r>
      <rPr>
        <sz val="11"/>
        <rFont val="Calibri"/>
        <family val="2"/>
        <scheme val="minor"/>
      </rPr>
      <t>;pH</t>
    </r>
    <r>
      <rPr>
        <vertAlign val="subscript"/>
        <sz val="11"/>
        <rFont val="Calibri"/>
        <family val="2"/>
        <scheme val="minor"/>
      </rPr>
      <t>low,HMETO</t>
    </r>
    <r>
      <rPr>
        <sz val="11"/>
        <rFont val="Calibri"/>
        <family val="2"/>
        <scheme val="minor"/>
      </rPr>
      <t>;pH</t>
    </r>
    <r>
      <rPr>
        <vertAlign val="subscript"/>
        <sz val="11"/>
        <rFont val="Calibri"/>
        <family val="2"/>
        <scheme val="minor"/>
      </rPr>
      <t>high,HMETO</t>
    </r>
    <r>
      <rPr>
        <sz val="11"/>
        <rFont val="Calibri"/>
        <family val="2"/>
        <scheme val="minor"/>
      </rPr>
      <t>)</t>
    </r>
  </si>
  <si>
    <r>
      <t>f(X</t>
    </r>
    <r>
      <rPr>
        <vertAlign val="subscript"/>
        <sz val="11"/>
        <rFont val="Calibri"/>
        <family val="2"/>
      </rPr>
      <t>N,U</t>
    </r>
    <r>
      <rPr>
        <sz val="11"/>
        <rFont val="Calibri"/>
        <family val="2"/>
      </rPr>
      <t>);f(X</t>
    </r>
    <r>
      <rPr>
        <vertAlign val="subscript"/>
        <sz val="11"/>
        <rFont val="Calibri"/>
        <family val="2"/>
      </rPr>
      <t>P,U</t>
    </r>
    <r>
      <rPr>
        <sz val="11"/>
        <rFont val="Calibri"/>
        <family val="2"/>
      </rPr>
      <t>)</t>
    </r>
  </si>
  <si>
    <r>
      <t>f(X</t>
    </r>
    <r>
      <rPr>
        <vertAlign val="subscript"/>
        <sz val="11"/>
        <rFont val="Calibri"/>
        <family val="2"/>
      </rPr>
      <t>INORG</t>
    </r>
    <r>
      <rPr>
        <sz val="11"/>
        <rFont val="Calibri"/>
        <family val="2"/>
      </rPr>
      <t>);f(S</t>
    </r>
    <r>
      <rPr>
        <vertAlign val="subscript"/>
        <sz val="11"/>
        <rFont val="Calibri"/>
        <family val="2"/>
        <charset val="238"/>
      </rPr>
      <t>Ca</t>
    </r>
    <r>
      <rPr>
        <sz val="11"/>
        <rFont val="Calibri"/>
        <family val="2"/>
      </rPr>
      <t>);f(S</t>
    </r>
    <r>
      <rPr>
        <vertAlign val="subscript"/>
        <sz val="11"/>
        <rFont val="Calibri"/>
        <family val="2"/>
        <charset val="238"/>
      </rPr>
      <t>Mg</t>
    </r>
    <r>
      <rPr>
        <sz val="11"/>
        <rFont val="Calibri"/>
        <family val="2"/>
      </rPr>
      <t>);f(S</t>
    </r>
    <r>
      <rPr>
        <vertAlign val="subscript"/>
        <sz val="11"/>
        <rFont val="Calibri"/>
        <family val="2"/>
        <charset val="238"/>
      </rPr>
      <t>CAT</t>
    </r>
    <r>
      <rPr>
        <sz val="11"/>
        <rFont val="Calibri"/>
        <family val="2"/>
      </rPr>
      <t>);f(S</t>
    </r>
    <r>
      <rPr>
        <vertAlign val="subscript"/>
        <sz val="11"/>
        <rFont val="Calibri"/>
        <family val="2"/>
        <charset val="238"/>
      </rPr>
      <t>AN</t>
    </r>
    <r>
      <rPr>
        <sz val="11"/>
        <rFont val="Calibri"/>
        <family val="2"/>
      </rPr>
      <t>);f(S</t>
    </r>
    <r>
      <rPr>
        <vertAlign val="subscript"/>
        <sz val="11"/>
        <rFont val="Calibri"/>
        <family val="2"/>
        <charset val="238"/>
      </rPr>
      <t>SO4</t>
    </r>
    <r>
      <rPr>
        <sz val="11"/>
        <rFont val="Calibri"/>
        <family val="2"/>
      </rPr>
      <t>)</t>
    </r>
  </si>
  <si>
    <r>
      <t>T</t>
    </r>
    <r>
      <rPr>
        <vertAlign val="subscript"/>
        <sz val="11"/>
        <rFont val="Calibri"/>
        <family val="2"/>
      </rPr>
      <t>PFOA</t>
    </r>
  </si>
  <si>
    <t>Total PFOA</t>
  </si>
  <si>
    <r>
      <t>S</t>
    </r>
    <r>
      <rPr>
        <vertAlign val="subscript"/>
        <sz val="11"/>
        <rFont val="Calibri"/>
        <family val="2"/>
        <scheme val="minor"/>
      </rPr>
      <t>PFOA</t>
    </r>
    <r>
      <rPr>
        <sz val="11"/>
        <rFont val="Calibri"/>
        <family val="2"/>
        <scheme val="minor"/>
      </rPr>
      <t xml:space="preserve"> + X</t>
    </r>
    <r>
      <rPr>
        <vertAlign val="subscript"/>
        <sz val="11"/>
        <rFont val="Calibri"/>
        <family val="2"/>
        <scheme val="minor"/>
      </rPr>
      <t>PFOA</t>
    </r>
  </si>
  <si>
    <r>
      <t>g PFAS.m</t>
    </r>
    <r>
      <rPr>
        <vertAlign val="superscript"/>
        <sz val="11"/>
        <rFont val="Calibri"/>
        <family val="2"/>
        <scheme val="minor"/>
      </rPr>
      <t>-3</t>
    </r>
  </si>
  <si>
    <r>
      <t>T</t>
    </r>
    <r>
      <rPr>
        <vertAlign val="subscript"/>
        <sz val="11"/>
        <rFont val="Calibri"/>
        <family val="2"/>
      </rPr>
      <t>PFOS</t>
    </r>
  </si>
  <si>
    <t>Total PFOS</t>
  </si>
  <si>
    <r>
      <t>S</t>
    </r>
    <r>
      <rPr>
        <vertAlign val="subscript"/>
        <sz val="11"/>
        <rFont val="Calibri"/>
        <family val="2"/>
        <scheme val="minor"/>
      </rPr>
      <t>PFOS</t>
    </r>
    <r>
      <rPr>
        <sz val="11"/>
        <rFont val="Calibri"/>
        <family val="2"/>
        <scheme val="minor"/>
      </rPr>
      <t xml:space="preserve"> + X</t>
    </r>
    <r>
      <rPr>
        <vertAlign val="subscript"/>
        <sz val="11"/>
        <rFont val="Calibri"/>
        <family val="2"/>
        <scheme val="minor"/>
      </rPr>
      <t>PFOS</t>
    </r>
  </si>
  <si>
    <r>
      <t>S</t>
    </r>
    <r>
      <rPr>
        <b/>
        <vertAlign val="subscript"/>
        <sz val="11"/>
        <rFont val="Calibri"/>
        <family val="2"/>
      </rPr>
      <t>PFOA</t>
    </r>
  </si>
  <si>
    <t>Dissolved Perfluorooctanoic Acid (PFOA)</t>
  </si>
  <si>
    <r>
      <t>g PFAS.m</t>
    </r>
    <r>
      <rPr>
        <vertAlign val="superscript"/>
        <sz val="11"/>
        <color theme="1"/>
        <rFont val="Calibri"/>
        <family val="2"/>
        <charset val="238"/>
        <scheme val="minor"/>
      </rPr>
      <t>-3</t>
    </r>
  </si>
  <si>
    <t>PFAS</t>
  </si>
  <si>
    <r>
      <t>X</t>
    </r>
    <r>
      <rPr>
        <b/>
        <vertAlign val="subscript"/>
        <sz val="11"/>
        <rFont val="Calibri"/>
        <family val="2"/>
      </rPr>
      <t>PFOA</t>
    </r>
  </si>
  <si>
    <t>Adsorbed Perfluorooctanoic Acid (PFOA)</t>
  </si>
  <si>
    <r>
      <t>S</t>
    </r>
    <r>
      <rPr>
        <b/>
        <vertAlign val="subscript"/>
        <sz val="11"/>
        <rFont val="Calibri"/>
        <family val="2"/>
      </rPr>
      <t>PFOS</t>
    </r>
  </si>
  <si>
    <t>Dissolved Perfluorooctyl Sulfonate (PFOS)</t>
  </si>
  <si>
    <r>
      <t>X</t>
    </r>
    <r>
      <rPr>
        <b/>
        <vertAlign val="subscript"/>
        <sz val="11"/>
        <rFont val="Calibri"/>
        <family val="2"/>
      </rPr>
      <t>PFOS</t>
    </r>
  </si>
  <si>
    <t>Adsorbed Perfluorooctyl Sulfonate (PFOS)</t>
  </si>
  <si>
    <t>PFOA sorption</t>
  </si>
  <si>
    <r>
      <t>q</t>
    </r>
    <r>
      <rPr>
        <vertAlign val="subscript"/>
        <sz val="11"/>
        <rFont val="Calibri"/>
        <family val="2"/>
      </rPr>
      <t>PFOA,SORP</t>
    </r>
    <r>
      <rPr>
        <sz val="11"/>
        <rFont val="Calibri"/>
        <family val="2"/>
      </rPr>
      <t>*</t>
    </r>
    <r>
      <rPr>
        <sz val="11"/>
        <rFont val="Calibri"/>
        <family val="2"/>
        <charset val="238"/>
      </rPr>
      <t>(S</t>
    </r>
    <r>
      <rPr>
        <vertAlign val="subscript"/>
        <sz val="11"/>
        <rFont val="Calibri"/>
        <family val="2"/>
        <charset val="238"/>
      </rPr>
      <t>PFOA</t>
    </r>
    <r>
      <rPr>
        <sz val="11"/>
        <rFont val="Calibri"/>
        <family val="2"/>
        <charset val="238"/>
      </rPr>
      <t xml:space="preserve"> - (X</t>
    </r>
    <r>
      <rPr>
        <vertAlign val="subscript"/>
        <sz val="11"/>
        <rFont val="Calibri"/>
        <family val="2"/>
        <charset val="238"/>
      </rPr>
      <t>PFOA</t>
    </r>
    <r>
      <rPr>
        <sz val="11"/>
        <rFont val="Calibri"/>
        <family val="2"/>
        <charset val="238"/>
      </rPr>
      <t>/X</t>
    </r>
    <r>
      <rPr>
        <vertAlign val="subscript"/>
        <sz val="11"/>
        <rFont val="Calibri"/>
        <family val="2"/>
        <charset val="238"/>
      </rPr>
      <t>VSS</t>
    </r>
    <r>
      <rPr>
        <sz val="11"/>
        <rFont val="Calibri"/>
        <family val="2"/>
        <charset val="238"/>
      </rPr>
      <t>)*(c</t>
    </r>
    <r>
      <rPr>
        <vertAlign val="subscript"/>
        <sz val="11"/>
        <rFont val="Calibri"/>
        <family val="2"/>
        <charset val="238"/>
      </rPr>
      <t>g,kg</t>
    </r>
    <r>
      <rPr>
        <sz val="11"/>
        <rFont val="Calibri"/>
        <family val="2"/>
        <charset val="238"/>
      </rPr>
      <t>*c</t>
    </r>
    <r>
      <rPr>
        <vertAlign val="subscript"/>
        <sz val="11"/>
        <rFont val="Calibri"/>
        <family val="2"/>
        <charset val="238"/>
      </rPr>
      <t>mg,g</t>
    </r>
    <r>
      <rPr>
        <sz val="11"/>
        <rFont val="Calibri"/>
        <family val="2"/>
        <charset val="238"/>
      </rPr>
      <t>)/K</t>
    </r>
    <r>
      <rPr>
        <vertAlign val="subscript"/>
        <sz val="11"/>
        <rFont val="Calibri"/>
        <family val="2"/>
        <charset val="238"/>
      </rPr>
      <t>OC,PFOA,EQ</t>
    </r>
    <r>
      <rPr>
        <sz val="11"/>
        <rFont val="Calibri"/>
        <family val="2"/>
        <charset val="238"/>
      </rPr>
      <t>)</t>
    </r>
  </si>
  <si>
    <t>PFOS sorption</t>
  </si>
  <si>
    <r>
      <t>q</t>
    </r>
    <r>
      <rPr>
        <vertAlign val="subscript"/>
        <sz val="11"/>
        <rFont val="Calibri"/>
        <family val="2"/>
      </rPr>
      <t>PFOS,SORP</t>
    </r>
    <r>
      <rPr>
        <sz val="11"/>
        <rFont val="Calibri"/>
        <family val="2"/>
      </rPr>
      <t>*</t>
    </r>
    <r>
      <rPr>
        <sz val="11"/>
        <rFont val="Calibri"/>
        <family val="2"/>
        <charset val="238"/>
      </rPr>
      <t>(S</t>
    </r>
    <r>
      <rPr>
        <vertAlign val="subscript"/>
        <sz val="11"/>
        <rFont val="Calibri"/>
        <family val="2"/>
        <charset val="238"/>
      </rPr>
      <t>PFOS</t>
    </r>
    <r>
      <rPr>
        <sz val="11"/>
        <rFont val="Calibri"/>
        <family val="2"/>
        <charset val="238"/>
      </rPr>
      <t xml:space="preserve"> - (X</t>
    </r>
    <r>
      <rPr>
        <vertAlign val="subscript"/>
        <sz val="11"/>
        <rFont val="Calibri"/>
        <family val="2"/>
        <charset val="238"/>
      </rPr>
      <t>PFOS</t>
    </r>
    <r>
      <rPr>
        <sz val="11"/>
        <rFont val="Calibri"/>
        <family val="2"/>
        <charset val="238"/>
      </rPr>
      <t>/X</t>
    </r>
    <r>
      <rPr>
        <vertAlign val="subscript"/>
        <sz val="11"/>
        <rFont val="Calibri"/>
        <family val="2"/>
        <charset val="238"/>
      </rPr>
      <t>VSS</t>
    </r>
    <r>
      <rPr>
        <sz val="11"/>
        <rFont val="Calibri"/>
        <family val="2"/>
        <charset val="238"/>
      </rPr>
      <t>)*(c</t>
    </r>
    <r>
      <rPr>
        <vertAlign val="subscript"/>
        <sz val="11"/>
        <rFont val="Calibri"/>
        <family val="2"/>
        <charset val="238"/>
      </rPr>
      <t>g,kg</t>
    </r>
    <r>
      <rPr>
        <sz val="11"/>
        <rFont val="Calibri"/>
        <family val="2"/>
        <charset val="238"/>
      </rPr>
      <t>*c</t>
    </r>
    <r>
      <rPr>
        <vertAlign val="subscript"/>
        <sz val="11"/>
        <rFont val="Calibri"/>
        <family val="2"/>
        <charset val="238"/>
      </rPr>
      <t>mg,g</t>
    </r>
    <r>
      <rPr>
        <sz val="11"/>
        <rFont val="Calibri"/>
        <family val="2"/>
        <charset val="238"/>
      </rPr>
      <t>)/K</t>
    </r>
    <r>
      <rPr>
        <vertAlign val="subscript"/>
        <sz val="11"/>
        <rFont val="Calibri"/>
        <family val="2"/>
        <charset val="238"/>
      </rPr>
      <t>OC,PFOS,EQ</t>
    </r>
    <r>
      <rPr>
        <sz val="11"/>
        <rFont val="Calibri"/>
        <family val="2"/>
        <charset val="238"/>
      </rPr>
      <t>)</t>
    </r>
  </si>
  <si>
    <r>
      <t>q</t>
    </r>
    <r>
      <rPr>
        <vertAlign val="subscript"/>
        <sz val="11"/>
        <rFont val="Calibri"/>
        <family val="2"/>
        <scheme val="minor"/>
      </rPr>
      <t>PFOA,SORP</t>
    </r>
  </si>
  <si>
    <t>Sorption rate of PFOA to solids</t>
  </si>
  <si>
    <t>to be calibrated (default from Wei et al., DOI: 10.1016/j.ecoenv.2017.03.040)</t>
  </si>
  <si>
    <r>
      <t>q</t>
    </r>
    <r>
      <rPr>
        <vertAlign val="subscript"/>
        <sz val="11"/>
        <rFont val="Calibri"/>
        <family val="2"/>
        <scheme val="minor"/>
      </rPr>
      <t>PFOS,SORP</t>
    </r>
  </si>
  <si>
    <t>Sorption rate of PFOS to solids</t>
  </si>
  <si>
    <r>
      <t>K</t>
    </r>
    <r>
      <rPr>
        <vertAlign val="subscript"/>
        <sz val="11"/>
        <rFont val="Calibri"/>
        <family val="2"/>
        <scheme val="minor"/>
      </rPr>
      <t>OC,PFOA,EQ</t>
    </r>
  </si>
  <si>
    <t>PFOA organic carbon/water equilibrium distribution coefficient</t>
  </si>
  <si>
    <r>
      <t>L.kg</t>
    </r>
    <r>
      <rPr>
        <vertAlign val="superscript"/>
        <sz val="11"/>
        <rFont val="Calibri"/>
        <family val="2"/>
        <scheme val="minor"/>
      </rPr>
      <t>-1</t>
    </r>
  </si>
  <si>
    <r>
      <t>global average log K</t>
    </r>
    <r>
      <rPr>
        <vertAlign val="subscript"/>
        <sz val="11"/>
        <rFont val="Calibri"/>
        <family val="2"/>
        <charset val="238"/>
        <scheme val="minor"/>
      </rPr>
      <t>OC</t>
    </r>
    <r>
      <rPr>
        <sz val="11"/>
        <rFont val="Calibri"/>
        <family val="2"/>
        <scheme val="minor"/>
      </rPr>
      <t xml:space="preserve"> around 3.7 for sewage sludge (Zareitalabad et al., DOI: 10.1016/j.chemosphere.2013.02.024)</t>
    </r>
  </si>
  <si>
    <r>
      <t>K</t>
    </r>
    <r>
      <rPr>
        <vertAlign val="subscript"/>
        <sz val="11"/>
        <rFont val="Calibri"/>
        <family val="2"/>
        <scheme val="minor"/>
      </rPr>
      <t>OC,PFOS,EQ</t>
    </r>
  </si>
  <si>
    <t>PFOS organic carbon/water equilibrium distribution coefficient</t>
  </si>
  <si>
    <r>
      <t>global average log K</t>
    </r>
    <r>
      <rPr>
        <vertAlign val="subscript"/>
        <sz val="11"/>
        <rFont val="Calibri"/>
        <family val="2"/>
        <charset val="238"/>
        <scheme val="minor"/>
      </rPr>
      <t>OC</t>
    </r>
    <r>
      <rPr>
        <sz val="11"/>
        <rFont val="Calibri"/>
        <family val="2"/>
        <scheme val="minor"/>
      </rPr>
      <t xml:space="preserve"> around 4.3 for sewage sludge (Zareitalabad et al., DOI: 10.1016/j.chemosphere.2013.02.024)</t>
    </r>
  </si>
  <si>
    <t>r128</t>
  </si>
  <si>
    <t>r129</t>
  </si>
  <si>
    <r>
      <t>q</t>
    </r>
    <r>
      <rPr>
        <vertAlign val="subscript"/>
        <sz val="11"/>
        <color indexed="8"/>
        <rFont val="Calibri"/>
        <family val="2"/>
        <scheme val="minor"/>
      </rPr>
      <t>FLOC</t>
    </r>
    <r>
      <rPr>
        <vertAlign val="subscript"/>
        <sz val="11"/>
        <color rgb="FF000000"/>
        <rFont val="Calibri"/>
        <family val="2"/>
        <scheme val="minor"/>
      </rPr>
      <t>,HFO</t>
    </r>
  </si>
  <si>
    <t>Rate of flocculation with HFO</t>
  </si>
  <si>
    <r>
      <t>q</t>
    </r>
    <r>
      <rPr>
        <vertAlign val="subscript"/>
        <sz val="11"/>
        <color indexed="8"/>
        <rFont val="Calibri"/>
        <family val="2"/>
        <scheme val="minor"/>
      </rPr>
      <t>FLOC</t>
    </r>
    <r>
      <rPr>
        <vertAlign val="subscript"/>
        <sz val="11"/>
        <color rgb="FF000000"/>
        <rFont val="Calibri"/>
        <family val="2"/>
        <scheme val="minor"/>
      </rPr>
      <t>,HAO</t>
    </r>
  </si>
  <si>
    <t>Rate of flocculation with HAO</t>
  </si>
  <si>
    <r>
      <t>pH</t>
    </r>
    <r>
      <rPr>
        <vertAlign val="subscript"/>
        <sz val="11"/>
        <rFont val="Calibri"/>
        <family val="2"/>
        <scheme val="minor"/>
      </rPr>
      <t>low</t>
    </r>
    <r>
      <rPr>
        <vertAlign val="subscript"/>
        <sz val="11"/>
        <color rgb="FF000000"/>
        <rFont val="Calibri"/>
        <family val="2"/>
        <scheme val="minor"/>
      </rPr>
      <t>,FLOC,HFO</t>
    </r>
  </si>
  <si>
    <t>pH inhibition low value for flocculation with HFO</t>
  </si>
  <si>
    <r>
      <t>pH</t>
    </r>
    <r>
      <rPr>
        <vertAlign val="subscript"/>
        <sz val="11"/>
        <rFont val="Calibri"/>
        <family val="2"/>
        <scheme val="minor"/>
      </rPr>
      <t>high</t>
    </r>
    <r>
      <rPr>
        <vertAlign val="subscript"/>
        <sz val="11"/>
        <color rgb="FF000000"/>
        <rFont val="Calibri"/>
        <family val="2"/>
        <scheme val="minor"/>
      </rPr>
      <t>,FLOC,HFO</t>
    </r>
  </si>
  <si>
    <t>pH inhibition high value for flocculation with HFO</t>
  </si>
  <si>
    <r>
      <t>pH</t>
    </r>
    <r>
      <rPr>
        <vertAlign val="subscript"/>
        <sz val="11"/>
        <rFont val="Calibri"/>
        <family val="2"/>
        <scheme val="minor"/>
      </rPr>
      <t>low</t>
    </r>
    <r>
      <rPr>
        <vertAlign val="subscript"/>
        <sz val="11"/>
        <color rgb="FF000000"/>
        <rFont val="Calibri"/>
        <family val="2"/>
        <scheme val="minor"/>
      </rPr>
      <t>,FLOC,HAO</t>
    </r>
  </si>
  <si>
    <t>pH inhibition low value for flocculation with HAO</t>
  </si>
  <si>
    <r>
      <t>pH</t>
    </r>
    <r>
      <rPr>
        <vertAlign val="subscript"/>
        <sz val="11"/>
        <rFont val="Calibri"/>
        <family val="2"/>
        <scheme val="minor"/>
      </rPr>
      <t>high</t>
    </r>
    <r>
      <rPr>
        <vertAlign val="subscript"/>
        <sz val="11"/>
        <color rgb="FF000000"/>
        <rFont val="Calibri"/>
        <family val="2"/>
        <scheme val="minor"/>
      </rPr>
      <t>,FLOC,HAO</t>
    </r>
  </si>
  <si>
    <t>pH inhibition high value for flocculation with HAO</t>
  </si>
  <si>
    <r>
      <t>K</t>
    </r>
    <r>
      <rPr>
        <vertAlign val="subscript"/>
        <sz val="11"/>
        <color indexed="8"/>
        <rFont val="Calibri"/>
        <family val="2"/>
        <scheme val="minor"/>
      </rPr>
      <t>CB,FLOC</t>
    </r>
    <r>
      <rPr>
        <vertAlign val="subscript"/>
        <sz val="11"/>
        <color rgb="FF000000"/>
        <rFont val="Calibri"/>
        <family val="2"/>
        <scheme val="minor"/>
      </rPr>
      <t>,HFO</t>
    </r>
  </si>
  <si>
    <t>Half-saturation of biodegradable colloids flocculation with HFO</t>
  </si>
  <si>
    <r>
      <t>K</t>
    </r>
    <r>
      <rPr>
        <vertAlign val="subscript"/>
        <sz val="11"/>
        <color indexed="8"/>
        <rFont val="Calibri"/>
        <family val="2"/>
        <scheme val="minor"/>
      </rPr>
      <t>CU,FLOC</t>
    </r>
    <r>
      <rPr>
        <vertAlign val="subscript"/>
        <sz val="11"/>
        <color rgb="FF000000"/>
        <rFont val="Calibri"/>
        <family val="2"/>
        <scheme val="minor"/>
      </rPr>
      <t>,HFO</t>
    </r>
  </si>
  <si>
    <r>
      <t>K</t>
    </r>
    <r>
      <rPr>
        <vertAlign val="subscript"/>
        <sz val="11"/>
        <color indexed="8"/>
        <rFont val="Calibri"/>
        <family val="2"/>
        <scheme val="minor"/>
      </rPr>
      <t>CB,FLOC</t>
    </r>
    <r>
      <rPr>
        <vertAlign val="subscript"/>
        <sz val="11"/>
        <color rgb="FF000000"/>
        <rFont val="Calibri"/>
        <family val="2"/>
        <scheme val="minor"/>
      </rPr>
      <t>,HAO</t>
    </r>
  </si>
  <si>
    <t>Half-saturation of biodegradable colloids flocculation with HAO</t>
  </si>
  <si>
    <r>
      <t>K</t>
    </r>
    <r>
      <rPr>
        <vertAlign val="subscript"/>
        <sz val="11"/>
        <color indexed="8"/>
        <rFont val="Calibri"/>
        <family val="2"/>
        <scheme val="minor"/>
      </rPr>
      <t>CU,FLOC</t>
    </r>
    <r>
      <rPr>
        <vertAlign val="subscript"/>
        <sz val="11"/>
        <color rgb="FF000000"/>
        <rFont val="Calibri"/>
        <family val="2"/>
        <scheme val="minor"/>
      </rPr>
      <t>,HAO</t>
    </r>
  </si>
  <si>
    <t>Half-saturation of biodegradable colloids in flocculation</t>
  </si>
  <si>
    <r>
      <t>θ</t>
    </r>
    <r>
      <rPr>
        <vertAlign val="subscript"/>
        <sz val="11"/>
        <color indexed="8"/>
        <rFont val="Calibri"/>
        <family val="2"/>
        <scheme val="minor"/>
      </rPr>
      <t>q,FLOC</t>
    </r>
    <r>
      <rPr>
        <vertAlign val="subscript"/>
        <sz val="11"/>
        <color rgb="FF000000"/>
        <rFont val="Calibri"/>
        <family val="2"/>
        <scheme val="minor"/>
      </rPr>
      <t>,HFO</t>
    </r>
  </si>
  <si>
    <t>Arrhenius coefficient for flocculation HFO</t>
  </si>
  <si>
    <r>
      <t>θ</t>
    </r>
    <r>
      <rPr>
        <vertAlign val="subscript"/>
        <sz val="11"/>
        <color indexed="8"/>
        <rFont val="Calibri"/>
        <family val="2"/>
        <scheme val="minor"/>
      </rPr>
      <t>q,FLOC</t>
    </r>
    <r>
      <rPr>
        <vertAlign val="subscript"/>
        <sz val="11"/>
        <color rgb="FF000000"/>
        <rFont val="Calibri"/>
        <family val="2"/>
        <scheme val="minor"/>
      </rPr>
      <t>,HAO</t>
    </r>
  </si>
  <si>
    <t>Arrhenius coefficient for flocculation HAO</t>
  </si>
  <si>
    <r>
      <t>q</t>
    </r>
    <r>
      <rPr>
        <vertAlign val="subscript"/>
        <sz val="11"/>
        <rFont val="Calibri"/>
        <family val="2"/>
      </rPr>
      <t>FLOC,T</t>
    </r>
    <r>
      <rPr>
        <sz val="11"/>
        <rFont val="Calibri"/>
        <family val="2"/>
      </rPr>
      <t>*X</t>
    </r>
    <r>
      <rPr>
        <vertAlign val="subscript"/>
        <sz val="11"/>
        <rFont val="Calibri"/>
        <family val="2"/>
      </rPr>
      <t>BIO</t>
    </r>
    <r>
      <rPr>
        <sz val="11"/>
        <rFont val="Calibri"/>
        <family val="2"/>
      </rPr>
      <t>*Msat</t>
    </r>
    <r>
      <rPr>
        <vertAlign val="subscript"/>
        <sz val="11"/>
        <rFont val="Calibri"/>
        <family val="2"/>
      </rPr>
      <t>CB,KCB,FLOC</t>
    </r>
    <r>
      <rPr>
        <sz val="11"/>
        <rFont val="Calibri"/>
        <family val="2"/>
      </rPr>
      <t>+q</t>
    </r>
    <r>
      <rPr>
        <vertAlign val="subscript"/>
        <sz val="11"/>
        <rFont val="Calibri"/>
        <family val="2"/>
      </rPr>
      <t>FLOC,HFO,T</t>
    </r>
    <r>
      <rPr>
        <sz val="11"/>
        <rFont val="Calibri"/>
        <family val="2"/>
      </rPr>
      <t>*X</t>
    </r>
    <r>
      <rPr>
        <vertAlign val="subscript"/>
        <sz val="11"/>
        <rFont val="Calibri"/>
        <family val="2"/>
      </rPr>
      <t>HFO</t>
    </r>
    <r>
      <rPr>
        <sz val="11"/>
        <rFont val="Calibri"/>
        <family val="2"/>
      </rPr>
      <t>*Msat</t>
    </r>
    <r>
      <rPr>
        <vertAlign val="subscript"/>
        <sz val="11"/>
        <rFont val="Calibri"/>
        <family val="2"/>
      </rPr>
      <t>CB,KCB,FLOC,HFO</t>
    </r>
    <r>
      <rPr>
        <sz val="11"/>
        <rFont val="Calibri"/>
        <family val="2"/>
      </rPr>
      <t>*Bellinh</t>
    </r>
    <r>
      <rPr>
        <vertAlign val="subscript"/>
        <sz val="11"/>
        <rFont val="Calibri"/>
        <family val="2"/>
      </rPr>
      <t>pH,FLOC,HFO</t>
    </r>
    <r>
      <rPr>
        <sz val="11"/>
        <rFont val="Calibri"/>
        <family val="2"/>
      </rPr>
      <t>+q</t>
    </r>
    <r>
      <rPr>
        <vertAlign val="subscript"/>
        <sz val="11"/>
        <rFont val="Calibri"/>
        <family val="2"/>
      </rPr>
      <t>FLOC,HAO,T</t>
    </r>
    <r>
      <rPr>
        <sz val="11"/>
        <rFont val="Calibri"/>
        <family val="2"/>
      </rPr>
      <t>*X</t>
    </r>
    <r>
      <rPr>
        <vertAlign val="subscript"/>
        <sz val="11"/>
        <rFont val="Calibri"/>
        <family val="2"/>
      </rPr>
      <t>HAO</t>
    </r>
    <r>
      <rPr>
        <sz val="11"/>
        <rFont val="Calibri"/>
        <family val="2"/>
      </rPr>
      <t>*Msat</t>
    </r>
    <r>
      <rPr>
        <vertAlign val="subscript"/>
        <sz val="11"/>
        <rFont val="Calibri"/>
        <family val="2"/>
      </rPr>
      <t>CB,KCB,FLOC,HAO</t>
    </r>
    <r>
      <rPr>
        <sz val="11"/>
        <rFont val="Calibri"/>
        <family val="2"/>
      </rPr>
      <t>*Bellinh</t>
    </r>
    <r>
      <rPr>
        <vertAlign val="subscript"/>
        <sz val="11"/>
        <rFont val="Calibri"/>
        <family val="2"/>
      </rPr>
      <t>pH,FLOC,HAO</t>
    </r>
  </si>
  <si>
    <r>
      <t>q</t>
    </r>
    <r>
      <rPr>
        <vertAlign val="subscript"/>
        <sz val="11"/>
        <rFont val="Calibri"/>
        <family val="2"/>
      </rPr>
      <t>FLOC,T</t>
    </r>
    <r>
      <rPr>
        <sz val="11"/>
        <rFont val="Calibri"/>
        <family val="2"/>
      </rPr>
      <t>*X</t>
    </r>
    <r>
      <rPr>
        <vertAlign val="subscript"/>
        <sz val="11"/>
        <rFont val="Calibri"/>
        <family val="2"/>
      </rPr>
      <t>BIO</t>
    </r>
    <r>
      <rPr>
        <sz val="11"/>
        <rFont val="Calibri"/>
        <family val="2"/>
      </rPr>
      <t>*Msat</t>
    </r>
    <r>
      <rPr>
        <vertAlign val="subscript"/>
        <sz val="11"/>
        <rFont val="Calibri"/>
        <family val="2"/>
      </rPr>
      <t>CU,KCU,FLOC</t>
    </r>
    <r>
      <rPr>
        <sz val="11"/>
        <rFont val="Calibri"/>
        <family val="2"/>
      </rPr>
      <t>+q</t>
    </r>
    <r>
      <rPr>
        <vertAlign val="subscript"/>
        <sz val="11"/>
        <rFont val="Calibri"/>
        <family val="2"/>
      </rPr>
      <t>FLOC,HFO,T</t>
    </r>
    <r>
      <rPr>
        <sz val="11"/>
        <rFont val="Calibri"/>
        <family val="2"/>
      </rPr>
      <t>*X</t>
    </r>
    <r>
      <rPr>
        <vertAlign val="subscript"/>
        <sz val="11"/>
        <rFont val="Calibri"/>
        <family val="2"/>
      </rPr>
      <t>HFO</t>
    </r>
    <r>
      <rPr>
        <sz val="11"/>
        <rFont val="Calibri"/>
        <family val="2"/>
      </rPr>
      <t>*Msat</t>
    </r>
    <r>
      <rPr>
        <vertAlign val="subscript"/>
        <sz val="11"/>
        <rFont val="Calibri"/>
        <family val="2"/>
      </rPr>
      <t>CU,KCU,FLOC,HFO</t>
    </r>
    <r>
      <rPr>
        <sz val="11"/>
        <rFont val="Calibri"/>
        <family val="2"/>
      </rPr>
      <t>*Bellinh</t>
    </r>
    <r>
      <rPr>
        <vertAlign val="subscript"/>
        <sz val="11"/>
        <rFont val="Calibri"/>
        <family val="2"/>
      </rPr>
      <t>pH,FLOC,HFO</t>
    </r>
    <r>
      <rPr>
        <sz val="11"/>
        <rFont val="Calibri"/>
        <family val="2"/>
      </rPr>
      <t>+q</t>
    </r>
    <r>
      <rPr>
        <vertAlign val="subscript"/>
        <sz val="11"/>
        <rFont val="Calibri"/>
        <family val="2"/>
      </rPr>
      <t>FLOC,HAO,T</t>
    </r>
    <r>
      <rPr>
        <sz val="11"/>
        <rFont val="Calibri"/>
        <family val="2"/>
      </rPr>
      <t>*X</t>
    </r>
    <r>
      <rPr>
        <vertAlign val="subscript"/>
        <sz val="11"/>
        <rFont val="Calibri"/>
        <family val="2"/>
      </rPr>
      <t>HAO</t>
    </r>
    <r>
      <rPr>
        <sz val="11"/>
        <rFont val="Calibri"/>
        <family val="2"/>
      </rPr>
      <t>*Msat</t>
    </r>
    <r>
      <rPr>
        <vertAlign val="subscript"/>
        <sz val="11"/>
        <rFont val="Calibri"/>
        <family val="2"/>
      </rPr>
      <t>CU,KCU,FLOC,HAO</t>
    </r>
    <r>
      <rPr>
        <sz val="11"/>
        <rFont val="Calibri"/>
        <family val="2"/>
      </rPr>
      <t>*Bellinh</t>
    </r>
    <r>
      <rPr>
        <vertAlign val="subscript"/>
        <sz val="11"/>
        <rFont val="Calibri"/>
        <family val="2"/>
      </rPr>
      <t>pH,FLOC,HAO</t>
    </r>
  </si>
  <si>
    <r>
      <t>Bellinh</t>
    </r>
    <r>
      <rPr>
        <vertAlign val="subscript"/>
        <sz val="11"/>
        <rFont val="Calibri"/>
        <family val="2"/>
        <scheme val="minor"/>
      </rPr>
      <t>pH,FLOC,HFO</t>
    </r>
  </si>
  <si>
    <t>pH inhibition (Bell shaped) (flocculation with HFO)</t>
  </si>
  <si>
    <r>
      <t>Bellinh(pH;pH</t>
    </r>
    <r>
      <rPr>
        <vertAlign val="subscript"/>
        <sz val="11"/>
        <rFont val="Calibri"/>
        <family val="2"/>
        <scheme val="minor"/>
      </rPr>
      <t>low,FLOC,HFO</t>
    </r>
    <r>
      <rPr>
        <sz val="11"/>
        <rFont val="Calibri"/>
        <family val="2"/>
        <scheme val="minor"/>
      </rPr>
      <t>;pH</t>
    </r>
    <r>
      <rPr>
        <vertAlign val="subscript"/>
        <sz val="11"/>
        <rFont val="Calibri"/>
        <family val="2"/>
        <scheme val="minor"/>
      </rPr>
      <t>high,FLOC,HFO</t>
    </r>
    <r>
      <rPr>
        <sz val="11"/>
        <rFont val="Calibri"/>
        <family val="2"/>
        <scheme val="minor"/>
      </rPr>
      <t>)</t>
    </r>
  </si>
  <si>
    <r>
      <t>Bellinh(pH</t>
    </r>
    <r>
      <rPr>
        <vertAlign val="subscript"/>
        <sz val="11"/>
        <rFont val="Calibri"/>
        <family val="2"/>
        <scheme val="minor"/>
      </rPr>
      <t>field</t>
    </r>
    <r>
      <rPr>
        <sz val="11"/>
        <rFont val="Calibri"/>
        <family val="2"/>
        <scheme val="minor"/>
      </rPr>
      <t>;pH</t>
    </r>
    <r>
      <rPr>
        <vertAlign val="subscript"/>
        <sz val="11"/>
        <rFont val="Calibri"/>
        <family val="2"/>
        <scheme val="minor"/>
      </rPr>
      <t>low,FLOC,HFO</t>
    </r>
    <r>
      <rPr>
        <sz val="11"/>
        <rFont val="Calibri"/>
        <family val="2"/>
        <scheme val="minor"/>
      </rPr>
      <t>;pH</t>
    </r>
    <r>
      <rPr>
        <vertAlign val="subscript"/>
        <sz val="11"/>
        <rFont val="Calibri"/>
        <family val="2"/>
        <scheme val="minor"/>
      </rPr>
      <t>high,FLOC,HFO</t>
    </r>
    <r>
      <rPr>
        <sz val="11"/>
        <rFont val="Calibri"/>
        <family val="2"/>
        <scheme val="minor"/>
      </rPr>
      <t>)</t>
    </r>
  </si>
  <si>
    <r>
      <t>Bellinh</t>
    </r>
    <r>
      <rPr>
        <vertAlign val="subscript"/>
        <sz val="11"/>
        <rFont val="Calibri"/>
        <family val="2"/>
        <scheme val="minor"/>
      </rPr>
      <t>pH,FLOC,HAO</t>
    </r>
  </si>
  <si>
    <t>pH inhibition (Bell shaped) (flocculation with HAO)</t>
  </si>
  <si>
    <r>
      <t>Bellinh(pH;pH</t>
    </r>
    <r>
      <rPr>
        <vertAlign val="subscript"/>
        <sz val="11"/>
        <rFont val="Calibri"/>
        <family val="2"/>
        <scheme val="minor"/>
      </rPr>
      <t>low,FLOC,HAO</t>
    </r>
    <r>
      <rPr>
        <sz val="11"/>
        <rFont val="Calibri"/>
        <family val="2"/>
        <scheme val="minor"/>
      </rPr>
      <t>;pH</t>
    </r>
    <r>
      <rPr>
        <vertAlign val="subscript"/>
        <sz val="11"/>
        <rFont val="Calibri"/>
        <family val="2"/>
        <scheme val="minor"/>
      </rPr>
      <t>high,FLOC,HAO</t>
    </r>
    <r>
      <rPr>
        <sz val="11"/>
        <rFont val="Calibri"/>
        <family val="2"/>
        <scheme val="minor"/>
      </rPr>
      <t>)</t>
    </r>
  </si>
  <si>
    <r>
      <t>Bellinh(pH</t>
    </r>
    <r>
      <rPr>
        <vertAlign val="subscript"/>
        <sz val="11"/>
        <rFont val="Calibri"/>
        <family val="2"/>
        <scheme val="minor"/>
      </rPr>
      <t>field</t>
    </r>
    <r>
      <rPr>
        <sz val="11"/>
        <rFont val="Calibri"/>
        <family val="2"/>
        <scheme val="minor"/>
      </rPr>
      <t>;pH</t>
    </r>
    <r>
      <rPr>
        <vertAlign val="subscript"/>
        <sz val="11"/>
        <rFont val="Calibri"/>
        <family val="2"/>
        <scheme val="minor"/>
      </rPr>
      <t>low,FLOC,HAO</t>
    </r>
    <r>
      <rPr>
        <sz val="11"/>
        <rFont val="Calibri"/>
        <family val="2"/>
        <scheme val="minor"/>
      </rPr>
      <t>;pH</t>
    </r>
    <r>
      <rPr>
        <vertAlign val="subscript"/>
        <sz val="11"/>
        <rFont val="Calibri"/>
        <family val="2"/>
        <scheme val="minor"/>
      </rPr>
      <t>high,FLOC,HAO</t>
    </r>
    <r>
      <rPr>
        <sz val="11"/>
        <rFont val="Calibri"/>
        <family val="2"/>
        <scheme val="minor"/>
      </rPr>
      <t>)</t>
    </r>
  </si>
  <si>
    <r>
      <t>Msat</t>
    </r>
    <r>
      <rPr>
        <vertAlign val="subscript"/>
        <sz val="11"/>
        <rFont val="Calibri"/>
        <family val="2"/>
        <scheme val="minor"/>
      </rPr>
      <t>CB,KCB,FLOC,HFO</t>
    </r>
  </si>
  <si>
    <t>Saturation term for colloidal biodegradable substrate flocculation with HFO (flocculation)</t>
  </si>
  <si>
    <r>
      <t>Msat(C</t>
    </r>
    <r>
      <rPr>
        <vertAlign val="subscript"/>
        <sz val="11"/>
        <rFont val="Calibri"/>
        <family val="2"/>
        <scheme val="minor"/>
      </rPr>
      <t>B</t>
    </r>
    <r>
      <rPr>
        <sz val="11"/>
        <rFont val="Calibri"/>
        <family val="2"/>
        <scheme val="minor"/>
      </rPr>
      <t>;K</t>
    </r>
    <r>
      <rPr>
        <vertAlign val="subscript"/>
        <sz val="11"/>
        <rFont val="Calibri"/>
        <family val="2"/>
        <scheme val="minor"/>
      </rPr>
      <t>CB,FLOC,HFO</t>
    </r>
    <r>
      <rPr>
        <sz val="11"/>
        <rFont val="Calibri"/>
        <family val="2"/>
        <scheme val="minor"/>
      </rPr>
      <t>)</t>
    </r>
  </si>
  <si>
    <r>
      <t>Msat</t>
    </r>
    <r>
      <rPr>
        <vertAlign val="subscript"/>
        <sz val="11"/>
        <rFont val="Calibri"/>
        <family val="2"/>
        <scheme val="minor"/>
      </rPr>
      <t>CU,KCU,FLOC,HFO</t>
    </r>
  </si>
  <si>
    <t>Saturation term for colloidal unbiodegradable organics flocculation with HFO  (floculation)</t>
  </si>
  <si>
    <r>
      <t>Msat(C</t>
    </r>
    <r>
      <rPr>
        <vertAlign val="subscript"/>
        <sz val="11"/>
        <rFont val="Calibri"/>
        <family val="2"/>
        <scheme val="minor"/>
      </rPr>
      <t>U</t>
    </r>
    <r>
      <rPr>
        <sz val="11"/>
        <rFont val="Calibri"/>
        <family val="2"/>
        <scheme val="minor"/>
      </rPr>
      <t>;K</t>
    </r>
    <r>
      <rPr>
        <vertAlign val="subscript"/>
        <sz val="11"/>
        <rFont val="Calibri"/>
        <family val="2"/>
        <scheme val="minor"/>
      </rPr>
      <t>CU,FLOC,HFO</t>
    </r>
    <r>
      <rPr>
        <sz val="11"/>
        <rFont val="Calibri"/>
        <family val="2"/>
        <scheme val="minor"/>
      </rPr>
      <t>)</t>
    </r>
  </si>
  <si>
    <r>
      <t>Msat</t>
    </r>
    <r>
      <rPr>
        <vertAlign val="subscript"/>
        <sz val="11"/>
        <rFont val="Calibri"/>
        <family val="2"/>
        <scheme val="minor"/>
      </rPr>
      <t>CB,KCB,FLOC,HAO</t>
    </r>
  </si>
  <si>
    <t>Saturation term for colloidal biodegradable substrate flocculation with HAO (flocculation)</t>
  </si>
  <si>
    <r>
      <t>Msat(C</t>
    </r>
    <r>
      <rPr>
        <vertAlign val="subscript"/>
        <sz val="11"/>
        <rFont val="Calibri"/>
        <family val="2"/>
        <scheme val="minor"/>
      </rPr>
      <t>B</t>
    </r>
    <r>
      <rPr>
        <sz val="11"/>
        <rFont val="Calibri"/>
        <family val="2"/>
        <scheme val="minor"/>
      </rPr>
      <t>;K</t>
    </r>
    <r>
      <rPr>
        <vertAlign val="subscript"/>
        <sz val="11"/>
        <rFont val="Calibri"/>
        <family val="2"/>
        <scheme val="minor"/>
      </rPr>
      <t>CB,FLOC,HAO</t>
    </r>
    <r>
      <rPr>
        <sz val="11"/>
        <rFont val="Calibri"/>
        <family val="2"/>
        <scheme val="minor"/>
      </rPr>
      <t>)</t>
    </r>
  </si>
  <si>
    <r>
      <t>Msat</t>
    </r>
    <r>
      <rPr>
        <vertAlign val="subscript"/>
        <sz val="11"/>
        <rFont val="Calibri"/>
        <family val="2"/>
        <scheme val="minor"/>
      </rPr>
      <t>CU,KCU,FLOC,HAO</t>
    </r>
  </si>
  <si>
    <t>Saturation term for colloidal unbiodegradable organics flocculation with HAO  (floculation)</t>
  </si>
  <si>
    <r>
      <t>Msat(C</t>
    </r>
    <r>
      <rPr>
        <vertAlign val="subscript"/>
        <sz val="11"/>
        <rFont val="Calibri"/>
        <family val="2"/>
        <scheme val="minor"/>
      </rPr>
      <t>U</t>
    </r>
    <r>
      <rPr>
        <sz val="11"/>
        <rFont val="Calibri"/>
        <family val="2"/>
        <scheme val="minor"/>
      </rPr>
      <t>;K</t>
    </r>
    <r>
      <rPr>
        <vertAlign val="subscript"/>
        <sz val="11"/>
        <rFont val="Calibri"/>
        <family val="2"/>
        <scheme val="minor"/>
      </rPr>
      <t>CU,FLOC,HAO</t>
    </r>
    <r>
      <rPr>
        <sz val="11"/>
        <rFont val="Calibri"/>
        <family val="2"/>
        <scheme val="minor"/>
      </rPr>
      <t>)</t>
    </r>
  </si>
  <si>
    <r>
      <t>q</t>
    </r>
    <r>
      <rPr>
        <vertAlign val="subscript"/>
        <sz val="11"/>
        <color indexed="8"/>
        <rFont val="Calibri"/>
        <family val="2"/>
        <scheme val="minor"/>
      </rPr>
      <t>FLOC,HFO,T</t>
    </r>
  </si>
  <si>
    <r>
      <t>q</t>
    </r>
    <r>
      <rPr>
        <vertAlign val="subscript"/>
        <sz val="11"/>
        <color indexed="8"/>
        <rFont val="Calibri"/>
        <family val="2"/>
        <scheme val="minor"/>
      </rPr>
      <t>FLOC,HFO</t>
    </r>
    <r>
      <rPr>
        <sz val="11"/>
        <color indexed="8"/>
        <rFont val="Calibri"/>
        <family val="2"/>
        <scheme val="minor"/>
      </rPr>
      <t>*Arrh(θ</t>
    </r>
    <r>
      <rPr>
        <vertAlign val="subscript"/>
        <sz val="11"/>
        <color indexed="8"/>
        <rFont val="Calibri"/>
        <family val="2"/>
        <scheme val="minor"/>
      </rPr>
      <t>q,FLOC,HFO</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</si>
  <si>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q</t>
    </r>
    <r>
      <rPr>
        <vertAlign val="subscript"/>
        <sz val="11"/>
        <color indexed="8"/>
        <rFont val="Calibri"/>
        <family val="2"/>
        <scheme val="minor"/>
      </rPr>
      <t>FLOC,HAO,T</t>
    </r>
  </si>
  <si>
    <r>
      <t>q</t>
    </r>
    <r>
      <rPr>
        <vertAlign val="subscript"/>
        <sz val="11"/>
        <color indexed="8"/>
        <rFont val="Calibri"/>
        <family val="2"/>
        <scheme val="minor"/>
      </rPr>
      <t>FLOC,HAO</t>
    </r>
    <r>
      <rPr>
        <sz val="11"/>
        <color indexed="8"/>
        <rFont val="Calibri"/>
        <family val="2"/>
        <scheme val="minor"/>
      </rPr>
      <t>*Arrh(θ</t>
    </r>
    <r>
      <rPr>
        <vertAlign val="subscript"/>
        <sz val="11"/>
        <color indexed="8"/>
        <rFont val="Calibri"/>
        <family val="2"/>
        <scheme val="minor"/>
      </rPr>
      <t>q,FLOC,HAO</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</si>
  <si>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t>Heat - pond model</t>
  </si>
  <si>
    <t>rate_Hbio</t>
  </si>
  <si>
    <t>Biological heat rate of biological reactions</t>
  </si>
  <si>
    <t>MJ.m-3.d-1</t>
  </si>
  <si>
    <t>Sulfur balance - pond model</t>
  </si>
  <si>
    <t>rate_TS,stripping</t>
  </si>
  <si>
    <t>g.m-3.d-1</t>
  </si>
  <si>
    <t>COD Balance - pond model</t>
  </si>
  <si>
    <t>rate_TCOD,stripping</t>
  </si>
  <si>
    <t>2</t>
  </si>
  <si>
    <t>rate_TCOD,oxydation,O2</t>
  </si>
  <si>
    <t>rate_TCOD,oxydation,NO3</t>
  </si>
  <si>
    <t>rate_TCOD,photosynt</t>
  </si>
  <si>
    <t>((v67_XALGAE * r67) + (v66_XALGAE * r66))</t>
  </si>
  <si>
    <t>rate_TCOD,autotrophs</t>
  </si>
  <si>
    <t>((v37_XAOB * r37) + (v40_XNOB * r40))</t>
  </si>
  <si>
    <t>TN Balance - pond model</t>
  </si>
  <si>
    <t>rate_SNHx,stripping</t>
  </si>
  <si>
    <t>rate_TN,denit</t>
  </si>
  <si>
    <t>O2 Balance - pond model</t>
  </si>
  <si>
    <t>rate_SO2,aerator</t>
  </si>
  <si>
    <t>rate_SO2,sur</t>
  </si>
  <si>
    <t>rate_SO2,C,oxidation</t>
  </si>
  <si>
    <t>rate_SO2,nitrif</t>
  </si>
  <si>
    <t>((v37_SO2 * r37) + (v40_SO2 * r40))</t>
  </si>
  <si>
    <t>rate_SO2,Fe,oxidation</t>
  </si>
  <si>
    <t>rate_SO2,photosynt</t>
  </si>
  <si>
    <t>((v67_SO2 * r67) + (v66_SO2 * r66))</t>
  </si>
  <si>
    <t>rate_SO2,ALGAE,resp</t>
  </si>
  <si>
    <t>((v68_SO2 * r68))</t>
  </si>
  <si>
    <t>SNHx processes - pond model</t>
  </si>
  <si>
    <t>rate_SNHx,OHOs</t>
  </si>
  <si>
    <t>((v1_SNHx * r1) + (v2_SNHx * r2) + (v3_SNHx * r3) + (v4_SNHx * r4) + (v5_SNHx * r5) + (v6_SNHx * r6) + (v7_SNHx * r7) + (v8_SNHx * r8) + (v9_SNHx * r9) + (v10_SNHx * r10) + (v11_SNHx * r11))</t>
  </si>
  <si>
    <t>rate_SNHx,NITOs</t>
  </si>
  <si>
    <t>((v37_SNHx * r37) + (v38_SNHx * r38) + (v39_SNHx * r39) + (v40_SNHx * r40) + (v41_SNHx * r41) + (v42_SNHx * r42))</t>
  </si>
  <si>
    <t>rate_SNHx,ALGAE</t>
  </si>
  <si>
    <t>((v67_SNHx * r67) + (v68_SNHx * r68) + (v69_SNHx * r69))</t>
  </si>
  <si>
    <t>rate_SNHx,Hydrolysis</t>
  </si>
  <si>
    <t>SNOx processes - pond model</t>
  </si>
  <si>
    <t>rate_SNOx,OHOs</t>
  </si>
  <si>
    <t>((v3_SNO3 * r3) + (v6_SNO3 * r6))</t>
  </si>
  <si>
    <t>rate_SNOx,NITOs</t>
  </si>
  <si>
    <t>((v40_SNO3 * r40))</t>
  </si>
  <si>
    <t>rate_SNOx,ALGAE</t>
  </si>
  <si>
    <t>((v66_SNO3 * r66))</t>
  </si>
  <si>
    <t>SPO4 processes - pond model</t>
  </si>
  <si>
    <t>rate_SPO4,OHOs</t>
  </si>
  <si>
    <t>((v1_SPO4 * r1) + (v2_SPO4 * r2) + (v3_SPO4 * r3) + (v4_SPO4 * r4) + (v5_SPO4 * r5) + (v6_SPO4 * r6) + (v7_SPO4 * r7) + (v8_SPO4 * r8) + (v9_SPO4 * r9))</t>
  </si>
  <si>
    <t>rate_SPO4,NITOs</t>
  </si>
  <si>
    <t>((v37_SPO4 * r37) + (v40_SPO4 * r40))</t>
  </si>
  <si>
    <t>rate_SPO4,ALGAE</t>
  </si>
  <si>
    <t>((v66_SPO4 * r66) + (v67_SPO4 * r67) + (v68_SPO4 * r68) + (v69_SPO4 * r69))</t>
  </si>
  <si>
    <t>rate_SPO4,Hydrolysis</t>
  </si>
  <si>
    <t>rate_SPO4,Precipitation</t>
  </si>
  <si>
    <t>SCO2 processes - pond model</t>
  </si>
  <si>
    <t>rate_SCO2,stripping</t>
  </si>
  <si>
    <t>rate_SCO2,OHOs</t>
  </si>
  <si>
    <t>((v1_SCO2 * r1) + (v2_SCO2 * r2) + (v3_SCO2 * r3) + (v4_SCO2 * r4) + (v5_SCO2 * r5) + (v6_SCO2 * r6) + (v7_SCO2 * r7) + (v8_SCO2 * r8) + (v9_SCO2 * r9) + (v10_SCO2 * r10) + (v11_SCO2 * r11))</t>
  </si>
  <si>
    <t>rate_SCO2,NITOs</t>
  </si>
  <si>
    <t>((v37_SCO2 * r37) + (v38_SCO2 * r38) + (v39_SCO2 * r39) + (v40_SCO2 * r40) + (v41_SCO2 * r41) + (v42_SCO2 * r42))</t>
  </si>
  <si>
    <t>rate_SCO2,ALGAE</t>
  </si>
  <si>
    <t>((v66_SCO2 * r66) + (v67_SCO2 * r67) + (v68_SCO2 * r68) + (v69_SCO2 * r69))</t>
  </si>
  <si>
    <t>rate_SCO2,Hydrolysis</t>
  </si>
  <si>
    <t>rate_SCO2,Precipitation</t>
  </si>
  <si>
    <t>Aeration - pond model</t>
  </si>
  <si>
    <t>rate_DiffAer,ox,transf</t>
  </si>
  <si>
    <t>Diffused aeration oxygen transferred</t>
  </si>
  <si>
    <t>rate_SurfAer,ox,transf</t>
  </si>
  <si>
    <t>Surface aeration oxygen transferred</t>
  </si>
  <si>
    <t>Nitrifier kinetics - pond model</t>
  </si>
  <si>
    <t>g COD.m-3</t>
  </si>
  <si>
    <t>Display_MsatSALK,KALK</t>
  </si>
  <si>
    <t>Display_µAOB,T</t>
  </si>
  <si>
    <t>Nitrifier specific growth rate (temperature corrected)</t>
  </si>
  <si>
    <t>Display_XAOB</t>
  </si>
  <si>
    <t>Nitrifier concentration (AOB for two-step or NITO for single-step)</t>
  </si>
  <si>
    <t>Display_MsatSNHx,KNHx,AOB</t>
  </si>
  <si>
    <t>Ammonia availability (Monod saturation function)</t>
  </si>
  <si>
    <t>Display_LogsatpHCO2,AOB</t>
  </si>
  <si>
    <t>CO2 availability (Log saturation function)</t>
  </si>
  <si>
    <t>Display_MsatSO2,KO2,AOB</t>
  </si>
  <si>
    <t>Oxygen availability (Monod saturation function)</t>
  </si>
  <si>
    <t>Display_MsatSPO4,KPO4,BIO</t>
  </si>
  <si>
    <t>Phosphate availability (Monod saturation function)</t>
  </si>
  <si>
    <t>Display_MsatSCAT,KCAT</t>
  </si>
  <si>
    <t>Cation availability (Monod saturation function)</t>
  </si>
  <si>
    <t>Display_MsatSAN,KAN</t>
  </si>
  <si>
    <t>Anion availability (Monod saturation function)</t>
  </si>
  <si>
    <t>Display_MsatSCa,KCa</t>
  </si>
  <si>
    <t>Calcium availability (Monod saturation function)</t>
  </si>
  <si>
    <t>Display_MsatSMg,KMg</t>
  </si>
  <si>
    <t>Magnesium availability (Monod saturation function)</t>
  </si>
  <si>
    <t>Display_MsatSSO4,KSO4,BIO</t>
  </si>
  <si>
    <t>Sulphate availability (Monod saturation function)</t>
  </si>
  <si>
    <t>Display_MinhpHHNO2,AOB</t>
  </si>
  <si>
    <t>Nitrous acid inhibition (Monod saturation function)</t>
  </si>
  <si>
    <t>Display_MinhpHNH3,NITO</t>
  </si>
  <si>
    <t>Un-ionized ammonia inhibition (Monod saturation function)</t>
  </si>
  <si>
    <t>Display_BellinhpH,AOB</t>
  </si>
  <si>
    <t>pH inhibition function</t>
  </si>
  <si>
    <t>Alkalinity availability (Monod saturation function)</t>
  </si>
  <si>
    <t>Algal kinetics - pond model</t>
  </si>
  <si>
    <t>Display_µALGAE,T</t>
  </si>
  <si>
    <t>Algal specific growth rate (temperature corrected)</t>
  </si>
  <si>
    <t>Display_XALGAE</t>
  </si>
  <si>
    <t>Algal concentration</t>
  </si>
  <si>
    <t>Display_MsatSCO2,KCO2,ALGAE</t>
  </si>
  <si>
    <t>CO2 availability (Monod saturation function)</t>
  </si>
  <si>
    <t>Display_LightSwitch</t>
  </si>
  <si>
    <t>Light availability function</t>
  </si>
  <si>
    <t>Display_MsatSNOx,KNOx,ALGAE</t>
  </si>
  <si>
    <t>Nitrate availability (Monod saturation function)</t>
  </si>
  <si>
    <t>Display_MinhSNHx,KiNHx,ALGAE</t>
  </si>
  <si>
    <t>Ammonia inhibition of nitrate assimilation (Monod saturation function)</t>
  </si>
  <si>
    <t>Display_MsatSNHx,KNHx,ALGAE</t>
  </si>
  <si>
    <t>Heat of reaction</t>
  </si>
  <si>
    <t>Heat of biological reaction</t>
  </si>
  <si>
    <t>MJ.g COD-1</t>
  </si>
  <si>
    <t>DeltaHbio</t>
  </si>
  <si>
    <t>Key(979)</t>
  </si>
  <si>
    <t>Key(978)</t>
  </si>
  <si>
    <t>Key(959)</t>
  </si>
  <si>
    <t>Key(975)</t>
  </si>
  <si>
    <r>
      <t>η</t>
    </r>
    <r>
      <rPr>
        <vertAlign val="subscript"/>
        <sz val="11"/>
        <color rgb="FFFF0000"/>
        <rFont val="Calibri"/>
        <family val="2"/>
        <scheme val="minor"/>
      </rPr>
      <t>OHO,anox,NO2red</t>
    </r>
  </si>
  <si>
    <t>Reduction factor for anoxic growth of OHOs nitrite reduction only VFA</t>
  </si>
  <si>
    <t>For SB it is for both nitrate and nitrite reduction, while for VFA its only for nitrate reduction.</t>
  </si>
  <si>
    <r>
      <t>K</t>
    </r>
    <r>
      <rPr>
        <vertAlign val="subscript"/>
        <sz val="11"/>
        <color rgb="FFFF0000"/>
        <rFont val="Calibri"/>
        <family val="2"/>
        <scheme val="minor"/>
      </rPr>
      <t>VFA,OHO,SNO2,AS</t>
    </r>
  </si>
  <si>
    <t>Half-saturation of VFA for OHOs under nitrite reduction</t>
  </si>
  <si>
    <r>
      <t>K</t>
    </r>
    <r>
      <rPr>
        <vertAlign val="subscript"/>
        <sz val="11"/>
        <color rgb="FFFF0000"/>
        <rFont val="Calibri"/>
        <family val="2"/>
        <scheme val="minor"/>
      </rPr>
      <t>MEOL,SNO2,AS</t>
    </r>
  </si>
  <si>
    <t>Half-saturation of MEOL for OHOs under nitrite reduction</t>
  </si>
  <si>
    <r>
      <t>K</t>
    </r>
    <r>
      <rPr>
        <vertAlign val="subscript"/>
        <sz val="11"/>
        <color rgb="FFFF0000"/>
        <rFont val="Calibri"/>
        <family val="2"/>
        <scheme val="minor"/>
      </rPr>
      <t>VFA,OHO,SNO2</t>
    </r>
  </si>
  <si>
    <r>
      <t>K</t>
    </r>
    <r>
      <rPr>
        <vertAlign val="subscript"/>
        <sz val="11"/>
        <color rgb="FFFF0000"/>
        <rFont val="Calibri"/>
        <family val="2"/>
        <scheme val="minor"/>
      </rPr>
      <t>VFA,OHO,SNO2,AS</t>
    </r>
    <r>
      <rPr>
        <sz val="11"/>
        <color rgb="FFFF0000"/>
        <rFont val="Calibri"/>
        <family val="2"/>
        <scheme val="minor"/>
      </rPr>
      <t>*f</t>
    </r>
    <r>
      <rPr>
        <vertAlign val="subscript"/>
        <sz val="11"/>
        <color rgb="FFFF0000"/>
        <rFont val="Calibri"/>
        <family val="2"/>
        <scheme val="minor"/>
      </rPr>
      <t>KS</t>
    </r>
  </si>
  <si>
    <r>
      <t>K</t>
    </r>
    <r>
      <rPr>
        <vertAlign val="subscript"/>
        <sz val="11"/>
        <color rgb="FFFF0000"/>
        <rFont val="Calibri"/>
        <family val="2"/>
        <scheme val="minor"/>
      </rPr>
      <t>MEOL,SNO2</t>
    </r>
  </si>
  <si>
    <r>
      <t>K</t>
    </r>
    <r>
      <rPr>
        <vertAlign val="subscript"/>
        <sz val="11"/>
        <color rgb="FFFF0000"/>
        <rFont val="Calibri"/>
        <family val="2"/>
        <scheme val="minor"/>
      </rPr>
      <t>MEOL,SNO2,AS</t>
    </r>
    <r>
      <rPr>
        <sz val="11"/>
        <color rgb="FFFF0000"/>
        <rFont val="Calibri"/>
        <family val="2"/>
        <scheme val="minor"/>
      </rPr>
      <t>*f</t>
    </r>
    <r>
      <rPr>
        <vertAlign val="subscript"/>
        <sz val="11"/>
        <color rgb="FFFF0000"/>
        <rFont val="Calibri"/>
        <family val="2"/>
        <scheme val="minor"/>
      </rPr>
      <t>KS</t>
    </r>
  </si>
  <si>
    <r>
      <t>Loginh</t>
    </r>
    <r>
      <rPr>
        <vertAlign val="subscript"/>
        <sz val="11"/>
        <color rgb="FFFF0000"/>
        <rFont val="Calibri"/>
        <family val="2"/>
        <scheme val="minor"/>
      </rPr>
      <t>SNO3,KNO3,OHO</t>
    </r>
  </si>
  <si>
    <r>
      <t>Logsat</t>
    </r>
    <r>
      <rPr>
        <vertAlign val="subscript"/>
        <sz val="11"/>
        <color rgb="FFFF0000"/>
        <rFont val="Calibri"/>
        <family val="2"/>
        <scheme val="minor"/>
      </rPr>
      <t>SNO3,KNO3,OHO</t>
    </r>
  </si>
  <si>
    <t>Saturation term for NO3 during nitrate reductase</t>
  </si>
  <si>
    <r>
      <t>Logsat</t>
    </r>
    <r>
      <rPr>
        <vertAlign val="subscript"/>
        <sz val="11"/>
        <color rgb="FFFF0000"/>
        <rFont val="Calibri"/>
        <family val="2"/>
        <scheme val="minor"/>
      </rPr>
      <t>SVFA,KVFA,OHO,SNO2</t>
    </r>
  </si>
  <si>
    <t>Saturation term for VFA during nitrite reductase</t>
  </si>
  <si>
    <r>
      <t>Loginh</t>
    </r>
    <r>
      <rPr>
        <vertAlign val="subscript"/>
        <sz val="11"/>
        <color rgb="FFFF0000"/>
        <rFont val="Calibri"/>
        <family val="2"/>
        <scheme val="minor"/>
      </rPr>
      <t>SVFA,KVFA,OHO,SNO2</t>
    </r>
  </si>
  <si>
    <t>Inhibition term for VFA during nitrite reductase</t>
  </si>
  <si>
    <r>
      <t>Logsat</t>
    </r>
    <r>
      <rPr>
        <vertAlign val="subscript"/>
        <sz val="11"/>
        <color rgb="FFFF0000"/>
        <rFont val="Calibri"/>
        <family val="2"/>
        <scheme val="minor"/>
      </rPr>
      <t>SMEOL,KMEOL,SNO2</t>
    </r>
  </si>
  <si>
    <t>Saturation term for MEOL during nitrite reductase</t>
  </si>
  <si>
    <r>
      <t>Loginh</t>
    </r>
    <r>
      <rPr>
        <vertAlign val="subscript"/>
        <sz val="11"/>
        <color rgb="FFFF0000"/>
        <rFont val="Calibri"/>
        <family val="2"/>
        <scheme val="minor"/>
      </rPr>
      <t>SMEOL,KMEOL,SNO2</t>
    </r>
  </si>
  <si>
    <t>Inhibition term for MEOL during nitrite reductase</t>
  </si>
  <si>
    <r>
      <t>Logsat</t>
    </r>
    <r>
      <rPr>
        <vertAlign val="subscript"/>
        <sz val="11"/>
        <color rgb="FFFF0000"/>
        <rFont val="Calibri"/>
        <family val="2"/>
        <scheme val="minor"/>
      </rPr>
      <t>SNO3,KNO3,MEOLO</t>
    </r>
  </si>
  <si>
    <r>
      <t>Loginh</t>
    </r>
    <r>
      <rPr>
        <vertAlign val="subscript"/>
        <sz val="11"/>
        <color rgb="FFFF0000"/>
        <rFont val="Calibri"/>
        <family val="2"/>
        <scheme val="minor"/>
      </rPr>
      <t>SNO3,KNO3,MEOLO</t>
    </r>
  </si>
  <si>
    <r>
      <t>Logrange</t>
    </r>
    <r>
      <rPr>
        <vertAlign val="subscript"/>
        <sz val="11"/>
        <color rgb="FFFF0000"/>
        <rFont val="Calibri"/>
        <family val="2"/>
        <scheme val="minor"/>
      </rPr>
      <t>SNO3</t>
    </r>
  </si>
  <si>
    <t>Effective range of logistic switch for nitrate inhibition on nitrite reduction</t>
  </si>
  <si>
    <r>
      <t>Logrange</t>
    </r>
    <r>
      <rPr>
        <vertAlign val="subscript"/>
        <sz val="11"/>
        <color rgb="FFFF0000"/>
        <rFont val="Calibri"/>
        <family val="2"/>
        <scheme val="minor"/>
      </rPr>
      <t>KSNO3</t>
    </r>
  </si>
  <si>
    <t>Effective range of logistic switch for nitrate saturation on nitrate reduction</t>
  </si>
  <si>
    <r>
      <t>Logrange</t>
    </r>
    <r>
      <rPr>
        <vertAlign val="subscript"/>
        <sz val="11"/>
        <color rgb="FFFF0000"/>
        <rFont val="Calibri"/>
        <family val="2"/>
        <scheme val="minor"/>
      </rPr>
      <t>KVFA,SNO2</t>
    </r>
  </si>
  <si>
    <t>Effective range of logistic switch for VFA saturation on nitrite reduction</t>
  </si>
  <si>
    <r>
      <t>Logrange</t>
    </r>
    <r>
      <rPr>
        <vertAlign val="subscript"/>
        <sz val="11"/>
        <color rgb="FFFF0000"/>
        <rFont val="Calibri"/>
        <family val="2"/>
        <scheme val="minor"/>
      </rPr>
      <t>KMEOL,SNO2</t>
    </r>
  </si>
  <si>
    <t>Effective range of logistic switch for MEOL saturation on nitrite reduction</t>
  </si>
  <si>
    <r>
      <t>Logslope</t>
    </r>
    <r>
      <rPr>
        <vertAlign val="subscript"/>
        <sz val="11"/>
        <color rgb="FFFF0000"/>
        <rFont val="Calibri"/>
        <family val="2"/>
        <scheme val="minor"/>
      </rPr>
      <t>SNO3</t>
    </r>
  </si>
  <si>
    <t>Logistic slope of nitrate inhibition on nitrite reduction</t>
  </si>
  <si>
    <r>
      <t>Logisticslope(K</t>
    </r>
    <r>
      <rPr>
        <vertAlign val="subscript"/>
        <sz val="11"/>
        <color rgb="FFFF0000"/>
        <rFont val="Calibri"/>
        <family val="2"/>
        <scheme val="minor"/>
      </rPr>
      <t>NO3,OHO</t>
    </r>
    <r>
      <rPr>
        <sz val="11"/>
        <color rgb="FFFF0000"/>
        <rFont val="Calibri"/>
        <family val="2"/>
        <scheme val="minor"/>
      </rPr>
      <t>; Logrange</t>
    </r>
    <r>
      <rPr>
        <vertAlign val="subscript"/>
        <sz val="11"/>
        <color rgb="FFFF0000"/>
        <rFont val="Calibri"/>
        <family val="2"/>
        <scheme val="minor"/>
      </rPr>
      <t>SNO3</t>
    </r>
    <r>
      <rPr>
        <sz val="11"/>
        <color rgb="FFFF0000"/>
        <rFont val="Calibri"/>
        <family val="2"/>
        <scheme val="minor"/>
      </rPr>
      <t>)</t>
    </r>
  </si>
  <si>
    <r>
      <t>Logslope</t>
    </r>
    <r>
      <rPr>
        <vertAlign val="subscript"/>
        <sz val="11"/>
        <color rgb="FFFF0000"/>
        <rFont val="Calibri"/>
        <family val="2"/>
        <scheme val="minor"/>
      </rPr>
      <t>KSNO3</t>
    </r>
  </si>
  <si>
    <t>Logistic slope of nitrate saturation on nitrate reduction</t>
  </si>
  <si>
    <r>
      <t>Logisticslope(K</t>
    </r>
    <r>
      <rPr>
        <vertAlign val="subscript"/>
        <sz val="11"/>
        <color rgb="FFFF0000"/>
        <rFont val="Calibri"/>
        <family val="2"/>
        <scheme val="minor"/>
      </rPr>
      <t>NO3,OHO</t>
    </r>
    <r>
      <rPr>
        <sz val="11"/>
        <color rgb="FFFF0000"/>
        <rFont val="Calibri"/>
        <family val="2"/>
        <scheme val="minor"/>
      </rPr>
      <t>; Logrange</t>
    </r>
    <r>
      <rPr>
        <vertAlign val="subscript"/>
        <sz val="11"/>
        <color rgb="FFFF0000"/>
        <rFont val="Calibri"/>
        <family val="2"/>
        <scheme val="minor"/>
      </rPr>
      <t>KSNO3</t>
    </r>
    <r>
      <rPr>
        <sz val="11"/>
        <color rgb="FFFF0000"/>
        <rFont val="Calibri"/>
        <family val="2"/>
        <scheme val="minor"/>
      </rPr>
      <t>)</t>
    </r>
  </si>
  <si>
    <r>
      <t>Logslope</t>
    </r>
    <r>
      <rPr>
        <vertAlign val="subscript"/>
        <sz val="11"/>
        <color rgb="FFFF0000"/>
        <rFont val="Calibri"/>
        <family val="2"/>
        <scheme val="minor"/>
      </rPr>
      <t>KVFA,SNO2</t>
    </r>
  </si>
  <si>
    <t>Logistic slope of VFA saturation on nitrite reduction</t>
  </si>
  <si>
    <r>
      <t>Logisticslope(K</t>
    </r>
    <r>
      <rPr>
        <vertAlign val="subscript"/>
        <sz val="11"/>
        <color rgb="FFFF0000"/>
        <rFont val="Calibri"/>
        <family val="2"/>
        <scheme val="minor"/>
      </rPr>
      <t>VFA,OHO,SNO2</t>
    </r>
    <r>
      <rPr>
        <sz val="11"/>
        <color rgb="FFFF0000"/>
        <rFont val="Calibri"/>
        <family val="2"/>
        <scheme val="minor"/>
      </rPr>
      <t>; Logrange</t>
    </r>
    <r>
      <rPr>
        <vertAlign val="subscript"/>
        <sz val="11"/>
        <color rgb="FFFF0000"/>
        <rFont val="Calibri"/>
        <family val="2"/>
        <scheme val="minor"/>
      </rPr>
      <t>KVFA,SNO2</t>
    </r>
    <r>
      <rPr>
        <sz val="11"/>
        <color rgb="FFFF0000"/>
        <rFont val="Calibri"/>
        <family val="2"/>
        <scheme val="minor"/>
      </rPr>
      <t>)</t>
    </r>
  </si>
  <si>
    <r>
      <t>Logslope</t>
    </r>
    <r>
      <rPr>
        <vertAlign val="subscript"/>
        <sz val="11"/>
        <color rgb="FFFF0000"/>
        <rFont val="Calibri"/>
        <family val="2"/>
        <scheme val="minor"/>
      </rPr>
      <t>KMEOL,SNO2</t>
    </r>
  </si>
  <si>
    <t>Logistic slope of MEOL saturation on nitrite reduction</t>
  </si>
  <si>
    <r>
      <t>Logisticslope(K</t>
    </r>
    <r>
      <rPr>
        <vertAlign val="subscript"/>
        <sz val="11"/>
        <color rgb="FFFF0000"/>
        <rFont val="Calibri"/>
        <family val="2"/>
        <scheme val="minor"/>
      </rPr>
      <t>MEOL,SNO2</t>
    </r>
    <r>
      <rPr>
        <sz val="11"/>
        <color rgb="FFFF0000"/>
        <rFont val="Calibri"/>
        <family val="2"/>
        <scheme val="minor"/>
      </rPr>
      <t>; Logrange</t>
    </r>
    <r>
      <rPr>
        <vertAlign val="subscript"/>
        <sz val="11"/>
        <color rgb="FFFF0000"/>
        <rFont val="Calibri"/>
        <family val="2"/>
        <scheme val="minor"/>
      </rPr>
      <t>KMEOL,SNO2</t>
    </r>
    <r>
      <rPr>
        <sz val="11"/>
        <color rgb="FFFF0000"/>
        <rFont val="Calibri"/>
        <family val="2"/>
        <scheme val="minor"/>
      </rPr>
      <t>)</t>
    </r>
  </si>
  <si>
    <r>
      <t>Logslope</t>
    </r>
    <r>
      <rPr>
        <vertAlign val="subscript"/>
        <sz val="11"/>
        <color rgb="FFFF0000"/>
        <rFont val="Calibri"/>
        <family val="2"/>
        <scheme val="minor"/>
      </rPr>
      <t>KSNO3,MEOLO</t>
    </r>
  </si>
  <si>
    <t>Logistic slope of nitrate switch on nitrite reduction for MEOLOs</t>
  </si>
  <si>
    <r>
      <t>Logisticslope(K</t>
    </r>
    <r>
      <rPr>
        <vertAlign val="subscript"/>
        <sz val="11"/>
        <color rgb="FFFF0000"/>
        <rFont val="Calibri"/>
        <family val="2"/>
        <scheme val="minor"/>
      </rPr>
      <t>NO3,MEOLO</t>
    </r>
    <r>
      <rPr>
        <sz val="11"/>
        <color rgb="FFFF0000"/>
        <rFont val="Calibri"/>
        <family val="2"/>
        <scheme val="minor"/>
      </rPr>
      <t>; Logrange</t>
    </r>
    <r>
      <rPr>
        <vertAlign val="subscript"/>
        <sz val="11"/>
        <color rgb="FFFF0000"/>
        <rFont val="Calibri"/>
        <family val="2"/>
        <scheme val="minor"/>
      </rPr>
      <t>SNO3</t>
    </r>
    <r>
      <rPr>
        <sz val="11"/>
        <color rgb="FFFF0000"/>
        <rFont val="Calibri"/>
        <family val="2"/>
        <scheme val="minor"/>
      </rPr>
      <t>)</t>
    </r>
  </si>
  <si>
    <r>
      <t>Inhibition term for NO</t>
    </r>
    <r>
      <rPr>
        <vertAlign val="subscript"/>
        <sz val="11"/>
        <color rgb="FFFF0000"/>
        <rFont val="Calibri"/>
        <family val="2"/>
        <scheme val="minor"/>
      </rPr>
      <t>3</t>
    </r>
    <r>
      <rPr>
        <sz val="11"/>
        <color rgb="FFFF0000"/>
        <rFont val="Calibri"/>
        <family val="2"/>
        <scheme val="minor"/>
      </rPr>
      <t xml:space="preserve"> (OHO)</t>
    </r>
  </si>
  <si>
    <r>
      <t>Loginh(S</t>
    </r>
    <r>
      <rPr>
        <vertAlign val="subscript"/>
        <sz val="11"/>
        <color rgb="FFFF0000"/>
        <rFont val="Calibri"/>
        <family val="2"/>
        <scheme val="minor"/>
      </rPr>
      <t>NO3</t>
    </r>
    <r>
      <rPr>
        <sz val="11"/>
        <color rgb="FFFF0000"/>
        <rFont val="Calibri"/>
        <family val="2"/>
        <scheme val="minor"/>
      </rPr>
      <t>;K</t>
    </r>
    <r>
      <rPr>
        <vertAlign val="subscript"/>
        <sz val="11"/>
        <color rgb="FFFF0000"/>
        <rFont val="Calibri"/>
        <family val="2"/>
        <scheme val="minor"/>
      </rPr>
      <t>NO3,OHO</t>
    </r>
    <r>
      <rPr>
        <sz val="11"/>
        <color rgb="FFFF0000"/>
        <rFont val="Calibri"/>
        <family val="2"/>
        <scheme val="minor"/>
      </rPr>
      <t>;Logslope</t>
    </r>
    <r>
      <rPr>
        <vertAlign val="subscript"/>
        <sz val="11"/>
        <color rgb="FFFF0000"/>
        <rFont val="Calibri"/>
        <family val="2"/>
        <scheme val="minor"/>
      </rPr>
      <t>SNO3</t>
    </r>
    <r>
      <rPr>
        <sz val="11"/>
        <color rgb="FFFF0000"/>
        <rFont val="Calibri"/>
        <family val="2"/>
        <scheme val="minor"/>
      </rPr>
      <t>)</t>
    </r>
  </si>
  <si>
    <r>
      <t>Logsat(S</t>
    </r>
    <r>
      <rPr>
        <vertAlign val="subscript"/>
        <sz val="11"/>
        <color rgb="FFFF0000"/>
        <rFont val="Calibri"/>
        <family val="2"/>
        <scheme val="minor"/>
      </rPr>
      <t>NO3</t>
    </r>
    <r>
      <rPr>
        <sz val="11"/>
        <color rgb="FFFF0000"/>
        <rFont val="Calibri"/>
        <family val="2"/>
        <scheme val="minor"/>
      </rPr>
      <t>;K</t>
    </r>
    <r>
      <rPr>
        <vertAlign val="subscript"/>
        <sz val="11"/>
        <color rgb="FFFF0000"/>
        <rFont val="Calibri"/>
        <family val="2"/>
        <scheme val="minor"/>
      </rPr>
      <t>NO3,OHO</t>
    </r>
    <r>
      <rPr>
        <sz val="11"/>
        <color rgb="FFFF0000"/>
        <rFont val="Calibri"/>
        <family val="2"/>
        <scheme val="minor"/>
      </rPr>
      <t>;Logslope</t>
    </r>
    <r>
      <rPr>
        <vertAlign val="subscript"/>
        <sz val="11"/>
        <color rgb="FFFF0000"/>
        <rFont val="Calibri"/>
        <family val="2"/>
        <scheme val="minor"/>
      </rPr>
      <t>KSNO3</t>
    </r>
    <r>
      <rPr>
        <sz val="11"/>
        <color rgb="FFFF0000"/>
        <rFont val="Calibri"/>
        <family val="2"/>
        <scheme val="minor"/>
      </rPr>
      <t>)</t>
    </r>
  </si>
  <si>
    <r>
      <t>Logsat(S</t>
    </r>
    <r>
      <rPr>
        <vertAlign val="subscript"/>
        <sz val="11"/>
        <color rgb="FFFF0000"/>
        <rFont val="Calibri"/>
        <family val="2"/>
        <scheme val="minor"/>
      </rPr>
      <t>VFA</t>
    </r>
    <r>
      <rPr>
        <sz val="11"/>
        <color rgb="FFFF0000"/>
        <rFont val="Calibri"/>
        <family val="2"/>
        <scheme val="minor"/>
      </rPr>
      <t>;K</t>
    </r>
    <r>
      <rPr>
        <vertAlign val="subscript"/>
        <sz val="11"/>
        <color rgb="FFFF0000"/>
        <rFont val="Calibri"/>
        <family val="2"/>
        <scheme val="minor"/>
      </rPr>
      <t>VFA,OHO,SNO2</t>
    </r>
    <r>
      <rPr>
        <sz val="11"/>
        <color rgb="FFFF0000"/>
        <rFont val="Calibri"/>
        <family val="2"/>
        <scheme val="minor"/>
      </rPr>
      <t>;Logslope</t>
    </r>
    <r>
      <rPr>
        <vertAlign val="subscript"/>
        <sz val="11"/>
        <color rgb="FFFF0000"/>
        <rFont val="Calibri"/>
        <family val="2"/>
        <scheme val="minor"/>
      </rPr>
      <t>KVFA,SNO2</t>
    </r>
    <r>
      <rPr>
        <sz val="11"/>
        <color rgb="FFFF0000"/>
        <rFont val="Calibri"/>
        <family val="2"/>
        <scheme val="minor"/>
      </rPr>
      <t>)</t>
    </r>
  </si>
  <si>
    <r>
      <t>Loginh(S</t>
    </r>
    <r>
      <rPr>
        <vertAlign val="subscript"/>
        <sz val="11"/>
        <color rgb="FFFF0000"/>
        <rFont val="Calibri"/>
        <family val="2"/>
        <scheme val="minor"/>
      </rPr>
      <t>VFA</t>
    </r>
    <r>
      <rPr>
        <sz val="11"/>
        <color rgb="FFFF0000"/>
        <rFont val="Calibri"/>
        <family val="2"/>
        <scheme val="minor"/>
      </rPr>
      <t>;K</t>
    </r>
    <r>
      <rPr>
        <vertAlign val="subscript"/>
        <sz val="11"/>
        <color rgb="FFFF0000"/>
        <rFont val="Calibri"/>
        <family val="2"/>
        <scheme val="minor"/>
      </rPr>
      <t>VFA,OHO,SNO2</t>
    </r>
    <r>
      <rPr>
        <sz val="11"/>
        <color rgb="FFFF0000"/>
        <rFont val="Calibri"/>
        <family val="2"/>
        <scheme val="minor"/>
      </rPr>
      <t>;Logslope</t>
    </r>
    <r>
      <rPr>
        <vertAlign val="subscript"/>
        <sz val="11"/>
        <color rgb="FFFF0000"/>
        <rFont val="Calibri"/>
        <family val="2"/>
        <scheme val="minor"/>
      </rPr>
      <t>KVFA,SNO2</t>
    </r>
    <r>
      <rPr>
        <sz val="11"/>
        <color rgb="FFFF0000"/>
        <rFont val="Calibri"/>
        <family val="2"/>
        <scheme val="minor"/>
      </rPr>
      <t>)</t>
    </r>
  </si>
  <si>
    <r>
      <t>Logsat(S</t>
    </r>
    <r>
      <rPr>
        <vertAlign val="subscript"/>
        <sz val="11"/>
        <color rgb="FFFF0000"/>
        <rFont val="Calibri"/>
        <family val="2"/>
        <scheme val="minor"/>
      </rPr>
      <t>MEOL</t>
    </r>
    <r>
      <rPr>
        <sz val="11"/>
        <color rgb="FFFF0000"/>
        <rFont val="Calibri"/>
        <family val="2"/>
        <scheme val="minor"/>
      </rPr>
      <t>;K</t>
    </r>
    <r>
      <rPr>
        <vertAlign val="subscript"/>
        <sz val="11"/>
        <color rgb="FFFF0000"/>
        <rFont val="Calibri"/>
        <family val="2"/>
        <scheme val="minor"/>
      </rPr>
      <t>MEOL,SNO2</t>
    </r>
    <r>
      <rPr>
        <sz val="11"/>
        <color rgb="FFFF0000"/>
        <rFont val="Calibri"/>
        <family val="2"/>
        <scheme val="minor"/>
      </rPr>
      <t>;Logslope</t>
    </r>
    <r>
      <rPr>
        <vertAlign val="subscript"/>
        <sz val="11"/>
        <color rgb="FFFF0000"/>
        <rFont val="Calibri"/>
        <family val="2"/>
        <scheme val="minor"/>
      </rPr>
      <t>KMEOL,SNO2</t>
    </r>
    <r>
      <rPr>
        <sz val="11"/>
        <color rgb="FFFF0000"/>
        <rFont val="Calibri"/>
        <family val="2"/>
        <scheme val="minor"/>
      </rPr>
      <t>)</t>
    </r>
  </si>
  <si>
    <r>
      <t>Loginh(S</t>
    </r>
    <r>
      <rPr>
        <vertAlign val="subscript"/>
        <sz val="11"/>
        <color rgb="FFFF0000"/>
        <rFont val="Calibri"/>
        <family val="2"/>
        <scheme val="minor"/>
      </rPr>
      <t>MEOL</t>
    </r>
    <r>
      <rPr>
        <sz val="11"/>
        <color rgb="FFFF0000"/>
        <rFont val="Calibri"/>
        <family val="2"/>
        <scheme val="minor"/>
      </rPr>
      <t>;K</t>
    </r>
    <r>
      <rPr>
        <vertAlign val="subscript"/>
        <sz val="11"/>
        <color rgb="FFFF0000"/>
        <rFont val="Calibri"/>
        <family val="2"/>
        <scheme val="minor"/>
      </rPr>
      <t>MEOL,SNO2</t>
    </r>
    <r>
      <rPr>
        <sz val="11"/>
        <color rgb="FFFF0000"/>
        <rFont val="Calibri"/>
        <family val="2"/>
        <scheme val="minor"/>
      </rPr>
      <t>;Logslope</t>
    </r>
    <r>
      <rPr>
        <vertAlign val="subscript"/>
        <sz val="11"/>
        <color rgb="FFFF0000"/>
        <rFont val="Calibri"/>
        <family val="2"/>
        <scheme val="minor"/>
      </rPr>
      <t>KMEOL,SNO2</t>
    </r>
    <r>
      <rPr>
        <sz val="11"/>
        <color rgb="FFFF0000"/>
        <rFont val="Calibri"/>
        <family val="2"/>
        <scheme val="minor"/>
      </rPr>
      <t>)</t>
    </r>
  </si>
  <si>
    <t>Saturation term for nitrate inhibition on nitrite reduction (MEOLO)</t>
  </si>
  <si>
    <r>
      <t>Logsat(S</t>
    </r>
    <r>
      <rPr>
        <vertAlign val="subscript"/>
        <sz val="11"/>
        <color rgb="FFFF0000"/>
        <rFont val="Calibri"/>
        <family val="2"/>
        <scheme val="minor"/>
      </rPr>
      <t>NO3</t>
    </r>
    <r>
      <rPr>
        <sz val="11"/>
        <color rgb="FFFF0000"/>
        <rFont val="Calibri"/>
        <family val="2"/>
        <scheme val="minor"/>
      </rPr>
      <t>;K</t>
    </r>
    <r>
      <rPr>
        <vertAlign val="subscript"/>
        <sz val="11"/>
        <color rgb="FFFF0000"/>
        <rFont val="Calibri"/>
        <family val="2"/>
        <scheme val="minor"/>
      </rPr>
      <t>NO3,MEOLO</t>
    </r>
    <r>
      <rPr>
        <sz val="11"/>
        <color rgb="FFFF0000"/>
        <rFont val="Calibri"/>
        <family val="2"/>
        <scheme val="minor"/>
      </rPr>
      <t>;Logslope</t>
    </r>
    <r>
      <rPr>
        <vertAlign val="subscript"/>
        <sz val="11"/>
        <color rgb="FFFF0000"/>
        <rFont val="Calibri"/>
        <family val="2"/>
        <scheme val="minor"/>
      </rPr>
      <t>KSNO3,MEOLO</t>
    </r>
    <r>
      <rPr>
        <sz val="11"/>
        <color rgb="FFFF0000"/>
        <rFont val="Calibri"/>
        <family val="2"/>
        <scheme val="minor"/>
      </rPr>
      <t>)</t>
    </r>
  </si>
  <si>
    <t>Inhibition term for nitrate inhibition on nitrite reduction (MEOLO)</t>
  </si>
  <si>
    <r>
      <t>Loginh(S</t>
    </r>
    <r>
      <rPr>
        <vertAlign val="subscript"/>
        <sz val="11"/>
        <color rgb="FFFF0000"/>
        <rFont val="Calibri"/>
        <family val="2"/>
        <scheme val="minor"/>
      </rPr>
      <t>NO3</t>
    </r>
    <r>
      <rPr>
        <sz val="11"/>
        <color rgb="FFFF0000"/>
        <rFont val="Calibri"/>
        <family val="2"/>
        <scheme val="minor"/>
      </rPr>
      <t>;K</t>
    </r>
    <r>
      <rPr>
        <vertAlign val="subscript"/>
        <sz val="11"/>
        <color rgb="FFFF0000"/>
        <rFont val="Calibri"/>
        <family val="2"/>
        <scheme val="minor"/>
      </rPr>
      <t>NO3,MEOLO</t>
    </r>
    <r>
      <rPr>
        <sz val="11"/>
        <color rgb="FFFF0000"/>
        <rFont val="Calibri"/>
        <family val="2"/>
        <scheme val="minor"/>
      </rPr>
      <t>;Logslope</t>
    </r>
    <r>
      <rPr>
        <vertAlign val="subscript"/>
        <sz val="11"/>
        <color rgb="FFFF0000"/>
        <rFont val="Calibri"/>
        <family val="2"/>
        <scheme val="minor"/>
      </rPr>
      <t>KSNO3,MEOLO</t>
    </r>
    <r>
      <rPr>
        <sz val="11"/>
        <color rgb="FFFF0000"/>
        <rFont val="Calibri"/>
        <family val="2"/>
        <scheme val="minor"/>
      </rPr>
      <t>)</t>
    </r>
  </si>
  <si>
    <r>
      <t>µ</t>
    </r>
    <r>
      <rPr>
        <vertAlign val="subscript"/>
        <sz val="11"/>
        <rFont val="Calibri"/>
        <family val="2"/>
        <charset val="238"/>
        <scheme val="minor"/>
      </rPr>
      <t>ALGAE,T</t>
    </r>
  </si>
  <si>
    <r>
      <t>X</t>
    </r>
    <r>
      <rPr>
        <vertAlign val="subscript"/>
        <sz val="11"/>
        <rFont val="Calibri"/>
        <family val="2"/>
        <charset val="238"/>
        <scheme val="minor"/>
      </rPr>
      <t>ALGAE</t>
    </r>
  </si>
  <si>
    <r>
      <t>Msat</t>
    </r>
    <r>
      <rPr>
        <vertAlign val="subscript"/>
        <sz val="11"/>
        <rFont val="Calibri"/>
        <family val="2"/>
        <charset val="238"/>
        <scheme val="minor"/>
      </rPr>
      <t>SCO2,KCO2,ALGAE</t>
    </r>
  </si>
  <si>
    <r>
      <t>Msat</t>
    </r>
    <r>
      <rPr>
        <vertAlign val="subscript"/>
        <sz val="11"/>
        <rFont val="Calibri"/>
        <family val="2"/>
        <charset val="238"/>
        <scheme val="minor"/>
      </rPr>
      <t>SNOx,KNOx,ALGAE</t>
    </r>
  </si>
  <si>
    <r>
      <t>Minh</t>
    </r>
    <r>
      <rPr>
        <vertAlign val="subscript"/>
        <sz val="11"/>
        <rFont val="Calibri"/>
        <family val="2"/>
        <charset val="238"/>
        <scheme val="minor"/>
      </rPr>
      <t>SNHx,KiNHx,ALGAE</t>
    </r>
  </si>
  <si>
    <r>
      <t>Msat</t>
    </r>
    <r>
      <rPr>
        <vertAlign val="subscript"/>
        <sz val="11"/>
        <rFont val="Calibri"/>
        <family val="2"/>
        <charset val="238"/>
        <scheme val="minor"/>
      </rPr>
      <t>SNHx,KNHx,ALGAE</t>
    </r>
  </si>
  <si>
    <r>
      <t>µ</t>
    </r>
    <r>
      <rPr>
        <vertAlign val="subscript"/>
        <sz val="11"/>
        <rFont val="Calibri"/>
        <family val="2"/>
        <charset val="238"/>
        <scheme val="minor"/>
      </rPr>
      <t>AOB,T</t>
    </r>
  </si>
  <si>
    <r>
      <t>X</t>
    </r>
    <r>
      <rPr>
        <vertAlign val="subscript"/>
        <sz val="11"/>
        <rFont val="Calibri"/>
        <family val="2"/>
        <charset val="238"/>
        <scheme val="minor"/>
      </rPr>
      <t>AOB</t>
    </r>
  </si>
  <si>
    <r>
      <t>Msat</t>
    </r>
    <r>
      <rPr>
        <vertAlign val="subscript"/>
        <sz val="11"/>
        <rFont val="Calibri"/>
        <family val="2"/>
        <charset val="238"/>
        <scheme val="minor"/>
      </rPr>
      <t>SNHx,KNHx,AOB</t>
    </r>
  </si>
  <si>
    <r>
      <t>Logsat</t>
    </r>
    <r>
      <rPr>
        <sz val="11"/>
        <rFont val="Calibri"/>
        <family val="2"/>
        <charset val="238"/>
        <scheme val="minor"/>
      </rPr>
      <t>pH</t>
    </r>
    <r>
      <rPr>
        <vertAlign val="subscript"/>
        <sz val="11"/>
        <rFont val="Calibri"/>
        <family val="2"/>
        <charset val="238"/>
        <scheme val="minor"/>
      </rPr>
      <t>CO2,AOB</t>
    </r>
  </si>
  <si>
    <r>
      <t>Msat</t>
    </r>
    <r>
      <rPr>
        <vertAlign val="subscript"/>
        <sz val="11"/>
        <rFont val="Calibri"/>
        <family val="2"/>
        <charset val="238"/>
        <scheme val="minor"/>
      </rPr>
      <t>SO2,KO2,AOB</t>
    </r>
  </si>
  <si>
    <r>
      <t>Msat</t>
    </r>
    <r>
      <rPr>
        <vertAlign val="subscript"/>
        <sz val="11"/>
        <rFont val="Calibri"/>
        <family val="2"/>
        <charset val="238"/>
        <scheme val="minor"/>
      </rPr>
      <t>SPO4,KPO4,BIO</t>
    </r>
  </si>
  <si>
    <r>
      <t>Msat</t>
    </r>
    <r>
      <rPr>
        <vertAlign val="subscript"/>
        <sz val="11"/>
        <rFont val="Calibri"/>
        <family val="2"/>
        <charset val="238"/>
        <scheme val="minor"/>
      </rPr>
      <t>SCAT,KCAT</t>
    </r>
  </si>
  <si>
    <r>
      <t>Msat</t>
    </r>
    <r>
      <rPr>
        <vertAlign val="subscript"/>
        <sz val="11"/>
        <rFont val="Calibri"/>
        <family val="2"/>
        <charset val="238"/>
        <scheme val="minor"/>
      </rPr>
      <t>SAN,KAN</t>
    </r>
  </si>
  <si>
    <r>
      <t>Msat</t>
    </r>
    <r>
      <rPr>
        <vertAlign val="subscript"/>
        <sz val="11"/>
        <rFont val="Calibri"/>
        <family val="2"/>
        <charset val="238"/>
        <scheme val="minor"/>
      </rPr>
      <t>SCa,KCa</t>
    </r>
  </si>
  <si>
    <r>
      <t>Msat</t>
    </r>
    <r>
      <rPr>
        <vertAlign val="subscript"/>
        <sz val="11"/>
        <rFont val="Calibri"/>
        <family val="2"/>
        <charset val="238"/>
        <scheme val="minor"/>
      </rPr>
      <t>SMg,KMg</t>
    </r>
  </si>
  <si>
    <r>
      <t>Minh</t>
    </r>
    <r>
      <rPr>
        <sz val="11"/>
        <rFont val="Calibri"/>
        <family val="2"/>
        <charset val="238"/>
        <scheme val="minor"/>
      </rPr>
      <t>pH</t>
    </r>
    <r>
      <rPr>
        <vertAlign val="subscript"/>
        <sz val="11"/>
        <rFont val="Calibri"/>
        <family val="2"/>
        <charset val="238"/>
        <scheme val="minor"/>
      </rPr>
      <t>HNO2,AOB</t>
    </r>
  </si>
  <si>
    <r>
      <t>Bellinh</t>
    </r>
    <r>
      <rPr>
        <vertAlign val="subscript"/>
        <sz val="11"/>
        <rFont val="Calibri"/>
        <family val="2"/>
        <charset val="238"/>
        <scheme val="minor"/>
      </rPr>
      <t>pH,AOB</t>
    </r>
  </si>
  <si>
    <t>SOTRaerator</t>
  </si>
  <si>
    <t>Standard oxygen transfer rate by aerator</t>
  </si>
  <si>
    <r>
      <t>g.d</t>
    </r>
    <r>
      <rPr>
        <vertAlign val="superscript"/>
        <sz val="11"/>
        <rFont val="Calibri"/>
        <family val="2"/>
      </rPr>
      <t>-1</t>
    </r>
  </si>
  <si>
    <t>SOTRsur</t>
  </si>
  <si>
    <t>Standard oxygen transfer rate via water surface</t>
  </si>
  <si>
    <t>SOTRsur,min</t>
  </si>
  <si>
    <t>Minimum standard oxygen transfer rate via water surface (if non-aerated)</t>
  </si>
  <si>
    <t>Reduction factor for anoxic maintenance of CASTOs on stored carbon</t>
  </si>
  <si>
    <r>
      <t>q</t>
    </r>
    <r>
      <rPr>
        <vertAlign val="subscript"/>
        <sz val="11"/>
        <rFont val="Calibri"/>
        <family val="2"/>
        <charset val="238"/>
        <scheme val="minor"/>
      </rPr>
      <t>GAO,PHA</t>
    </r>
  </si>
  <si>
    <t>Rate of VFA storage into PHA for GAOs</t>
  </si>
  <si>
    <t>Half-value of ORP switch of PHA storage by GAO at 15°C / 59°F</t>
  </si>
  <si>
    <t>Half-value of ORP switch of PHA storage by GAO at 25°C / 77°F</t>
  </si>
  <si>
    <r>
      <t>η</t>
    </r>
    <r>
      <rPr>
        <vertAlign val="subscript"/>
        <sz val="11"/>
        <rFont val="Calibri"/>
        <family val="2"/>
        <scheme val="minor"/>
      </rPr>
      <t>bPHA,ana</t>
    </r>
  </si>
  <si>
    <t>Reduction factor for anaerobic maintenance of GAOs on PHA</t>
  </si>
  <si>
    <r>
      <t>K</t>
    </r>
    <r>
      <rPr>
        <vertAlign val="subscript"/>
        <sz val="11"/>
        <rFont val="Calibri"/>
        <family val="2"/>
        <scheme val="minor"/>
      </rPr>
      <t>PHA</t>
    </r>
    <r>
      <rPr>
        <vertAlign val="subscript"/>
        <sz val="11"/>
        <rFont val="Calibri"/>
        <family val="2"/>
        <charset val="238"/>
        <scheme val="minor"/>
      </rPr>
      <t>,GAO</t>
    </r>
  </si>
  <si>
    <t>Half-saturation of PHA for GAOs (AS)</t>
  </si>
  <si>
    <r>
      <t>Ki</t>
    </r>
    <r>
      <rPr>
        <vertAlign val="subscript"/>
        <sz val="11"/>
        <rFont val="Calibri"/>
        <family val="2"/>
        <scheme val="minor"/>
      </rPr>
      <t>PHA,GAO,max</t>
    </r>
  </si>
  <si>
    <t>Half-inhibition of maximum PHA content of GAOs (AS)</t>
  </si>
  <si>
    <r>
      <t>Logrange</t>
    </r>
    <r>
      <rPr>
        <vertAlign val="subscript"/>
        <sz val="11"/>
        <rFont val="Calibri"/>
        <family val="2"/>
        <charset val="238"/>
        <scheme val="minor"/>
      </rPr>
      <t>PHA,GAO,inh</t>
    </r>
  </si>
  <si>
    <t>Effective range of logistic switch for PHA/GAO inhibition term</t>
  </si>
  <si>
    <r>
      <t>θ</t>
    </r>
    <r>
      <rPr>
        <vertAlign val="subscript"/>
        <sz val="11"/>
        <color indexed="8"/>
        <rFont val="Calibri"/>
        <family val="2"/>
        <scheme val="minor"/>
      </rPr>
      <t>q,GAO,PHA</t>
    </r>
  </si>
  <si>
    <r>
      <t>Y</t>
    </r>
    <r>
      <rPr>
        <vertAlign val="subscript"/>
        <sz val="11"/>
        <rFont val="Calibri"/>
        <family val="2"/>
        <scheme val="minor"/>
      </rPr>
      <t>PAO,PHA,ox</t>
    </r>
  </si>
  <si>
    <t>Yield of PAOs on PHA under aerobic conditions</t>
  </si>
  <si>
    <r>
      <t>Y</t>
    </r>
    <r>
      <rPr>
        <vertAlign val="subscript"/>
        <sz val="11"/>
        <rFont val="Calibri"/>
        <family val="2"/>
        <scheme val="minor"/>
      </rPr>
      <t>PAO,PHA,anox</t>
    </r>
  </si>
  <si>
    <t>Yield of PAOs on PHA under anoxic conditions</t>
  </si>
  <si>
    <r>
      <t>Y</t>
    </r>
    <r>
      <rPr>
        <vertAlign val="subscript"/>
        <sz val="11"/>
        <rFont val="Calibri"/>
        <family val="2"/>
        <scheme val="minor"/>
      </rPr>
      <t>GAO,PHA,ox</t>
    </r>
  </si>
  <si>
    <t>Yield of GAOs on PHA under aerobic conditions</t>
  </si>
  <si>
    <r>
      <t>Y</t>
    </r>
    <r>
      <rPr>
        <vertAlign val="subscript"/>
        <sz val="11"/>
        <rFont val="Calibri"/>
        <family val="2"/>
        <scheme val="minor"/>
      </rPr>
      <t>GAO,PHA,anox</t>
    </r>
  </si>
  <si>
    <t>Yield of GAOs on PHA under anoxic conditions</t>
  </si>
  <si>
    <t>Rate of CASTOs maintenance on stored carbon</t>
  </si>
  <si>
    <t>Half-saturation of stored carbon for PAOs</t>
  </si>
  <si>
    <t>Arrhenius coefficient for carbon storage use for maintenance</t>
  </si>
  <si>
    <r>
      <t>X</t>
    </r>
    <r>
      <rPr>
        <b/>
        <vertAlign val="subscript"/>
        <sz val="11"/>
        <rFont val="Calibri"/>
        <family val="2"/>
        <charset val="238"/>
        <scheme val="minor"/>
      </rPr>
      <t>PHA,PAO</t>
    </r>
  </si>
  <si>
    <t>Polyhydroxyalkanoates (PHA) stored by PAOs</t>
  </si>
  <si>
    <r>
      <t>X</t>
    </r>
    <r>
      <rPr>
        <b/>
        <vertAlign val="subscript"/>
        <sz val="11"/>
        <rFont val="Calibri"/>
        <family val="2"/>
        <charset val="238"/>
        <scheme val="minor"/>
      </rPr>
      <t>PHA,GAO</t>
    </r>
  </si>
  <si>
    <t>Polyhydroxyalkanoates (PHA) stored by GAOs</t>
  </si>
  <si>
    <r>
      <t>X</t>
    </r>
    <r>
      <rPr>
        <b/>
        <vertAlign val="subscript"/>
        <sz val="11"/>
        <rFont val="Calibri"/>
        <family val="2"/>
        <scheme val="minor"/>
      </rPr>
      <t>PHA</t>
    </r>
    <r>
      <rPr>
        <b/>
        <vertAlign val="subscript"/>
        <sz val="11"/>
        <rFont val="Calibri"/>
        <family val="2"/>
        <charset val="238"/>
        <scheme val="minor"/>
      </rPr>
      <t>,PAO</t>
    </r>
  </si>
  <si>
    <r>
      <t>X</t>
    </r>
    <r>
      <rPr>
        <b/>
        <vertAlign val="subscript"/>
        <sz val="11"/>
        <rFont val="Calibri"/>
        <family val="2"/>
        <scheme val="minor"/>
      </rPr>
      <t>PHA,GAO</t>
    </r>
  </si>
  <si>
    <r>
      <t>X</t>
    </r>
    <r>
      <rPr>
        <vertAlign val="subscript"/>
        <sz val="11"/>
        <rFont val="Calibri"/>
        <family val="2"/>
        <scheme val="minor"/>
      </rPr>
      <t>PHA,CASTO</t>
    </r>
  </si>
  <si>
    <t>PHA stored in CASTOs</t>
  </si>
  <si>
    <r>
      <t>X</t>
    </r>
    <r>
      <rPr>
        <vertAlign val="subscript"/>
        <sz val="11"/>
        <rFont val="Calibri"/>
        <family val="2"/>
        <scheme val="minor"/>
      </rPr>
      <t>PHA,PAO</t>
    </r>
    <r>
      <rPr>
        <sz val="11"/>
        <rFont val="Calibri"/>
        <family val="2"/>
        <scheme val="minor"/>
      </rPr>
      <t xml:space="preserve"> + X</t>
    </r>
    <r>
      <rPr>
        <vertAlign val="subscript"/>
        <sz val="11"/>
        <rFont val="Calibri"/>
        <family val="2"/>
        <scheme val="minor"/>
      </rPr>
      <t>PHA,GAO</t>
    </r>
  </si>
  <si>
    <t>Stored carbon in CASTOs</t>
  </si>
  <si>
    <r>
      <t>X</t>
    </r>
    <r>
      <rPr>
        <vertAlign val="subscript"/>
        <sz val="11"/>
        <color rgb="FF000000"/>
        <rFont val="Calibri"/>
        <family val="2"/>
      </rPr>
      <t>PHA,PAO</t>
    </r>
    <r>
      <rPr>
        <sz val="11"/>
        <color indexed="8"/>
        <rFont val="Calibri"/>
        <family val="2"/>
      </rPr>
      <t xml:space="preserve"> / X</t>
    </r>
    <r>
      <rPr>
        <vertAlign val="subscript"/>
        <sz val="11"/>
        <color rgb="FF000000"/>
        <rFont val="Calibri"/>
        <family val="2"/>
      </rPr>
      <t>STC</t>
    </r>
  </si>
  <si>
    <r>
      <t>X</t>
    </r>
    <r>
      <rPr>
        <vertAlign val="subscript"/>
        <sz val="11"/>
        <color rgb="FF000000"/>
        <rFont val="Calibri"/>
        <family val="2"/>
      </rPr>
      <t>PHA,GAO</t>
    </r>
    <r>
      <rPr>
        <sz val="11"/>
        <color indexed="8"/>
        <rFont val="Calibri"/>
        <family val="2"/>
      </rPr>
      <t xml:space="preserve"> / X</t>
    </r>
    <r>
      <rPr>
        <vertAlign val="subscript"/>
        <sz val="11"/>
        <color rgb="FF000000"/>
        <rFont val="Calibri"/>
        <family val="2"/>
      </rPr>
      <t>STC</t>
    </r>
  </si>
  <si>
    <t>Observed yield of CASTOs on PHA under aerobic conditions</t>
  </si>
  <si>
    <t>Observed yield of CASTOs on PHA under anoxic conditions</t>
  </si>
  <si>
    <r>
      <t>(Y</t>
    </r>
    <r>
      <rPr>
        <vertAlign val="subscript"/>
        <sz val="11"/>
        <rFont val="Calibri"/>
        <family val="2"/>
        <scheme val="minor"/>
      </rPr>
      <t>PAO,PHA,ox</t>
    </r>
    <r>
      <rPr>
        <sz val="11"/>
        <rFont val="Calibri"/>
        <family val="2"/>
        <scheme val="minor"/>
      </rPr>
      <t xml:space="preserve"> * X</t>
    </r>
    <r>
      <rPr>
        <vertAlign val="subscript"/>
        <sz val="11"/>
        <rFont val="Calibri"/>
        <family val="2"/>
        <scheme val="minor"/>
      </rPr>
      <t>PHA,PAO</t>
    </r>
    <r>
      <rPr>
        <sz val="11"/>
        <rFont val="Calibri"/>
        <family val="2"/>
        <scheme val="minor"/>
      </rPr>
      <t xml:space="preserve"> + Y</t>
    </r>
    <r>
      <rPr>
        <vertAlign val="subscript"/>
        <sz val="11"/>
        <rFont val="Calibri"/>
        <family val="2"/>
        <scheme val="minor"/>
      </rPr>
      <t>GAO,PHA,ox</t>
    </r>
    <r>
      <rPr>
        <sz val="11"/>
        <rFont val="Calibri"/>
        <family val="2"/>
        <scheme val="minor"/>
      </rPr>
      <t xml:space="preserve"> * X</t>
    </r>
    <r>
      <rPr>
        <vertAlign val="subscript"/>
        <sz val="11"/>
        <rFont val="Calibri"/>
        <family val="2"/>
        <scheme val="minor"/>
      </rPr>
      <t>PHA,GAO</t>
    </r>
    <r>
      <rPr>
        <sz val="11"/>
        <rFont val="Calibri"/>
        <family val="2"/>
        <scheme val="minor"/>
      </rPr>
      <t xml:space="preserve"> ) / X</t>
    </r>
    <r>
      <rPr>
        <vertAlign val="subscript"/>
        <sz val="11"/>
        <rFont val="Calibri"/>
        <family val="2"/>
        <scheme val="minor"/>
      </rPr>
      <t>STC</t>
    </r>
  </si>
  <si>
    <r>
      <t>(Y</t>
    </r>
    <r>
      <rPr>
        <vertAlign val="subscript"/>
        <sz val="11"/>
        <rFont val="Calibri"/>
        <family val="2"/>
        <scheme val="minor"/>
      </rPr>
      <t>PAO,PHA,anox</t>
    </r>
    <r>
      <rPr>
        <sz val="11"/>
        <rFont val="Calibri"/>
        <family val="2"/>
        <scheme val="minor"/>
      </rPr>
      <t xml:space="preserve"> * X</t>
    </r>
    <r>
      <rPr>
        <vertAlign val="subscript"/>
        <sz val="11"/>
        <rFont val="Calibri"/>
        <family val="2"/>
        <scheme val="minor"/>
      </rPr>
      <t>PHA,PAO</t>
    </r>
    <r>
      <rPr>
        <sz val="11"/>
        <rFont val="Calibri"/>
        <family val="2"/>
        <scheme val="minor"/>
      </rPr>
      <t xml:space="preserve"> + Y</t>
    </r>
    <r>
      <rPr>
        <vertAlign val="subscript"/>
        <sz val="11"/>
        <rFont val="Calibri"/>
        <family val="2"/>
        <scheme val="minor"/>
      </rPr>
      <t>GAO,PHA,anox</t>
    </r>
    <r>
      <rPr>
        <sz val="11"/>
        <rFont val="Calibri"/>
        <family val="2"/>
        <scheme val="minor"/>
      </rPr>
      <t xml:space="preserve"> * X</t>
    </r>
    <r>
      <rPr>
        <vertAlign val="subscript"/>
        <sz val="11"/>
        <rFont val="Calibri"/>
        <family val="2"/>
        <scheme val="minor"/>
      </rPr>
      <t>PHA,GAO</t>
    </r>
    <r>
      <rPr>
        <sz val="11"/>
        <rFont val="Calibri"/>
        <family val="2"/>
        <scheme val="minor"/>
      </rPr>
      <t xml:space="preserve"> ) / X</t>
    </r>
    <r>
      <rPr>
        <vertAlign val="subscript"/>
        <sz val="11"/>
        <rFont val="Calibri"/>
        <family val="2"/>
        <scheme val="minor"/>
      </rPr>
      <t>STC</t>
    </r>
  </si>
  <si>
    <r>
      <t>Logslope</t>
    </r>
    <r>
      <rPr>
        <vertAlign val="subscript"/>
        <sz val="11"/>
        <rFont val="Calibri"/>
        <family val="2"/>
        <charset val="238"/>
        <scheme val="minor"/>
      </rPr>
      <t>PHA,GAO,inh</t>
    </r>
  </si>
  <si>
    <t>Logistic slope of inhibition term for PHA/GAO</t>
  </si>
  <si>
    <r>
      <t>Logisticslope(Ki</t>
    </r>
    <r>
      <rPr>
        <vertAlign val="subscript"/>
        <sz val="11"/>
        <rFont val="Calibri"/>
        <family val="2"/>
        <charset val="238"/>
        <scheme val="minor"/>
      </rPr>
      <t>PHA,GAO,max</t>
    </r>
    <r>
      <rPr>
        <sz val="11"/>
        <rFont val="Calibri"/>
        <family val="2"/>
        <scheme val="minor"/>
      </rPr>
      <t>; Logrange</t>
    </r>
    <r>
      <rPr>
        <vertAlign val="subscript"/>
        <sz val="11"/>
        <rFont val="Calibri"/>
        <family val="2"/>
        <charset val="238"/>
        <scheme val="minor"/>
      </rPr>
      <t>PHA,GAO,inh</t>
    </r>
    <r>
      <rPr>
        <sz val="11"/>
        <rFont val="Calibri"/>
        <family val="2"/>
        <scheme val="minor"/>
      </rPr>
      <t>)</t>
    </r>
  </si>
  <si>
    <t>Saturation term for carbon storage (CASTO)</t>
  </si>
  <si>
    <t>Inhibition term for carbon storage (CASTO)</t>
  </si>
  <si>
    <r>
      <t>Loginh(X</t>
    </r>
    <r>
      <rPr>
        <vertAlign val="subscript"/>
        <sz val="11"/>
        <rFont val="Calibri"/>
        <family val="2"/>
        <charset val="238"/>
        <scheme val="minor"/>
      </rPr>
      <t>PHA,PAO</t>
    </r>
    <r>
      <rPr>
        <sz val="11"/>
        <rFont val="Calibri"/>
        <family val="2"/>
        <scheme val="minor"/>
      </rPr>
      <t>/X</t>
    </r>
    <r>
      <rPr>
        <vertAlign val="subscript"/>
        <sz val="11"/>
        <rFont val="Calibri"/>
        <family val="2"/>
        <charset val="238"/>
        <scheme val="minor"/>
      </rPr>
      <t>PAO</t>
    </r>
    <r>
      <rPr>
        <sz val="11"/>
        <rFont val="Calibri"/>
        <family val="2"/>
        <scheme val="minor"/>
      </rPr>
      <t>; Ki</t>
    </r>
    <r>
      <rPr>
        <vertAlign val="subscript"/>
        <sz val="11"/>
        <rFont val="Calibri"/>
        <family val="2"/>
        <charset val="238"/>
        <scheme val="minor"/>
      </rPr>
      <t>PHA,PAO,max</t>
    </r>
    <r>
      <rPr>
        <sz val="11"/>
        <rFont val="Calibri"/>
        <family val="2"/>
        <scheme val="minor"/>
      </rPr>
      <t>; Logslope</t>
    </r>
    <r>
      <rPr>
        <vertAlign val="subscript"/>
        <sz val="11"/>
        <rFont val="Calibri"/>
        <family val="2"/>
        <charset val="238"/>
        <scheme val="minor"/>
      </rPr>
      <t>PHA,PAO,inh</t>
    </r>
    <r>
      <rPr>
        <sz val="11"/>
        <rFont val="Calibri"/>
        <family val="2"/>
        <scheme val="minor"/>
      </rPr>
      <t>)</t>
    </r>
  </si>
  <si>
    <r>
      <t>Loginh</t>
    </r>
    <r>
      <rPr>
        <vertAlign val="subscript"/>
        <sz val="11"/>
        <rFont val="Calibri"/>
        <family val="2"/>
        <scheme val="minor"/>
      </rPr>
      <t>XPHA,XGAO,max</t>
    </r>
  </si>
  <si>
    <t>Logistic inhibition term for PHA (GAO)</t>
  </si>
  <si>
    <r>
      <t>Loginh(X</t>
    </r>
    <r>
      <rPr>
        <vertAlign val="subscript"/>
        <sz val="11"/>
        <rFont val="Calibri"/>
        <family val="2"/>
        <charset val="238"/>
        <scheme val="minor"/>
      </rPr>
      <t>PHA,GAO</t>
    </r>
    <r>
      <rPr>
        <sz val="11"/>
        <rFont val="Calibri"/>
        <family val="2"/>
        <scheme val="minor"/>
      </rPr>
      <t>/X</t>
    </r>
    <r>
      <rPr>
        <vertAlign val="subscript"/>
        <sz val="11"/>
        <rFont val="Calibri"/>
        <family val="2"/>
        <charset val="238"/>
        <scheme val="minor"/>
      </rPr>
      <t>GAO</t>
    </r>
    <r>
      <rPr>
        <sz val="11"/>
        <rFont val="Calibri"/>
        <family val="2"/>
        <scheme val="minor"/>
      </rPr>
      <t>; Ki</t>
    </r>
    <r>
      <rPr>
        <vertAlign val="subscript"/>
        <sz val="11"/>
        <rFont val="Calibri"/>
        <family val="2"/>
        <charset val="238"/>
        <scheme val="minor"/>
      </rPr>
      <t>PHA,GAO,max</t>
    </r>
    <r>
      <rPr>
        <sz val="11"/>
        <rFont val="Calibri"/>
        <family val="2"/>
        <scheme val="minor"/>
      </rPr>
      <t>; Logslope</t>
    </r>
    <r>
      <rPr>
        <vertAlign val="subscript"/>
        <sz val="11"/>
        <rFont val="Calibri"/>
        <family val="2"/>
        <charset val="238"/>
        <scheme val="minor"/>
      </rPr>
      <t>PHA,GAO,inh</t>
    </r>
    <r>
      <rPr>
        <sz val="11"/>
        <rFont val="Calibri"/>
        <family val="2"/>
        <scheme val="minor"/>
      </rPr>
      <t>)</t>
    </r>
  </si>
  <si>
    <r>
      <t>MRinh</t>
    </r>
    <r>
      <rPr>
        <vertAlign val="subscript"/>
        <sz val="11"/>
        <rFont val="Calibri"/>
        <family val="2"/>
        <scheme val="minor"/>
      </rPr>
      <t>XPHA,XGAO,</t>
    </r>
    <r>
      <rPr>
        <vertAlign val="subscript"/>
        <sz val="11"/>
        <rFont val="Calibri"/>
        <family val="2"/>
        <charset val="238"/>
        <scheme val="minor"/>
      </rPr>
      <t>KPHA</t>
    </r>
  </si>
  <si>
    <t>Inhibition term for PHA (GAO)</t>
  </si>
  <si>
    <r>
      <t>MRinh(X</t>
    </r>
    <r>
      <rPr>
        <vertAlign val="subscript"/>
        <sz val="11"/>
        <rFont val="Calibri"/>
        <family val="2"/>
        <scheme val="minor"/>
      </rPr>
      <t>PHA,GAO</t>
    </r>
    <r>
      <rPr>
        <sz val="11"/>
        <rFont val="Calibri"/>
        <family val="2"/>
        <charset val="238"/>
        <scheme val="minor"/>
      </rPr>
      <t>;</t>
    </r>
    <r>
      <rPr>
        <sz val="11"/>
        <rFont val="Calibri"/>
        <family val="2"/>
        <scheme val="minor"/>
      </rPr>
      <t>X</t>
    </r>
    <r>
      <rPr>
        <vertAlign val="subscript"/>
        <sz val="11"/>
        <rFont val="Calibri"/>
        <family val="2"/>
        <scheme val="minor"/>
      </rPr>
      <t>GAO</t>
    </r>
    <r>
      <rPr>
        <sz val="11"/>
        <rFont val="Calibri"/>
        <family val="2"/>
        <scheme val="minor"/>
      </rPr>
      <t>;</t>
    </r>
    <r>
      <rPr>
        <sz val="11"/>
        <rFont val="Calibri"/>
        <family val="2"/>
        <charset val="238"/>
        <scheme val="minor"/>
      </rPr>
      <t>K</t>
    </r>
    <r>
      <rPr>
        <vertAlign val="subscript"/>
        <sz val="11"/>
        <rFont val="Calibri"/>
        <family val="2"/>
        <charset val="238"/>
        <scheme val="minor"/>
      </rPr>
      <t>PHA,GAO</t>
    </r>
    <r>
      <rPr>
        <sz val="11"/>
        <rFont val="Calibri"/>
        <family val="2"/>
        <charset val="238"/>
        <scheme val="minor"/>
      </rPr>
      <t>)</t>
    </r>
  </si>
  <si>
    <r>
      <t>MRsat</t>
    </r>
    <r>
      <rPr>
        <vertAlign val="subscript"/>
        <sz val="11"/>
        <rFont val="Calibri"/>
        <family val="2"/>
        <scheme val="minor"/>
      </rPr>
      <t>XPHA,XGAO,</t>
    </r>
    <r>
      <rPr>
        <vertAlign val="subscript"/>
        <sz val="11"/>
        <rFont val="Calibri"/>
        <family val="2"/>
        <charset val="238"/>
        <scheme val="minor"/>
      </rPr>
      <t>KPHA</t>
    </r>
  </si>
  <si>
    <t>Saturation term for PHA (GAO)</t>
  </si>
  <si>
    <r>
      <t>MRsat(X</t>
    </r>
    <r>
      <rPr>
        <vertAlign val="subscript"/>
        <sz val="11"/>
        <rFont val="Calibri"/>
        <family val="2"/>
        <scheme val="minor"/>
      </rPr>
      <t>PHA,GAO</t>
    </r>
    <r>
      <rPr>
        <sz val="11"/>
        <rFont val="Calibri"/>
        <family val="2"/>
        <scheme val="minor"/>
      </rPr>
      <t>;X</t>
    </r>
    <r>
      <rPr>
        <vertAlign val="subscript"/>
        <sz val="11"/>
        <rFont val="Calibri"/>
        <family val="2"/>
        <scheme val="minor"/>
      </rPr>
      <t>GAO</t>
    </r>
    <r>
      <rPr>
        <sz val="11"/>
        <rFont val="Calibri"/>
        <family val="2"/>
        <scheme val="minor"/>
      </rPr>
      <t>;</t>
    </r>
    <r>
      <rPr>
        <sz val="11"/>
        <rFont val="Calibri"/>
        <family val="2"/>
        <charset val="238"/>
        <scheme val="minor"/>
      </rPr>
      <t>K</t>
    </r>
    <r>
      <rPr>
        <vertAlign val="subscript"/>
        <sz val="11"/>
        <rFont val="Calibri"/>
        <family val="2"/>
        <charset val="238"/>
        <scheme val="minor"/>
      </rPr>
      <t>PHA,GAO</t>
    </r>
    <r>
      <rPr>
        <sz val="11"/>
        <rFont val="Calibri"/>
        <family val="2"/>
        <scheme val="minor"/>
      </rPr>
      <t>)</t>
    </r>
  </si>
  <si>
    <r>
      <t>MRsat(X</t>
    </r>
    <r>
      <rPr>
        <vertAlign val="subscript"/>
        <sz val="11"/>
        <rFont val="Calibri"/>
        <family val="2"/>
        <scheme val="minor"/>
      </rPr>
      <t>PHA,PAO</t>
    </r>
    <r>
      <rPr>
        <sz val="11"/>
        <rFont val="Calibri"/>
        <family val="2"/>
        <scheme val="minor"/>
      </rPr>
      <t>;X</t>
    </r>
    <r>
      <rPr>
        <vertAlign val="subscript"/>
        <sz val="11"/>
        <rFont val="Calibri"/>
        <family val="2"/>
        <scheme val="minor"/>
      </rPr>
      <t>PAO</t>
    </r>
    <r>
      <rPr>
        <sz val="11"/>
        <rFont val="Calibri"/>
        <family val="2"/>
        <scheme val="minor"/>
      </rPr>
      <t>;K</t>
    </r>
    <r>
      <rPr>
        <vertAlign val="subscript"/>
        <sz val="11"/>
        <rFont val="Calibri"/>
        <family val="2"/>
        <scheme val="minor"/>
      </rPr>
      <t>PHA</t>
    </r>
    <r>
      <rPr>
        <sz val="11"/>
        <rFont val="Calibri"/>
        <family val="2"/>
        <scheme val="minor"/>
      </rPr>
      <t>)</t>
    </r>
  </si>
  <si>
    <r>
      <t>MRinh(X</t>
    </r>
    <r>
      <rPr>
        <vertAlign val="subscript"/>
        <sz val="11"/>
        <rFont val="Calibri"/>
        <family val="2"/>
        <scheme val="minor"/>
      </rPr>
      <t>PHA,PAO</t>
    </r>
    <r>
      <rPr>
        <sz val="11"/>
        <rFont val="Calibri"/>
        <family val="2"/>
        <scheme val="minor"/>
      </rPr>
      <t>;X</t>
    </r>
    <r>
      <rPr>
        <vertAlign val="subscript"/>
        <sz val="11"/>
        <rFont val="Calibri"/>
        <family val="2"/>
        <scheme val="minor"/>
      </rPr>
      <t>PAO</t>
    </r>
    <r>
      <rPr>
        <sz val="11"/>
        <rFont val="Calibri"/>
        <family val="2"/>
        <scheme val="minor"/>
      </rPr>
      <t>;K</t>
    </r>
    <r>
      <rPr>
        <vertAlign val="subscript"/>
        <sz val="11"/>
        <rFont val="Calibri"/>
        <family val="2"/>
        <scheme val="minor"/>
      </rPr>
      <t>PHA,cle</t>
    </r>
    <r>
      <rPr>
        <sz val="11"/>
        <rFont val="Calibri"/>
        <family val="2"/>
        <scheme val="minor"/>
      </rPr>
      <t>)</t>
    </r>
  </si>
  <si>
    <r>
      <t>q</t>
    </r>
    <r>
      <rPr>
        <vertAlign val="subscript"/>
        <sz val="11"/>
        <color indexed="8"/>
        <rFont val="Calibri"/>
        <family val="2"/>
        <scheme val="minor"/>
      </rPr>
      <t>GAO,PHA,T</t>
    </r>
  </si>
  <si>
    <t>Rate of VFA storage into PHA for GAOs (temperature corrected)</t>
  </si>
  <si>
    <r>
      <t>q</t>
    </r>
    <r>
      <rPr>
        <vertAlign val="subscript"/>
        <sz val="11"/>
        <color indexed="8"/>
        <rFont val="Calibri"/>
        <family val="2"/>
        <scheme val="minor"/>
      </rPr>
      <t>GAO,PHA</t>
    </r>
    <r>
      <rPr>
        <sz val="11"/>
        <color indexed="8"/>
        <rFont val="Calibri"/>
        <family val="2"/>
        <scheme val="minor"/>
      </rPr>
      <t>*Arrh(θ</t>
    </r>
    <r>
      <rPr>
        <vertAlign val="subscript"/>
        <sz val="11"/>
        <color indexed="8"/>
        <rFont val="Calibri"/>
        <family val="2"/>
        <scheme val="minor"/>
      </rPr>
      <t>q,GAO,PHA</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</si>
  <si>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t>Temperature correction of ORP switch of PHA storage by GAO</t>
  </si>
  <si>
    <t>ORP switch of PHA storage by GAO</t>
  </si>
  <si>
    <t>Observed rate of CASTOs maintenance on stored carbon (temperature corrected)</t>
  </si>
  <si>
    <r>
      <t>CASTO growth on PHA, O</t>
    </r>
    <r>
      <rPr>
        <vertAlign val="subscript"/>
        <sz val="11"/>
        <color rgb="FF000000"/>
        <rFont val="Calibri"/>
        <family val="2"/>
        <scheme val="minor"/>
      </rPr>
      <t>2</t>
    </r>
  </si>
  <si>
    <r>
      <t>CASTO growth on PHA, NO</t>
    </r>
    <r>
      <rPr>
        <vertAlign val="subscript"/>
        <sz val="11"/>
        <color rgb="FF000000"/>
        <rFont val="Calibri"/>
        <family val="2"/>
        <scheme val="minor"/>
      </rPr>
      <t>2</t>
    </r>
  </si>
  <si>
    <r>
      <t>CASTO growth on PHA, NO</t>
    </r>
    <r>
      <rPr>
        <vertAlign val="subscript"/>
        <sz val="11"/>
        <color rgb="FF000000"/>
        <rFont val="Calibri"/>
        <family val="2"/>
        <scheme val="minor"/>
      </rPr>
      <t>3</t>
    </r>
  </si>
  <si>
    <t>GAO's PHA storage from VFAs</t>
  </si>
  <si>
    <r>
      <t>q</t>
    </r>
    <r>
      <rPr>
        <vertAlign val="subscript"/>
        <sz val="11"/>
        <rFont val="Calibri"/>
        <family val="2"/>
      </rPr>
      <t>GAO,PHA,T</t>
    </r>
    <r>
      <rPr>
        <sz val="11"/>
        <rFont val="Calibri"/>
        <family val="2"/>
      </rPr>
      <t xml:space="preserve"> * X</t>
    </r>
    <r>
      <rPr>
        <vertAlign val="subscript"/>
        <sz val="11"/>
        <rFont val="Calibri"/>
        <family val="2"/>
      </rPr>
      <t>CASTO</t>
    </r>
    <r>
      <rPr>
        <sz val="11"/>
        <rFont val="Calibri"/>
        <family val="2"/>
        <charset val="238"/>
      </rPr>
      <t xml:space="preserve"> * act</t>
    </r>
    <r>
      <rPr>
        <vertAlign val="subscript"/>
        <sz val="11"/>
        <rFont val="Calibri"/>
        <family val="2"/>
      </rPr>
      <t>sto,GAO,ORP</t>
    </r>
    <r>
      <rPr>
        <sz val="11"/>
        <rFont val="Calibri"/>
        <family val="2"/>
      </rPr>
      <t xml:space="preserve"> * Msat</t>
    </r>
    <r>
      <rPr>
        <vertAlign val="subscript"/>
        <sz val="11"/>
        <rFont val="Calibri"/>
        <family val="2"/>
      </rPr>
      <t>SVFA,KVFA,CASTO</t>
    </r>
    <r>
      <rPr>
        <sz val="11"/>
        <rFont val="Calibri"/>
        <family val="2"/>
      </rPr>
      <t xml:space="preserve"> * Loginh</t>
    </r>
    <r>
      <rPr>
        <vertAlign val="subscript"/>
        <sz val="11"/>
        <rFont val="Calibri"/>
        <family val="2"/>
      </rPr>
      <t>XPHA,XGAO,max</t>
    </r>
  </si>
  <si>
    <r>
      <t>b</t>
    </r>
    <r>
      <rPr>
        <vertAlign val="subscript"/>
        <sz val="11"/>
        <rFont val="Calibri"/>
        <family val="2"/>
      </rPr>
      <t>STC,T</t>
    </r>
    <r>
      <rPr>
        <sz val="11"/>
        <rFont val="Calibri"/>
        <family val="2"/>
      </rPr>
      <t xml:space="preserve"> * η</t>
    </r>
    <r>
      <rPr>
        <vertAlign val="subscript"/>
        <sz val="11"/>
        <rFont val="Calibri"/>
        <family val="2"/>
      </rPr>
      <t>bPHA,ana</t>
    </r>
    <r>
      <rPr>
        <sz val="11"/>
        <rFont val="Calibri"/>
        <family val="2"/>
      </rPr>
      <t xml:space="preserve"> * X</t>
    </r>
    <r>
      <rPr>
        <vertAlign val="subscript"/>
        <sz val="11"/>
        <rFont val="Calibri"/>
        <family val="2"/>
      </rPr>
      <t>GAO</t>
    </r>
    <r>
      <rPr>
        <sz val="11"/>
        <rFont val="Calibri"/>
        <family val="2"/>
      </rPr>
      <t xml:space="preserve"> * Minh</t>
    </r>
    <r>
      <rPr>
        <vertAlign val="subscript"/>
        <sz val="11"/>
        <rFont val="Calibri"/>
        <family val="2"/>
      </rPr>
      <t>SO2,KO2,CASTO</t>
    </r>
    <r>
      <rPr>
        <sz val="11"/>
        <rFont val="Calibri"/>
        <family val="2"/>
      </rPr>
      <t xml:space="preserve"> * Minh</t>
    </r>
    <r>
      <rPr>
        <vertAlign val="subscript"/>
        <sz val="11"/>
        <rFont val="Calibri"/>
        <family val="2"/>
      </rPr>
      <t>SNO3,KNO3,CASTO</t>
    </r>
    <r>
      <rPr>
        <sz val="11"/>
        <rFont val="Calibri"/>
        <family val="2"/>
        <charset val="238"/>
      </rPr>
      <t xml:space="preserve"> * Minh</t>
    </r>
    <r>
      <rPr>
        <vertAlign val="subscript"/>
        <sz val="11"/>
        <rFont val="Calibri"/>
        <family val="2"/>
      </rPr>
      <t>SNO2,KNO2,CASTO</t>
    </r>
    <r>
      <rPr>
        <sz val="11"/>
        <rFont val="Calibri"/>
        <family val="2"/>
      </rPr>
      <t xml:space="preserve"> * MRsat</t>
    </r>
    <r>
      <rPr>
        <vertAlign val="subscript"/>
        <sz val="11"/>
        <rFont val="Calibri"/>
        <family val="2"/>
      </rPr>
      <t>XPHA,XGAO,KPHA</t>
    </r>
  </si>
  <si>
    <r>
      <t>b</t>
    </r>
    <r>
      <rPr>
        <vertAlign val="subscript"/>
        <sz val="11"/>
        <rFont val="Calibri"/>
        <family val="2"/>
      </rPr>
      <t xml:space="preserve">CASTO,T </t>
    </r>
    <r>
      <rPr>
        <sz val="11"/>
        <rFont val="Calibri"/>
        <family val="2"/>
      </rPr>
      <t>* (η</t>
    </r>
    <r>
      <rPr>
        <vertAlign val="subscript"/>
        <sz val="11"/>
        <rFont val="Calibri"/>
        <family val="2"/>
      </rPr>
      <t xml:space="preserve">bCASTO,ana </t>
    </r>
    <r>
      <rPr>
        <sz val="11"/>
        <rFont val="Calibri"/>
        <family val="2"/>
      </rPr>
      <t>* (X</t>
    </r>
    <r>
      <rPr>
        <vertAlign val="subscript"/>
        <sz val="11"/>
        <rFont val="Calibri"/>
        <family val="2"/>
        <charset val="238"/>
      </rPr>
      <t>PAO</t>
    </r>
    <r>
      <rPr>
        <sz val="11"/>
        <rFont val="Calibri"/>
        <family val="2"/>
      </rPr>
      <t xml:space="preserve"> * MRinh</t>
    </r>
    <r>
      <rPr>
        <vertAlign val="subscript"/>
        <sz val="11"/>
        <rFont val="Calibri"/>
        <family val="2"/>
      </rPr>
      <t>XPP,XPAO,KPP</t>
    </r>
    <r>
      <rPr>
        <sz val="11"/>
        <rFont val="Calibri"/>
        <family val="2"/>
      </rPr>
      <t xml:space="preserve"> + X</t>
    </r>
    <r>
      <rPr>
        <vertAlign val="subscript"/>
        <sz val="11"/>
        <rFont val="Calibri"/>
        <family val="2"/>
        <charset val="238"/>
      </rPr>
      <t>GAO</t>
    </r>
    <r>
      <rPr>
        <sz val="11"/>
        <rFont val="Calibri"/>
        <family val="2"/>
      </rPr>
      <t xml:space="preserve"> * MRinh</t>
    </r>
    <r>
      <rPr>
        <vertAlign val="subscript"/>
        <sz val="11"/>
        <rFont val="Calibri"/>
        <family val="2"/>
      </rPr>
      <t>XPHA,XGAO,KPHA</t>
    </r>
    <r>
      <rPr>
        <sz val="11"/>
        <rFont val="Calibri"/>
        <family val="2"/>
      </rPr>
      <t>) * Minh</t>
    </r>
    <r>
      <rPr>
        <vertAlign val="subscript"/>
        <sz val="11"/>
        <rFont val="Calibri"/>
        <family val="2"/>
      </rPr>
      <t>SNO3,KNO3,CASTO</t>
    </r>
    <r>
      <rPr>
        <sz val="11"/>
        <rFont val="Calibri"/>
        <family val="2"/>
        <charset val="238"/>
      </rPr>
      <t xml:space="preserve"> * Minh</t>
    </r>
    <r>
      <rPr>
        <vertAlign val="subscript"/>
        <sz val="11"/>
        <rFont val="Calibri"/>
        <family val="2"/>
      </rPr>
      <t xml:space="preserve">SNO2,KNO2,CASTO </t>
    </r>
    <r>
      <rPr>
        <sz val="11"/>
        <rFont val="Calibri"/>
        <family val="2"/>
      </rPr>
      <t>* Minh</t>
    </r>
    <r>
      <rPr>
        <vertAlign val="subscript"/>
        <sz val="11"/>
        <rFont val="Calibri"/>
        <family val="2"/>
      </rPr>
      <t xml:space="preserve">SO2,KO2,CASTO </t>
    </r>
    <r>
      <rPr>
        <sz val="11"/>
        <rFont val="Calibri"/>
        <family val="2"/>
      </rPr>
      <t>+ X</t>
    </r>
    <r>
      <rPr>
        <vertAlign val="subscript"/>
        <sz val="11"/>
        <rFont val="Calibri"/>
        <family val="2"/>
        <charset val="238"/>
      </rPr>
      <t>CASTO</t>
    </r>
    <r>
      <rPr>
        <sz val="11"/>
        <rFont val="Calibri"/>
        <family val="2"/>
      </rPr>
      <t xml:space="preserve"> * m</t>
    </r>
    <r>
      <rPr>
        <vertAlign val="subscript"/>
        <sz val="11"/>
        <rFont val="Calibri"/>
        <family val="2"/>
      </rPr>
      <t>tox,ana</t>
    </r>
    <r>
      <rPr>
        <sz val="11"/>
        <rFont val="Calibri"/>
        <family val="2"/>
      </rPr>
      <t>)</t>
    </r>
  </si>
  <si>
    <r>
      <t>-(X</t>
    </r>
    <r>
      <rPr>
        <vertAlign val="subscript"/>
        <sz val="11"/>
        <rFont val="Calibri"/>
        <family val="2"/>
      </rPr>
      <t>PHA,PAO</t>
    </r>
    <r>
      <rPr>
        <sz val="11"/>
        <rFont val="Calibri"/>
        <family val="2"/>
      </rPr>
      <t>/X</t>
    </r>
    <r>
      <rPr>
        <vertAlign val="subscript"/>
        <sz val="11"/>
        <rFont val="Calibri"/>
        <family val="2"/>
      </rPr>
      <t>STC</t>
    </r>
    <r>
      <rPr>
        <sz val="11"/>
        <rFont val="Calibri"/>
        <family val="2"/>
      </rPr>
      <t>)/Y</t>
    </r>
    <r>
      <rPr>
        <vertAlign val="subscript"/>
        <sz val="11"/>
        <rFont val="Calibri"/>
        <family val="2"/>
      </rPr>
      <t>CASTO,STC,ox</t>
    </r>
  </si>
  <si>
    <r>
      <t>-(X</t>
    </r>
    <r>
      <rPr>
        <vertAlign val="subscript"/>
        <sz val="11"/>
        <rFont val="Calibri"/>
        <family val="2"/>
      </rPr>
      <t>PHA,PAO</t>
    </r>
    <r>
      <rPr>
        <sz val="11"/>
        <rFont val="Calibri"/>
        <family val="2"/>
      </rPr>
      <t>/X</t>
    </r>
    <r>
      <rPr>
        <vertAlign val="subscript"/>
        <sz val="11"/>
        <rFont val="Calibri"/>
        <family val="2"/>
      </rPr>
      <t>STC</t>
    </r>
    <r>
      <rPr>
        <sz val="11"/>
        <rFont val="Calibri"/>
        <family val="2"/>
      </rPr>
      <t>)/Y</t>
    </r>
    <r>
      <rPr>
        <vertAlign val="subscript"/>
        <sz val="11"/>
        <rFont val="Calibri"/>
        <family val="2"/>
      </rPr>
      <t>CASTO,STC,anox</t>
    </r>
  </si>
  <si>
    <r>
      <t>-X</t>
    </r>
    <r>
      <rPr>
        <vertAlign val="subscript"/>
        <sz val="11"/>
        <rFont val="Calibri"/>
        <family val="2"/>
      </rPr>
      <t>PHA,PAO</t>
    </r>
    <r>
      <rPr>
        <sz val="11"/>
        <rFont val="Calibri"/>
        <family val="2"/>
      </rPr>
      <t>/X</t>
    </r>
    <r>
      <rPr>
        <vertAlign val="subscript"/>
        <sz val="11"/>
        <rFont val="Calibri"/>
        <family val="2"/>
      </rPr>
      <t>STC</t>
    </r>
  </si>
  <si>
    <r>
      <t>-X</t>
    </r>
    <r>
      <rPr>
        <vertAlign val="subscript"/>
        <sz val="11"/>
        <rFont val="Calibri"/>
        <family val="2"/>
      </rPr>
      <t>PHA,PAO</t>
    </r>
    <r>
      <rPr>
        <sz val="11"/>
        <rFont val="Calibri"/>
        <family val="2"/>
      </rPr>
      <t>/X</t>
    </r>
    <r>
      <rPr>
        <vertAlign val="subscript"/>
        <sz val="11"/>
        <rFont val="Calibri"/>
        <family val="2"/>
      </rPr>
      <t>CASTO</t>
    </r>
  </si>
  <si>
    <r>
      <t>-1/Y</t>
    </r>
    <r>
      <rPr>
        <vertAlign val="subscript"/>
        <sz val="11"/>
        <rFont val="Calibri"/>
        <family val="2"/>
      </rPr>
      <t>PAO,PHA,ox</t>
    </r>
  </si>
  <si>
    <r>
      <t>-1/Y</t>
    </r>
    <r>
      <rPr>
        <vertAlign val="subscript"/>
        <sz val="11"/>
        <rFont val="Calibri"/>
        <family val="2"/>
      </rPr>
      <t>PAO,PHA,anox</t>
    </r>
  </si>
  <si>
    <r>
      <t>-(X</t>
    </r>
    <r>
      <rPr>
        <vertAlign val="subscript"/>
        <sz val="11"/>
        <rFont val="Calibri"/>
        <family val="2"/>
      </rPr>
      <t>PHA,GAO</t>
    </r>
    <r>
      <rPr>
        <sz val="11"/>
        <rFont val="Calibri"/>
        <family val="2"/>
      </rPr>
      <t>/X</t>
    </r>
    <r>
      <rPr>
        <vertAlign val="subscript"/>
        <sz val="11"/>
        <rFont val="Calibri"/>
        <family val="2"/>
      </rPr>
      <t>STC</t>
    </r>
    <r>
      <rPr>
        <sz val="11"/>
        <rFont val="Calibri"/>
        <family val="2"/>
      </rPr>
      <t>)/Y</t>
    </r>
    <r>
      <rPr>
        <vertAlign val="subscript"/>
        <sz val="11"/>
        <rFont val="Calibri"/>
        <family val="2"/>
      </rPr>
      <t>CASTO,STC,ox</t>
    </r>
  </si>
  <si>
    <r>
      <t>-(X</t>
    </r>
    <r>
      <rPr>
        <vertAlign val="subscript"/>
        <sz val="11"/>
        <rFont val="Calibri"/>
        <family val="2"/>
      </rPr>
      <t>PHA,GAO</t>
    </r>
    <r>
      <rPr>
        <sz val="11"/>
        <rFont val="Calibri"/>
        <family val="2"/>
      </rPr>
      <t>/X</t>
    </r>
    <r>
      <rPr>
        <vertAlign val="subscript"/>
        <sz val="11"/>
        <rFont val="Calibri"/>
        <family val="2"/>
      </rPr>
      <t>STC</t>
    </r>
    <r>
      <rPr>
        <sz val="11"/>
        <rFont val="Calibri"/>
        <family val="2"/>
      </rPr>
      <t>)/Y</t>
    </r>
    <r>
      <rPr>
        <vertAlign val="subscript"/>
        <sz val="11"/>
        <rFont val="Calibri"/>
        <family val="2"/>
      </rPr>
      <t>CASTO,STC,anox</t>
    </r>
  </si>
  <si>
    <r>
      <t>-X</t>
    </r>
    <r>
      <rPr>
        <vertAlign val="subscript"/>
        <sz val="11"/>
        <rFont val="Calibri"/>
        <family val="2"/>
      </rPr>
      <t>PHA,GAO</t>
    </r>
    <r>
      <rPr>
        <sz val="11"/>
        <rFont val="Calibri"/>
        <family val="2"/>
      </rPr>
      <t>/X</t>
    </r>
    <r>
      <rPr>
        <vertAlign val="subscript"/>
        <sz val="11"/>
        <rFont val="Calibri"/>
        <family val="2"/>
      </rPr>
      <t>STC</t>
    </r>
  </si>
  <si>
    <r>
      <t>-X</t>
    </r>
    <r>
      <rPr>
        <vertAlign val="subscript"/>
        <sz val="11"/>
        <rFont val="Calibri"/>
        <family val="2"/>
      </rPr>
      <t>PHA,GAO</t>
    </r>
    <r>
      <rPr>
        <sz val="11"/>
        <rFont val="Calibri"/>
        <family val="2"/>
      </rPr>
      <t>/X</t>
    </r>
    <r>
      <rPr>
        <vertAlign val="subscript"/>
        <sz val="11"/>
        <rFont val="Calibri"/>
        <family val="2"/>
      </rPr>
      <t>CASTO</t>
    </r>
  </si>
  <si>
    <r>
      <t>-(1-Y</t>
    </r>
    <r>
      <rPr>
        <vertAlign val="subscript"/>
        <sz val="11"/>
        <rFont val="Calibri"/>
        <family val="2"/>
      </rPr>
      <t>PAO,PHA,anox</t>
    </r>
    <r>
      <rPr>
        <sz val="11"/>
        <rFont val="Calibri"/>
        <family val="2"/>
      </rPr>
      <t>)/(EEQ</t>
    </r>
    <r>
      <rPr>
        <vertAlign val="subscript"/>
        <sz val="11"/>
        <rFont val="Calibri"/>
        <family val="2"/>
      </rPr>
      <t>N2,NO2</t>
    </r>
    <r>
      <rPr>
        <sz val="11"/>
        <rFont val="Calibri"/>
        <family val="2"/>
      </rPr>
      <t>*Y</t>
    </r>
    <r>
      <rPr>
        <vertAlign val="subscript"/>
        <sz val="11"/>
        <rFont val="Calibri"/>
        <family val="2"/>
      </rPr>
      <t>PAO,PHA,anox</t>
    </r>
    <r>
      <rPr>
        <sz val="11"/>
        <rFont val="Calibri"/>
        <family val="2"/>
      </rPr>
      <t>)</t>
    </r>
  </si>
  <si>
    <r>
      <t>(1-Y</t>
    </r>
    <r>
      <rPr>
        <vertAlign val="subscript"/>
        <sz val="11"/>
        <rFont val="Calibri"/>
        <family val="2"/>
      </rPr>
      <t>PAO,PHA,anox</t>
    </r>
    <r>
      <rPr>
        <sz val="11"/>
        <rFont val="Calibri"/>
        <family val="2"/>
      </rPr>
      <t>)/(EEQ</t>
    </r>
    <r>
      <rPr>
        <vertAlign val="subscript"/>
        <sz val="11"/>
        <rFont val="Calibri"/>
        <family val="2"/>
      </rPr>
      <t>NO2,NO3</t>
    </r>
    <r>
      <rPr>
        <sz val="11"/>
        <rFont val="Calibri"/>
        <family val="2"/>
      </rPr>
      <t>*Y</t>
    </r>
    <r>
      <rPr>
        <vertAlign val="subscript"/>
        <sz val="11"/>
        <rFont val="Calibri"/>
        <family val="2"/>
      </rPr>
      <t>PAO,PHA,anox</t>
    </r>
    <r>
      <rPr>
        <sz val="11"/>
        <rFont val="Calibri"/>
        <family val="2"/>
      </rPr>
      <t>)</t>
    </r>
  </si>
  <si>
    <r>
      <t>-(1-Y</t>
    </r>
    <r>
      <rPr>
        <vertAlign val="subscript"/>
        <sz val="11"/>
        <rFont val="Calibri"/>
        <family val="2"/>
      </rPr>
      <t>PAO,PHA,anox</t>
    </r>
    <r>
      <rPr>
        <sz val="11"/>
        <rFont val="Calibri"/>
        <family val="2"/>
      </rPr>
      <t>)/(EEQ</t>
    </r>
    <r>
      <rPr>
        <vertAlign val="subscript"/>
        <sz val="11"/>
        <rFont val="Calibri"/>
        <family val="2"/>
      </rPr>
      <t>NO2,NO3</t>
    </r>
    <r>
      <rPr>
        <sz val="11"/>
        <rFont val="Calibri"/>
        <family val="2"/>
      </rPr>
      <t>*Y</t>
    </r>
    <r>
      <rPr>
        <vertAlign val="subscript"/>
        <sz val="11"/>
        <rFont val="Calibri"/>
        <family val="2"/>
      </rPr>
      <t>PAO,PHA,anox</t>
    </r>
    <r>
      <rPr>
        <sz val="11"/>
        <rFont val="Calibri"/>
        <family val="2"/>
      </rPr>
      <t>)</t>
    </r>
  </si>
  <si>
    <r>
      <t>(1-Y</t>
    </r>
    <r>
      <rPr>
        <vertAlign val="subscript"/>
        <sz val="11"/>
        <rFont val="Calibri"/>
        <family val="2"/>
      </rPr>
      <t>PAO,PHA,anox</t>
    </r>
    <r>
      <rPr>
        <sz val="11"/>
        <rFont val="Calibri"/>
        <family val="2"/>
      </rPr>
      <t>)/(EEQ</t>
    </r>
    <r>
      <rPr>
        <vertAlign val="subscript"/>
        <sz val="11"/>
        <rFont val="Calibri"/>
        <family val="2"/>
      </rPr>
      <t>N2,NO2</t>
    </r>
    <r>
      <rPr>
        <sz val="11"/>
        <rFont val="Calibri"/>
        <family val="2"/>
      </rPr>
      <t>*Y</t>
    </r>
    <r>
      <rPr>
        <vertAlign val="subscript"/>
        <sz val="11"/>
        <rFont val="Calibri"/>
        <family val="2"/>
      </rPr>
      <t>PAO,PHA,anox</t>
    </r>
    <r>
      <rPr>
        <sz val="11"/>
        <rFont val="Calibri"/>
        <family val="2"/>
      </rPr>
      <t>)</t>
    </r>
  </si>
  <si>
    <r>
      <t>-(1-Y</t>
    </r>
    <r>
      <rPr>
        <vertAlign val="subscript"/>
        <sz val="11"/>
        <rFont val="Calibri"/>
        <family val="2"/>
      </rPr>
      <t>PAO,PHA,ox</t>
    </r>
    <r>
      <rPr>
        <sz val="11"/>
        <rFont val="Calibri"/>
        <family val="2"/>
      </rPr>
      <t>)/Y</t>
    </r>
    <r>
      <rPr>
        <vertAlign val="subscript"/>
        <sz val="11"/>
        <rFont val="Calibri"/>
        <family val="2"/>
      </rPr>
      <t>PAO,PHA,ox</t>
    </r>
  </si>
  <si>
    <r>
      <t>i</t>
    </r>
    <r>
      <rPr>
        <vertAlign val="subscript"/>
        <sz val="11"/>
        <rFont val="Calibri"/>
        <family val="2"/>
      </rPr>
      <t>CIT,PHA</t>
    </r>
    <r>
      <rPr>
        <sz val="11"/>
        <rFont val="Calibri"/>
        <family val="2"/>
      </rPr>
      <t>-i</t>
    </r>
    <r>
      <rPr>
        <vertAlign val="subscript"/>
        <sz val="11"/>
        <rFont val="Calibri"/>
        <family val="2"/>
      </rPr>
      <t>CIT,VFA</t>
    </r>
  </si>
  <si>
    <r>
      <t>(i</t>
    </r>
    <r>
      <rPr>
        <vertAlign val="subscript"/>
        <sz val="11"/>
        <rFont val="Calibri"/>
        <family val="2"/>
      </rPr>
      <t>CIT,PHA</t>
    </r>
    <r>
      <rPr>
        <sz val="11"/>
        <rFont val="Calibri"/>
        <family val="2"/>
      </rPr>
      <t>/Y</t>
    </r>
    <r>
      <rPr>
        <vertAlign val="subscript"/>
        <sz val="11"/>
        <rFont val="Calibri"/>
        <family val="2"/>
      </rPr>
      <t>PAO,PHA,ox</t>
    </r>
    <r>
      <rPr>
        <sz val="11"/>
        <rFont val="Calibri"/>
        <family val="2"/>
      </rPr>
      <t>)</t>
    </r>
    <r>
      <rPr>
        <vertAlign val="subscript"/>
        <sz val="11"/>
        <rFont val="Calibri"/>
        <family val="2"/>
      </rPr>
      <t xml:space="preserve"> </t>
    </r>
    <r>
      <rPr>
        <sz val="11"/>
        <rFont val="Calibri"/>
        <family val="2"/>
      </rPr>
      <t>- i</t>
    </r>
    <r>
      <rPr>
        <vertAlign val="subscript"/>
        <sz val="11"/>
        <rFont val="Calibri"/>
        <family val="2"/>
      </rPr>
      <t>CIT,BIO</t>
    </r>
  </si>
  <si>
    <r>
      <t>(i</t>
    </r>
    <r>
      <rPr>
        <vertAlign val="subscript"/>
        <sz val="11"/>
        <rFont val="Calibri"/>
        <family val="2"/>
      </rPr>
      <t>CIT,PHA</t>
    </r>
    <r>
      <rPr>
        <sz val="11"/>
        <rFont val="Calibri"/>
        <family val="2"/>
      </rPr>
      <t>/Y</t>
    </r>
    <r>
      <rPr>
        <vertAlign val="subscript"/>
        <sz val="11"/>
        <rFont val="Calibri"/>
        <family val="2"/>
      </rPr>
      <t>PAO,PHA,anox</t>
    </r>
    <r>
      <rPr>
        <sz val="11"/>
        <rFont val="Calibri"/>
        <family val="2"/>
      </rPr>
      <t>)</t>
    </r>
    <r>
      <rPr>
        <vertAlign val="subscript"/>
        <sz val="11"/>
        <rFont val="Calibri"/>
        <family val="2"/>
      </rPr>
      <t xml:space="preserve"> </t>
    </r>
    <r>
      <rPr>
        <sz val="11"/>
        <rFont val="Calibri"/>
        <family val="2"/>
      </rPr>
      <t>- i</t>
    </r>
    <r>
      <rPr>
        <vertAlign val="subscript"/>
        <sz val="11"/>
        <rFont val="Calibri"/>
        <family val="2"/>
      </rPr>
      <t>CIT,BIO</t>
    </r>
  </si>
  <si>
    <r>
      <t>q</t>
    </r>
    <r>
      <rPr>
        <vertAlign val="subscript"/>
        <sz val="11"/>
        <color indexed="8"/>
        <rFont val="Calibri"/>
        <family val="2"/>
        <scheme val="minor"/>
      </rPr>
      <t>HYD</t>
    </r>
    <r>
      <rPr>
        <vertAlign val="subscript"/>
        <sz val="11"/>
        <color rgb="FF000000"/>
        <rFont val="Calibri"/>
        <family val="2"/>
        <scheme val="minor"/>
      </rPr>
      <t>,XBe</t>
    </r>
  </si>
  <si>
    <t>Rate of hydrolysis of slowly biodegradable substrate from biomass decay</t>
  </si>
  <si>
    <t>Key(955)</t>
  </si>
  <si>
    <r>
      <t>q</t>
    </r>
    <r>
      <rPr>
        <vertAlign val="subscript"/>
        <sz val="11"/>
        <color indexed="8"/>
        <rFont val="Calibri"/>
        <family val="2"/>
        <scheme val="minor"/>
      </rPr>
      <t>HYD</t>
    </r>
    <r>
      <rPr>
        <vertAlign val="subscript"/>
        <sz val="11"/>
        <color rgb="FF000000"/>
        <rFont val="Calibri"/>
        <family val="2"/>
        <scheme val="minor"/>
      </rPr>
      <t>,XB</t>
    </r>
  </si>
  <si>
    <t>Rate of hydrolysis of slowly biodegradable substrate</t>
  </si>
  <si>
    <r>
      <t>K</t>
    </r>
    <r>
      <rPr>
        <vertAlign val="subscript"/>
        <sz val="11"/>
        <color indexed="8"/>
        <rFont val="Calibri"/>
        <family val="2"/>
        <scheme val="minor"/>
      </rPr>
      <t>XBe,HYD</t>
    </r>
  </si>
  <si>
    <t>Half-saturation of slowly biodegradable substrate from biomass decay in low biomass condition hydrolysis</t>
  </si>
  <si>
    <r>
      <t>i</t>
    </r>
    <r>
      <rPr>
        <vertAlign val="subscript"/>
        <sz val="11"/>
        <rFont val="Calibri"/>
        <family val="2"/>
        <scheme val="minor"/>
      </rPr>
      <t>CV,XBe</t>
    </r>
  </si>
  <si>
    <t>COD of biodegradable substrate from biomass decay in volatile solids</t>
  </si>
  <si>
    <r>
      <t>i</t>
    </r>
    <r>
      <rPr>
        <vertAlign val="subscript"/>
        <sz val="11"/>
        <rFont val="Calibri"/>
        <family val="2"/>
        <scheme val="minor"/>
      </rPr>
      <t>CIT,XBe</t>
    </r>
  </si>
  <si>
    <r>
      <t>Inorganic carbon content of X</t>
    </r>
    <r>
      <rPr>
        <vertAlign val="subscript"/>
        <sz val="11"/>
        <color rgb="FF000000"/>
        <rFont val="Calibri"/>
        <family val="2"/>
        <scheme val="minor"/>
      </rPr>
      <t>B,e</t>
    </r>
  </si>
  <si>
    <r>
      <t>i</t>
    </r>
    <r>
      <rPr>
        <vertAlign val="subscript"/>
        <sz val="11"/>
        <rFont val="Calibri"/>
        <family val="2"/>
        <scheme val="minor"/>
      </rPr>
      <t>vw,XBe</t>
    </r>
  </si>
  <si>
    <t>Vicinal water of slowly biodegradable substrate from biomass decay in volatile solids</t>
  </si>
  <si>
    <r>
      <t>i</t>
    </r>
    <r>
      <rPr>
        <vertAlign val="subscript"/>
        <sz val="11"/>
        <rFont val="Calibri"/>
        <family val="2"/>
        <scheme val="minor"/>
      </rPr>
      <t>wh,XBe</t>
    </r>
  </si>
  <si>
    <t>Water of hydration of slowly biodegradable substrate from biomass decay in volatile solids</t>
  </si>
  <si>
    <r>
      <t>X</t>
    </r>
    <r>
      <rPr>
        <b/>
        <vertAlign val="subscript"/>
        <sz val="11"/>
        <rFont val="Calibri"/>
        <family val="2"/>
        <charset val="238"/>
        <scheme val="minor"/>
      </rPr>
      <t>B</t>
    </r>
    <r>
      <rPr>
        <b/>
        <vertAlign val="subscript"/>
        <sz val="11"/>
        <rFont val="Calibri"/>
        <family val="2"/>
        <scheme val="minor"/>
      </rPr>
      <t>,e</t>
    </r>
  </si>
  <si>
    <t>Slowly biodegradable substrate from biomass decay</t>
  </si>
  <si>
    <r>
      <t>f(X</t>
    </r>
    <r>
      <rPr>
        <vertAlign val="subscript"/>
        <sz val="11"/>
        <rFont val="Calibri"/>
        <family val="2"/>
      </rPr>
      <t>N,Be</t>
    </r>
    <r>
      <rPr>
        <sz val="11"/>
        <rFont val="Calibri"/>
        <family val="2"/>
      </rPr>
      <t>);f(X</t>
    </r>
    <r>
      <rPr>
        <vertAlign val="subscript"/>
        <sz val="11"/>
        <rFont val="Calibri"/>
        <family val="2"/>
      </rPr>
      <t>P,Be</t>
    </r>
    <r>
      <rPr>
        <sz val="11"/>
        <rFont val="Calibri"/>
        <family val="2"/>
      </rPr>
      <t>)</t>
    </r>
  </si>
  <si>
    <r>
      <t>X</t>
    </r>
    <r>
      <rPr>
        <b/>
        <vertAlign val="subscript"/>
        <sz val="11"/>
        <rFont val="Calibri"/>
        <family val="2"/>
        <charset val="238"/>
        <scheme val="minor"/>
      </rPr>
      <t>N,B</t>
    </r>
    <r>
      <rPr>
        <b/>
        <vertAlign val="subscript"/>
        <sz val="11"/>
        <rFont val="Calibri"/>
        <family val="2"/>
        <scheme val="minor"/>
      </rPr>
      <t>e</t>
    </r>
  </si>
  <si>
    <r>
      <t>Particulate biodegradable organic N (from X</t>
    </r>
    <r>
      <rPr>
        <vertAlign val="subscript"/>
        <sz val="11"/>
        <color rgb="FF000000"/>
        <rFont val="Calibri"/>
        <family val="2"/>
        <scheme val="minor"/>
      </rPr>
      <t>Be</t>
    </r>
    <r>
      <rPr>
        <sz val="11"/>
        <color rgb="FF000000"/>
        <rFont val="Calibri"/>
        <family val="2"/>
        <charset val="238"/>
        <scheme val="minor"/>
      </rPr>
      <t>)</t>
    </r>
  </si>
  <si>
    <r>
      <t>f(X</t>
    </r>
    <r>
      <rPr>
        <vertAlign val="subscript"/>
        <sz val="11"/>
        <rFont val="Calibri"/>
        <family val="2"/>
      </rPr>
      <t>B,e</t>
    </r>
    <r>
      <rPr>
        <sz val="11"/>
        <rFont val="Calibri"/>
        <family val="2"/>
      </rPr>
      <t>)</t>
    </r>
  </si>
  <si>
    <r>
      <t>X</t>
    </r>
    <r>
      <rPr>
        <b/>
        <vertAlign val="subscript"/>
        <sz val="11"/>
        <rFont val="Calibri"/>
        <family val="2"/>
        <charset val="238"/>
        <scheme val="minor"/>
      </rPr>
      <t>P,B</t>
    </r>
    <r>
      <rPr>
        <b/>
        <vertAlign val="subscript"/>
        <sz val="11"/>
        <rFont val="Calibri"/>
        <family val="2"/>
        <scheme val="minor"/>
      </rPr>
      <t>e</t>
    </r>
  </si>
  <si>
    <r>
      <t>Particulate biodegradable organic P (from X</t>
    </r>
    <r>
      <rPr>
        <vertAlign val="subscript"/>
        <sz val="11"/>
        <color rgb="FF000000"/>
        <rFont val="Calibri"/>
        <family val="2"/>
        <scheme val="minor"/>
      </rPr>
      <t>Be</t>
    </r>
    <r>
      <rPr>
        <sz val="11"/>
        <color rgb="FF000000"/>
        <rFont val="Calibri"/>
        <family val="2"/>
        <charset val="238"/>
        <scheme val="minor"/>
      </rPr>
      <t>)</t>
    </r>
  </si>
  <si>
    <r>
      <t>X</t>
    </r>
    <r>
      <rPr>
        <b/>
        <vertAlign val="subscript"/>
        <sz val="11"/>
        <rFont val="Calibri"/>
        <family val="2"/>
        <scheme val="minor"/>
      </rPr>
      <t>B,e</t>
    </r>
  </si>
  <si>
    <r>
      <t>X</t>
    </r>
    <r>
      <rPr>
        <b/>
        <vertAlign val="subscript"/>
        <sz val="11"/>
        <rFont val="Calibri"/>
        <family val="2"/>
        <scheme val="minor"/>
      </rPr>
      <t>N,Be</t>
    </r>
  </si>
  <si>
    <r>
      <t>X</t>
    </r>
    <r>
      <rPr>
        <b/>
        <vertAlign val="subscript"/>
        <sz val="11"/>
        <rFont val="Calibri"/>
        <family val="2"/>
        <scheme val="minor"/>
      </rPr>
      <t>P,Be</t>
    </r>
  </si>
  <si>
    <r>
      <t>X</t>
    </r>
    <r>
      <rPr>
        <vertAlign val="subscript"/>
        <sz val="11"/>
        <rFont val="Calibri"/>
        <family val="2"/>
        <scheme val="minor"/>
      </rPr>
      <t>BIO</t>
    </r>
    <r>
      <rPr>
        <sz val="11"/>
        <rFont val="Calibri"/>
        <family val="2"/>
        <scheme val="minor"/>
      </rPr>
      <t xml:space="preserve"> + X</t>
    </r>
    <r>
      <rPr>
        <vertAlign val="subscript"/>
        <sz val="11"/>
        <rFont val="Calibri"/>
        <family val="2"/>
        <scheme val="minor"/>
      </rPr>
      <t>B</t>
    </r>
    <r>
      <rPr>
        <sz val="11"/>
        <rFont val="Calibri"/>
        <family val="2"/>
        <scheme val="minor"/>
      </rPr>
      <t xml:space="preserve"> + X</t>
    </r>
    <r>
      <rPr>
        <vertAlign val="subscript"/>
        <sz val="11"/>
        <rFont val="Calibri"/>
        <family val="2"/>
        <charset val="238"/>
        <scheme val="minor"/>
      </rPr>
      <t xml:space="preserve">B,e </t>
    </r>
    <r>
      <rPr>
        <sz val="11"/>
        <rFont val="Calibri"/>
        <family val="2"/>
        <scheme val="minor"/>
      </rPr>
      <t>+ X</t>
    </r>
    <r>
      <rPr>
        <vertAlign val="subscript"/>
        <sz val="11"/>
        <rFont val="Calibri"/>
        <family val="2"/>
        <scheme val="minor"/>
      </rPr>
      <t>U</t>
    </r>
    <r>
      <rPr>
        <sz val="11"/>
        <rFont val="Calibri"/>
        <family val="2"/>
        <scheme val="minor"/>
      </rPr>
      <t xml:space="preserve"> + X</t>
    </r>
    <r>
      <rPr>
        <vertAlign val="subscript"/>
        <sz val="11"/>
        <rFont val="Calibri"/>
        <family val="2"/>
        <scheme val="minor"/>
      </rPr>
      <t>PHA,PAO</t>
    </r>
    <r>
      <rPr>
        <sz val="11"/>
        <rFont val="Calibri"/>
        <family val="2"/>
        <scheme val="minor"/>
      </rPr>
      <t xml:space="preserve"> + X</t>
    </r>
    <r>
      <rPr>
        <vertAlign val="subscript"/>
        <sz val="11"/>
        <rFont val="Calibri"/>
        <family val="2"/>
        <scheme val="minor"/>
      </rPr>
      <t>PHA,GAO</t>
    </r>
    <r>
      <rPr>
        <sz val="11"/>
        <rFont val="Calibri"/>
        <family val="2"/>
        <scheme val="minor"/>
      </rPr>
      <t xml:space="preserve"> + X</t>
    </r>
    <r>
      <rPr>
        <vertAlign val="subscript"/>
        <sz val="11"/>
        <rFont val="Calibri"/>
        <family val="2"/>
        <scheme val="minor"/>
      </rPr>
      <t>E,ana</t>
    </r>
    <r>
      <rPr>
        <sz val="11"/>
        <rFont val="Calibri"/>
        <family val="2"/>
        <scheme val="minor"/>
      </rPr>
      <t xml:space="preserve"> + X</t>
    </r>
    <r>
      <rPr>
        <vertAlign val="subscript"/>
        <sz val="11"/>
        <rFont val="Calibri"/>
        <family val="2"/>
        <scheme val="minor"/>
      </rPr>
      <t>E</t>
    </r>
  </si>
  <si>
    <r>
      <t>X</t>
    </r>
    <r>
      <rPr>
        <vertAlign val="subscript"/>
        <sz val="11"/>
        <rFont val="Calibri"/>
        <family val="2"/>
        <scheme val="minor"/>
      </rPr>
      <t>VSS,BIO</t>
    </r>
    <r>
      <rPr>
        <sz val="11"/>
        <rFont val="Calibri"/>
        <family val="2"/>
        <scheme val="minor"/>
      </rPr>
      <t xml:space="preserve"> + X</t>
    </r>
    <r>
      <rPr>
        <vertAlign val="subscript"/>
        <sz val="11"/>
        <rFont val="Calibri"/>
        <family val="2"/>
        <scheme val="minor"/>
      </rPr>
      <t>B</t>
    </r>
    <r>
      <rPr>
        <sz val="11"/>
        <rFont val="Calibri"/>
        <family val="2"/>
        <scheme val="minor"/>
      </rPr>
      <t>/i</t>
    </r>
    <r>
      <rPr>
        <vertAlign val="subscript"/>
        <sz val="11"/>
        <rFont val="Calibri"/>
        <family val="2"/>
        <scheme val="minor"/>
      </rPr>
      <t>CV,XB</t>
    </r>
    <r>
      <rPr>
        <sz val="11"/>
        <rFont val="Calibri"/>
        <family val="2"/>
        <charset val="238"/>
        <scheme val="minor"/>
      </rPr>
      <t xml:space="preserve"> + X</t>
    </r>
    <r>
      <rPr>
        <vertAlign val="subscript"/>
        <sz val="11"/>
        <rFont val="Calibri"/>
        <family val="2"/>
        <scheme val="minor"/>
      </rPr>
      <t>B,e</t>
    </r>
    <r>
      <rPr>
        <sz val="11"/>
        <rFont val="Calibri"/>
        <family val="2"/>
        <charset val="238"/>
        <scheme val="minor"/>
      </rPr>
      <t>/i</t>
    </r>
    <r>
      <rPr>
        <vertAlign val="subscript"/>
        <sz val="11"/>
        <rFont val="Calibri"/>
        <family val="2"/>
        <scheme val="minor"/>
      </rPr>
      <t xml:space="preserve">CV,XBe </t>
    </r>
    <r>
      <rPr>
        <sz val="11"/>
        <rFont val="Calibri"/>
        <family val="2"/>
        <scheme val="minor"/>
      </rPr>
      <t>+ X</t>
    </r>
    <r>
      <rPr>
        <vertAlign val="subscript"/>
        <sz val="11"/>
        <rFont val="Calibri"/>
        <family val="2"/>
        <scheme val="minor"/>
      </rPr>
      <t>U</t>
    </r>
    <r>
      <rPr>
        <sz val="11"/>
        <rFont val="Calibri"/>
        <family val="2"/>
        <scheme val="minor"/>
      </rPr>
      <t>/i</t>
    </r>
    <r>
      <rPr>
        <vertAlign val="subscript"/>
        <sz val="11"/>
        <rFont val="Calibri"/>
        <family val="2"/>
        <scheme val="minor"/>
      </rPr>
      <t>CV,XU</t>
    </r>
    <r>
      <rPr>
        <sz val="11"/>
        <rFont val="Calibri"/>
        <family val="2"/>
        <scheme val="minor"/>
      </rPr>
      <t xml:space="preserve"> + X</t>
    </r>
    <r>
      <rPr>
        <vertAlign val="subscript"/>
        <sz val="11"/>
        <rFont val="Calibri"/>
        <family val="2"/>
        <scheme val="minor"/>
      </rPr>
      <t>PHA,PAO</t>
    </r>
    <r>
      <rPr>
        <sz val="11"/>
        <rFont val="Calibri"/>
        <family val="2"/>
        <scheme val="minor"/>
      </rPr>
      <t>/i</t>
    </r>
    <r>
      <rPr>
        <vertAlign val="subscript"/>
        <sz val="11"/>
        <rFont val="Calibri"/>
        <family val="2"/>
        <scheme val="minor"/>
      </rPr>
      <t>CV,PHA</t>
    </r>
    <r>
      <rPr>
        <sz val="11"/>
        <rFont val="Calibri"/>
        <family val="2"/>
        <scheme val="minor"/>
      </rPr>
      <t xml:space="preserve"> + X</t>
    </r>
    <r>
      <rPr>
        <vertAlign val="subscript"/>
        <sz val="11"/>
        <rFont val="Calibri"/>
        <family val="2"/>
        <scheme val="minor"/>
      </rPr>
      <t>PHA,GAO</t>
    </r>
    <r>
      <rPr>
        <sz val="11"/>
        <rFont val="Calibri"/>
        <family val="2"/>
        <scheme val="minor"/>
      </rPr>
      <t>/i</t>
    </r>
    <r>
      <rPr>
        <vertAlign val="subscript"/>
        <sz val="11"/>
        <rFont val="Calibri"/>
        <family val="2"/>
        <scheme val="minor"/>
      </rPr>
      <t>CV,PHA</t>
    </r>
    <r>
      <rPr>
        <sz val="11"/>
        <rFont val="Calibri"/>
        <family val="2"/>
        <scheme val="minor"/>
      </rPr>
      <t xml:space="preserve"> + X</t>
    </r>
    <r>
      <rPr>
        <vertAlign val="subscript"/>
        <sz val="11"/>
        <rFont val="Calibri"/>
        <family val="2"/>
        <scheme val="minor"/>
      </rPr>
      <t>E,ana</t>
    </r>
    <r>
      <rPr>
        <sz val="11"/>
        <rFont val="Calibri"/>
        <family val="2"/>
        <scheme val="minor"/>
      </rPr>
      <t>/i</t>
    </r>
    <r>
      <rPr>
        <vertAlign val="subscript"/>
        <sz val="11"/>
        <rFont val="Calibri"/>
        <family val="2"/>
        <scheme val="minor"/>
      </rPr>
      <t>CV,XE</t>
    </r>
    <r>
      <rPr>
        <sz val="11"/>
        <rFont val="Calibri"/>
        <family val="2"/>
        <scheme val="minor"/>
      </rPr>
      <t xml:space="preserve"> + X</t>
    </r>
    <r>
      <rPr>
        <vertAlign val="subscript"/>
        <sz val="11"/>
        <rFont val="Calibri"/>
        <family val="2"/>
        <scheme val="minor"/>
      </rPr>
      <t>E</t>
    </r>
    <r>
      <rPr>
        <sz val="11"/>
        <rFont val="Calibri"/>
        <family val="2"/>
        <scheme val="minor"/>
      </rPr>
      <t>/i</t>
    </r>
    <r>
      <rPr>
        <vertAlign val="subscript"/>
        <sz val="11"/>
        <rFont val="Calibri"/>
        <family val="2"/>
        <scheme val="minor"/>
      </rPr>
      <t>CV,XE</t>
    </r>
    <r>
      <rPr>
        <sz val="11"/>
        <rFont val="Calibri"/>
        <family val="2"/>
        <scheme val="minor"/>
      </rPr>
      <t xml:space="preserve"> + f</t>
    </r>
    <r>
      <rPr>
        <vertAlign val="subscript"/>
        <sz val="11"/>
        <rFont val="Calibri"/>
        <family val="2"/>
        <scheme val="minor"/>
      </rPr>
      <t>H2O,HFO,VSS</t>
    </r>
    <r>
      <rPr>
        <sz val="11"/>
        <rFont val="Calibri"/>
        <family val="2"/>
        <scheme val="minor"/>
      </rPr>
      <t>*X</t>
    </r>
    <r>
      <rPr>
        <vertAlign val="subscript"/>
        <sz val="11"/>
        <rFont val="Calibri"/>
        <family val="2"/>
        <scheme val="minor"/>
      </rPr>
      <t>HFO</t>
    </r>
    <r>
      <rPr>
        <sz val="11"/>
        <rFont val="Calibri"/>
        <family val="2"/>
        <scheme val="minor"/>
      </rPr>
      <t>*MM</t>
    </r>
    <r>
      <rPr>
        <vertAlign val="subscript"/>
        <sz val="11"/>
        <rFont val="Calibri"/>
        <family val="2"/>
        <scheme val="minor"/>
      </rPr>
      <t>FeOH3</t>
    </r>
    <r>
      <rPr>
        <sz val="11"/>
        <rFont val="Calibri"/>
        <family val="2"/>
        <scheme val="minor"/>
      </rPr>
      <t>/AM</t>
    </r>
    <r>
      <rPr>
        <vertAlign val="subscript"/>
        <sz val="11"/>
        <rFont val="Calibri"/>
        <family val="2"/>
        <scheme val="minor"/>
      </rPr>
      <t>Fe</t>
    </r>
    <r>
      <rPr>
        <sz val="11"/>
        <rFont val="Calibri"/>
        <family val="2"/>
        <scheme val="minor"/>
      </rPr>
      <t xml:space="preserve"> + f</t>
    </r>
    <r>
      <rPr>
        <vertAlign val="subscript"/>
        <sz val="11"/>
        <rFont val="Calibri"/>
        <family val="2"/>
        <scheme val="minor"/>
      </rPr>
      <t>H2O,HAO,VSS</t>
    </r>
    <r>
      <rPr>
        <sz val="11"/>
        <rFont val="Calibri"/>
        <family val="2"/>
        <scheme val="minor"/>
      </rPr>
      <t>*X</t>
    </r>
    <r>
      <rPr>
        <vertAlign val="subscript"/>
        <sz val="11"/>
        <rFont val="Calibri"/>
        <family val="2"/>
        <scheme val="minor"/>
      </rPr>
      <t>HAO</t>
    </r>
    <r>
      <rPr>
        <sz val="11"/>
        <rFont val="Calibri"/>
        <family val="2"/>
        <scheme val="minor"/>
      </rPr>
      <t>*MM</t>
    </r>
    <r>
      <rPr>
        <vertAlign val="subscript"/>
        <sz val="11"/>
        <rFont val="Calibri"/>
        <family val="2"/>
        <scheme val="minor"/>
      </rPr>
      <t>AlOH3</t>
    </r>
    <r>
      <rPr>
        <sz val="11"/>
        <rFont val="Calibri"/>
        <family val="2"/>
        <scheme val="minor"/>
      </rPr>
      <t>/AM</t>
    </r>
    <r>
      <rPr>
        <vertAlign val="subscript"/>
        <sz val="11"/>
        <rFont val="Calibri"/>
        <family val="2"/>
        <scheme val="minor"/>
      </rPr>
      <t>Al</t>
    </r>
    <r>
      <rPr>
        <sz val="11"/>
        <rFont val="Calibri"/>
        <family val="2"/>
        <scheme val="minor"/>
      </rPr>
      <t xml:space="preserve"> + X</t>
    </r>
    <r>
      <rPr>
        <vertAlign val="subscript"/>
        <sz val="11"/>
        <rFont val="Calibri"/>
        <family val="2"/>
        <scheme val="minor"/>
      </rPr>
      <t>S</t>
    </r>
  </si>
  <si>
    <r>
      <t>Y</t>
    </r>
    <r>
      <rPr>
        <vertAlign val="subscript"/>
        <sz val="11"/>
        <rFont val="Calibri"/>
        <family val="2"/>
        <scheme val="minor"/>
      </rPr>
      <t>BOD,ult</t>
    </r>
    <r>
      <rPr>
        <sz val="11"/>
        <rFont val="Calibri"/>
        <family val="2"/>
        <scheme val="minor"/>
      </rPr>
      <t xml:space="preserve"> * (X</t>
    </r>
    <r>
      <rPr>
        <vertAlign val="subscript"/>
        <sz val="11"/>
        <rFont val="Calibri"/>
        <family val="2"/>
        <scheme val="minor"/>
      </rPr>
      <t>BIO</t>
    </r>
    <r>
      <rPr>
        <sz val="11"/>
        <rFont val="Calibri"/>
        <family val="2"/>
        <scheme val="minor"/>
      </rPr>
      <t xml:space="preserve"> + X</t>
    </r>
    <r>
      <rPr>
        <vertAlign val="subscript"/>
        <sz val="11"/>
        <rFont val="Calibri"/>
        <family val="2"/>
        <scheme val="minor"/>
      </rPr>
      <t>B</t>
    </r>
    <r>
      <rPr>
        <sz val="11"/>
        <rFont val="Calibri"/>
        <family val="2"/>
        <scheme val="minor"/>
      </rPr>
      <t xml:space="preserve"> + X</t>
    </r>
    <r>
      <rPr>
        <vertAlign val="subscript"/>
        <sz val="11"/>
        <rFont val="Calibri"/>
        <family val="2"/>
        <charset val="238"/>
        <scheme val="minor"/>
      </rPr>
      <t>B,e</t>
    </r>
    <r>
      <rPr>
        <sz val="11"/>
        <rFont val="Calibri"/>
        <family val="2"/>
        <scheme val="minor"/>
      </rPr>
      <t xml:space="preserve"> + X</t>
    </r>
    <r>
      <rPr>
        <vertAlign val="subscript"/>
        <sz val="11"/>
        <rFont val="Calibri"/>
        <family val="2"/>
        <scheme val="minor"/>
      </rPr>
      <t xml:space="preserve">PHA,PAO </t>
    </r>
    <r>
      <rPr>
        <sz val="11"/>
        <rFont val="Calibri"/>
        <family val="2"/>
        <scheme val="minor"/>
      </rPr>
      <t>+ X</t>
    </r>
    <r>
      <rPr>
        <vertAlign val="subscript"/>
        <sz val="11"/>
        <rFont val="Calibri"/>
        <family val="2"/>
        <scheme val="minor"/>
      </rPr>
      <t>PHA,GAO</t>
    </r>
    <r>
      <rPr>
        <sz val="11"/>
        <rFont val="Calibri"/>
        <family val="2"/>
        <scheme val="minor"/>
      </rPr>
      <t>)</t>
    </r>
  </si>
  <si>
    <r>
      <t>MRsat</t>
    </r>
    <r>
      <rPr>
        <vertAlign val="subscript"/>
        <sz val="11"/>
        <rFont val="Calibri"/>
        <family val="2"/>
        <scheme val="minor"/>
      </rPr>
      <t>XBe,XHET,KHYD</t>
    </r>
  </si>
  <si>
    <t>Saturation term for slowly biodegradable substrate from biomass decay (hydrolysis)</t>
  </si>
  <si>
    <r>
      <t>MRsat(X</t>
    </r>
    <r>
      <rPr>
        <vertAlign val="subscript"/>
        <sz val="11"/>
        <rFont val="Calibri"/>
        <family val="2"/>
        <scheme val="minor"/>
      </rPr>
      <t>B,e</t>
    </r>
    <r>
      <rPr>
        <sz val="11"/>
        <rFont val="Calibri"/>
        <family val="2"/>
        <scheme val="minor"/>
      </rPr>
      <t>;X</t>
    </r>
    <r>
      <rPr>
        <vertAlign val="subscript"/>
        <sz val="11"/>
        <rFont val="Calibri"/>
        <family val="2"/>
        <scheme val="minor"/>
      </rPr>
      <t>HET</t>
    </r>
    <r>
      <rPr>
        <sz val="11"/>
        <rFont val="Calibri"/>
        <family val="2"/>
        <scheme val="minor"/>
      </rPr>
      <t>;K</t>
    </r>
    <r>
      <rPr>
        <vertAlign val="subscript"/>
        <sz val="11"/>
        <rFont val="Calibri"/>
        <family val="2"/>
        <scheme val="minor"/>
      </rPr>
      <t>HYD</t>
    </r>
    <r>
      <rPr>
        <sz val="11"/>
        <rFont val="Calibri"/>
        <family val="2"/>
        <scheme val="minor"/>
      </rPr>
      <t>)</t>
    </r>
  </si>
  <si>
    <r>
      <t>Msat</t>
    </r>
    <r>
      <rPr>
        <vertAlign val="subscript"/>
        <sz val="11"/>
        <rFont val="Calibri"/>
        <family val="2"/>
        <scheme val="minor"/>
      </rPr>
      <t>XBe,KXBe,HYD</t>
    </r>
  </si>
  <si>
    <t>Saturation term for slowly biodegradable substrate from biomass decay in low biomass condition (hydrolysis)</t>
  </si>
  <si>
    <r>
      <t>Msat(X</t>
    </r>
    <r>
      <rPr>
        <vertAlign val="subscript"/>
        <sz val="11"/>
        <rFont val="Calibri"/>
        <family val="2"/>
        <scheme val="minor"/>
      </rPr>
      <t>B,e</t>
    </r>
    <r>
      <rPr>
        <sz val="11"/>
        <rFont val="Calibri"/>
        <family val="2"/>
        <scheme val="minor"/>
      </rPr>
      <t>;K</t>
    </r>
    <r>
      <rPr>
        <vertAlign val="subscript"/>
        <sz val="11"/>
        <rFont val="Calibri"/>
        <family val="2"/>
        <scheme val="minor"/>
      </rPr>
      <t>XBe,HYD</t>
    </r>
    <r>
      <rPr>
        <sz val="11"/>
        <rFont val="Calibri"/>
        <family val="2"/>
        <scheme val="minor"/>
      </rPr>
      <t>)</t>
    </r>
  </si>
  <si>
    <r>
      <t>q</t>
    </r>
    <r>
      <rPr>
        <vertAlign val="subscript"/>
        <sz val="11"/>
        <color indexed="8"/>
        <rFont val="Calibri"/>
        <family val="2"/>
        <scheme val="minor"/>
      </rPr>
      <t>HYD,XBe,T</t>
    </r>
  </si>
  <si>
    <t>Rate of hydrolysis for XB,e (temperature corrected)</t>
  </si>
  <si>
    <r>
      <t>q</t>
    </r>
    <r>
      <rPr>
        <vertAlign val="subscript"/>
        <sz val="11"/>
        <color indexed="8"/>
        <rFont val="Calibri"/>
        <family val="2"/>
        <scheme val="minor"/>
      </rPr>
      <t>HYD,XBe</t>
    </r>
    <r>
      <rPr>
        <sz val="11"/>
        <color indexed="8"/>
        <rFont val="Calibri"/>
        <family val="2"/>
        <scheme val="minor"/>
      </rPr>
      <t>*Arrh(θ</t>
    </r>
    <r>
      <rPr>
        <vertAlign val="subscript"/>
        <sz val="11"/>
        <color indexed="8"/>
        <rFont val="Calibri"/>
        <family val="2"/>
        <scheme val="minor"/>
      </rPr>
      <t>q,HYD</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</si>
  <si>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q</t>
    </r>
    <r>
      <rPr>
        <vertAlign val="subscript"/>
        <sz val="11"/>
        <color indexed="8"/>
        <rFont val="Calibri"/>
        <family val="2"/>
        <scheme val="minor"/>
      </rPr>
      <t>HYD,XB,T</t>
    </r>
  </si>
  <si>
    <r>
      <t>q</t>
    </r>
    <r>
      <rPr>
        <vertAlign val="subscript"/>
        <sz val="11"/>
        <color indexed="8"/>
        <rFont val="Calibri"/>
        <family val="2"/>
        <scheme val="minor"/>
      </rPr>
      <t>HYD,XB</t>
    </r>
    <r>
      <rPr>
        <sz val="11"/>
        <color indexed="8"/>
        <rFont val="Calibri"/>
        <family val="2"/>
        <scheme val="minor"/>
      </rPr>
      <t>*Arrh(θ</t>
    </r>
    <r>
      <rPr>
        <vertAlign val="subscript"/>
        <sz val="11"/>
        <color indexed="8"/>
        <rFont val="Calibri"/>
        <family val="2"/>
        <scheme val="minor"/>
      </rPr>
      <t>q,HYD</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</si>
  <si>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(1-f</t>
    </r>
    <r>
      <rPr>
        <vertAlign val="subscript"/>
        <sz val="11"/>
        <rFont val="Calibri"/>
        <family val="2"/>
        <charset val="238"/>
      </rPr>
      <t>E</t>
    </r>
    <r>
      <rPr>
        <sz val="11"/>
        <rFont val="Calibri"/>
        <family val="2"/>
      </rPr>
      <t>)*(i</t>
    </r>
    <r>
      <rPr>
        <vertAlign val="subscript"/>
        <sz val="11"/>
        <rFont val="Calibri"/>
        <family val="2"/>
        <charset val="238"/>
      </rPr>
      <t>CIT,BIO</t>
    </r>
    <r>
      <rPr>
        <sz val="11"/>
        <rFont val="Calibri"/>
        <family val="2"/>
      </rPr>
      <t>-i</t>
    </r>
    <r>
      <rPr>
        <vertAlign val="subscript"/>
        <sz val="11"/>
        <rFont val="Calibri"/>
        <family val="2"/>
        <charset val="238"/>
      </rPr>
      <t>CIT,XBe</t>
    </r>
    <r>
      <rPr>
        <sz val="11"/>
        <rFont val="Calibri"/>
        <family val="2"/>
      </rPr>
      <t>)</t>
    </r>
  </si>
  <si>
    <r>
      <t>(1-f</t>
    </r>
    <r>
      <rPr>
        <vertAlign val="subscript"/>
        <sz val="11"/>
        <rFont val="Calibri"/>
        <family val="2"/>
        <charset val="238"/>
      </rPr>
      <t>E</t>
    </r>
    <r>
      <rPr>
        <sz val="11"/>
        <rFont val="Calibri"/>
        <family val="2"/>
      </rPr>
      <t>)*(i</t>
    </r>
    <r>
      <rPr>
        <vertAlign val="subscript"/>
        <sz val="11"/>
        <rFont val="Calibri"/>
        <family val="2"/>
        <charset val="238"/>
      </rPr>
      <t>CIT,BIO</t>
    </r>
    <r>
      <rPr>
        <sz val="11"/>
        <rFont val="Calibri"/>
        <family val="2"/>
      </rPr>
      <t>-i</t>
    </r>
    <r>
      <rPr>
        <vertAlign val="subscript"/>
        <sz val="11"/>
        <rFont val="Calibri"/>
        <family val="2"/>
        <charset val="238"/>
      </rPr>
      <t>CIT,XBe</t>
    </r>
    <r>
      <rPr>
        <sz val="11"/>
        <rFont val="Calibri"/>
        <family val="2"/>
      </rPr>
      <t>)+(i</t>
    </r>
    <r>
      <rPr>
        <vertAlign val="subscript"/>
        <sz val="11"/>
        <rFont val="Calibri"/>
        <family val="2"/>
      </rPr>
      <t>CIT,STC</t>
    </r>
    <r>
      <rPr>
        <sz val="11"/>
        <rFont val="Calibri"/>
        <family val="2"/>
      </rPr>
      <t>-i</t>
    </r>
    <r>
      <rPr>
        <vertAlign val="subscript"/>
        <sz val="11"/>
        <rFont val="Calibri"/>
        <family val="2"/>
      </rPr>
      <t>CIT,VFA</t>
    </r>
    <r>
      <rPr>
        <sz val="11"/>
        <rFont val="Calibri"/>
        <family val="2"/>
      </rPr>
      <t>)*X</t>
    </r>
    <r>
      <rPr>
        <vertAlign val="subscript"/>
        <sz val="11"/>
        <rFont val="Calibri"/>
        <family val="2"/>
      </rPr>
      <t>STC</t>
    </r>
    <r>
      <rPr>
        <sz val="11"/>
        <rFont val="Calibri"/>
        <family val="2"/>
      </rPr>
      <t>/X</t>
    </r>
    <r>
      <rPr>
        <vertAlign val="subscript"/>
        <sz val="11"/>
        <rFont val="Calibri"/>
        <family val="2"/>
      </rPr>
      <t>CASTO</t>
    </r>
  </si>
  <si>
    <r>
      <t>X</t>
    </r>
    <r>
      <rPr>
        <vertAlign val="subscript"/>
        <sz val="11"/>
        <rFont val="Calibri"/>
        <family val="2"/>
      </rPr>
      <t>PP</t>
    </r>
    <r>
      <rPr>
        <sz val="11"/>
        <rFont val="Calibri"/>
        <family val="2"/>
      </rPr>
      <t>*AM</t>
    </r>
    <r>
      <rPr>
        <vertAlign val="subscript"/>
        <sz val="11"/>
        <rFont val="Calibri"/>
        <family val="2"/>
      </rPr>
      <t>Ca</t>
    </r>
    <r>
      <rPr>
        <sz val="11"/>
        <rFont val="Calibri"/>
        <family val="2"/>
      </rPr>
      <t>/AM</t>
    </r>
    <r>
      <rPr>
        <vertAlign val="subscript"/>
        <sz val="11"/>
        <rFont val="Calibri"/>
        <family val="2"/>
      </rPr>
      <t>P</t>
    </r>
    <r>
      <rPr>
        <sz val="11"/>
        <rFont val="Calibri"/>
        <family val="2"/>
      </rPr>
      <t>*i</t>
    </r>
    <r>
      <rPr>
        <vertAlign val="subscript"/>
        <sz val="11"/>
        <rFont val="Calibri"/>
        <family val="2"/>
      </rPr>
      <t>Ca,PP</t>
    </r>
    <r>
      <rPr>
        <sz val="11"/>
        <rFont val="Calibri"/>
        <family val="2"/>
      </rPr>
      <t>/X</t>
    </r>
    <r>
      <rPr>
        <vertAlign val="subscript"/>
        <sz val="11"/>
        <rFont val="Calibri"/>
        <family val="2"/>
      </rPr>
      <t>CASTO</t>
    </r>
  </si>
  <si>
    <r>
      <t>X</t>
    </r>
    <r>
      <rPr>
        <vertAlign val="subscript"/>
        <sz val="11"/>
        <rFont val="Calibri"/>
        <family val="2"/>
      </rPr>
      <t>PP</t>
    </r>
    <r>
      <rPr>
        <sz val="11"/>
        <rFont val="Calibri"/>
        <family val="2"/>
      </rPr>
      <t>*AM</t>
    </r>
    <r>
      <rPr>
        <vertAlign val="subscript"/>
        <sz val="11"/>
        <rFont val="Calibri"/>
        <family val="2"/>
      </rPr>
      <t>Mg</t>
    </r>
    <r>
      <rPr>
        <sz val="11"/>
        <rFont val="Calibri"/>
        <family val="2"/>
      </rPr>
      <t>/AM</t>
    </r>
    <r>
      <rPr>
        <vertAlign val="subscript"/>
        <sz val="11"/>
        <rFont val="Calibri"/>
        <family val="2"/>
      </rPr>
      <t>P</t>
    </r>
    <r>
      <rPr>
        <sz val="11"/>
        <rFont val="Calibri"/>
        <family val="2"/>
      </rPr>
      <t>*i</t>
    </r>
    <r>
      <rPr>
        <vertAlign val="subscript"/>
        <sz val="11"/>
        <rFont val="Calibri"/>
        <family val="2"/>
      </rPr>
      <t>Mg,PP</t>
    </r>
    <r>
      <rPr>
        <sz val="11"/>
        <rFont val="Calibri"/>
        <family val="2"/>
      </rPr>
      <t>/X</t>
    </r>
    <r>
      <rPr>
        <vertAlign val="subscript"/>
        <sz val="11"/>
        <rFont val="Calibri"/>
        <family val="2"/>
      </rPr>
      <t>CASTO</t>
    </r>
  </si>
  <si>
    <r>
      <t>i</t>
    </r>
    <r>
      <rPr>
        <vertAlign val="subscript"/>
        <sz val="11"/>
        <rFont val="Calibri"/>
        <family val="2"/>
      </rPr>
      <t>CIT,ALGAE</t>
    </r>
    <r>
      <rPr>
        <sz val="11"/>
        <rFont val="Calibri"/>
        <family val="2"/>
      </rPr>
      <t>-(1-f</t>
    </r>
    <r>
      <rPr>
        <vertAlign val="subscript"/>
        <sz val="11"/>
        <rFont val="Calibri"/>
        <family val="2"/>
      </rPr>
      <t>E</t>
    </r>
    <r>
      <rPr>
        <sz val="11"/>
        <rFont val="Calibri"/>
        <family val="2"/>
      </rPr>
      <t>)*i</t>
    </r>
    <r>
      <rPr>
        <vertAlign val="subscript"/>
        <sz val="11"/>
        <rFont val="Calibri"/>
        <family val="2"/>
      </rPr>
      <t>CIT,XBe</t>
    </r>
    <r>
      <rPr>
        <sz val="11"/>
        <rFont val="Calibri"/>
        <family val="2"/>
      </rPr>
      <t>-f</t>
    </r>
    <r>
      <rPr>
        <vertAlign val="subscript"/>
        <sz val="11"/>
        <rFont val="Calibri"/>
        <family val="2"/>
      </rPr>
      <t>E</t>
    </r>
    <r>
      <rPr>
        <sz val="11"/>
        <rFont val="Calibri"/>
        <family val="2"/>
      </rPr>
      <t>*i</t>
    </r>
    <r>
      <rPr>
        <vertAlign val="subscript"/>
        <sz val="11"/>
        <rFont val="Calibri"/>
        <family val="2"/>
      </rPr>
      <t>CIT,BIO</t>
    </r>
  </si>
  <si>
    <r>
      <t>X</t>
    </r>
    <r>
      <rPr>
        <vertAlign val="subscript"/>
        <sz val="11"/>
        <rFont val="Calibri"/>
        <family val="2"/>
      </rPr>
      <t>N,Be</t>
    </r>
    <r>
      <rPr>
        <sz val="11"/>
        <rFont val="Calibri"/>
        <family val="2"/>
      </rPr>
      <t>/X</t>
    </r>
    <r>
      <rPr>
        <vertAlign val="subscript"/>
        <sz val="11"/>
        <rFont val="Calibri"/>
        <family val="2"/>
      </rPr>
      <t>B,e</t>
    </r>
  </si>
  <si>
    <r>
      <t>-X</t>
    </r>
    <r>
      <rPr>
        <vertAlign val="subscript"/>
        <sz val="11"/>
        <rFont val="Calibri"/>
        <family val="2"/>
      </rPr>
      <t>N,Be</t>
    </r>
    <r>
      <rPr>
        <sz val="11"/>
        <rFont val="Calibri"/>
        <family val="2"/>
      </rPr>
      <t>/X</t>
    </r>
    <r>
      <rPr>
        <vertAlign val="subscript"/>
        <sz val="11"/>
        <rFont val="Calibri"/>
        <family val="2"/>
      </rPr>
      <t>B,e</t>
    </r>
  </si>
  <si>
    <r>
      <t>X</t>
    </r>
    <r>
      <rPr>
        <vertAlign val="subscript"/>
        <sz val="11"/>
        <rFont val="Calibri"/>
        <family val="2"/>
      </rPr>
      <t>P,Be</t>
    </r>
    <r>
      <rPr>
        <sz val="11"/>
        <rFont val="Calibri"/>
        <family val="2"/>
      </rPr>
      <t>/X</t>
    </r>
    <r>
      <rPr>
        <vertAlign val="subscript"/>
        <sz val="11"/>
        <rFont val="Calibri"/>
        <family val="2"/>
      </rPr>
      <t>B,e</t>
    </r>
  </si>
  <si>
    <r>
      <t>-X</t>
    </r>
    <r>
      <rPr>
        <vertAlign val="subscript"/>
        <sz val="11"/>
        <rFont val="Calibri"/>
        <family val="2"/>
      </rPr>
      <t>P,Be</t>
    </r>
    <r>
      <rPr>
        <sz val="11"/>
        <rFont val="Calibri"/>
        <family val="2"/>
      </rPr>
      <t>/X</t>
    </r>
    <r>
      <rPr>
        <vertAlign val="subscript"/>
        <sz val="11"/>
        <rFont val="Calibri"/>
        <family val="2"/>
      </rPr>
      <t>B,e</t>
    </r>
  </si>
  <si>
    <r>
      <t>i</t>
    </r>
    <r>
      <rPr>
        <vertAlign val="subscript"/>
        <sz val="11"/>
        <rFont val="Calibri"/>
        <family val="2"/>
      </rPr>
      <t>CIT,XBe</t>
    </r>
    <r>
      <rPr>
        <sz val="11"/>
        <rFont val="Calibri"/>
        <family val="2"/>
      </rPr>
      <t>-i</t>
    </r>
    <r>
      <rPr>
        <vertAlign val="subscript"/>
        <sz val="11"/>
        <rFont val="Calibri"/>
        <family val="2"/>
      </rPr>
      <t>CIT,SB</t>
    </r>
  </si>
  <si>
    <r>
      <t>q</t>
    </r>
    <r>
      <rPr>
        <vertAlign val="subscript"/>
        <sz val="11"/>
        <rFont val="Calibri"/>
        <family val="2"/>
      </rPr>
      <t>HYD,XBe,T</t>
    </r>
    <r>
      <rPr>
        <sz val="11"/>
        <rFont val="Calibri"/>
        <family val="2"/>
      </rPr>
      <t>*X</t>
    </r>
    <r>
      <rPr>
        <vertAlign val="subscript"/>
        <sz val="11"/>
        <rFont val="Calibri"/>
        <family val="2"/>
      </rPr>
      <t>HET</t>
    </r>
    <r>
      <rPr>
        <sz val="11"/>
        <rFont val="Calibri"/>
        <family val="2"/>
      </rPr>
      <t>*(Logsat</t>
    </r>
    <r>
      <rPr>
        <vertAlign val="subscript"/>
        <sz val="11"/>
        <rFont val="Calibri"/>
        <family val="2"/>
      </rPr>
      <t>XHET,HYD,lim</t>
    </r>
    <r>
      <rPr>
        <sz val="11"/>
        <rFont val="Calibri"/>
        <family val="2"/>
      </rPr>
      <t>*MRsat</t>
    </r>
    <r>
      <rPr>
        <vertAlign val="subscript"/>
        <sz val="11"/>
        <rFont val="Calibri"/>
        <family val="2"/>
      </rPr>
      <t>XBe,XHET,KHYD</t>
    </r>
    <r>
      <rPr>
        <sz val="11"/>
        <rFont val="Calibri"/>
        <family val="2"/>
      </rPr>
      <t>+Loginh</t>
    </r>
    <r>
      <rPr>
        <vertAlign val="subscript"/>
        <sz val="11"/>
        <rFont val="Calibri"/>
        <family val="2"/>
      </rPr>
      <t>XHET,HYD,lim</t>
    </r>
    <r>
      <rPr>
        <sz val="11"/>
        <rFont val="Calibri"/>
        <family val="2"/>
      </rPr>
      <t>*Msat</t>
    </r>
    <r>
      <rPr>
        <vertAlign val="subscript"/>
        <sz val="11"/>
        <rFont val="Calibri"/>
        <family val="2"/>
      </rPr>
      <t>XBe,KXBe,HYD</t>
    </r>
    <r>
      <rPr>
        <sz val="11"/>
        <rFont val="Calibri"/>
        <family val="2"/>
      </rPr>
      <t>)*(Msat</t>
    </r>
    <r>
      <rPr>
        <vertAlign val="subscript"/>
        <sz val="11"/>
        <rFont val="Calibri"/>
        <family val="2"/>
      </rPr>
      <t>SO2,KO2,OHO</t>
    </r>
    <r>
      <rPr>
        <sz val="11"/>
        <rFont val="Calibri"/>
        <family val="2"/>
      </rPr>
      <t>+η</t>
    </r>
    <r>
      <rPr>
        <vertAlign val="subscript"/>
        <sz val="11"/>
        <rFont val="Calibri"/>
        <family val="2"/>
      </rPr>
      <t>HYD,anox</t>
    </r>
    <r>
      <rPr>
        <sz val="11"/>
        <rFont val="Calibri"/>
        <family val="2"/>
      </rPr>
      <t>*(Msat</t>
    </r>
    <r>
      <rPr>
        <vertAlign val="subscript"/>
        <sz val="11"/>
        <rFont val="Calibri"/>
        <family val="2"/>
        <charset val="238"/>
      </rPr>
      <t>SNO2,KNO2,OHO</t>
    </r>
    <r>
      <rPr>
        <sz val="11"/>
        <rFont val="Calibri"/>
        <family val="2"/>
      </rPr>
      <t>+Msat</t>
    </r>
    <r>
      <rPr>
        <vertAlign val="subscript"/>
        <sz val="11"/>
        <rFont val="Calibri"/>
        <family val="2"/>
        <charset val="238"/>
      </rPr>
      <t>SNO3,KNO3,OHO</t>
    </r>
    <r>
      <rPr>
        <sz val="11"/>
        <rFont val="Calibri"/>
        <family val="2"/>
      </rPr>
      <t>*Minh</t>
    </r>
    <r>
      <rPr>
        <vertAlign val="subscript"/>
        <sz val="11"/>
        <rFont val="Calibri"/>
        <family val="2"/>
        <charset val="238"/>
      </rPr>
      <t>SNO2,KNO2,OHO</t>
    </r>
    <r>
      <rPr>
        <sz val="11"/>
        <rFont val="Calibri"/>
        <family val="2"/>
      </rPr>
      <t>)*Minh</t>
    </r>
    <r>
      <rPr>
        <vertAlign val="subscript"/>
        <sz val="11"/>
        <rFont val="Calibri"/>
        <family val="2"/>
      </rPr>
      <t>SO2,KO2,OHO</t>
    </r>
    <r>
      <rPr>
        <sz val="11"/>
        <rFont val="Calibri"/>
        <family val="2"/>
      </rPr>
      <t>+η</t>
    </r>
    <r>
      <rPr>
        <vertAlign val="subscript"/>
        <sz val="11"/>
        <rFont val="Calibri"/>
        <family val="2"/>
      </rPr>
      <t>HYD,ana</t>
    </r>
    <r>
      <rPr>
        <sz val="11"/>
        <rFont val="Calibri"/>
        <family val="2"/>
      </rPr>
      <t>*Minh</t>
    </r>
    <r>
      <rPr>
        <vertAlign val="subscript"/>
        <sz val="11"/>
        <rFont val="Calibri"/>
        <family val="2"/>
        <charset val="238"/>
      </rPr>
      <t>SNO3,KNO3,OHO</t>
    </r>
    <r>
      <rPr>
        <sz val="11"/>
        <rFont val="Calibri"/>
        <family val="2"/>
      </rPr>
      <t>*Minh</t>
    </r>
    <r>
      <rPr>
        <vertAlign val="subscript"/>
        <sz val="11"/>
        <rFont val="Calibri"/>
        <family val="2"/>
        <charset val="238"/>
      </rPr>
      <t>SNO2,KNO2,OHO</t>
    </r>
    <r>
      <rPr>
        <sz val="11"/>
        <rFont val="Calibri"/>
        <family val="2"/>
      </rPr>
      <t>*Minh</t>
    </r>
    <r>
      <rPr>
        <vertAlign val="subscript"/>
        <sz val="11"/>
        <rFont val="Calibri"/>
        <family val="2"/>
      </rPr>
      <t>SO2,KO2,OHO</t>
    </r>
    <r>
      <rPr>
        <sz val="11"/>
        <rFont val="Calibri"/>
        <family val="2"/>
      </rPr>
      <t>)</t>
    </r>
  </si>
  <si>
    <r>
      <t>q</t>
    </r>
    <r>
      <rPr>
        <vertAlign val="subscript"/>
        <sz val="11"/>
        <rFont val="Calibri"/>
        <family val="2"/>
      </rPr>
      <t>HYD,XB,T</t>
    </r>
    <r>
      <rPr>
        <sz val="11"/>
        <rFont val="Calibri"/>
        <family val="2"/>
      </rPr>
      <t>*X</t>
    </r>
    <r>
      <rPr>
        <vertAlign val="subscript"/>
        <sz val="11"/>
        <rFont val="Calibri"/>
        <family val="2"/>
      </rPr>
      <t>HET</t>
    </r>
    <r>
      <rPr>
        <sz val="11"/>
        <rFont val="Calibri"/>
        <family val="2"/>
      </rPr>
      <t>*(Logsat</t>
    </r>
    <r>
      <rPr>
        <vertAlign val="subscript"/>
        <sz val="11"/>
        <rFont val="Calibri"/>
        <family val="2"/>
      </rPr>
      <t>XHET,HYD,lim</t>
    </r>
    <r>
      <rPr>
        <sz val="11"/>
        <rFont val="Calibri"/>
        <family val="2"/>
      </rPr>
      <t>*MRsat</t>
    </r>
    <r>
      <rPr>
        <vertAlign val="subscript"/>
        <sz val="11"/>
        <rFont val="Calibri"/>
        <family val="2"/>
      </rPr>
      <t>XB,XHET,KHYD</t>
    </r>
    <r>
      <rPr>
        <sz val="11"/>
        <rFont val="Calibri"/>
        <family val="2"/>
      </rPr>
      <t>+Loginh</t>
    </r>
    <r>
      <rPr>
        <vertAlign val="subscript"/>
        <sz val="11"/>
        <rFont val="Calibri"/>
        <family val="2"/>
      </rPr>
      <t>XHET,HYD,lim</t>
    </r>
    <r>
      <rPr>
        <sz val="11"/>
        <rFont val="Calibri"/>
        <family val="2"/>
      </rPr>
      <t>*Msat</t>
    </r>
    <r>
      <rPr>
        <vertAlign val="subscript"/>
        <sz val="11"/>
        <rFont val="Calibri"/>
        <family val="2"/>
      </rPr>
      <t>XB,KXB,HYD</t>
    </r>
    <r>
      <rPr>
        <sz val="11"/>
        <rFont val="Calibri"/>
        <family val="2"/>
      </rPr>
      <t>)*(Msat</t>
    </r>
    <r>
      <rPr>
        <vertAlign val="subscript"/>
        <sz val="11"/>
        <rFont val="Calibri"/>
        <family val="2"/>
      </rPr>
      <t>SO2,KO2,OHO</t>
    </r>
    <r>
      <rPr>
        <sz val="11"/>
        <rFont val="Calibri"/>
        <family val="2"/>
      </rPr>
      <t>+η</t>
    </r>
    <r>
      <rPr>
        <vertAlign val="subscript"/>
        <sz val="11"/>
        <rFont val="Calibri"/>
        <family val="2"/>
      </rPr>
      <t>HYD,anox</t>
    </r>
    <r>
      <rPr>
        <sz val="11"/>
        <rFont val="Calibri"/>
        <family val="2"/>
      </rPr>
      <t>*(Msat</t>
    </r>
    <r>
      <rPr>
        <vertAlign val="subscript"/>
        <sz val="11"/>
        <rFont val="Calibri"/>
        <family val="2"/>
      </rPr>
      <t>SNO2,KNO2,OHO</t>
    </r>
    <r>
      <rPr>
        <sz val="11"/>
        <rFont val="Calibri"/>
        <family val="2"/>
      </rPr>
      <t>+Msat</t>
    </r>
    <r>
      <rPr>
        <vertAlign val="subscript"/>
        <sz val="11"/>
        <rFont val="Calibri"/>
        <family val="2"/>
      </rPr>
      <t>SNO3,KNO3,OHO</t>
    </r>
    <r>
      <rPr>
        <sz val="11"/>
        <rFont val="Calibri"/>
        <family val="2"/>
      </rPr>
      <t>*Minh</t>
    </r>
    <r>
      <rPr>
        <vertAlign val="subscript"/>
        <sz val="11"/>
        <rFont val="Calibri"/>
        <family val="2"/>
      </rPr>
      <t>SNO2,KNO2,OHO</t>
    </r>
    <r>
      <rPr>
        <sz val="11"/>
        <rFont val="Calibri"/>
        <family val="2"/>
      </rPr>
      <t>)*Minh</t>
    </r>
    <r>
      <rPr>
        <vertAlign val="subscript"/>
        <sz val="11"/>
        <rFont val="Calibri"/>
        <family val="2"/>
      </rPr>
      <t>SO2,KO2,OHO</t>
    </r>
    <r>
      <rPr>
        <sz val="11"/>
        <rFont val="Calibri"/>
        <family val="2"/>
      </rPr>
      <t>+η</t>
    </r>
    <r>
      <rPr>
        <vertAlign val="subscript"/>
        <sz val="11"/>
        <rFont val="Calibri"/>
        <family val="2"/>
      </rPr>
      <t>HYD,ana</t>
    </r>
    <r>
      <rPr>
        <sz val="11"/>
        <rFont val="Calibri"/>
        <family val="2"/>
      </rPr>
      <t>*Minh</t>
    </r>
    <r>
      <rPr>
        <vertAlign val="subscript"/>
        <sz val="11"/>
        <rFont val="Calibri"/>
        <family val="2"/>
      </rPr>
      <t>SNO3,KNO3,OHO</t>
    </r>
    <r>
      <rPr>
        <sz val="11"/>
        <rFont val="Calibri"/>
        <family val="2"/>
      </rPr>
      <t>*Minh</t>
    </r>
    <r>
      <rPr>
        <vertAlign val="subscript"/>
        <sz val="11"/>
        <rFont val="Calibri"/>
        <family val="2"/>
      </rPr>
      <t>SNO2,KNO2,OHO</t>
    </r>
    <r>
      <rPr>
        <sz val="11"/>
        <rFont val="Calibri"/>
        <family val="2"/>
      </rPr>
      <t>*Minh</t>
    </r>
    <r>
      <rPr>
        <vertAlign val="subscript"/>
        <sz val="11"/>
        <rFont val="Calibri"/>
        <family val="2"/>
      </rPr>
      <t>SO2,KO2,OHO</t>
    </r>
    <r>
      <rPr>
        <sz val="11"/>
        <rFont val="Calibri"/>
        <family val="2"/>
      </rPr>
      <t>)</t>
    </r>
  </si>
  <si>
    <r>
      <t>q</t>
    </r>
    <r>
      <rPr>
        <vertAlign val="subscript"/>
        <sz val="11"/>
        <rFont val="Calibri"/>
        <family val="2"/>
      </rPr>
      <t>HYD,XBe,T</t>
    </r>
    <r>
      <rPr>
        <sz val="11"/>
        <rFont val="Calibri"/>
        <family val="2"/>
      </rPr>
      <t>*X</t>
    </r>
    <r>
      <rPr>
        <vertAlign val="subscript"/>
        <sz val="11"/>
        <rFont val="Calibri"/>
        <family val="2"/>
      </rPr>
      <t>HET</t>
    </r>
    <r>
      <rPr>
        <sz val="11"/>
        <rFont val="Calibri"/>
        <family val="2"/>
      </rPr>
      <t>*(Logsat</t>
    </r>
    <r>
      <rPr>
        <vertAlign val="subscript"/>
        <sz val="11"/>
        <rFont val="Calibri"/>
        <family val="2"/>
      </rPr>
      <t>XHET,HYD,lim</t>
    </r>
    <r>
      <rPr>
        <sz val="11"/>
        <rFont val="Calibri"/>
        <family val="2"/>
      </rPr>
      <t>*MRsat</t>
    </r>
    <r>
      <rPr>
        <vertAlign val="subscript"/>
        <sz val="11"/>
        <rFont val="Calibri"/>
        <family val="2"/>
      </rPr>
      <t>XEana,XHET,KHYD</t>
    </r>
    <r>
      <rPr>
        <sz val="11"/>
        <rFont val="Calibri"/>
        <family val="2"/>
      </rPr>
      <t>+Loginh</t>
    </r>
    <r>
      <rPr>
        <vertAlign val="subscript"/>
        <sz val="11"/>
        <rFont val="Calibri"/>
        <family val="2"/>
      </rPr>
      <t>XHET,HYD,lim</t>
    </r>
    <r>
      <rPr>
        <sz val="11"/>
        <rFont val="Calibri"/>
        <family val="2"/>
      </rPr>
      <t>*Msat</t>
    </r>
    <r>
      <rPr>
        <vertAlign val="subscript"/>
        <sz val="11"/>
        <rFont val="Calibri"/>
        <family val="2"/>
      </rPr>
      <t>XEana,KXEana,HYD</t>
    </r>
    <r>
      <rPr>
        <sz val="11"/>
        <rFont val="Calibri"/>
        <family val="2"/>
      </rPr>
      <t>)*(Msat</t>
    </r>
    <r>
      <rPr>
        <vertAlign val="subscript"/>
        <sz val="11"/>
        <rFont val="Calibri"/>
        <family val="2"/>
      </rPr>
      <t>SO2,KO2,OHO</t>
    </r>
    <r>
      <rPr>
        <sz val="11"/>
        <rFont val="Calibri"/>
        <family val="2"/>
      </rPr>
      <t>+η</t>
    </r>
    <r>
      <rPr>
        <vertAlign val="subscript"/>
        <sz val="11"/>
        <rFont val="Calibri"/>
        <family val="2"/>
      </rPr>
      <t>HYD,anox</t>
    </r>
    <r>
      <rPr>
        <sz val="11"/>
        <rFont val="Calibri"/>
        <family val="2"/>
      </rPr>
      <t>*(Msat</t>
    </r>
    <r>
      <rPr>
        <vertAlign val="subscript"/>
        <sz val="11"/>
        <rFont val="Calibri"/>
        <family val="2"/>
      </rPr>
      <t>SNO2,KNO2,OHO</t>
    </r>
    <r>
      <rPr>
        <sz val="11"/>
        <rFont val="Calibri"/>
        <family val="2"/>
      </rPr>
      <t>+Minh</t>
    </r>
    <r>
      <rPr>
        <vertAlign val="subscript"/>
        <sz val="11"/>
        <rFont val="Calibri"/>
        <family val="2"/>
      </rPr>
      <t>SNO2,KNO2,OHO</t>
    </r>
    <r>
      <rPr>
        <sz val="11"/>
        <rFont val="Calibri"/>
        <family val="2"/>
      </rPr>
      <t>*Msat</t>
    </r>
    <r>
      <rPr>
        <vertAlign val="subscript"/>
        <sz val="11"/>
        <rFont val="Calibri"/>
        <family val="2"/>
      </rPr>
      <t>SNO3,KNO3,OHO)</t>
    </r>
    <r>
      <rPr>
        <sz val="11"/>
        <rFont val="Calibri"/>
        <family val="2"/>
      </rPr>
      <t>*Minh</t>
    </r>
    <r>
      <rPr>
        <vertAlign val="subscript"/>
        <sz val="11"/>
        <rFont val="Calibri"/>
        <family val="2"/>
      </rPr>
      <t>SO2,KO2,OHO</t>
    </r>
    <r>
      <rPr>
        <sz val="11"/>
        <rFont val="Calibri"/>
        <family val="2"/>
      </rPr>
      <t>)</t>
    </r>
  </si>
  <si>
    <r>
      <t>(X</t>
    </r>
    <r>
      <rPr>
        <vertAlign val="subscript"/>
        <sz val="11"/>
        <rFont val="Calibri"/>
        <family val="2"/>
        <charset val="238"/>
        <scheme val="minor"/>
      </rPr>
      <t>VSS,BIO</t>
    </r>
    <r>
      <rPr>
        <sz val="11"/>
        <rFont val="Calibri"/>
        <family val="2"/>
        <charset val="238"/>
        <scheme val="minor"/>
      </rPr>
      <t>*(i</t>
    </r>
    <r>
      <rPr>
        <vertAlign val="subscript"/>
        <sz val="11"/>
        <rFont val="Calibri"/>
        <family val="2"/>
        <charset val="238"/>
        <scheme val="minor"/>
      </rPr>
      <t>vw,BIO</t>
    </r>
    <r>
      <rPr>
        <sz val="11"/>
        <rFont val="Calibri"/>
        <family val="2"/>
        <charset val="238"/>
        <scheme val="minor"/>
      </rPr>
      <t>+i</t>
    </r>
    <r>
      <rPr>
        <vertAlign val="subscript"/>
        <sz val="11"/>
        <rFont val="Calibri"/>
        <family val="2"/>
        <charset val="238"/>
        <scheme val="minor"/>
      </rPr>
      <t>iw,BIO</t>
    </r>
    <r>
      <rPr>
        <sz val="11"/>
        <rFont val="Calibri"/>
        <family val="2"/>
        <charset val="238"/>
        <scheme val="minor"/>
      </rPr>
      <t>+i</t>
    </r>
    <r>
      <rPr>
        <vertAlign val="subscript"/>
        <sz val="11"/>
        <rFont val="Calibri"/>
        <family val="2"/>
        <charset val="238"/>
        <scheme val="minor"/>
      </rPr>
      <t>wh,BIO</t>
    </r>
    <r>
      <rPr>
        <sz val="11"/>
        <rFont val="Calibri"/>
        <family val="2"/>
        <charset val="238"/>
        <scheme val="minor"/>
      </rPr>
      <t>)</t>
    </r>
    <r>
      <rPr>
        <vertAlign val="subscript"/>
        <sz val="11"/>
        <rFont val="Calibri"/>
        <family val="2"/>
        <charset val="238"/>
        <scheme val="minor"/>
      </rPr>
      <t xml:space="preserve"> </t>
    </r>
    <r>
      <rPr>
        <sz val="11"/>
        <rFont val="Calibri"/>
        <family val="2"/>
        <charset val="238"/>
        <scheme val="minor"/>
      </rPr>
      <t>+ X</t>
    </r>
    <r>
      <rPr>
        <vertAlign val="subscript"/>
        <sz val="11"/>
        <rFont val="Calibri"/>
        <family val="2"/>
        <charset val="238"/>
        <scheme val="minor"/>
      </rPr>
      <t>VSS,BIO</t>
    </r>
    <r>
      <rPr>
        <sz val="11"/>
        <rFont val="Calibri"/>
        <family val="2"/>
        <charset val="238"/>
        <scheme val="minor"/>
      </rPr>
      <t xml:space="preserve"> * (i</t>
    </r>
    <r>
      <rPr>
        <vertAlign val="subscript"/>
        <sz val="11"/>
        <rFont val="Calibri"/>
        <family val="2"/>
        <charset val="238"/>
        <scheme val="minor"/>
      </rPr>
      <t>vw,EPS</t>
    </r>
    <r>
      <rPr>
        <sz val="11"/>
        <rFont val="Calibri"/>
        <family val="2"/>
        <charset val="238"/>
        <scheme val="minor"/>
      </rPr>
      <t xml:space="preserve"> + i</t>
    </r>
    <r>
      <rPr>
        <vertAlign val="subscript"/>
        <sz val="11"/>
        <rFont val="Calibri"/>
        <family val="2"/>
        <charset val="238"/>
        <scheme val="minor"/>
      </rPr>
      <t>wh,EPS</t>
    </r>
    <r>
      <rPr>
        <sz val="11"/>
        <rFont val="Calibri"/>
        <family val="2"/>
        <charset val="238"/>
        <scheme val="minor"/>
      </rPr>
      <t>) + X</t>
    </r>
    <r>
      <rPr>
        <vertAlign val="subscript"/>
        <sz val="11"/>
        <rFont val="Calibri"/>
        <family val="2"/>
        <charset val="238"/>
        <scheme val="minor"/>
      </rPr>
      <t>E</t>
    </r>
    <r>
      <rPr>
        <sz val="11"/>
        <rFont val="Calibri"/>
        <family val="2"/>
        <charset val="238"/>
        <scheme val="minor"/>
      </rPr>
      <t>/i</t>
    </r>
    <r>
      <rPr>
        <vertAlign val="subscript"/>
        <sz val="11"/>
        <rFont val="Calibri"/>
        <family val="2"/>
        <charset val="238"/>
        <scheme val="minor"/>
      </rPr>
      <t>CV,XE</t>
    </r>
    <r>
      <rPr>
        <sz val="11"/>
        <rFont val="Calibri"/>
        <family val="2"/>
        <charset val="238"/>
        <scheme val="minor"/>
      </rPr>
      <t xml:space="preserve"> * (i</t>
    </r>
    <r>
      <rPr>
        <vertAlign val="subscript"/>
        <sz val="11"/>
        <rFont val="Calibri"/>
        <family val="2"/>
        <charset val="238"/>
        <scheme val="minor"/>
      </rPr>
      <t>vw,XE</t>
    </r>
    <r>
      <rPr>
        <sz val="11"/>
        <rFont val="Calibri"/>
        <family val="2"/>
        <charset val="238"/>
        <scheme val="minor"/>
      </rPr>
      <t>+i</t>
    </r>
    <r>
      <rPr>
        <vertAlign val="subscript"/>
        <sz val="11"/>
        <rFont val="Calibri"/>
        <family val="2"/>
        <charset val="238"/>
        <scheme val="minor"/>
      </rPr>
      <t>wh,XE</t>
    </r>
    <r>
      <rPr>
        <sz val="11"/>
        <rFont val="Calibri"/>
        <family val="2"/>
        <charset val="238"/>
        <scheme val="minor"/>
      </rPr>
      <t>) + X</t>
    </r>
    <r>
      <rPr>
        <vertAlign val="subscript"/>
        <sz val="11"/>
        <rFont val="Calibri"/>
        <family val="2"/>
        <charset val="238"/>
        <scheme val="minor"/>
      </rPr>
      <t>E</t>
    </r>
    <r>
      <rPr>
        <sz val="11"/>
        <rFont val="Calibri"/>
        <family val="2"/>
        <charset val="238"/>
        <scheme val="minor"/>
      </rPr>
      <t>/i</t>
    </r>
    <r>
      <rPr>
        <vertAlign val="subscript"/>
        <sz val="11"/>
        <rFont val="Calibri"/>
        <family val="2"/>
        <charset val="238"/>
        <scheme val="minor"/>
      </rPr>
      <t>CV,XE</t>
    </r>
    <r>
      <rPr>
        <sz val="11"/>
        <rFont val="Calibri"/>
        <family val="2"/>
        <charset val="238"/>
        <scheme val="minor"/>
      </rPr>
      <t xml:space="preserve"> * (i</t>
    </r>
    <r>
      <rPr>
        <vertAlign val="subscript"/>
        <sz val="11"/>
        <rFont val="Calibri"/>
        <family val="2"/>
        <charset val="238"/>
        <scheme val="minor"/>
      </rPr>
      <t>vw,EPS</t>
    </r>
    <r>
      <rPr>
        <sz val="11"/>
        <rFont val="Calibri"/>
        <family val="2"/>
        <charset val="238"/>
        <scheme val="minor"/>
      </rPr>
      <t xml:space="preserve"> + i</t>
    </r>
    <r>
      <rPr>
        <vertAlign val="subscript"/>
        <sz val="11"/>
        <rFont val="Calibri"/>
        <family val="2"/>
        <charset val="238"/>
        <scheme val="minor"/>
      </rPr>
      <t>wh,EPS</t>
    </r>
    <r>
      <rPr>
        <sz val="11"/>
        <rFont val="Calibri"/>
        <family val="2"/>
        <charset val="238"/>
        <scheme val="minor"/>
      </rPr>
      <t>) + X</t>
    </r>
    <r>
      <rPr>
        <vertAlign val="subscript"/>
        <sz val="11"/>
        <rFont val="Calibri"/>
        <family val="2"/>
        <charset val="238"/>
        <scheme val="minor"/>
      </rPr>
      <t>B</t>
    </r>
    <r>
      <rPr>
        <sz val="11"/>
        <rFont val="Calibri"/>
        <family val="2"/>
        <charset val="238"/>
        <scheme val="minor"/>
      </rPr>
      <t>/i</t>
    </r>
    <r>
      <rPr>
        <vertAlign val="subscript"/>
        <sz val="11"/>
        <rFont val="Calibri"/>
        <family val="2"/>
        <charset val="238"/>
        <scheme val="minor"/>
      </rPr>
      <t>CV,XB</t>
    </r>
    <r>
      <rPr>
        <sz val="11"/>
        <rFont val="Calibri"/>
        <family val="2"/>
        <charset val="238"/>
        <scheme val="minor"/>
      </rPr>
      <t xml:space="preserve"> *(i</t>
    </r>
    <r>
      <rPr>
        <vertAlign val="subscript"/>
        <sz val="11"/>
        <rFont val="Calibri"/>
        <family val="2"/>
        <charset val="238"/>
        <scheme val="minor"/>
      </rPr>
      <t>vw,XB</t>
    </r>
    <r>
      <rPr>
        <sz val="11"/>
        <rFont val="Calibri"/>
        <family val="2"/>
        <charset val="238"/>
        <scheme val="minor"/>
      </rPr>
      <t>+i</t>
    </r>
    <r>
      <rPr>
        <vertAlign val="subscript"/>
        <sz val="11"/>
        <rFont val="Calibri"/>
        <family val="2"/>
        <charset val="238"/>
        <scheme val="minor"/>
      </rPr>
      <t>wh,XB</t>
    </r>
    <r>
      <rPr>
        <sz val="11"/>
        <rFont val="Calibri"/>
        <family val="2"/>
        <charset val="238"/>
        <scheme val="minor"/>
      </rPr>
      <t>) + X</t>
    </r>
    <r>
      <rPr>
        <vertAlign val="subscript"/>
        <sz val="11"/>
        <rFont val="Calibri"/>
        <family val="2"/>
        <charset val="238"/>
        <scheme val="minor"/>
      </rPr>
      <t>B,e</t>
    </r>
    <r>
      <rPr>
        <sz val="11"/>
        <rFont val="Calibri"/>
        <family val="2"/>
        <charset val="238"/>
        <scheme val="minor"/>
      </rPr>
      <t>/i</t>
    </r>
    <r>
      <rPr>
        <vertAlign val="subscript"/>
        <sz val="11"/>
        <rFont val="Calibri"/>
        <family val="2"/>
        <charset val="238"/>
        <scheme val="minor"/>
      </rPr>
      <t>CV,XBe</t>
    </r>
    <r>
      <rPr>
        <sz val="11"/>
        <rFont val="Calibri"/>
        <family val="2"/>
        <charset val="238"/>
        <scheme val="minor"/>
      </rPr>
      <t xml:space="preserve"> *(i</t>
    </r>
    <r>
      <rPr>
        <vertAlign val="subscript"/>
        <sz val="11"/>
        <rFont val="Calibri"/>
        <family val="2"/>
        <charset val="238"/>
        <scheme val="minor"/>
      </rPr>
      <t>vw,XBe</t>
    </r>
    <r>
      <rPr>
        <sz val="11"/>
        <rFont val="Calibri"/>
        <family val="2"/>
        <charset val="238"/>
        <scheme val="minor"/>
      </rPr>
      <t>+i</t>
    </r>
    <r>
      <rPr>
        <vertAlign val="subscript"/>
        <sz val="11"/>
        <rFont val="Calibri"/>
        <family val="2"/>
        <charset val="238"/>
        <scheme val="minor"/>
      </rPr>
      <t>wh,XBe</t>
    </r>
    <r>
      <rPr>
        <sz val="11"/>
        <rFont val="Calibri"/>
        <family val="2"/>
        <charset val="238"/>
        <scheme val="minor"/>
      </rPr>
      <t>) + X</t>
    </r>
    <r>
      <rPr>
        <vertAlign val="subscript"/>
        <sz val="11"/>
        <rFont val="Calibri"/>
        <family val="2"/>
        <charset val="238"/>
        <scheme val="minor"/>
      </rPr>
      <t>U</t>
    </r>
    <r>
      <rPr>
        <sz val="11"/>
        <rFont val="Calibri"/>
        <family val="2"/>
        <charset val="238"/>
        <scheme val="minor"/>
      </rPr>
      <t>/i</t>
    </r>
    <r>
      <rPr>
        <vertAlign val="subscript"/>
        <sz val="11"/>
        <rFont val="Calibri"/>
        <family val="2"/>
        <charset val="238"/>
        <scheme val="minor"/>
      </rPr>
      <t>CV,XU</t>
    </r>
    <r>
      <rPr>
        <sz val="11"/>
        <rFont val="Calibri"/>
        <family val="2"/>
        <charset val="238"/>
        <scheme val="minor"/>
      </rPr>
      <t xml:space="preserve"> *(i</t>
    </r>
    <r>
      <rPr>
        <vertAlign val="subscript"/>
        <sz val="11"/>
        <rFont val="Calibri"/>
        <family val="2"/>
        <charset val="238"/>
        <scheme val="minor"/>
      </rPr>
      <t>vw,XU</t>
    </r>
    <r>
      <rPr>
        <sz val="11"/>
        <rFont val="Calibri"/>
        <family val="2"/>
        <charset val="238"/>
        <scheme val="minor"/>
      </rPr>
      <t>+i</t>
    </r>
    <r>
      <rPr>
        <vertAlign val="subscript"/>
        <sz val="11"/>
        <rFont val="Calibri"/>
        <family val="2"/>
        <charset val="238"/>
        <scheme val="minor"/>
      </rPr>
      <t>wh,XU</t>
    </r>
    <r>
      <rPr>
        <sz val="11"/>
        <rFont val="Calibri"/>
        <family val="2"/>
        <charset val="238"/>
        <scheme val="minor"/>
      </rPr>
      <t>) + X</t>
    </r>
    <r>
      <rPr>
        <vertAlign val="subscript"/>
        <sz val="11"/>
        <rFont val="Calibri"/>
        <family val="2"/>
        <charset val="238"/>
        <scheme val="minor"/>
      </rPr>
      <t>PHA,PAO</t>
    </r>
    <r>
      <rPr>
        <sz val="11"/>
        <rFont val="Calibri"/>
        <family val="2"/>
        <charset val="238"/>
        <scheme val="minor"/>
      </rPr>
      <t>/i</t>
    </r>
    <r>
      <rPr>
        <vertAlign val="subscript"/>
        <sz val="11"/>
        <rFont val="Calibri"/>
        <family val="2"/>
        <charset val="238"/>
        <scheme val="minor"/>
      </rPr>
      <t xml:space="preserve">CV,PHA </t>
    </r>
    <r>
      <rPr>
        <sz val="11"/>
        <rFont val="Calibri"/>
        <family val="2"/>
        <charset val="238"/>
        <scheme val="minor"/>
      </rPr>
      <t>* (i</t>
    </r>
    <r>
      <rPr>
        <vertAlign val="subscript"/>
        <sz val="11"/>
        <rFont val="Calibri"/>
        <family val="2"/>
        <charset val="238"/>
        <scheme val="minor"/>
      </rPr>
      <t>vw,PHA</t>
    </r>
    <r>
      <rPr>
        <sz val="11"/>
        <rFont val="Calibri"/>
        <family val="2"/>
        <charset val="238"/>
        <scheme val="minor"/>
      </rPr>
      <t>+i</t>
    </r>
    <r>
      <rPr>
        <vertAlign val="subscript"/>
        <sz val="11"/>
        <rFont val="Calibri"/>
        <family val="2"/>
        <charset val="238"/>
        <scheme val="minor"/>
      </rPr>
      <t>wh,PHA</t>
    </r>
    <r>
      <rPr>
        <sz val="11"/>
        <rFont val="Calibri"/>
        <family val="2"/>
        <charset val="238"/>
        <scheme val="minor"/>
      </rPr>
      <t>) + X</t>
    </r>
    <r>
      <rPr>
        <vertAlign val="subscript"/>
        <sz val="11"/>
        <rFont val="Calibri"/>
        <family val="2"/>
        <charset val="238"/>
        <scheme val="minor"/>
      </rPr>
      <t>PHA,GAO</t>
    </r>
    <r>
      <rPr>
        <sz val="11"/>
        <rFont val="Calibri"/>
        <family val="2"/>
        <charset val="238"/>
        <scheme val="minor"/>
      </rPr>
      <t>/i</t>
    </r>
    <r>
      <rPr>
        <vertAlign val="subscript"/>
        <sz val="11"/>
        <rFont val="Calibri"/>
        <family val="2"/>
        <charset val="238"/>
        <scheme val="minor"/>
      </rPr>
      <t xml:space="preserve">CV,PHA </t>
    </r>
    <r>
      <rPr>
        <sz val="11"/>
        <rFont val="Calibri"/>
        <family val="2"/>
        <charset val="238"/>
        <scheme val="minor"/>
      </rPr>
      <t>* (i</t>
    </r>
    <r>
      <rPr>
        <vertAlign val="subscript"/>
        <sz val="11"/>
        <rFont val="Calibri"/>
        <family val="2"/>
        <charset val="238"/>
        <scheme val="minor"/>
      </rPr>
      <t>vw,PHA</t>
    </r>
    <r>
      <rPr>
        <sz val="11"/>
        <rFont val="Calibri"/>
        <family val="2"/>
        <charset val="238"/>
        <scheme val="minor"/>
      </rPr>
      <t>+i</t>
    </r>
    <r>
      <rPr>
        <vertAlign val="subscript"/>
        <sz val="11"/>
        <rFont val="Calibri"/>
        <family val="2"/>
        <charset val="238"/>
        <scheme val="minor"/>
      </rPr>
      <t>wh,PHA</t>
    </r>
    <r>
      <rPr>
        <sz val="11"/>
        <rFont val="Calibri"/>
        <family val="2"/>
        <charset val="238"/>
        <scheme val="minor"/>
      </rPr>
      <t>) + C</t>
    </r>
    <r>
      <rPr>
        <vertAlign val="subscript"/>
        <sz val="11"/>
        <rFont val="Calibri"/>
        <family val="2"/>
        <charset val="238"/>
        <scheme val="minor"/>
      </rPr>
      <t>B</t>
    </r>
    <r>
      <rPr>
        <sz val="11"/>
        <rFont val="Calibri"/>
        <family val="2"/>
        <charset val="238"/>
        <scheme val="minor"/>
      </rPr>
      <t>/i</t>
    </r>
    <r>
      <rPr>
        <vertAlign val="subscript"/>
        <sz val="11"/>
        <rFont val="Calibri"/>
        <family val="2"/>
        <charset val="238"/>
        <scheme val="minor"/>
      </rPr>
      <t>CV,CB</t>
    </r>
    <r>
      <rPr>
        <sz val="11"/>
        <rFont val="Calibri"/>
        <family val="2"/>
        <charset val="238"/>
        <scheme val="minor"/>
      </rPr>
      <t xml:space="preserve"> *i</t>
    </r>
    <r>
      <rPr>
        <vertAlign val="subscript"/>
        <sz val="11"/>
        <rFont val="Calibri"/>
        <family val="2"/>
        <charset val="238"/>
        <scheme val="minor"/>
      </rPr>
      <t>vw,CB</t>
    </r>
    <r>
      <rPr>
        <sz val="11"/>
        <rFont val="Calibri"/>
        <family val="2"/>
        <charset val="238"/>
        <scheme val="minor"/>
      </rPr>
      <t xml:space="preserve"> + C</t>
    </r>
    <r>
      <rPr>
        <vertAlign val="subscript"/>
        <sz val="11"/>
        <rFont val="Calibri"/>
        <family val="2"/>
        <charset val="238"/>
        <scheme val="minor"/>
      </rPr>
      <t>U</t>
    </r>
    <r>
      <rPr>
        <sz val="11"/>
        <rFont val="Calibri"/>
        <family val="2"/>
        <charset val="238"/>
        <scheme val="minor"/>
      </rPr>
      <t>/i</t>
    </r>
    <r>
      <rPr>
        <vertAlign val="subscript"/>
        <sz val="11"/>
        <rFont val="Calibri"/>
        <family val="2"/>
        <charset val="238"/>
        <scheme val="minor"/>
      </rPr>
      <t>CV,CU</t>
    </r>
    <r>
      <rPr>
        <sz val="11"/>
        <rFont val="Calibri"/>
        <family val="2"/>
        <charset val="238"/>
        <scheme val="minor"/>
      </rPr>
      <t>*i</t>
    </r>
    <r>
      <rPr>
        <vertAlign val="subscript"/>
        <sz val="11"/>
        <rFont val="Calibri"/>
        <family val="2"/>
        <charset val="238"/>
        <scheme val="minor"/>
      </rPr>
      <t>vw,CU</t>
    </r>
    <r>
      <rPr>
        <sz val="11"/>
        <rFont val="Calibri"/>
        <family val="2"/>
        <charset val="238"/>
        <scheme val="minor"/>
      </rPr>
      <t>)/X</t>
    </r>
    <r>
      <rPr>
        <vertAlign val="subscript"/>
        <sz val="11"/>
        <rFont val="Calibri"/>
        <family val="2"/>
        <charset val="238"/>
        <scheme val="minor"/>
      </rPr>
      <t>VSS</t>
    </r>
  </si>
  <si>
    <r>
      <t>(i</t>
    </r>
    <r>
      <rPr>
        <vertAlign val="subscript"/>
        <sz val="11"/>
        <rFont val="Calibri"/>
        <family val="2"/>
        <scheme val="minor"/>
      </rPr>
      <t>CIT,PHA</t>
    </r>
    <r>
      <rPr>
        <sz val="11"/>
        <rFont val="Calibri"/>
        <family val="2"/>
        <scheme val="minor"/>
      </rPr>
      <t xml:space="preserve"> * X</t>
    </r>
    <r>
      <rPr>
        <vertAlign val="subscript"/>
        <sz val="11"/>
        <rFont val="Calibri"/>
        <family val="2"/>
        <scheme val="minor"/>
      </rPr>
      <t>PHA,PAO</t>
    </r>
    <r>
      <rPr>
        <sz val="11"/>
        <rFont val="Calibri"/>
        <family val="2"/>
        <scheme val="minor"/>
      </rPr>
      <t xml:space="preserve"> + i</t>
    </r>
    <r>
      <rPr>
        <vertAlign val="subscript"/>
        <sz val="11"/>
        <rFont val="Calibri"/>
        <family val="2"/>
        <scheme val="minor"/>
      </rPr>
      <t>CIT,PHA</t>
    </r>
    <r>
      <rPr>
        <sz val="11"/>
        <rFont val="Calibri"/>
        <family val="2"/>
        <scheme val="minor"/>
      </rPr>
      <t xml:space="preserve"> * X</t>
    </r>
    <r>
      <rPr>
        <vertAlign val="subscript"/>
        <sz val="11"/>
        <rFont val="Calibri"/>
        <family val="2"/>
        <scheme val="minor"/>
      </rPr>
      <t>PHA,GAO</t>
    </r>
    <r>
      <rPr>
        <sz val="11"/>
        <rFont val="Calibri"/>
        <family val="2"/>
        <scheme val="minor"/>
      </rPr>
      <t xml:space="preserve"> ) / X</t>
    </r>
    <r>
      <rPr>
        <vertAlign val="subscript"/>
        <sz val="11"/>
        <rFont val="Calibri"/>
        <family val="2"/>
        <scheme val="minor"/>
      </rPr>
      <t>STC</t>
    </r>
  </si>
  <si>
    <r>
      <t>f(X</t>
    </r>
    <r>
      <rPr>
        <vertAlign val="subscript"/>
        <sz val="11"/>
        <rFont val="Calibri"/>
        <family val="2"/>
      </rPr>
      <t>INORG</t>
    </r>
    <r>
      <rPr>
        <sz val="11"/>
        <rFont val="Calibri"/>
        <family val="2"/>
      </rPr>
      <t>);f(X</t>
    </r>
    <r>
      <rPr>
        <vertAlign val="subscript"/>
        <sz val="11"/>
        <rFont val="Calibri"/>
        <family val="2"/>
      </rPr>
      <t>PP</t>
    </r>
    <r>
      <rPr>
        <sz val="11"/>
        <rFont val="Calibri"/>
        <family val="2"/>
      </rPr>
      <t>);f(X</t>
    </r>
    <r>
      <rPr>
        <vertAlign val="subscript"/>
        <sz val="11"/>
        <rFont val="Calibri"/>
        <family val="2"/>
      </rPr>
      <t>PHA,PAO</t>
    </r>
    <r>
      <rPr>
        <sz val="11"/>
        <rFont val="Calibri"/>
        <family val="2"/>
      </rPr>
      <t>);f(X</t>
    </r>
    <r>
      <rPr>
        <vertAlign val="subscript"/>
        <sz val="11"/>
        <rFont val="Calibri"/>
        <family val="2"/>
        <charset val="238"/>
      </rPr>
      <t>PHA,GAO</t>
    </r>
    <r>
      <rPr>
        <sz val="11"/>
        <rFont val="Calibri"/>
        <family val="2"/>
      </rPr>
      <t>)</t>
    </r>
  </si>
  <si>
    <r>
      <t>f(X</t>
    </r>
    <r>
      <rPr>
        <vertAlign val="subscript"/>
        <sz val="11"/>
        <rFont val="Calibri"/>
        <family val="2"/>
      </rPr>
      <t>CASTO</t>
    </r>
    <r>
      <rPr>
        <sz val="11"/>
        <rFont val="Calibri"/>
        <family val="2"/>
      </rPr>
      <t>)</t>
    </r>
  </si>
  <si>
    <r>
      <t>X</t>
    </r>
    <r>
      <rPr>
        <vertAlign val="subscript"/>
        <sz val="11"/>
        <rFont val="Calibri"/>
        <family val="2"/>
        <charset val="238"/>
      </rPr>
      <t>B</t>
    </r>
    <r>
      <rPr>
        <sz val="11"/>
        <rFont val="Calibri"/>
        <family val="2"/>
      </rPr>
      <t xml:space="preserve"> hydrolysis</t>
    </r>
  </si>
  <si>
    <r>
      <t>X</t>
    </r>
    <r>
      <rPr>
        <vertAlign val="subscript"/>
        <sz val="11"/>
        <rFont val="Calibri"/>
        <family val="2"/>
        <charset val="238"/>
      </rPr>
      <t>B,e</t>
    </r>
    <r>
      <rPr>
        <sz val="11"/>
        <rFont val="Calibri"/>
        <family val="2"/>
      </rPr>
      <t xml:space="preserve"> hydrolysis</t>
    </r>
  </si>
  <si>
    <r>
      <t>S</t>
    </r>
    <r>
      <rPr>
        <vertAlign val="subscript"/>
        <sz val="11"/>
        <rFont val="Calibri"/>
        <family val="2"/>
        <charset val="238"/>
      </rPr>
      <t>N,B</t>
    </r>
    <r>
      <rPr>
        <sz val="11"/>
        <rFont val="Calibri"/>
        <family val="2"/>
      </rPr>
      <t xml:space="preserve"> ammonification</t>
    </r>
  </si>
  <si>
    <r>
      <t>X</t>
    </r>
    <r>
      <rPr>
        <vertAlign val="subscript"/>
        <sz val="11"/>
        <rFont val="Calibri"/>
        <family val="2"/>
        <charset val="238"/>
      </rPr>
      <t>E</t>
    </r>
    <r>
      <rPr>
        <sz val="11"/>
        <rFont val="Calibri"/>
        <family val="2"/>
      </rPr>
      <t xml:space="preserve"> conversion</t>
    </r>
  </si>
  <si>
    <r>
      <t>X</t>
    </r>
    <r>
      <rPr>
        <vertAlign val="subscript"/>
        <sz val="11"/>
        <rFont val="Calibri"/>
        <family val="2"/>
        <charset val="238"/>
      </rPr>
      <t>E,ana</t>
    </r>
    <r>
      <rPr>
        <sz val="11"/>
        <rFont val="Calibri"/>
        <family val="2"/>
      </rPr>
      <t xml:space="preserve"> hydrolysis</t>
    </r>
  </si>
  <si>
    <r>
      <t>X</t>
    </r>
    <r>
      <rPr>
        <vertAlign val="subscript"/>
        <sz val="11"/>
        <rFont val="Calibri"/>
        <family val="2"/>
        <charset val="238"/>
      </rPr>
      <t>U</t>
    </r>
    <r>
      <rPr>
        <sz val="11"/>
        <rFont val="Calibri"/>
        <family val="2"/>
      </rPr>
      <t xml:space="preserve"> conversion</t>
    </r>
  </si>
  <si>
    <r>
      <t>X</t>
    </r>
    <r>
      <rPr>
        <vertAlign val="subscript"/>
        <sz val="11"/>
        <rFont val="Calibri"/>
        <family val="2"/>
        <scheme val="minor"/>
      </rPr>
      <t>OHO</t>
    </r>
    <r>
      <rPr>
        <sz val="11"/>
        <rFont val="Calibri"/>
        <family val="2"/>
        <scheme val="minor"/>
      </rPr>
      <t xml:space="preserve"> + X</t>
    </r>
    <r>
      <rPr>
        <vertAlign val="subscript"/>
        <sz val="11"/>
        <rFont val="Calibri"/>
        <family val="2"/>
        <scheme val="minor"/>
      </rPr>
      <t>CASTO</t>
    </r>
    <r>
      <rPr>
        <sz val="11"/>
        <rFont val="Calibri"/>
        <family val="2"/>
        <scheme val="minor"/>
      </rPr>
      <t xml:space="preserve"> + X</t>
    </r>
    <r>
      <rPr>
        <vertAlign val="subscript"/>
        <sz val="11"/>
        <rFont val="Calibri"/>
        <family val="2"/>
        <scheme val="minor"/>
      </rPr>
      <t>MEOLO</t>
    </r>
    <r>
      <rPr>
        <sz val="11"/>
        <rFont val="Calibri"/>
        <family val="2"/>
        <scheme val="minor"/>
      </rPr>
      <t xml:space="preserve"> + X</t>
    </r>
    <r>
      <rPr>
        <vertAlign val="subscript"/>
        <sz val="11"/>
        <rFont val="Calibri"/>
        <family val="2"/>
        <scheme val="minor"/>
      </rPr>
      <t>AOB</t>
    </r>
    <r>
      <rPr>
        <sz val="11"/>
        <rFont val="Calibri"/>
        <family val="2"/>
        <scheme val="minor"/>
      </rPr>
      <t xml:space="preserve"> + X</t>
    </r>
    <r>
      <rPr>
        <vertAlign val="subscript"/>
        <sz val="11"/>
        <rFont val="Calibri"/>
        <family val="2"/>
        <scheme val="minor"/>
      </rPr>
      <t>NOB</t>
    </r>
    <r>
      <rPr>
        <sz val="11"/>
        <rFont val="Calibri"/>
        <family val="2"/>
        <scheme val="minor"/>
      </rPr>
      <t xml:space="preserve"> + X</t>
    </r>
    <r>
      <rPr>
        <vertAlign val="subscript"/>
        <sz val="11"/>
        <rFont val="Calibri"/>
        <family val="2"/>
        <scheme val="minor"/>
      </rPr>
      <t>AMX</t>
    </r>
    <r>
      <rPr>
        <sz val="11"/>
        <rFont val="Calibri"/>
        <family val="2"/>
        <scheme val="minor"/>
      </rPr>
      <t xml:space="preserve"> + X</t>
    </r>
    <r>
      <rPr>
        <vertAlign val="subscript"/>
        <sz val="11"/>
        <rFont val="Calibri"/>
        <family val="2"/>
        <scheme val="minor"/>
      </rPr>
      <t>AMETO</t>
    </r>
    <r>
      <rPr>
        <sz val="11"/>
        <rFont val="Calibri"/>
        <family val="2"/>
        <scheme val="minor"/>
      </rPr>
      <t xml:space="preserve"> + X</t>
    </r>
    <r>
      <rPr>
        <vertAlign val="subscript"/>
        <sz val="11"/>
        <rFont val="Calibri"/>
        <family val="2"/>
        <scheme val="minor"/>
      </rPr>
      <t>HMETO</t>
    </r>
    <r>
      <rPr>
        <sz val="11"/>
        <rFont val="Calibri"/>
        <family val="2"/>
        <scheme val="minor"/>
      </rPr>
      <t xml:space="preserve"> + X</t>
    </r>
    <r>
      <rPr>
        <vertAlign val="subscript"/>
        <sz val="11"/>
        <rFont val="Calibri"/>
        <family val="2"/>
        <scheme val="minor"/>
      </rPr>
      <t>ASRO</t>
    </r>
    <r>
      <rPr>
        <sz val="11"/>
        <rFont val="Calibri"/>
        <family val="2"/>
        <scheme val="minor"/>
      </rPr>
      <t xml:space="preserve"> + X</t>
    </r>
    <r>
      <rPr>
        <vertAlign val="subscript"/>
        <sz val="11"/>
        <rFont val="Calibri"/>
        <family val="2"/>
        <scheme val="minor"/>
      </rPr>
      <t>HSRO</t>
    </r>
    <r>
      <rPr>
        <sz val="11"/>
        <rFont val="Calibri"/>
        <family val="2"/>
        <scheme val="minor"/>
      </rPr>
      <t xml:space="preserve"> + X</t>
    </r>
    <r>
      <rPr>
        <vertAlign val="subscript"/>
        <sz val="11"/>
        <rFont val="Calibri"/>
        <family val="2"/>
        <scheme val="minor"/>
      </rPr>
      <t>SOO</t>
    </r>
    <r>
      <rPr>
        <sz val="11"/>
        <rFont val="Calibri"/>
        <family val="2"/>
        <scheme val="minor"/>
      </rPr>
      <t xml:space="preserve"> + X</t>
    </r>
    <r>
      <rPr>
        <vertAlign val="subscript"/>
        <sz val="11"/>
        <rFont val="Calibri"/>
        <family val="2"/>
        <scheme val="minor"/>
      </rPr>
      <t>ALGAE</t>
    </r>
  </si>
  <si>
    <r>
      <t>X</t>
    </r>
    <r>
      <rPr>
        <vertAlign val="subscript"/>
        <sz val="11"/>
        <rFont val="Calibri"/>
        <family val="2"/>
        <scheme val="minor"/>
      </rPr>
      <t>VSS</t>
    </r>
    <r>
      <rPr>
        <sz val="11"/>
        <rFont val="Calibri"/>
        <family val="2"/>
        <scheme val="minor"/>
      </rPr>
      <t xml:space="preserve"> + S</t>
    </r>
    <r>
      <rPr>
        <vertAlign val="subscript"/>
        <sz val="11"/>
        <rFont val="Calibri"/>
        <family val="2"/>
        <scheme val="minor"/>
      </rPr>
      <t>U</t>
    </r>
    <r>
      <rPr>
        <sz val="11"/>
        <rFont val="Calibri"/>
        <family val="2"/>
        <scheme val="minor"/>
      </rPr>
      <t>/i</t>
    </r>
    <r>
      <rPr>
        <vertAlign val="subscript"/>
        <sz val="11"/>
        <rFont val="Calibri"/>
        <family val="2"/>
        <scheme val="minor"/>
      </rPr>
      <t>CV,SU</t>
    </r>
    <r>
      <rPr>
        <sz val="11"/>
        <rFont val="Calibri"/>
        <family val="2"/>
        <scheme val="minor"/>
      </rPr>
      <t xml:space="preserve"> + S</t>
    </r>
    <r>
      <rPr>
        <vertAlign val="subscript"/>
        <sz val="11"/>
        <rFont val="Calibri"/>
        <family val="2"/>
        <scheme val="minor"/>
      </rPr>
      <t>B</t>
    </r>
    <r>
      <rPr>
        <sz val="11"/>
        <rFont val="Calibri"/>
        <family val="2"/>
        <scheme val="minor"/>
      </rPr>
      <t>/i</t>
    </r>
    <r>
      <rPr>
        <vertAlign val="subscript"/>
        <sz val="11"/>
        <rFont val="Calibri"/>
        <family val="2"/>
        <scheme val="minor"/>
      </rPr>
      <t>CV,SB</t>
    </r>
    <r>
      <rPr>
        <sz val="11"/>
        <rFont val="Calibri"/>
        <family val="2"/>
        <scheme val="minor"/>
      </rPr>
      <t xml:space="preserve"> + f</t>
    </r>
    <r>
      <rPr>
        <vertAlign val="subscript"/>
        <sz val="11"/>
        <rFont val="Calibri"/>
        <family val="2"/>
        <scheme val="minor"/>
      </rPr>
      <t>VFA,DM</t>
    </r>
    <r>
      <rPr>
        <sz val="11"/>
        <rFont val="Calibri"/>
        <family val="2"/>
        <scheme val="minor"/>
      </rPr>
      <t>*S</t>
    </r>
    <r>
      <rPr>
        <vertAlign val="subscript"/>
        <sz val="11"/>
        <rFont val="Calibri"/>
        <family val="2"/>
        <scheme val="minor"/>
      </rPr>
      <t>VFA</t>
    </r>
    <r>
      <rPr>
        <sz val="11"/>
        <rFont val="Calibri"/>
        <family val="2"/>
        <scheme val="minor"/>
      </rPr>
      <t>/i</t>
    </r>
    <r>
      <rPr>
        <vertAlign val="subscript"/>
        <sz val="11"/>
        <rFont val="Calibri"/>
        <family val="2"/>
        <scheme val="minor"/>
      </rPr>
      <t>CV,VFA</t>
    </r>
    <r>
      <rPr>
        <sz val="11"/>
        <rFont val="Calibri"/>
        <family val="2"/>
        <scheme val="minor"/>
      </rPr>
      <t xml:space="preserve"> + C</t>
    </r>
    <r>
      <rPr>
        <vertAlign val="subscript"/>
        <sz val="11"/>
        <rFont val="Calibri"/>
        <family val="2"/>
        <scheme val="minor"/>
      </rPr>
      <t>B</t>
    </r>
    <r>
      <rPr>
        <sz val="11"/>
        <rFont val="Calibri"/>
        <family val="2"/>
        <scheme val="minor"/>
      </rPr>
      <t>/i</t>
    </r>
    <r>
      <rPr>
        <vertAlign val="subscript"/>
        <sz val="11"/>
        <rFont val="Calibri"/>
        <family val="2"/>
        <scheme val="minor"/>
      </rPr>
      <t>CV,CB</t>
    </r>
    <r>
      <rPr>
        <sz val="11"/>
        <rFont val="Calibri"/>
        <family val="2"/>
        <scheme val="minor"/>
      </rPr>
      <t xml:space="preserve"> + C</t>
    </r>
    <r>
      <rPr>
        <vertAlign val="subscript"/>
        <sz val="11"/>
        <rFont val="Calibri"/>
        <family val="2"/>
        <scheme val="minor"/>
      </rPr>
      <t>U</t>
    </r>
    <r>
      <rPr>
        <sz val="11"/>
        <rFont val="Calibri"/>
        <family val="2"/>
        <scheme val="minor"/>
      </rPr>
      <t>/i</t>
    </r>
    <r>
      <rPr>
        <vertAlign val="subscript"/>
        <sz val="11"/>
        <rFont val="Calibri"/>
        <family val="2"/>
        <scheme val="minor"/>
      </rPr>
      <t>CV,CU</t>
    </r>
  </si>
  <si>
    <t>r130</t>
  </si>
  <si>
    <r>
      <t>COUR + NOUR - (v58_S</t>
    </r>
    <r>
      <rPr>
        <vertAlign val="subscript"/>
        <sz val="11"/>
        <rFont val="Calibri"/>
        <family val="2"/>
        <charset val="238"/>
        <scheme val="minor"/>
      </rPr>
      <t>O2</t>
    </r>
    <r>
      <rPr>
        <sz val="11"/>
        <rFont val="Calibri"/>
        <family val="2"/>
        <scheme val="minor"/>
      </rPr>
      <t xml:space="preserve"> * r58 + v61_S</t>
    </r>
    <r>
      <rPr>
        <vertAlign val="subscript"/>
        <sz val="11"/>
        <rFont val="Calibri"/>
        <family val="2"/>
        <charset val="238"/>
        <scheme val="minor"/>
      </rPr>
      <t>O2</t>
    </r>
    <r>
      <rPr>
        <sz val="11"/>
        <rFont val="Calibri"/>
        <family val="2"/>
        <scheme val="minor"/>
      </rPr>
      <t xml:space="preserve"> * r61 + v84_S</t>
    </r>
    <r>
      <rPr>
        <vertAlign val="subscript"/>
        <sz val="11"/>
        <rFont val="Calibri"/>
        <family val="2"/>
        <charset val="238"/>
        <scheme val="minor"/>
      </rPr>
      <t>O2</t>
    </r>
    <r>
      <rPr>
        <sz val="11"/>
        <rFont val="Calibri"/>
        <family val="2"/>
        <scheme val="minor"/>
      </rPr>
      <t xml:space="preserve"> * r84 + v85_S</t>
    </r>
    <r>
      <rPr>
        <vertAlign val="subscript"/>
        <sz val="11"/>
        <rFont val="Calibri"/>
        <family val="2"/>
        <charset val="238"/>
        <scheme val="minor"/>
      </rPr>
      <t>O2</t>
    </r>
    <r>
      <rPr>
        <sz val="11"/>
        <rFont val="Calibri"/>
        <family val="2"/>
        <scheme val="minor"/>
      </rPr>
      <t xml:space="preserve"> * r85 + v103_S</t>
    </r>
    <r>
      <rPr>
        <vertAlign val="subscript"/>
        <sz val="11"/>
        <rFont val="Calibri"/>
        <family val="2"/>
        <charset val="238"/>
        <scheme val="minor"/>
      </rPr>
      <t>O2</t>
    </r>
    <r>
      <rPr>
        <sz val="11"/>
        <rFont val="Calibri"/>
        <family val="2"/>
        <scheme val="minor"/>
      </rPr>
      <t xml:space="preserve"> * r103 + v104_S</t>
    </r>
    <r>
      <rPr>
        <vertAlign val="subscript"/>
        <sz val="11"/>
        <rFont val="Calibri"/>
        <family val="2"/>
        <charset val="238"/>
        <scheme val="minor"/>
      </rPr>
      <t>O2</t>
    </r>
    <r>
      <rPr>
        <sz val="11"/>
        <rFont val="Calibri"/>
        <family val="2"/>
        <scheme val="minor"/>
      </rPr>
      <t xml:space="preserve"> * r104)</t>
    </r>
  </si>
  <si>
    <r>
      <t>-(v3_S</t>
    </r>
    <r>
      <rPr>
        <vertAlign val="subscript"/>
        <sz val="11"/>
        <rFont val="Calibri"/>
        <family val="2"/>
        <scheme val="minor"/>
      </rPr>
      <t>NO3</t>
    </r>
    <r>
      <rPr>
        <sz val="11"/>
        <rFont val="Calibri"/>
        <family val="2"/>
        <scheme val="minor"/>
      </rPr>
      <t xml:space="preserve"> * r3 + v6_S</t>
    </r>
    <r>
      <rPr>
        <vertAlign val="subscript"/>
        <sz val="11"/>
        <rFont val="Calibri"/>
        <family val="2"/>
        <scheme val="minor"/>
      </rPr>
      <t>NO3</t>
    </r>
    <r>
      <rPr>
        <sz val="11"/>
        <rFont val="Calibri"/>
        <family val="2"/>
        <scheme val="minor"/>
      </rPr>
      <t xml:space="preserve"> * r6 + v13_S</t>
    </r>
    <r>
      <rPr>
        <vertAlign val="subscript"/>
        <sz val="11"/>
        <rFont val="Calibri"/>
        <family val="2"/>
        <scheme val="minor"/>
      </rPr>
      <t>NO3</t>
    </r>
    <r>
      <rPr>
        <sz val="11"/>
        <rFont val="Calibri"/>
        <family val="2"/>
        <scheme val="minor"/>
      </rPr>
      <t xml:space="preserve"> * r13 + v18_S</t>
    </r>
    <r>
      <rPr>
        <vertAlign val="subscript"/>
        <sz val="11"/>
        <rFont val="Calibri"/>
        <family val="2"/>
        <scheme val="minor"/>
      </rPr>
      <t>NO3</t>
    </r>
    <r>
      <rPr>
        <sz val="11"/>
        <rFont val="Calibri"/>
        <family val="2"/>
        <scheme val="minor"/>
      </rPr>
      <t xml:space="preserve"> * r18 + v21_S</t>
    </r>
    <r>
      <rPr>
        <vertAlign val="subscript"/>
        <sz val="11"/>
        <rFont val="Calibri"/>
        <family val="2"/>
        <scheme val="minor"/>
      </rPr>
      <t>NO3</t>
    </r>
    <r>
      <rPr>
        <sz val="11"/>
        <rFont val="Calibri"/>
        <family val="2"/>
        <scheme val="minor"/>
      </rPr>
      <t xml:space="preserve"> * r21 + v24_S</t>
    </r>
    <r>
      <rPr>
        <vertAlign val="subscript"/>
        <sz val="11"/>
        <rFont val="Calibri"/>
        <family val="2"/>
        <scheme val="minor"/>
      </rPr>
      <t>NO3</t>
    </r>
    <r>
      <rPr>
        <sz val="11"/>
        <rFont val="Calibri"/>
        <family val="2"/>
        <scheme val="minor"/>
      </rPr>
      <t xml:space="preserve"> * r24 + v29_S</t>
    </r>
    <r>
      <rPr>
        <vertAlign val="subscript"/>
        <sz val="11"/>
        <rFont val="Calibri"/>
        <family val="2"/>
        <scheme val="minor"/>
      </rPr>
      <t>NO3</t>
    </r>
    <r>
      <rPr>
        <sz val="11"/>
        <rFont val="Calibri"/>
        <family val="2"/>
        <scheme val="minor"/>
      </rPr>
      <t xml:space="preserve"> * r29 + v60_S</t>
    </r>
    <r>
      <rPr>
        <vertAlign val="subscript"/>
        <sz val="11"/>
        <rFont val="Calibri"/>
        <family val="2"/>
        <charset val="238"/>
        <scheme val="minor"/>
      </rPr>
      <t>NO3</t>
    </r>
    <r>
      <rPr>
        <sz val="11"/>
        <rFont val="Calibri"/>
        <family val="2"/>
        <scheme val="minor"/>
      </rPr>
      <t xml:space="preserve"> * r60 + v63_S</t>
    </r>
    <r>
      <rPr>
        <vertAlign val="subscript"/>
        <sz val="11"/>
        <rFont val="Calibri"/>
        <family val="2"/>
        <scheme val="minor"/>
      </rPr>
      <t>NO3</t>
    </r>
    <r>
      <rPr>
        <sz val="11"/>
        <rFont val="Calibri"/>
        <family val="2"/>
        <scheme val="minor"/>
      </rPr>
      <t xml:space="preserve"> * r63 + v83_S</t>
    </r>
    <r>
      <rPr>
        <vertAlign val="subscript"/>
        <sz val="11"/>
        <rFont val="Calibri"/>
        <family val="2"/>
        <charset val="238"/>
        <scheme val="minor"/>
      </rPr>
      <t>NO3</t>
    </r>
    <r>
      <rPr>
        <sz val="11"/>
        <rFont val="Calibri"/>
        <family val="2"/>
        <scheme val="minor"/>
      </rPr>
      <t xml:space="preserve"> * r83)</t>
    </r>
  </si>
  <si>
    <r>
      <t>-(v2_S</t>
    </r>
    <r>
      <rPr>
        <vertAlign val="subscript"/>
        <sz val="11"/>
        <rFont val="Calibri"/>
        <family val="2"/>
        <scheme val="minor"/>
      </rPr>
      <t>NO2</t>
    </r>
    <r>
      <rPr>
        <sz val="11"/>
        <rFont val="Calibri"/>
        <family val="2"/>
        <scheme val="minor"/>
      </rPr>
      <t xml:space="preserve"> * r2 + v5_S</t>
    </r>
    <r>
      <rPr>
        <vertAlign val="subscript"/>
        <sz val="11"/>
        <rFont val="Calibri"/>
        <family val="2"/>
        <scheme val="minor"/>
      </rPr>
      <t>NO2</t>
    </r>
    <r>
      <rPr>
        <sz val="11"/>
        <rFont val="Calibri"/>
        <family val="2"/>
        <scheme val="minor"/>
      </rPr>
      <t xml:space="preserve"> * r5 + v12_S</t>
    </r>
    <r>
      <rPr>
        <vertAlign val="subscript"/>
        <sz val="11"/>
        <rFont val="Calibri"/>
        <family val="2"/>
        <scheme val="minor"/>
      </rPr>
      <t>NO2</t>
    </r>
    <r>
      <rPr>
        <sz val="11"/>
        <rFont val="Calibri"/>
        <family val="2"/>
        <scheme val="minor"/>
      </rPr>
      <t xml:space="preserve"> * r12 + v17_S</t>
    </r>
    <r>
      <rPr>
        <vertAlign val="subscript"/>
        <sz val="11"/>
        <rFont val="Calibri"/>
        <family val="2"/>
        <scheme val="minor"/>
      </rPr>
      <t>NO2</t>
    </r>
    <r>
      <rPr>
        <sz val="11"/>
        <rFont val="Calibri"/>
        <family val="2"/>
        <scheme val="minor"/>
      </rPr>
      <t xml:space="preserve"> * r17 + v20_S</t>
    </r>
    <r>
      <rPr>
        <vertAlign val="subscript"/>
        <sz val="11"/>
        <rFont val="Calibri"/>
        <family val="2"/>
        <scheme val="minor"/>
      </rPr>
      <t>NO2</t>
    </r>
    <r>
      <rPr>
        <sz val="11"/>
        <rFont val="Calibri"/>
        <family val="2"/>
        <scheme val="minor"/>
      </rPr>
      <t xml:space="preserve"> * r20 + v23_S</t>
    </r>
    <r>
      <rPr>
        <vertAlign val="subscript"/>
        <sz val="11"/>
        <rFont val="Calibri"/>
        <family val="2"/>
        <scheme val="minor"/>
      </rPr>
      <t>NO2</t>
    </r>
    <r>
      <rPr>
        <sz val="11"/>
        <rFont val="Calibri"/>
        <family val="2"/>
        <scheme val="minor"/>
      </rPr>
      <t xml:space="preserve"> * r23 + v28_S</t>
    </r>
    <r>
      <rPr>
        <vertAlign val="subscript"/>
        <sz val="11"/>
        <rFont val="Calibri"/>
        <family val="2"/>
        <scheme val="minor"/>
      </rPr>
      <t>NO2</t>
    </r>
    <r>
      <rPr>
        <sz val="11"/>
        <rFont val="Calibri"/>
        <family val="2"/>
        <scheme val="minor"/>
      </rPr>
      <t xml:space="preserve"> * r28 + v40_S</t>
    </r>
    <r>
      <rPr>
        <vertAlign val="subscript"/>
        <sz val="11"/>
        <rFont val="Calibri"/>
        <family val="2"/>
        <scheme val="minor"/>
      </rPr>
      <t>NO2</t>
    </r>
    <r>
      <rPr>
        <sz val="11"/>
        <rFont val="Calibri"/>
        <family val="2"/>
        <scheme val="minor"/>
      </rPr>
      <t xml:space="preserve"> * r40 + v43_S</t>
    </r>
    <r>
      <rPr>
        <vertAlign val="subscript"/>
        <sz val="11"/>
        <rFont val="Calibri"/>
        <family val="2"/>
        <scheme val="minor"/>
      </rPr>
      <t>NO2</t>
    </r>
    <r>
      <rPr>
        <sz val="11"/>
        <rFont val="Calibri"/>
        <family val="2"/>
        <scheme val="minor"/>
      </rPr>
      <t xml:space="preserve"> * r43 + v59_S</t>
    </r>
    <r>
      <rPr>
        <vertAlign val="subscript"/>
        <sz val="11"/>
        <rFont val="Calibri"/>
        <family val="2"/>
        <charset val="238"/>
        <scheme val="minor"/>
      </rPr>
      <t>NO2</t>
    </r>
    <r>
      <rPr>
        <sz val="11"/>
        <rFont val="Calibri"/>
        <family val="2"/>
        <scheme val="minor"/>
      </rPr>
      <t xml:space="preserve"> * r59 + v62_S</t>
    </r>
    <r>
      <rPr>
        <vertAlign val="subscript"/>
        <sz val="11"/>
        <rFont val="Calibri"/>
        <family val="2"/>
        <scheme val="minor"/>
      </rPr>
      <t>NO2</t>
    </r>
    <r>
      <rPr>
        <sz val="11"/>
        <rFont val="Calibri"/>
        <family val="2"/>
        <scheme val="minor"/>
      </rPr>
      <t xml:space="preserve"> * r62 + v82_S</t>
    </r>
    <r>
      <rPr>
        <vertAlign val="subscript"/>
        <sz val="11"/>
        <rFont val="Calibri"/>
        <family val="2"/>
        <charset val="238"/>
        <scheme val="minor"/>
      </rPr>
      <t>NO2</t>
    </r>
    <r>
      <rPr>
        <sz val="11"/>
        <rFont val="Calibri"/>
        <family val="2"/>
        <scheme val="minor"/>
      </rPr>
      <t xml:space="preserve"> * r82)</t>
    </r>
  </si>
  <si>
    <r>
      <t>i</t>
    </r>
    <r>
      <rPr>
        <vertAlign val="subscript"/>
        <sz val="11"/>
        <rFont val="Calibri"/>
        <family val="2"/>
        <scheme val="minor"/>
      </rPr>
      <t>N,BIO</t>
    </r>
    <r>
      <rPr>
        <sz val="11"/>
        <rFont val="Calibri"/>
        <family val="2"/>
        <scheme val="minor"/>
      </rPr>
      <t xml:space="preserve"> * (r1 + r2 + r3 + r4 + r5 + r6 + r7 + r8 + r9 + r12 + r13 + r16 + r17 + r18 + r22 + r23 + r24 + r32 + r33 + r40 + r46 + r49 + r52 + r55 + r58 + r59 + r60 + r61 + r62 + r63) - (v37_S</t>
    </r>
    <r>
      <rPr>
        <vertAlign val="subscript"/>
        <sz val="11"/>
        <rFont val="Calibri"/>
        <family val="2"/>
        <scheme val="minor"/>
      </rPr>
      <t>NHx</t>
    </r>
    <r>
      <rPr>
        <sz val="11"/>
        <rFont val="Calibri"/>
        <family val="2"/>
        <scheme val="minor"/>
      </rPr>
      <t xml:space="preserve"> * r37 + v43_S</t>
    </r>
    <r>
      <rPr>
        <vertAlign val="subscript"/>
        <sz val="11"/>
        <rFont val="Calibri"/>
        <family val="2"/>
        <scheme val="minor"/>
      </rPr>
      <t>NHx</t>
    </r>
    <r>
      <rPr>
        <sz val="11"/>
        <rFont val="Calibri"/>
        <family val="2"/>
        <scheme val="minor"/>
      </rPr>
      <t xml:space="preserve"> * r43 + v108_S</t>
    </r>
    <r>
      <rPr>
        <vertAlign val="subscript"/>
        <sz val="11"/>
        <rFont val="Calibri"/>
        <family val="2"/>
        <scheme val="minor"/>
      </rPr>
      <t>NHx</t>
    </r>
    <r>
      <rPr>
        <sz val="11"/>
        <rFont val="Calibri"/>
        <family val="2"/>
        <scheme val="minor"/>
      </rPr>
      <t xml:space="preserve"> * r108)</t>
    </r>
  </si>
  <si>
    <r>
      <t>-(v89_S</t>
    </r>
    <r>
      <rPr>
        <vertAlign val="subscript"/>
        <sz val="11"/>
        <rFont val="Calibri"/>
        <family val="2"/>
        <scheme val="minor"/>
      </rPr>
      <t>PO4</t>
    </r>
    <r>
      <rPr>
        <sz val="11"/>
        <rFont val="Calibri"/>
        <family val="2"/>
        <scheme val="minor"/>
      </rPr>
      <t xml:space="preserve"> * r89 + v90_S</t>
    </r>
    <r>
      <rPr>
        <vertAlign val="subscript"/>
        <sz val="11"/>
        <rFont val="Calibri"/>
        <family val="2"/>
        <scheme val="minor"/>
      </rPr>
      <t>PO4</t>
    </r>
    <r>
      <rPr>
        <sz val="11"/>
        <rFont val="Calibri"/>
        <family val="2"/>
        <scheme val="minor"/>
      </rPr>
      <t xml:space="preserve"> * r90+ v96_S</t>
    </r>
    <r>
      <rPr>
        <vertAlign val="subscript"/>
        <sz val="11"/>
        <rFont val="Calibri"/>
        <family val="2"/>
        <scheme val="minor"/>
      </rPr>
      <t>PO4</t>
    </r>
    <r>
      <rPr>
        <sz val="11"/>
        <rFont val="Calibri"/>
        <family val="2"/>
        <scheme val="minor"/>
      </rPr>
      <t xml:space="preserve"> * r96 + v97_S</t>
    </r>
    <r>
      <rPr>
        <vertAlign val="subscript"/>
        <sz val="11"/>
        <rFont val="Calibri"/>
        <family val="2"/>
        <scheme val="minor"/>
      </rPr>
      <t>PO4</t>
    </r>
    <r>
      <rPr>
        <sz val="11"/>
        <rFont val="Calibri"/>
        <family val="2"/>
        <scheme val="minor"/>
      </rPr>
      <t xml:space="preserve"> * r97 + v106_S</t>
    </r>
    <r>
      <rPr>
        <vertAlign val="subscript"/>
        <sz val="11"/>
        <rFont val="Calibri"/>
        <family val="2"/>
        <scheme val="minor"/>
      </rPr>
      <t>PO4</t>
    </r>
    <r>
      <rPr>
        <sz val="11"/>
        <rFont val="Calibri"/>
        <family val="2"/>
        <scheme val="minor"/>
      </rPr>
      <t xml:space="preserve"> * r106 + v107_S</t>
    </r>
    <r>
      <rPr>
        <vertAlign val="subscript"/>
        <sz val="11"/>
        <rFont val="Calibri"/>
        <family val="2"/>
        <scheme val="minor"/>
      </rPr>
      <t>PO4</t>
    </r>
    <r>
      <rPr>
        <sz val="11"/>
        <rFont val="Calibri"/>
        <family val="2"/>
        <scheme val="minor"/>
      </rPr>
      <t xml:space="preserve"> * r107 + v108_S</t>
    </r>
    <r>
      <rPr>
        <vertAlign val="subscript"/>
        <sz val="11"/>
        <rFont val="Calibri"/>
        <family val="2"/>
        <scheme val="minor"/>
      </rPr>
      <t>PO4</t>
    </r>
    <r>
      <rPr>
        <sz val="11"/>
        <rFont val="Calibri"/>
        <family val="2"/>
        <scheme val="minor"/>
      </rPr>
      <t xml:space="preserve"> * r108 + v109_S</t>
    </r>
    <r>
      <rPr>
        <vertAlign val="subscript"/>
        <sz val="11"/>
        <rFont val="Calibri"/>
        <family val="2"/>
        <scheme val="minor"/>
      </rPr>
      <t>PO4</t>
    </r>
    <r>
      <rPr>
        <sz val="11"/>
        <rFont val="Calibri"/>
        <family val="2"/>
        <scheme val="minor"/>
      </rPr>
      <t xml:space="preserve"> * r109)</t>
    </r>
  </si>
  <si>
    <r>
      <t>v25_S</t>
    </r>
    <r>
      <rPr>
        <vertAlign val="subscript"/>
        <sz val="11"/>
        <rFont val="Calibri"/>
        <family val="2"/>
        <scheme val="minor"/>
      </rPr>
      <t>PO4</t>
    </r>
    <r>
      <rPr>
        <sz val="11"/>
        <rFont val="Calibri"/>
        <family val="2"/>
        <scheme val="minor"/>
      </rPr>
      <t xml:space="preserve"> * r25 + v31_S</t>
    </r>
    <r>
      <rPr>
        <vertAlign val="subscript"/>
        <sz val="11"/>
        <rFont val="Calibri"/>
        <family val="2"/>
        <charset val="238"/>
        <scheme val="minor"/>
      </rPr>
      <t>PO4</t>
    </r>
    <r>
      <rPr>
        <sz val="11"/>
        <rFont val="Calibri"/>
        <family val="2"/>
        <scheme val="minor"/>
      </rPr>
      <t xml:space="preserve"> * r31 + v34_S</t>
    </r>
    <r>
      <rPr>
        <vertAlign val="subscript"/>
        <sz val="11"/>
        <rFont val="Calibri"/>
        <family val="2"/>
        <scheme val="minor"/>
      </rPr>
      <t>PO4</t>
    </r>
    <r>
      <rPr>
        <sz val="11"/>
        <rFont val="Calibri"/>
        <family val="2"/>
        <scheme val="minor"/>
      </rPr>
      <t xml:space="preserve"> * r34 + v35_S</t>
    </r>
    <r>
      <rPr>
        <vertAlign val="subscript"/>
        <sz val="11"/>
        <rFont val="Calibri"/>
        <family val="2"/>
        <scheme val="minor"/>
      </rPr>
      <t>PO4</t>
    </r>
    <r>
      <rPr>
        <sz val="11"/>
        <rFont val="Calibri"/>
        <family val="2"/>
        <scheme val="minor"/>
      </rPr>
      <t xml:space="preserve"> * r35 + v77_S</t>
    </r>
    <r>
      <rPr>
        <vertAlign val="subscript"/>
        <sz val="11"/>
        <rFont val="Calibri"/>
        <family val="2"/>
        <scheme val="minor"/>
      </rPr>
      <t>PO4</t>
    </r>
    <r>
      <rPr>
        <sz val="11"/>
        <rFont val="Calibri"/>
        <family val="2"/>
        <scheme val="minor"/>
      </rPr>
      <t xml:space="preserve"> * r77 + v82_S</t>
    </r>
    <r>
      <rPr>
        <vertAlign val="subscript"/>
        <sz val="11"/>
        <rFont val="Calibri"/>
        <family val="2"/>
        <scheme val="minor"/>
      </rPr>
      <t>PO4</t>
    </r>
    <r>
      <rPr>
        <sz val="11"/>
        <rFont val="Calibri"/>
        <family val="2"/>
        <scheme val="minor"/>
      </rPr>
      <t xml:space="preserve"> * r82 + v83_S</t>
    </r>
    <r>
      <rPr>
        <vertAlign val="subscript"/>
        <sz val="11"/>
        <rFont val="Calibri"/>
        <family val="2"/>
        <scheme val="minor"/>
      </rPr>
      <t>PO4</t>
    </r>
    <r>
      <rPr>
        <sz val="11"/>
        <rFont val="Calibri"/>
        <family val="2"/>
        <scheme val="minor"/>
      </rPr>
      <t xml:space="preserve"> * r83 + v91_S</t>
    </r>
    <r>
      <rPr>
        <vertAlign val="subscript"/>
        <sz val="11"/>
        <rFont val="Calibri"/>
        <family val="2"/>
        <scheme val="minor"/>
      </rPr>
      <t>PO4</t>
    </r>
    <r>
      <rPr>
        <sz val="11"/>
        <rFont val="Calibri"/>
        <family val="2"/>
        <scheme val="minor"/>
      </rPr>
      <t xml:space="preserve"> * r91 + v92_S</t>
    </r>
    <r>
      <rPr>
        <vertAlign val="subscript"/>
        <sz val="11"/>
        <rFont val="Calibri"/>
        <family val="2"/>
        <scheme val="minor"/>
      </rPr>
      <t>PO4</t>
    </r>
    <r>
      <rPr>
        <sz val="11"/>
        <rFont val="Calibri"/>
        <family val="2"/>
        <scheme val="minor"/>
      </rPr>
      <t xml:space="preserve"> * r92 + v93_S</t>
    </r>
    <r>
      <rPr>
        <vertAlign val="subscript"/>
        <sz val="11"/>
        <rFont val="Calibri"/>
        <family val="2"/>
        <scheme val="minor"/>
      </rPr>
      <t>PO4</t>
    </r>
    <r>
      <rPr>
        <sz val="11"/>
        <rFont val="Calibri"/>
        <family val="2"/>
        <scheme val="minor"/>
      </rPr>
      <t xml:space="preserve"> * r93 + v98_S</t>
    </r>
    <r>
      <rPr>
        <vertAlign val="subscript"/>
        <sz val="11"/>
        <rFont val="Calibri"/>
        <family val="2"/>
        <scheme val="minor"/>
      </rPr>
      <t>PO4</t>
    </r>
    <r>
      <rPr>
        <sz val="11"/>
        <rFont val="Calibri"/>
        <family val="2"/>
        <scheme val="minor"/>
      </rPr>
      <t xml:space="preserve"> * r98 + v99_S</t>
    </r>
    <r>
      <rPr>
        <vertAlign val="subscript"/>
        <sz val="11"/>
        <rFont val="Calibri"/>
        <family val="2"/>
        <scheme val="minor"/>
      </rPr>
      <t>PO4</t>
    </r>
    <r>
      <rPr>
        <sz val="11"/>
        <rFont val="Calibri"/>
        <family val="2"/>
        <scheme val="minor"/>
      </rPr>
      <t xml:space="preserve"> * r99 + v100_S</t>
    </r>
    <r>
      <rPr>
        <vertAlign val="subscript"/>
        <sz val="11"/>
        <rFont val="Calibri"/>
        <family val="2"/>
        <scheme val="minor"/>
      </rPr>
      <t>PO4</t>
    </r>
    <r>
      <rPr>
        <sz val="11"/>
        <rFont val="Calibri"/>
        <family val="2"/>
        <scheme val="minor"/>
      </rPr>
      <t xml:space="preserve"> * r100 + v101_S</t>
    </r>
    <r>
      <rPr>
        <vertAlign val="subscript"/>
        <sz val="11"/>
        <rFont val="Calibri"/>
        <family val="2"/>
        <scheme val="minor"/>
      </rPr>
      <t>PO4</t>
    </r>
    <r>
      <rPr>
        <sz val="11"/>
        <rFont val="Calibri"/>
        <family val="2"/>
        <scheme val="minor"/>
      </rPr>
      <t xml:space="preserve"> * r101 + v102_S</t>
    </r>
    <r>
      <rPr>
        <vertAlign val="subscript"/>
        <sz val="11"/>
        <rFont val="Calibri"/>
        <family val="2"/>
        <scheme val="minor"/>
      </rPr>
      <t>PO4</t>
    </r>
    <r>
      <rPr>
        <sz val="11"/>
        <rFont val="Calibri"/>
        <family val="2"/>
        <scheme val="minor"/>
      </rPr>
      <t xml:space="preserve"> * r102</t>
    </r>
  </si>
  <si>
    <r>
      <t>-(v58_S</t>
    </r>
    <r>
      <rPr>
        <vertAlign val="subscript"/>
        <sz val="11"/>
        <rFont val="Calibri"/>
        <family val="2"/>
        <charset val="238"/>
        <scheme val="minor"/>
      </rPr>
      <t>H2S</t>
    </r>
    <r>
      <rPr>
        <sz val="11"/>
        <rFont val="Calibri"/>
        <family val="2"/>
        <scheme val="minor"/>
      </rPr>
      <t xml:space="preserve"> * r58 + v59_S</t>
    </r>
    <r>
      <rPr>
        <vertAlign val="subscript"/>
        <sz val="11"/>
        <rFont val="Calibri"/>
        <family val="2"/>
        <charset val="238"/>
        <scheme val="minor"/>
      </rPr>
      <t>H2S</t>
    </r>
    <r>
      <rPr>
        <sz val="11"/>
        <rFont val="Calibri"/>
        <family val="2"/>
        <scheme val="minor"/>
      </rPr>
      <t xml:space="preserve"> * r59 + v60_S</t>
    </r>
    <r>
      <rPr>
        <vertAlign val="subscript"/>
        <sz val="11"/>
        <rFont val="Calibri"/>
        <family val="2"/>
        <charset val="238"/>
        <scheme val="minor"/>
      </rPr>
      <t>H2S</t>
    </r>
    <r>
      <rPr>
        <sz val="11"/>
        <rFont val="Calibri"/>
        <family val="2"/>
        <scheme val="minor"/>
      </rPr>
      <t xml:space="preserve"> * r60 + v84_S</t>
    </r>
    <r>
      <rPr>
        <vertAlign val="subscript"/>
        <sz val="11"/>
        <rFont val="Calibri"/>
        <family val="2"/>
        <charset val="238"/>
        <scheme val="minor"/>
      </rPr>
      <t>H2S</t>
    </r>
    <r>
      <rPr>
        <sz val="11"/>
        <rFont val="Calibri"/>
        <family val="2"/>
        <scheme val="minor"/>
      </rPr>
      <t xml:space="preserve"> * r84 + v86_S</t>
    </r>
    <r>
      <rPr>
        <vertAlign val="subscript"/>
        <sz val="11"/>
        <rFont val="Calibri"/>
        <family val="2"/>
        <charset val="238"/>
        <scheme val="minor"/>
      </rPr>
      <t>H2S</t>
    </r>
    <r>
      <rPr>
        <sz val="11"/>
        <rFont val="Calibri"/>
        <family val="2"/>
        <scheme val="minor"/>
      </rPr>
      <t xml:space="preserve"> * r86)</t>
    </r>
  </si>
  <si>
    <r>
      <t>i</t>
    </r>
    <r>
      <rPr>
        <vertAlign val="subscript"/>
        <sz val="11"/>
        <rFont val="Calibri"/>
        <family val="2"/>
        <scheme val="minor"/>
      </rPr>
      <t>S,BIO</t>
    </r>
    <r>
      <rPr>
        <sz val="11"/>
        <rFont val="Calibri"/>
        <family val="2"/>
        <scheme val="minor"/>
      </rPr>
      <t xml:space="preserve"> * (r1 + r2 + r3 + r9 + r12 + r13 + r16 + r17 + r18 + r22 + r23 + r24 + r37 + r40 + r43 + r46 + r49 + r58 + r59 + r60)-(v4_S</t>
    </r>
    <r>
      <rPr>
        <vertAlign val="subscript"/>
        <sz val="11"/>
        <rFont val="Calibri"/>
        <family val="2"/>
        <scheme val="minor"/>
      </rPr>
      <t>SO4</t>
    </r>
    <r>
      <rPr>
        <sz val="11"/>
        <rFont val="Calibri"/>
        <family val="2"/>
        <scheme val="minor"/>
      </rPr>
      <t xml:space="preserve"> * r4 + v5_S</t>
    </r>
    <r>
      <rPr>
        <vertAlign val="subscript"/>
        <sz val="11"/>
        <rFont val="Calibri"/>
        <family val="2"/>
        <charset val="238"/>
        <scheme val="minor"/>
      </rPr>
      <t>SO4</t>
    </r>
    <r>
      <rPr>
        <sz val="11"/>
        <rFont val="Calibri"/>
        <family val="2"/>
        <scheme val="minor"/>
      </rPr>
      <t xml:space="preserve"> * r5 + v6_S</t>
    </r>
    <r>
      <rPr>
        <vertAlign val="subscript"/>
        <sz val="11"/>
        <rFont val="Calibri"/>
        <family val="2"/>
        <charset val="238"/>
        <scheme val="minor"/>
      </rPr>
      <t>SO4</t>
    </r>
    <r>
      <rPr>
        <sz val="11"/>
        <rFont val="Calibri"/>
        <family val="2"/>
        <scheme val="minor"/>
      </rPr>
      <t xml:space="preserve"> * r6 + v7_S</t>
    </r>
    <r>
      <rPr>
        <vertAlign val="subscript"/>
        <sz val="11"/>
        <rFont val="Calibri"/>
        <family val="2"/>
        <charset val="238"/>
        <scheme val="minor"/>
      </rPr>
      <t>SO4</t>
    </r>
    <r>
      <rPr>
        <sz val="11"/>
        <rFont val="Calibri"/>
        <family val="2"/>
        <scheme val="minor"/>
      </rPr>
      <t xml:space="preserve"> * r7 + v8_S</t>
    </r>
    <r>
      <rPr>
        <vertAlign val="subscript"/>
        <sz val="11"/>
        <rFont val="Calibri"/>
        <family val="2"/>
        <charset val="238"/>
        <scheme val="minor"/>
      </rPr>
      <t>SO4</t>
    </r>
    <r>
      <rPr>
        <sz val="11"/>
        <rFont val="Calibri"/>
        <family val="2"/>
        <scheme val="minor"/>
      </rPr>
      <t xml:space="preserve"> * r8 + v52_S</t>
    </r>
    <r>
      <rPr>
        <vertAlign val="subscript"/>
        <sz val="11"/>
        <rFont val="Calibri"/>
        <family val="2"/>
        <charset val="238"/>
        <scheme val="minor"/>
      </rPr>
      <t>SO4</t>
    </r>
    <r>
      <rPr>
        <sz val="11"/>
        <rFont val="Calibri"/>
        <family val="2"/>
        <scheme val="minor"/>
      </rPr>
      <t xml:space="preserve"> * r52 + v55_S</t>
    </r>
    <r>
      <rPr>
        <vertAlign val="subscript"/>
        <sz val="11"/>
        <rFont val="Calibri"/>
        <family val="2"/>
        <charset val="238"/>
        <scheme val="minor"/>
      </rPr>
      <t>SO4</t>
    </r>
    <r>
      <rPr>
        <sz val="11"/>
        <rFont val="Calibri"/>
        <family val="2"/>
        <scheme val="minor"/>
      </rPr>
      <t xml:space="preserve"> * r55 + v78_S</t>
    </r>
    <r>
      <rPr>
        <vertAlign val="subscript"/>
        <sz val="11"/>
        <rFont val="Calibri"/>
        <family val="2"/>
        <charset val="238"/>
        <scheme val="minor"/>
      </rPr>
      <t>SO4</t>
    </r>
    <r>
      <rPr>
        <sz val="11"/>
        <rFont val="Calibri"/>
        <family val="2"/>
        <scheme val="minor"/>
      </rPr>
      <t xml:space="preserve"> * r78 + v79_S</t>
    </r>
    <r>
      <rPr>
        <vertAlign val="subscript"/>
        <sz val="11"/>
        <rFont val="Calibri"/>
        <family val="2"/>
        <charset val="238"/>
        <scheme val="minor"/>
      </rPr>
      <t>SO4</t>
    </r>
    <r>
      <rPr>
        <sz val="11"/>
        <rFont val="Calibri"/>
        <family val="2"/>
        <scheme val="minor"/>
      </rPr>
      <t xml:space="preserve"> * r79)</t>
    </r>
  </si>
  <si>
    <t>(v124_SO2 * r124)</t>
  </si>
  <si>
    <t>(v117_SO2 * r117)</t>
  </si>
  <si>
    <t>((v101_SCO2 * r101) + (v105_SCO2 * r105))</t>
  </si>
  <si>
    <t>((v78_SCO2 * r78) + (v79_SCO2 * r79) + (v81_SCO2 * r81) + (v82_SCO2 * r82) + (v83_SCO2 * r83))</t>
  </si>
  <si>
    <t>((v121_SCO2 * r121))</t>
  </si>
  <si>
    <t>((v77_SPO4 * r77) + (v82_SPO4 * r82) + (v83_SPO4 * r83))</t>
  </si>
  <si>
    <t>((v76_SNHx * r76) + (v82_SNHx * r82) + (v83_SNHx * r83))</t>
  </si>
  <si>
    <t>((v103_SO2 * r103))</t>
  </si>
  <si>
    <t xml:space="preserve"> - ((v1_SO2 * r1 * -1) + (v4_SO2 * r4 * -1) + (v9_SO2 * r9 * -1) + (v16_SO2 * r16 * -1) + (v19_SO2 * r19 * -1) + (v22_SO2 * r22 * -1) + (v27_SO2 * r27 * -1) + (v58_SO2 * r58 * -1) + (v61_SO2 * r61 * -1) + (v84_SO2 * r84 * -1) + (v85_SO2 * r85 * -1) + (v104_SO2 * r104 * -1))</t>
  </si>
  <si>
    <t>((v124_SO2 * r124))* SOTRsur,min/SOTRsur</t>
  </si>
  <si>
    <t>((v124_SO2 * r124))* SOTRaerator/SOTRsur</t>
  </si>
  <si>
    <t xml:space="preserve"> + ((v3_SNO3 * r3 * 1) + (v6_SNO3 * r6 * 1) + (v13_SNO3 * r13 * 1) + (v18_SNO3 * r18 * 1) + (v21_SNO3 * r21 * 1) + (v24_SNO3 * r24 * 1) + (v29_SNO3 * r29 * 1) + (v60_SNO3 * r60 * 1) + (v63_SNO3 * r63 * 1) + (v83_SNO3 * r83 * 1) + (v2_SNO2 * r2 * 1) + (v3_SNO2 * r3 * 1) + (v5_SNO2 * r5 * 1) + (v6_SNO2 * r6 * 1) + (v12_SNO2 * r12 * 1) + (v13_SNO2 * r13 * 1) + (v17_SNO2 * r17 * 1) + (v18_SNO2 * r18 * 1) + (v20_SNO2 * r20 * 1) + (v21_SNO2 * r21 * 1) + (v23_SNO2 * r23 * 1) + (v24_SNO2 * r24 * 1) + (v28_SNO2 * r28 * 1) + (v29_SNO2 * r29 * 1) + (v59_SNO2 * r59 * 1) + (v60_SNO2 * r60 * 1) + (v62_SNO2 * r62 * 1) + (v63_SNO2 * r63 * 1) + (v82_SNO2 * r82 * 1))</t>
  </si>
  <si>
    <t>((v125_SNHx * r125))</t>
  </si>
  <si>
    <r>
      <t xml:space="preserve"> - ((v3_SNO3 * r3 * -EEQ</t>
    </r>
    <r>
      <rPr>
        <vertAlign val="subscript"/>
        <sz val="11"/>
        <color rgb="FF000000"/>
        <rFont val="Calibri"/>
        <family val="2"/>
        <charset val="238"/>
      </rPr>
      <t>NO3</t>
    </r>
    <r>
      <rPr>
        <sz val="11"/>
        <color indexed="8"/>
        <rFont val="Calibri"/>
        <family val="2"/>
      </rPr>
      <t>) + (v6_SNO3 * r6 * -EEQ</t>
    </r>
    <r>
      <rPr>
        <vertAlign val="subscript"/>
        <sz val="11"/>
        <color rgb="FF000000"/>
        <rFont val="Calibri"/>
        <family val="2"/>
        <charset val="238"/>
      </rPr>
      <t>NO3</t>
    </r>
    <r>
      <rPr>
        <sz val="11"/>
        <color indexed="8"/>
        <rFont val="Calibri"/>
        <family val="2"/>
      </rPr>
      <t>) + (v13_SNO3 * r13 * -EEQ</t>
    </r>
    <r>
      <rPr>
        <vertAlign val="subscript"/>
        <sz val="11"/>
        <color rgb="FF000000"/>
        <rFont val="Calibri"/>
        <family val="2"/>
        <charset val="238"/>
      </rPr>
      <t>NO3</t>
    </r>
    <r>
      <rPr>
        <sz val="11"/>
        <color indexed="8"/>
        <rFont val="Calibri"/>
        <family val="2"/>
      </rPr>
      <t>) + (v18_SNO3 * r18 * -EEQ</t>
    </r>
    <r>
      <rPr>
        <vertAlign val="subscript"/>
        <sz val="11"/>
        <color rgb="FF000000"/>
        <rFont val="Calibri"/>
        <family val="2"/>
        <charset val="238"/>
      </rPr>
      <t>NO3</t>
    </r>
    <r>
      <rPr>
        <sz val="11"/>
        <color indexed="8"/>
        <rFont val="Calibri"/>
        <family val="2"/>
      </rPr>
      <t>) + (v21_SNO3 * r21 * -EEQ</t>
    </r>
    <r>
      <rPr>
        <vertAlign val="subscript"/>
        <sz val="11"/>
        <color rgb="FF000000"/>
        <rFont val="Calibri"/>
        <family val="2"/>
        <charset val="238"/>
      </rPr>
      <t>NO3</t>
    </r>
    <r>
      <rPr>
        <sz val="11"/>
        <color indexed="8"/>
        <rFont val="Calibri"/>
        <family val="2"/>
      </rPr>
      <t>) + (v24_SNO3 * r24 * -EEQ</t>
    </r>
    <r>
      <rPr>
        <vertAlign val="subscript"/>
        <sz val="11"/>
        <color rgb="FF000000"/>
        <rFont val="Calibri"/>
        <family val="2"/>
        <charset val="238"/>
      </rPr>
      <t>NO3</t>
    </r>
    <r>
      <rPr>
        <sz val="11"/>
        <color indexed="8"/>
        <rFont val="Calibri"/>
        <family val="2"/>
      </rPr>
      <t>) + (v29_SNO3 * r29 * -EEQ</t>
    </r>
    <r>
      <rPr>
        <vertAlign val="subscript"/>
        <sz val="11"/>
        <color rgb="FF000000"/>
        <rFont val="Calibri"/>
        <family val="2"/>
        <charset val="238"/>
      </rPr>
      <t>NO3</t>
    </r>
    <r>
      <rPr>
        <sz val="11"/>
        <color indexed="8"/>
        <rFont val="Calibri"/>
        <family val="2"/>
      </rPr>
      <t>) + (v60_SNO3 * r60 * -EEQ</t>
    </r>
    <r>
      <rPr>
        <vertAlign val="subscript"/>
        <sz val="11"/>
        <color rgb="FF000000"/>
        <rFont val="Calibri"/>
        <family val="2"/>
        <charset val="238"/>
      </rPr>
      <t>NO3</t>
    </r>
    <r>
      <rPr>
        <sz val="11"/>
        <color indexed="8"/>
        <rFont val="Calibri"/>
        <family val="2"/>
      </rPr>
      <t>) + (v63_SNO3 * r63 * -EEQ</t>
    </r>
    <r>
      <rPr>
        <vertAlign val="subscript"/>
        <sz val="11"/>
        <color rgb="FF000000"/>
        <rFont val="Calibri"/>
        <family val="2"/>
        <charset val="238"/>
      </rPr>
      <t>NO3</t>
    </r>
    <r>
      <rPr>
        <sz val="11"/>
        <color indexed="8"/>
        <rFont val="Calibri"/>
        <family val="2"/>
      </rPr>
      <t>) + (v83_SNO3 * r83 * -EEQ</t>
    </r>
    <r>
      <rPr>
        <vertAlign val="subscript"/>
        <sz val="11"/>
        <color rgb="FF000000"/>
        <rFont val="Calibri"/>
        <family val="2"/>
        <charset val="238"/>
      </rPr>
      <t>NO3</t>
    </r>
    <r>
      <rPr>
        <sz val="11"/>
        <color indexed="8"/>
        <rFont val="Calibri"/>
        <family val="2"/>
      </rPr>
      <t>) + (v2_SNO2 * r2 * -EEQ</t>
    </r>
    <r>
      <rPr>
        <vertAlign val="subscript"/>
        <sz val="11"/>
        <color rgb="FF000000"/>
        <rFont val="Calibri"/>
        <family val="2"/>
        <charset val="238"/>
      </rPr>
      <t>NO2</t>
    </r>
    <r>
      <rPr>
        <sz val="11"/>
        <color indexed="8"/>
        <rFont val="Calibri"/>
        <family val="2"/>
      </rPr>
      <t>) + (v3_SNO2 * r3 * -EEQ</t>
    </r>
    <r>
      <rPr>
        <vertAlign val="subscript"/>
        <sz val="11"/>
        <color rgb="FF000000"/>
        <rFont val="Calibri"/>
        <family val="2"/>
        <charset val="238"/>
      </rPr>
      <t>NO2</t>
    </r>
    <r>
      <rPr>
        <sz val="11"/>
        <color indexed="8"/>
        <rFont val="Calibri"/>
        <family val="2"/>
      </rPr>
      <t>) + (v5_SNO2 * r5 * -EEQ</t>
    </r>
    <r>
      <rPr>
        <vertAlign val="subscript"/>
        <sz val="11"/>
        <color rgb="FF000000"/>
        <rFont val="Calibri"/>
        <family val="2"/>
        <charset val="238"/>
      </rPr>
      <t>NO2</t>
    </r>
    <r>
      <rPr>
        <sz val="11"/>
        <color indexed="8"/>
        <rFont val="Calibri"/>
        <family val="2"/>
      </rPr>
      <t>) + (v6_SNO2 * r6 * -EEQ</t>
    </r>
    <r>
      <rPr>
        <vertAlign val="subscript"/>
        <sz val="11"/>
        <color rgb="FF000000"/>
        <rFont val="Calibri"/>
        <family val="2"/>
        <charset val="238"/>
      </rPr>
      <t>NO2</t>
    </r>
    <r>
      <rPr>
        <sz val="11"/>
        <color indexed="8"/>
        <rFont val="Calibri"/>
        <family val="2"/>
      </rPr>
      <t>) + (v12_SNO2 * r12 * -EEQ</t>
    </r>
    <r>
      <rPr>
        <vertAlign val="subscript"/>
        <sz val="11"/>
        <color rgb="FF000000"/>
        <rFont val="Calibri"/>
        <family val="2"/>
        <charset val="238"/>
      </rPr>
      <t>NO2</t>
    </r>
    <r>
      <rPr>
        <sz val="11"/>
        <color indexed="8"/>
        <rFont val="Calibri"/>
        <family val="2"/>
      </rPr>
      <t>) + (v13_SNO2 * r13 * -EEQ</t>
    </r>
    <r>
      <rPr>
        <vertAlign val="subscript"/>
        <sz val="11"/>
        <color rgb="FF000000"/>
        <rFont val="Calibri"/>
        <family val="2"/>
        <charset val="238"/>
      </rPr>
      <t>NO2</t>
    </r>
    <r>
      <rPr>
        <sz val="11"/>
        <color indexed="8"/>
        <rFont val="Calibri"/>
        <family val="2"/>
      </rPr>
      <t>) + (v17_SNO2 * r17 * -EEQ</t>
    </r>
    <r>
      <rPr>
        <vertAlign val="subscript"/>
        <sz val="11"/>
        <color rgb="FF000000"/>
        <rFont val="Calibri"/>
        <family val="2"/>
        <charset val="238"/>
      </rPr>
      <t>NO2</t>
    </r>
    <r>
      <rPr>
        <sz val="11"/>
        <color indexed="8"/>
        <rFont val="Calibri"/>
        <family val="2"/>
      </rPr>
      <t>) + (v18_SNO2 * r18 * -EEQ</t>
    </r>
    <r>
      <rPr>
        <vertAlign val="subscript"/>
        <sz val="11"/>
        <color rgb="FF000000"/>
        <rFont val="Calibri"/>
        <family val="2"/>
        <charset val="238"/>
      </rPr>
      <t>NO2</t>
    </r>
    <r>
      <rPr>
        <sz val="11"/>
        <color indexed="8"/>
        <rFont val="Calibri"/>
        <family val="2"/>
      </rPr>
      <t>) + (v20_SNO2 * r20 * -EEQ</t>
    </r>
    <r>
      <rPr>
        <vertAlign val="subscript"/>
        <sz val="11"/>
        <color rgb="FF000000"/>
        <rFont val="Calibri"/>
        <family val="2"/>
        <charset val="238"/>
      </rPr>
      <t>NO2</t>
    </r>
    <r>
      <rPr>
        <sz val="11"/>
        <color indexed="8"/>
        <rFont val="Calibri"/>
        <family val="2"/>
      </rPr>
      <t>) + (v21_SNO2 * r21 * -EEQ</t>
    </r>
    <r>
      <rPr>
        <vertAlign val="subscript"/>
        <sz val="11"/>
        <color rgb="FF000000"/>
        <rFont val="Calibri"/>
        <family val="2"/>
        <charset val="238"/>
      </rPr>
      <t>NO2</t>
    </r>
    <r>
      <rPr>
        <sz val="11"/>
        <color indexed="8"/>
        <rFont val="Calibri"/>
        <family val="2"/>
      </rPr>
      <t>) + (v23_SNO2 * r23 * -EEQ</t>
    </r>
    <r>
      <rPr>
        <vertAlign val="subscript"/>
        <sz val="11"/>
        <color rgb="FF000000"/>
        <rFont val="Calibri"/>
        <family val="2"/>
        <charset val="238"/>
      </rPr>
      <t>NO2</t>
    </r>
    <r>
      <rPr>
        <sz val="11"/>
        <color indexed="8"/>
        <rFont val="Calibri"/>
        <family val="2"/>
      </rPr>
      <t>) + (v24_SNO2 * r24 * -EEQ</t>
    </r>
    <r>
      <rPr>
        <vertAlign val="subscript"/>
        <sz val="11"/>
        <color rgb="FF000000"/>
        <rFont val="Calibri"/>
        <family val="2"/>
        <charset val="238"/>
      </rPr>
      <t>NO2</t>
    </r>
    <r>
      <rPr>
        <sz val="11"/>
        <color indexed="8"/>
        <rFont val="Calibri"/>
        <family val="2"/>
      </rPr>
      <t>) + (v28_SNO2 * r28 * -EEQ</t>
    </r>
    <r>
      <rPr>
        <vertAlign val="subscript"/>
        <sz val="11"/>
        <color rgb="FF000000"/>
        <rFont val="Calibri"/>
        <family val="2"/>
        <charset val="238"/>
      </rPr>
      <t>NO2</t>
    </r>
    <r>
      <rPr>
        <sz val="11"/>
        <color indexed="8"/>
        <rFont val="Calibri"/>
        <family val="2"/>
      </rPr>
      <t>) + (v29_SNO2 * r29 * -EEQ</t>
    </r>
    <r>
      <rPr>
        <vertAlign val="subscript"/>
        <sz val="11"/>
        <color rgb="FF000000"/>
        <rFont val="Calibri"/>
        <family val="2"/>
        <charset val="238"/>
      </rPr>
      <t>NO2</t>
    </r>
    <r>
      <rPr>
        <sz val="11"/>
        <color indexed="8"/>
        <rFont val="Calibri"/>
        <family val="2"/>
      </rPr>
      <t>) + (v59_SNO2 * r59 * -EEQ</t>
    </r>
    <r>
      <rPr>
        <vertAlign val="subscript"/>
        <sz val="11"/>
        <color rgb="FF000000"/>
        <rFont val="Calibri"/>
        <family val="2"/>
        <charset val="238"/>
      </rPr>
      <t>NO2</t>
    </r>
    <r>
      <rPr>
        <sz val="11"/>
        <color indexed="8"/>
        <rFont val="Calibri"/>
        <family val="2"/>
      </rPr>
      <t>) + (v60_SNO2 * r60 * -EEQ</t>
    </r>
    <r>
      <rPr>
        <vertAlign val="subscript"/>
        <sz val="11"/>
        <color rgb="FF000000"/>
        <rFont val="Calibri"/>
        <family val="2"/>
        <charset val="238"/>
      </rPr>
      <t>NO2</t>
    </r>
    <r>
      <rPr>
        <sz val="11"/>
        <color indexed="8"/>
        <rFont val="Calibri"/>
        <family val="2"/>
      </rPr>
      <t>) + (v62_SNO2 * r62 * -EEQ</t>
    </r>
    <r>
      <rPr>
        <vertAlign val="subscript"/>
        <sz val="11"/>
        <color rgb="FF000000"/>
        <rFont val="Calibri"/>
        <family val="2"/>
        <charset val="238"/>
      </rPr>
      <t>NO2</t>
    </r>
    <r>
      <rPr>
        <sz val="11"/>
        <color indexed="8"/>
        <rFont val="Calibri"/>
        <family val="2"/>
      </rPr>
      <t>) + (v63_SNO2 * r63 * -EEQ</t>
    </r>
    <r>
      <rPr>
        <vertAlign val="subscript"/>
        <sz val="11"/>
        <color rgb="FF000000"/>
        <rFont val="Calibri"/>
        <family val="2"/>
        <charset val="238"/>
      </rPr>
      <t>NO2</t>
    </r>
    <r>
      <rPr>
        <sz val="11"/>
        <color indexed="8"/>
        <rFont val="Calibri"/>
        <family val="2"/>
      </rPr>
      <t>) + (v82_SNO2 * r82 * -EEQ</t>
    </r>
    <r>
      <rPr>
        <vertAlign val="subscript"/>
        <sz val="11"/>
        <color rgb="FF000000"/>
        <rFont val="Calibri"/>
        <family val="2"/>
        <charset val="238"/>
      </rPr>
      <t>NO2</t>
    </r>
    <r>
      <rPr>
        <sz val="11"/>
        <color indexed="8"/>
        <rFont val="Calibri"/>
        <family val="2"/>
      </rPr>
      <t>) + (v2_SN2 * r2 * -EEQ</t>
    </r>
    <r>
      <rPr>
        <vertAlign val="subscript"/>
        <sz val="11"/>
        <color rgb="FF000000"/>
        <rFont val="Calibri"/>
        <family val="2"/>
        <charset val="238"/>
      </rPr>
      <t>N2</t>
    </r>
    <r>
      <rPr>
        <sz val="11"/>
        <color indexed="8"/>
        <rFont val="Calibri"/>
        <family val="2"/>
      </rPr>
      <t>) + (v5_SN2 * r5 * -EEQ</t>
    </r>
    <r>
      <rPr>
        <vertAlign val="subscript"/>
        <sz val="11"/>
        <color rgb="FF000000"/>
        <rFont val="Calibri"/>
        <family val="2"/>
        <charset val="238"/>
      </rPr>
      <t>N2</t>
    </r>
    <r>
      <rPr>
        <sz val="11"/>
        <color indexed="8"/>
        <rFont val="Calibri"/>
        <family val="2"/>
      </rPr>
      <t>) + (v12_SN2 * r12 * -EEQ</t>
    </r>
    <r>
      <rPr>
        <vertAlign val="subscript"/>
        <sz val="11"/>
        <color rgb="FF000000"/>
        <rFont val="Calibri"/>
        <family val="2"/>
        <charset val="238"/>
      </rPr>
      <t>N2</t>
    </r>
    <r>
      <rPr>
        <sz val="11"/>
        <color indexed="8"/>
        <rFont val="Calibri"/>
        <family val="2"/>
      </rPr>
      <t>) + (v17_SN2 * r17 * -EEQ</t>
    </r>
    <r>
      <rPr>
        <vertAlign val="subscript"/>
        <sz val="11"/>
        <color rgb="FF000000"/>
        <rFont val="Calibri"/>
        <family val="2"/>
        <charset val="238"/>
      </rPr>
      <t>N2</t>
    </r>
    <r>
      <rPr>
        <sz val="11"/>
        <color indexed="8"/>
        <rFont val="Calibri"/>
        <family val="2"/>
      </rPr>
      <t>) + (v20_SN2 * r20 * -EEQ</t>
    </r>
    <r>
      <rPr>
        <vertAlign val="subscript"/>
        <sz val="11"/>
        <color rgb="FF000000"/>
        <rFont val="Calibri"/>
        <family val="2"/>
        <charset val="238"/>
      </rPr>
      <t>N2</t>
    </r>
    <r>
      <rPr>
        <sz val="11"/>
        <color indexed="8"/>
        <rFont val="Calibri"/>
        <family val="2"/>
      </rPr>
      <t>) + (v23_SN2 * r23 * -EEQ</t>
    </r>
    <r>
      <rPr>
        <vertAlign val="subscript"/>
        <sz val="11"/>
        <color rgb="FF000000"/>
        <rFont val="Calibri"/>
        <family val="2"/>
        <charset val="238"/>
      </rPr>
      <t>N2</t>
    </r>
    <r>
      <rPr>
        <sz val="11"/>
        <color indexed="8"/>
        <rFont val="Calibri"/>
        <family val="2"/>
      </rPr>
      <t>) + (v28_SN2 * r28 * -EEQ</t>
    </r>
    <r>
      <rPr>
        <vertAlign val="subscript"/>
        <sz val="11"/>
        <color rgb="FF000000"/>
        <rFont val="Calibri"/>
        <family val="2"/>
        <charset val="238"/>
      </rPr>
      <t>N2</t>
    </r>
    <r>
      <rPr>
        <sz val="11"/>
        <color indexed="8"/>
        <rFont val="Calibri"/>
        <family val="2"/>
      </rPr>
      <t>) + (v59_SN2 * r59 * -EEQ</t>
    </r>
    <r>
      <rPr>
        <vertAlign val="subscript"/>
        <sz val="11"/>
        <color rgb="FF000000"/>
        <rFont val="Calibri"/>
        <family val="2"/>
        <charset val="238"/>
      </rPr>
      <t>N2</t>
    </r>
    <r>
      <rPr>
        <sz val="11"/>
        <color indexed="8"/>
        <rFont val="Calibri"/>
        <family val="2"/>
      </rPr>
      <t>) + (v62_SN2 * r62 * -EEQ</t>
    </r>
    <r>
      <rPr>
        <vertAlign val="subscript"/>
        <sz val="11"/>
        <color rgb="FF000000"/>
        <rFont val="Calibri"/>
        <family val="2"/>
        <charset val="238"/>
      </rPr>
      <t>N2</t>
    </r>
    <r>
      <rPr>
        <sz val="11"/>
        <color indexed="8"/>
        <rFont val="Calibri"/>
        <family val="2"/>
      </rPr>
      <t>))</t>
    </r>
  </si>
  <si>
    <t xml:space="preserve"> - ((v1_SO2 * r1 * -1) + (v4_SO2 * r4 * -1) + (v9_SO2 * r9 * -1) + (v16_SO2 * r16 * -1) + (v19_SO2 * r19 * -1) + (v22_SO2 * r22 * -1) + (v27_SO2 * r27 * -1) + (v58_SO2 * r58 * -1) + (v61_SO2 * r61 * -1) + (v68_SO2 * r68 * -1) + (v84_SO2 * r84 * -1) + (v85_SO2 * r85 * -1) + (v104_SO2 * r104 * -1))</t>
  </si>
  <si>
    <t>((v122_SCH4 * r122) + (v123_SH2 * r123))</t>
  </si>
  <si>
    <t>-v127_SH2S * r127 - v120_SH2S * r120</t>
  </si>
  <si>
    <t>((v89_SPO4 * r89) + (v90_SPO4 * r90) + (v91_SPO4 * r91) + (v92_SPO4 * r92) + (v93_SPO4 * r93) + (v96_SPO4 * r96) + (v97_SPO4 * r97) + (v98_SPO4 * r98) + (v99_SPO4 * r99) + (v100_SPO4 * r100) + (v101_SPO4 * r101) + (v102_SPO4 * r102) + (v106_SPO4 * r106) + (v107_SPO4 * r107) + (v108_SPO4 * r108) + (v109_SPO4 * r109))</t>
  </si>
  <si>
    <t>Intracellular water of biomass in volatile solids</t>
  </si>
  <si>
    <t>Assuming 80% of biomass cytoplasm is water(wet mass0.8/ dry mass0.2)</t>
  </si>
  <si>
    <r>
      <t>-(v114_G</t>
    </r>
    <r>
      <rPr>
        <vertAlign val="subscript"/>
        <sz val="11"/>
        <rFont val="Calibri"/>
        <family val="2"/>
      </rPr>
      <t>CO2</t>
    </r>
    <r>
      <rPr>
        <sz val="11"/>
        <rFont val="Calibri"/>
        <family val="2"/>
      </rPr>
      <t>*r114/MM</t>
    </r>
    <r>
      <rPr>
        <vertAlign val="subscript"/>
        <sz val="11"/>
        <rFont val="Calibri"/>
        <family val="2"/>
      </rPr>
      <t>EQ,GCO2</t>
    </r>
    <r>
      <rPr>
        <sz val="11"/>
        <rFont val="Calibri"/>
        <family val="2"/>
      </rPr>
      <t>+v115_G</t>
    </r>
    <r>
      <rPr>
        <vertAlign val="subscript"/>
        <sz val="11"/>
        <rFont val="Calibri"/>
        <family val="2"/>
      </rPr>
      <t>CH4</t>
    </r>
    <r>
      <rPr>
        <sz val="11"/>
        <rFont val="Calibri"/>
        <family val="2"/>
      </rPr>
      <t>*r115/MM</t>
    </r>
    <r>
      <rPr>
        <vertAlign val="subscript"/>
        <sz val="11"/>
        <rFont val="Calibri"/>
        <family val="2"/>
      </rPr>
      <t>EQ,GCH4</t>
    </r>
    <r>
      <rPr>
        <sz val="11"/>
        <rFont val="Calibri"/>
        <family val="2"/>
      </rPr>
      <t>+v116_G</t>
    </r>
    <r>
      <rPr>
        <vertAlign val="subscript"/>
        <sz val="11"/>
        <rFont val="Calibri"/>
        <family val="2"/>
      </rPr>
      <t>H2</t>
    </r>
    <r>
      <rPr>
        <sz val="11"/>
        <rFont val="Calibri"/>
        <family val="2"/>
      </rPr>
      <t>*r116/MM</t>
    </r>
    <r>
      <rPr>
        <vertAlign val="subscript"/>
        <sz val="11"/>
        <rFont val="Calibri"/>
        <family val="2"/>
      </rPr>
      <t>EQ,GH2</t>
    </r>
    <r>
      <rPr>
        <sz val="11"/>
        <rFont val="Calibri"/>
        <family val="2"/>
      </rPr>
      <t>+v117_G</t>
    </r>
    <r>
      <rPr>
        <vertAlign val="subscript"/>
        <sz val="11"/>
        <rFont val="Calibri"/>
        <family val="2"/>
      </rPr>
      <t>O2</t>
    </r>
    <r>
      <rPr>
        <sz val="11"/>
        <rFont val="Calibri"/>
        <family val="2"/>
      </rPr>
      <t>*r117/MM</t>
    </r>
    <r>
      <rPr>
        <vertAlign val="subscript"/>
        <sz val="11"/>
        <rFont val="Calibri"/>
        <family val="2"/>
      </rPr>
      <t>EQ,GO2</t>
    </r>
    <r>
      <rPr>
        <sz val="11"/>
        <rFont val="Calibri"/>
        <family val="2"/>
      </rPr>
      <t>+v118_G</t>
    </r>
    <r>
      <rPr>
        <vertAlign val="subscript"/>
        <sz val="11"/>
        <rFont val="Calibri"/>
        <family val="2"/>
      </rPr>
      <t>NH3</t>
    </r>
    <r>
      <rPr>
        <sz val="11"/>
        <rFont val="Calibri"/>
        <family val="2"/>
      </rPr>
      <t>*r118/MM</t>
    </r>
    <r>
      <rPr>
        <vertAlign val="subscript"/>
        <sz val="11"/>
        <rFont val="Calibri"/>
        <family val="2"/>
      </rPr>
      <t>EQ,GNH3</t>
    </r>
    <r>
      <rPr>
        <sz val="11"/>
        <rFont val="Calibri"/>
        <family val="2"/>
      </rPr>
      <t>+v119_G</t>
    </r>
    <r>
      <rPr>
        <vertAlign val="subscript"/>
        <sz val="11"/>
        <rFont val="Calibri"/>
        <family val="2"/>
      </rPr>
      <t>N2</t>
    </r>
    <r>
      <rPr>
        <sz val="11"/>
        <rFont val="Calibri"/>
        <family val="2"/>
      </rPr>
      <t>/MM</t>
    </r>
    <r>
      <rPr>
        <vertAlign val="subscript"/>
        <sz val="11"/>
        <rFont val="Calibri"/>
        <family val="2"/>
      </rPr>
      <t>EQ,GN2</t>
    </r>
    <r>
      <rPr>
        <sz val="11"/>
        <rFont val="Calibri"/>
        <family val="2"/>
      </rPr>
      <t>*r119+v120_G</t>
    </r>
    <r>
      <rPr>
        <vertAlign val="subscript"/>
        <sz val="11"/>
        <rFont val="Calibri"/>
        <family val="2"/>
      </rPr>
      <t>H2S</t>
    </r>
    <r>
      <rPr>
        <sz val="11"/>
        <rFont val="Calibri"/>
        <family val="2"/>
      </rPr>
      <t>*r120/MM</t>
    </r>
    <r>
      <rPr>
        <vertAlign val="subscript"/>
        <sz val="11"/>
        <rFont val="Calibri"/>
        <family val="2"/>
      </rPr>
      <t>EQ,GH2S</t>
    </r>
    <r>
      <rPr>
        <sz val="11"/>
        <rFont val="Calibri"/>
        <family val="2"/>
      </rPr>
      <t>)</t>
    </r>
  </si>
  <si>
    <r>
      <t>%v.v</t>
    </r>
    <r>
      <rPr>
        <vertAlign val="superscript"/>
        <sz val="11"/>
        <rFont val="Calibri"/>
        <family val="2"/>
        <scheme val="minor"/>
      </rPr>
      <t>-1</t>
    </r>
  </si>
  <si>
    <r>
      <t>µ</t>
    </r>
    <r>
      <rPr>
        <vertAlign val="subscript"/>
        <sz val="11"/>
        <rFont val="Calibri"/>
        <family val="2"/>
      </rPr>
      <t>OHO,T</t>
    </r>
    <r>
      <rPr>
        <sz val="11"/>
        <rFont val="Calibri"/>
        <family val="2"/>
      </rPr>
      <t>*X</t>
    </r>
    <r>
      <rPr>
        <vertAlign val="subscript"/>
        <sz val="11"/>
        <rFont val="Calibri"/>
        <family val="2"/>
      </rPr>
      <t>OHO</t>
    </r>
    <r>
      <rPr>
        <sz val="11"/>
        <rFont val="Calibri"/>
        <family val="2"/>
      </rPr>
      <t>*η</t>
    </r>
    <r>
      <rPr>
        <vertAlign val="subscript"/>
        <sz val="11"/>
        <rFont val="Calibri"/>
        <family val="2"/>
      </rPr>
      <t>OHO,anox</t>
    </r>
    <r>
      <rPr>
        <sz val="11"/>
        <rFont val="Calibri"/>
        <family val="2"/>
      </rPr>
      <t>*Msat</t>
    </r>
    <r>
      <rPr>
        <vertAlign val="subscript"/>
        <sz val="11"/>
        <rFont val="Calibri"/>
        <family val="2"/>
      </rPr>
      <t>SVFA,KVFA</t>
    </r>
    <r>
      <rPr>
        <sz val="11"/>
        <rFont val="Calibri"/>
        <family val="2"/>
      </rPr>
      <t>*</t>
    </r>
    <r>
      <rPr>
        <sz val="11"/>
        <color rgb="FFFF0000"/>
        <rFont val="Calibri"/>
        <family val="2"/>
        <charset val="238"/>
      </rPr>
      <t>Logsat</t>
    </r>
    <r>
      <rPr>
        <vertAlign val="subscript"/>
        <sz val="11"/>
        <color rgb="FFFF0000"/>
        <rFont val="Calibri"/>
        <family val="2"/>
        <charset val="238"/>
      </rPr>
      <t>SNO3,KNO3,OHO</t>
    </r>
    <r>
      <rPr>
        <sz val="11"/>
        <color rgb="FFFF0000"/>
        <rFont val="Calibri"/>
        <family val="2"/>
        <charset val="238"/>
      </rPr>
      <t>*(Loginh</t>
    </r>
    <r>
      <rPr>
        <vertAlign val="subscript"/>
        <sz val="11"/>
        <color rgb="FFFF0000"/>
        <rFont val="Calibri"/>
        <family val="2"/>
        <charset val="238"/>
      </rPr>
      <t>SVFA,KVFA,OHO,SNO2</t>
    </r>
    <r>
      <rPr>
        <sz val="11"/>
        <color rgb="FFFF0000"/>
        <rFont val="Calibri"/>
        <family val="2"/>
        <charset val="238"/>
      </rPr>
      <t>+Minh</t>
    </r>
    <r>
      <rPr>
        <vertAlign val="subscript"/>
        <sz val="11"/>
        <color rgb="FFFF0000"/>
        <rFont val="Calibri"/>
        <family val="2"/>
        <charset val="238"/>
      </rPr>
      <t>SNO2,KNO2,OHO</t>
    </r>
    <r>
      <rPr>
        <sz val="11"/>
        <color rgb="FFFF0000"/>
        <rFont val="Calibri"/>
        <family val="2"/>
        <charset val="238"/>
      </rPr>
      <t>*Logsat</t>
    </r>
    <r>
      <rPr>
        <vertAlign val="subscript"/>
        <sz val="11"/>
        <color rgb="FFFF0000"/>
        <rFont val="Calibri"/>
        <family val="2"/>
        <charset val="238"/>
      </rPr>
      <t>SVFA,KVFA,OHO,SNO2</t>
    </r>
    <r>
      <rPr>
        <sz val="11"/>
        <color rgb="FFFF0000"/>
        <rFont val="Calibri"/>
        <family val="2"/>
        <charset val="238"/>
      </rPr>
      <t>)</t>
    </r>
    <r>
      <rPr>
        <sz val="11"/>
        <rFont val="Calibri"/>
        <family val="2"/>
      </rPr>
      <t>*Minh</t>
    </r>
    <r>
      <rPr>
        <vertAlign val="subscript"/>
        <sz val="11"/>
        <rFont val="Calibri"/>
        <family val="2"/>
      </rPr>
      <t>SO2,KO2,OHO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*Msat</t>
    </r>
    <r>
      <rPr>
        <vertAlign val="subscript"/>
        <sz val="11"/>
        <rFont val="Calibri"/>
        <family val="2"/>
      </rPr>
      <t>SSO4,KSO4,BIO</t>
    </r>
    <r>
      <rPr>
        <sz val="11"/>
        <rFont val="Calibri"/>
        <family val="2"/>
      </rPr>
      <t>*Bellinh</t>
    </r>
    <r>
      <rPr>
        <vertAlign val="subscript"/>
        <sz val="11"/>
        <rFont val="Calibri"/>
        <family val="2"/>
      </rPr>
      <t>pH</t>
    </r>
  </si>
  <si>
    <r>
      <t>µ</t>
    </r>
    <r>
      <rPr>
        <vertAlign val="subscript"/>
        <sz val="11"/>
        <rFont val="Calibri"/>
        <family val="2"/>
      </rPr>
      <t>MEOLO,T</t>
    </r>
    <r>
      <rPr>
        <sz val="11"/>
        <rFont val="Calibri"/>
        <family val="2"/>
      </rPr>
      <t>*X</t>
    </r>
    <r>
      <rPr>
        <vertAlign val="subscript"/>
        <sz val="11"/>
        <rFont val="Calibri"/>
        <family val="2"/>
      </rPr>
      <t>MEOLO</t>
    </r>
    <r>
      <rPr>
        <sz val="11"/>
        <rFont val="Calibri"/>
        <family val="2"/>
      </rPr>
      <t>*Msat</t>
    </r>
    <r>
      <rPr>
        <vertAlign val="subscript"/>
        <sz val="11"/>
        <rFont val="Calibri"/>
        <family val="2"/>
      </rPr>
      <t>SMEOL,KMEOL</t>
    </r>
    <r>
      <rPr>
        <sz val="11"/>
        <rFont val="Calibri"/>
        <family val="2"/>
      </rPr>
      <t>*Msat</t>
    </r>
    <r>
      <rPr>
        <vertAlign val="subscript"/>
        <sz val="11"/>
        <rFont val="Calibri"/>
        <family val="2"/>
      </rPr>
      <t>SNO3,KNO3,MEOLO</t>
    </r>
    <r>
      <rPr>
        <sz val="11"/>
        <rFont val="Calibri"/>
        <family val="2"/>
      </rPr>
      <t>*</t>
    </r>
    <r>
      <rPr>
        <sz val="11"/>
        <color rgb="FFFF0000"/>
        <rFont val="Calibri"/>
        <family val="2"/>
        <charset val="238"/>
      </rPr>
      <t>Logsat</t>
    </r>
    <r>
      <rPr>
        <vertAlign val="subscript"/>
        <sz val="11"/>
        <color rgb="FFFF0000"/>
        <rFont val="Calibri"/>
        <family val="2"/>
        <charset val="238"/>
      </rPr>
      <t>SNO3,KNO3,MEOLO</t>
    </r>
    <r>
      <rPr>
        <sz val="11"/>
        <color rgb="FFFF0000"/>
        <rFont val="Calibri"/>
        <family val="2"/>
        <charset val="238"/>
      </rPr>
      <t>*(Loginh</t>
    </r>
    <r>
      <rPr>
        <vertAlign val="subscript"/>
        <sz val="11"/>
        <color rgb="FFFF0000"/>
        <rFont val="Calibri"/>
        <family val="2"/>
        <charset val="238"/>
      </rPr>
      <t>SMEOL,KMEOL,SNO2</t>
    </r>
    <r>
      <rPr>
        <sz val="11"/>
        <color rgb="FFFF0000"/>
        <rFont val="Calibri"/>
        <family val="2"/>
        <charset val="238"/>
      </rPr>
      <t>+Minh</t>
    </r>
    <r>
      <rPr>
        <vertAlign val="subscript"/>
        <sz val="11"/>
        <color rgb="FFFF0000"/>
        <rFont val="Calibri"/>
        <family val="2"/>
        <charset val="238"/>
      </rPr>
      <t>SNO2,KNO2,MEOLO</t>
    </r>
    <r>
      <rPr>
        <sz val="11"/>
        <color rgb="FFFF0000"/>
        <rFont val="Calibri"/>
        <family val="2"/>
        <charset val="238"/>
      </rPr>
      <t>*Logsat</t>
    </r>
    <r>
      <rPr>
        <vertAlign val="subscript"/>
        <sz val="11"/>
        <color rgb="FFFF0000"/>
        <rFont val="Calibri"/>
        <family val="2"/>
        <charset val="238"/>
      </rPr>
      <t>SMEOL,KMEOL,SNO2</t>
    </r>
    <r>
      <rPr>
        <sz val="11"/>
        <color rgb="FFFF0000"/>
        <rFont val="Calibri"/>
        <family val="2"/>
        <charset val="238"/>
      </rPr>
      <t>)</t>
    </r>
    <r>
      <rPr>
        <sz val="11"/>
        <rFont val="Calibri"/>
        <family val="2"/>
      </rPr>
      <t>*Minh</t>
    </r>
    <r>
      <rPr>
        <vertAlign val="subscript"/>
        <sz val="11"/>
        <rFont val="Calibri"/>
        <family val="2"/>
      </rPr>
      <t>SO2,KiO2,MEOLO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*Msat</t>
    </r>
    <r>
      <rPr>
        <vertAlign val="subscript"/>
        <sz val="11"/>
        <rFont val="Calibri"/>
        <family val="2"/>
      </rPr>
      <t>SSO4,KSO4,BIO</t>
    </r>
    <r>
      <rPr>
        <sz val="11"/>
        <rFont val="Calibri"/>
        <family val="2"/>
      </rPr>
      <t>*Bellinh</t>
    </r>
    <r>
      <rPr>
        <vertAlign val="subscript"/>
        <sz val="11"/>
        <rFont val="Calibri"/>
        <family val="2"/>
      </rPr>
      <t>pH</t>
    </r>
  </si>
  <si>
    <r>
      <t>i</t>
    </r>
    <r>
      <rPr>
        <vertAlign val="subscript"/>
        <sz val="11"/>
        <rFont val="Calibri"/>
        <family val="2"/>
        <scheme val="minor"/>
      </rPr>
      <t>P,BIO</t>
    </r>
    <r>
      <rPr>
        <sz val="11"/>
        <rFont val="Calibri"/>
        <family val="2"/>
        <scheme val="minor"/>
      </rPr>
      <t>*(X</t>
    </r>
    <r>
      <rPr>
        <vertAlign val="subscript"/>
        <sz val="11"/>
        <rFont val="Calibri"/>
        <family val="2"/>
        <scheme val="minor"/>
      </rPr>
      <t>BIO</t>
    </r>
    <r>
      <rPr>
        <sz val="11"/>
        <rFont val="Calibri"/>
        <family val="2"/>
        <scheme val="minor"/>
      </rPr>
      <t>+X</t>
    </r>
    <r>
      <rPr>
        <vertAlign val="subscript"/>
        <sz val="11"/>
        <rFont val="Calibri"/>
        <family val="2"/>
        <scheme val="minor"/>
      </rPr>
      <t>E,ana</t>
    </r>
    <r>
      <rPr>
        <sz val="11"/>
        <rFont val="Calibri"/>
        <family val="2"/>
        <scheme val="minor"/>
      </rPr>
      <t>+X</t>
    </r>
    <r>
      <rPr>
        <vertAlign val="subscript"/>
        <sz val="11"/>
        <rFont val="Calibri"/>
        <family val="2"/>
        <scheme val="minor"/>
      </rPr>
      <t>E</t>
    </r>
    <r>
      <rPr>
        <sz val="11"/>
        <rFont val="Calibri"/>
        <family val="2"/>
        <scheme val="minor"/>
      </rPr>
      <t>) + S</t>
    </r>
    <r>
      <rPr>
        <vertAlign val="subscript"/>
        <sz val="11"/>
        <rFont val="Calibri"/>
        <family val="2"/>
        <scheme val="minor"/>
      </rPr>
      <t>PO4</t>
    </r>
    <r>
      <rPr>
        <sz val="11"/>
        <rFont val="Calibri"/>
        <family val="2"/>
        <scheme val="minor"/>
      </rPr>
      <t xml:space="preserve"> + S</t>
    </r>
    <r>
      <rPr>
        <vertAlign val="subscript"/>
        <sz val="11"/>
        <rFont val="Calibri"/>
        <family val="2"/>
        <scheme val="minor"/>
      </rPr>
      <t>P,B</t>
    </r>
    <r>
      <rPr>
        <sz val="11"/>
        <rFont val="Calibri"/>
        <family val="2"/>
        <scheme val="minor"/>
      </rPr>
      <t xml:space="preserve"> + i</t>
    </r>
    <r>
      <rPr>
        <vertAlign val="subscript"/>
        <sz val="11"/>
        <rFont val="Calibri"/>
        <family val="2"/>
        <scheme val="minor"/>
      </rPr>
      <t>P,CB</t>
    </r>
    <r>
      <rPr>
        <sz val="11"/>
        <rFont val="Calibri"/>
        <family val="2"/>
        <scheme val="minor"/>
      </rPr>
      <t>*C</t>
    </r>
    <r>
      <rPr>
        <vertAlign val="subscript"/>
        <sz val="11"/>
        <rFont val="Calibri"/>
        <family val="2"/>
        <scheme val="minor"/>
      </rPr>
      <t>B</t>
    </r>
    <r>
      <rPr>
        <sz val="11"/>
        <rFont val="Calibri"/>
        <family val="2"/>
        <scheme val="minor"/>
      </rPr>
      <t xml:space="preserve"> + X</t>
    </r>
    <r>
      <rPr>
        <vertAlign val="subscript"/>
        <sz val="11"/>
        <rFont val="Calibri"/>
        <family val="2"/>
        <scheme val="minor"/>
      </rPr>
      <t>P,B</t>
    </r>
    <r>
      <rPr>
        <sz val="11"/>
        <rFont val="Calibri"/>
        <family val="2"/>
        <scheme val="minor"/>
      </rPr>
      <t xml:space="preserve"> + X</t>
    </r>
    <r>
      <rPr>
        <vertAlign val="subscript"/>
        <sz val="11"/>
        <rFont val="Calibri"/>
        <family val="2"/>
        <scheme val="minor"/>
      </rPr>
      <t>P,Be</t>
    </r>
    <r>
      <rPr>
        <sz val="11"/>
        <rFont val="Calibri"/>
        <family val="2"/>
        <scheme val="minor"/>
      </rPr>
      <t xml:space="preserve"> + i</t>
    </r>
    <r>
      <rPr>
        <vertAlign val="subscript"/>
        <sz val="11"/>
        <rFont val="Calibri"/>
        <family val="2"/>
        <scheme val="minor"/>
      </rPr>
      <t>P,SU</t>
    </r>
    <r>
      <rPr>
        <sz val="11"/>
        <rFont val="Calibri"/>
        <family val="2"/>
        <scheme val="minor"/>
      </rPr>
      <t>*S</t>
    </r>
    <r>
      <rPr>
        <vertAlign val="subscript"/>
        <sz val="11"/>
        <rFont val="Calibri"/>
        <family val="2"/>
        <scheme val="minor"/>
      </rPr>
      <t>U</t>
    </r>
    <r>
      <rPr>
        <sz val="11"/>
        <rFont val="Calibri"/>
        <family val="2"/>
        <scheme val="minor"/>
      </rPr>
      <t xml:space="preserve"> + X</t>
    </r>
    <r>
      <rPr>
        <vertAlign val="subscript"/>
        <sz val="11"/>
        <rFont val="Calibri"/>
        <family val="2"/>
        <scheme val="minor"/>
      </rPr>
      <t>P,U</t>
    </r>
    <r>
      <rPr>
        <sz val="11"/>
        <rFont val="Calibri"/>
        <family val="2"/>
        <scheme val="minor"/>
      </rPr>
      <t xml:space="preserve"> + i</t>
    </r>
    <r>
      <rPr>
        <vertAlign val="subscript"/>
        <sz val="11"/>
        <rFont val="Calibri"/>
        <family val="2"/>
        <scheme val="minor"/>
      </rPr>
      <t>P,CU</t>
    </r>
    <r>
      <rPr>
        <sz val="11"/>
        <rFont val="Calibri"/>
        <family val="2"/>
        <scheme val="minor"/>
      </rPr>
      <t>*C</t>
    </r>
    <r>
      <rPr>
        <vertAlign val="subscript"/>
        <sz val="11"/>
        <rFont val="Calibri"/>
        <family val="2"/>
        <scheme val="minor"/>
      </rPr>
      <t>U</t>
    </r>
    <r>
      <rPr>
        <sz val="11"/>
        <rFont val="Calibri"/>
        <family val="2"/>
        <scheme val="minor"/>
      </rPr>
      <t xml:space="preserve">  +X</t>
    </r>
    <r>
      <rPr>
        <vertAlign val="subscript"/>
        <sz val="11"/>
        <rFont val="Calibri"/>
        <family val="2"/>
        <scheme val="minor"/>
      </rPr>
      <t>PP</t>
    </r>
    <r>
      <rPr>
        <sz val="11"/>
        <rFont val="Calibri"/>
        <family val="2"/>
        <scheme val="minor"/>
      </rPr>
      <t xml:space="preserve"> + i</t>
    </r>
    <r>
      <rPr>
        <vertAlign val="subscript"/>
        <sz val="11"/>
        <rFont val="Calibri"/>
        <family val="2"/>
        <scheme val="minor"/>
      </rPr>
      <t>P,XSTR</t>
    </r>
    <r>
      <rPr>
        <sz val="11"/>
        <rFont val="Calibri"/>
        <family val="2"/>
        <scheme val="minor"/>
      </rPr>
      <t xml:space="preserve"> * X</t>
    </r>
    <r>
      <rPr>
        <vertAlign val="subscript"/>
        <sz val="11"/>
        <rFont val="Calibri"/>
        <family val="2"/>
        <scheme val="minor"/>
      </rPr>
      <t>STR</t>
    </r>
    <r>
      <rPr>
        <sz val="11"/>
        <rFont val="Calibri"/>
        <family val="2"/>
        <scheme val="minor"/>
      </rPr>
      <t xml:space="preserve"> +X</t>
    </r>
    <r>
      <rPr>
        <vertAlign val="subscript"/>
        <sz val="11"/>
        <rFont val="Calibri"/>
        <family val="2"/>
        <scheme val="minor"/>
      </rPr>
      <t>HFO,P+</t>
    </r>
    <r>
      <rPr>
        <sz val="11"/>
        <rFont val="Calibri"/>
        <family val="2"/>
        <scheme val="minor"/>
      </rPr>
      <t>X</t>
    </r>
    <r>
      <rPr>
        <vertAlign val="subscript"/>
        <sz val="11"/>
        <rFont val="Calibri"/>
        <family val="2"/>
        <scheme val="minor"/>
      </rPr>
      <t>HAO,P</t>
    </r>
    <r>
      <rPr>
        <sz val="11"/>
        <rFont val="Calibri"/>
        <family val="2"/>
        <scheme val="minor"/>
      </rPr>
      <t>+i</t>
    </r>
    <r>
      <rPr>
        <vertAlign val="subscript"/>
        <sz val="11"/>
        <rFont val="Calibri"/>
        <family val="2"/>
        <scheme val="minor"/>
      </rPr>
      <t>P,XACP</t>
    </r>
    <r>
      <rPr>
        <sz val="11"/>
        <rFont val="Calibri"/>
        <family val="2"/>
        <scheme val="minor"/>
      </rPr>
      <t xml:space="preserve"> * X</t>
    </r>
    <r>
      <rPr>
        <vertAlign val="subscript"/>
        <sz val="11"/>
        <rFont val="Calibri"/>
        <family val="2"/>
        <scheme val="minor"/>
      </rPr>
      <t>ACP</t>
    </r>
    <r>
      <rPr>
        <sz val="11"/>
        <rFont val="Calibri"/>
        <family val="2"/>
        <scheme val="minor"/>
      </rPr>
      <t>+i</t>
    </r>
    <r>
      <rPr>
        <vertAlign val="subscript"/>
        <sz val="11"/>
        <rFont val="Calibri"/>
        <family val="2"/>
        <scheme val="minor"/>
      </rPr>
      <t>P,XVivi</t>
    </r>
    <r>
      <rPr>
        <sz val="11"/>
        <rFont val="Calibri"/>
        <family val="2"/>
        <scheme val="minor"/>
      </rPr>
      <t xml:space="preserve"> * X</t>
    </r>
    <r>
      <rPr>
        <vertAlign val="subscript"/>
        <sz val="11"/>
        <rFont val="Calibri"/>
        <family val="2"/>
        <scheme val="minor"/>
      </rPr>
      <t>Vivi</t>
    </r>
    <r>
      <rPr>
        <sz val="11"/>
        <rFont val="Calibri"/>
        <family val="2"/>
        <scheme val="minor"/>
      </rPr>
      <t>+i</t>
    </r>
    <r>
      <rPr>
        <vertAlign val="subscript"/>
        <sz val="11"/>
        <rFont val="Calibri"/>
        <family val="2"/>
        <scheme val="minor"/>
      </rPr>
      <t>P,XBSH</t>
    </r>
    <r>
      <rPr>
        <sz val="11"/>
        <rFont val="Calibri"/>
        <family val="2"/>
        <scheme val="minor"/>
      </rPr>
      <t>*X</t>
    </r>
    <r>
      <rPr>
        <vertAlign val="subscript"/>
        <sz val="11"/>
        <rFont val="Calibri"/>
        <family val="2"/>
        <scheme val="minor"/>
      </rPr>
      <t>BSH</t>
    </r>
  </si>
  <si>
    <r>
      <t>S</t>
    </r>
    <r>
      <rPr>
        <vertAlign val="subscript"/>
        <sz val="11"/>
        <rFont val="Calibri"/>
        <family val="2"/>
        <scheme val="minor"/>
      </rPr>
      <t>NHx</t>
    </r>
    <r>
      <rPr>
        <sz val="11"/>
        <rFont val="Calibri"/>
        <family val="2"/>
        <scheme val="minor"/>
      </rPr>
      <t xml:space="preserve"> + S</t>
    </r>
    <r>
      <rPr>
        <vertAlign val="subscript"/>
        <sz val="11"/>
        <rFont val="Calibri"/>
        <family val="2"/>
        <scheme val="minor"/>
      </rPr>
      <t>N,B</t>
    </r>
    <r>
      <rPr>
        <sz val="11"/>
        <rFont val="Calibri"/>
        <family val="2"/>
        <scheme val="minor"/>
      </rPr>
      <t xml:space="preserve"> + i</t>
    </r>
    <r>
      <rPr>
        <vertAlign val="subscript"/>
        <sz val="11"/>
        <rFont val="Calibri"/>
        <family val="2"/>
        <scheme val="minor"/>
      </rPr>
      <t>N,CB</t>
    </r>
    <r>
      <rPr>
        <sz val="11"/>
        <rFont val="Calibri"/>
        <family val="2"/>
        <scheme val="minor"/>
      </rPr>
      <t>*C</t>
    </r>
    <r>
      <rPr>
        <vertAlign val="subscript"/>
        <sz val="11"/>
        <rFont val="Calibri"/>
        <family val="2"/>
        <scheme val="minor"/>
      </rPr>
      <t>B</t>
    </r>
    <r>
      <rPr>
        <sz val="11"/>
        <rFont val="Calibri"/>
        <family val="2"/>
        <scheme val="minor"/>
      </rPr>
      <t xml:space="preserve"> + X</t>
    </r>
    <r>
      <rPr>
        <vertAlign val="subscript"/>
        <sz val="11"/>
        <rFont val="Calibri"/>
        <family val="2"/>
        <scheme val="minor"/>
      </rPr>
      <t xml:space="preserve">N,B </t>
    </r>
    <r>
      <rPr>
        <sz val="11"/>
        <rFont val="Calibri"/>
        <family val="2"/>
        <scheme val="minor"/>
      </rPr>
      <t xml:space="preserve"> + X</t>
    </r>
    <r>
      <rPr>
        <vertAlign val="subscript"/>
        <sz val="11"/>
        <rFont val="Calibri"/>
        <family val="2"/>
        <scheme val="minor"/>
      </rPr>
      <t>N,Be</t>
    </r>
    <r>
      <rPr>
        <sz val="11"/>
        <rFont val="Calibri"/>
        <family val="2"/>
        <scheme val="minor"/>
      </rPr>
      <t xml:space="preserve"> + i</t>
    </r>
    <r>
      <rPr>
        <vertAlign val="subscript"/>
        <sz val="11"/>
        <rFont val="Calibri"/>
        <family val="2"/>
        <scheme val="minor"/>
      </rPr>
      <t>N,SU</t>
    </r>
    <r>
      <rPr>
        <sz val="11"/>
        <rFont val="Calibri"/>
        <family val="2"/>
        <scheme val="minor"/>
      </rPr>
      <t>*S</t>
    </r>
    <r>
      <rPr>
        <vertAlign val="subscript"/>
        <sz val="11"/>
        <rFont val="Calibri"/>
        <family val="2"/>
        <scheme val="minor"/>
      </rPr>
      <t>U</t>
    </r>
    <r>
      <rPr>
        <sz val="11"/>
        <rFont val="Calibri"/>
        <family val="2"/>
        <scheme val="minor"/>
      </rPr>
      <t xml:space="preserve"> +i</t>
    </r>
    <r>
      <rPr>
        <vertAlign val="subscript"/>
        <sz val="11"/>
        <rFont val="Calibri"/>
        <family val="2"/>
        <scheme val="minor"/>
      </rPr>
      <t>N,CU</t>
    </r>
    <r>
      <rPr>
        <sz val="11"/>
        <rFont val="Calibri"/>
        <family val="2"/>
        <scheme val="minor"/>
      </rPr>
      <t>*C</t>
    </r>
    <r>
      <rPr>
        <vertAlign val="subscript"/>
        <sz val="11"/>
        <rFont val="Calibri"/>
        <family val="2"/>
        <scheme val="minor"/>
      </rPr>
      <t>U</t>
    </r>
    <r>
      <rPr>
        <sz val="11"/>
        <rFont val="Calibri"/>
        <family val="2"/>
        <scheme val="minor"/>
      </rPr>
      <t xml:space="preserve"> + X</t>
    </r>
    <r>
      <rPr>
        <vertAlign val="subscript"/>
        <sz val="11"/>
        <rFont val="Calibri"/>
        <family val="2"/>
        <scheme val="minor"/>
      </rPr>
      <t>N,U</t>
    </r>
    <r>
      <rPr>
        <sz val="11"/>
        <rFont val="Calibri"/>
        <family val="2"/>
        <scheme val="minor"/>
      </rPr>
      <t xml:space="preserve"> + i</t>
    </r>
    <r>
      <rPr>
        <vertAlign val="subscript"/>
        <sz val="11"/>
        <rFont val="Calibri"/>
        <family val="2"/>
        <scheme val="minor"/>
      </rPr>
      <t>N,BIO</t>
    </r>
    <r>
      <rPr>
        <sz val="11"/>
        <rFont val="Calibri"/>
        <family val="2"/>
        <scheme val="minor"/>
      </rPr>
      <t>*X</t>
    </r>
    <r>
      <rPr>
        <vertAlign val="subscript"/>
        <sz val="11"/>
        <rFont val="Calibri"/>
        <family val="2"/>
        <scheme val="minor"/>
      </rPr>
      <t>BIO</t>
    </r>
    <r>
      <rPr>
        <sz val="11"/>
        <rFont val="Calibri"/>
        <family val="2"/>
        <scheme val="minor"/>
      </rPr>
      <t>+i</t>
    </r>
    <r>
      <rPr>
        <vertAlign val="subscript"/>
        <sz val="11"/>
        <rFont val="Calibri"/>
        <family val="2"/>
        <scheme val="minor"/>
      </rPr>
      <t>N,XE</t>
    </r>
    <r>
      <rPr>
        <sz val="11"/>
        <rFont val="Calibri"/>
        <family val="2"/>
        <scheme val="minor"/>
      </rPr>
      <t>*(X</t>
    </r>
    <r>
      <rPr>
        <vertAlign val="subscript"/>
        <sz val="11"/>
        <rFont val="Calibri"/>
        <family val="2"/>
        <scheme val="minor"/>
      </rPr>
      <t>E,ana</t>
    </r>
    <r>
      <rPr>
        <sz val="11"/>
        <rFont val="Calibri"/>
        <family val="2"/>
        <scheme val="minor"/>
      </rPr>
      <t>+X</t>
    </r>
    <r>
      <rPr>
        <vertAlign val="subscript"/>
        <sz val="11"/>
        <rFont val="Calibri"/>
        <family val="2"/>
        <scheme val="minor"/>
      </rPr>
      <t>E</t>
    </r>
    <r>
      <rPr>
        <sz val="11"/>
        <rFont val="Calibri"/>
        <family val="2"/>
        <scheme val="minor"/>
      </rPr>
      <t>)+ i</t>
    </r>
    <r>
      <rPr>
        <vertAlign val="subscript"/>
        <sz val="11"/>
        <rFont val="Calibri"/>
        <family val="2"/>
        <scheme val="minor"/>
      </rPr>
      <t>N,XSTR</t>
    </r>
    <r>
      <rPr>
        <sz val="11"/>
        <rFont val="Calibri"/>
        <family val="2"/>
        <scheme val="minor"/>
      </rPr>
      <t xml:space="preserve"> * X</t>
    </r>
    <r>
      <rPr>
        <vertAlign val="subscript"/>
        <sz val="11"/>
        <rFont val="Calibri"/>
        <family val="2"/>
        <scheme val="minor"/>
      </rPr>
      <t>STR</t>
    </r>
    <r>
      <rPr>
        <sz val="11"/>
        <rFont val="Calibri"/>
        <family val="2"/>
        <scheme val="minor"/>
      </rPr>
      <t xml:space="preserve"> </t>
    </r>
  </si>
  <si>
    <r>
      <t>S</t>
    </r>
    <r>
      <rPr>
        <vertAlign val="subscript"/>
        <sz val="11"/>
        <rFont val="Calibri"/>
        <family val="2"/>
        <scheme val="minor"/>
      </rPr>
      <t>N,B</t>
    </r>
    <r>
      <rPr>
        <sz val="11"/>
        <rFont val="Calibri"/>
        <family val="2"/>
        <scheme val="minor"/>
      </rPr>
      <t xml:space="preserve"> + i</t>
    </r>
    <r>
      <rPr>
        <vertAlign val="subscript"/>
        <sz val="11"/>
        <rFont val="Calibri"/>
        <family val="2"/>
        <scheme val="minor"/>
      </rPr>
      <t>N,CB</t>
    </r>
    <r>
      <rPr>
        <sz val="11"/>
        <rFont val="Calibri"/>
        <family val="2"/>
        <scheme val="minor"/>
      </rPr>
      <t>*C</t>
    </r>
    <r>
      <rPr>
        <vertAlign val="subscript"/>
        <sz val="11"/>
        <rFont val="Calibri"/>
        <family val="2"/>
        <scheme val="minor"/>
      </rPr>
      <t>B</t>
    </r>
    <r>
      <rPr>
        <sz val="11"/>
        <rFont val="Calibri"/>
        <family val="2"/>
        <scheme val="minor"/>
      </rPr>
      <t xml:space="preserve"> + X</t>
    </r>
    <r>
      <rPr>
        <vertAlign val="subscript"/>
        <sz val="11"/>
        <rFont val="Calibri"/>
        <family val="2"/>
        <scheme val="minor"/>
      </rPr>
      <t>N,B</t>
    </r>
    <r>
      <rPr>
        <sz val="11"/>
        <rFont val="Calibri"/>
        <family val="2"/>
        <scheme val="minor"/>
      </rPr>
      <t xml:space="preserve"> + X</t>
    </r>
    <r>
      <rPr>
        <vertAlign val="subscript"/>
        <sz val="11"/>
        <rFont val="Calibri"/>
        <family val="2"/>
        <scheme val="minor"/>
      </rPr>
      <t>N,Be</t>
    </r>
    <r>
      <rPr>
        <sz val="11"/>
        <rFont val="Calibri"/>
        <family val="2"/>
        <scheme val="minor"/>
      </rPr>
      <t xml:space="preserve"> + i</t>
    </r>
    <r>
      <rPr>
        <vertAlign val="subscript"/>
        <sz val="11"/>
        <rFont val="Calibri"/>
        <family val="2"/>
        <scheme val="minor"/>
      </rPr>
      <t>N,BIO</t>
    </r>
    <r>
      <rPr>
        <sz val="11"/>
        <rFont val="Calibri"/>
        <family val="2"/>
        <scheme val="minor"/>
      </rPr>
      <t>*X</t>
    </r>
    <r>
      <rPr>
        <vertAlign val="subscript"/>
        <sz val="11"/>
        <rFont val="Calibri"/>
        <family val="2"/>
        <scheme val="minor"/>
      </rPr>
      <t>BIO</t>
    </r>
  </si>
  <si>
    <r>
      <t>(+(-v1_S</t>
    </r>
    <r>
      <rPr>
        <vertAlign val="subscript"/>
        <sz val="11"/>
        <rFont val="Calibri"/>
        <family val="2"/>
        <charset val="238"/>
        <scheme val="minor"/>
      </rPr>
      <t>O2</t>
    </r>
    <r>
      <rPr>
        <sz val="11"/>
        <rFont val="Calibri"/>
        <family val="2"/>
        <scheme val="minor"/>
      </rPr>
      <t>*r1)+(-v4_S</t>
    </r>
    <r>
      <rPr>
        <vertAlign val="subscript"/>
        <sz val="11"/>
        <rFont val="Calibri"/>
        <family val="2"/>
        <charset val="238"/>
        <scheme val="minor"/>
      </rPr>
      <t>O2</t>
    </r>
    <r>
      <rPr>
        <sz val="11"/>
        <rFont val="Calibri"/>
        <family val="2"/>
        <scheme val="minor"/>
      </rPr>
      <t>*r4)+(-v9_S</t>
    </r>
    <r>
      <rPr>
        <vertAlign val="subscript"/>
        <sz val="11"/>
        <rFont val="Calibri"/>
        <family val="2"/>
        <charset val="238"/>
        <scheme val="minor"/>
      </rPr>
      <t>O2</t>
    </r>
    <r>
      <rPr>
        <sz val="11"/>
        <rFont val="Calibri"/>
        <family val="2"/>
        <scheme val="minor"/>
      </rPr>
      <t>*r9)+(-v16_S</t>
    </r>
    <r>
      <rPr>
        <vertAlign val="subscript"/>
        <sz val="11"/>
        <rFont val="Calibri"/>
        <family val="2"/>
        <charset val="238"/>
        <scheme val="minor"/>
      </rPr>
      <t>O2</t>
    </r>
    <r>
      <rPr>
        <sz val="11"/>
        <rFont val="Calibri"/>
        <family val="2"/>
        <scheme val="minor"/>
      </rPr>
      <t>*r16)+(-v19_S</t>
    </r>
    <r>
      <rPr>
        <vertAlign val="subscript"/>
        <sz val="11"/>
        <rFont val="Calibri"/>
        <family val="2"/>
        <charset val="238"/>
        <scheme val="minor"/>
      </rPr>
      <t>O2</t>
    </r>
    <r>
      <rPr>
        <sz val="11"/>
        <rFont val="Calibri"/>
        <family val="2"/>
        <scheme val="minor"/>
      </rPr>
      <t>*r19)+(-v22_S</t>
    </r>
    <r>
      <rPr>
        <vertAlign val="subscript"/>
        <sz val="11"/>
        <rFont val="Calibri"/>
        <family val="2"/>
        <charset val="238"/>
        <scheme val="minor"/>
      </rPr>
      <t>O2</t>
    </r>
    <r>
      <rPr>
        <sz val="11"/>
        <rFont val="Calibri"/>
        <family val="2"/>
        <scheme val="minor"/>
      </rPr>
      <t>*r22)+(-v27_S</t>
    </r>
    <r>
      <rPr>
        <vertAlign val="subscript"/>
        <sz val="11"/>
        <rFont val="Calibri"/>
        <family val="2"/>
        <charset val="238"/>
        <scheme val="minor"/>
      </rPr>
      <t>O2</t>
    </r>
    <r>
      <rPr>
        <sz val="11"/>
        <rFont val="Calibri"/>
        <family val="2"/>
        <scheme val="minor"/>
      </rPr>
      <t>*r27)+(-v37_S</t>
    </r>
    <r>
      <rPr>
        <vertAlign val="subscript"/>
        <sz val="11"/>
        <rFont val="Calibri"/>
        <family val="2"/>
        <charset val="238"/>
        <scheme val="minor"/>
      </rPr>
      <t>O2</t>
    </r>
    <r>
      <rPr>
        <sz val="11"/>
        <rFont val="Calibri"/>
        <family val="2"/>
        <scheme val="minor"/>
      </rPr>
      <t>*r37)+(-v40_S</t>
    </r>
    <r>
      <rPr>
        <vertAlign val="subscript"/>
        <sz val="11"/>
        <rFont val="Calibri"/>
        <family val="2"/>
        <charset val="238"/>
        <scheme val="minor"/>
      </rPr>
      <t>O2</t>
    </r>
    <r>
      <rPr>
        <sz val="11"/>
        <rFont val="Calibri"/>
        <family val="2"/>
        <scheme val="minor"/>
      </rPr>
      <t>*r40)+(-v58_S</t>
    </r>
    <r>
      <rPr>
        <vertAlign val="subscript"/>
        <sz val="11"/>
        <rFont val="Calibri"/>
        <family val="2"/>
        <charset val="238"/>
        <scheme val="minor"/>
      </rPr>
      <t>O2</t>
    </r>
    <r>
      <rPr>
        <sz val="11"/>
        <rFont val="Calibri"/>
        <family val="2"/>
        <scheme val="minor"/>
      </rPr>
      <t>*r58)+(-v61_S</t>
    </r>
    <r>
      <rPr>
        <vertAlign val="subscript"/>
        <sz val="11"/>
        <rFont val="Calibri"/>
        <family val="2"/>
        <charset val="238"/>
        <scheme val="minor"/>
      </rPr>
      <t>O2</t>
    </r>
    <r>
      <rPr>
        <sz val="11"/>
        <rFont val="Calibri"/>
        <family val="2"/>
        <scheme val="minor"/>
      </rPr>
      <t>*r61)+(-v66_S</t>
    </r>
    <r>
      <rPr>
        <vertAlign val="subscript"/>
        <sz val="11"/>
        <rFont val="Calibri"/>
        <family val="2"/>
        <charset val="238"/>
        <scheme val="minor"/>
      </rPr>
      <t>O2</t>
    </r>
    <r>
      <rPr>
        <sz val="11"/>
        <rFont val="Calibri"/>
        <family val="2"/>
        <scheme val="minor"/>
      </rPr>
      <t>*r66)+(-v67_S</t>
    </r>
    <r>
      <rPr>
        <vertAlign val="subscript"/>
        <sz val="11"/>
        <rFont val="Calibri"/>
        <family val="2"/>
        <charset val="238"/>
        <scheme val="minor"/>
      </rPr>
      <t>O2</t>
    </r>
    <r>
      <rPr>
        <sz val="11"/>
        <rFont val="Calibri"/>
        <family val="2"/>
        <scheme val="minor"/>
      </rPr>
      <t>*r67)+(-v68_S</t>
    </r>
    <r>
      <rPr>
        <vertAlign val="subscript"/>
        <sz val="11"/>
        <rFont val="Calibri"/>
        <family val="2"/>
        <charset val="238"/>
        <scheme val="minor"/>
      </rPr>
      <t>O2</t>
    </r>
    <r>
      <rPr>
        <sz val="11"/>
        <rFont val="Calibri"/>
        <family val="2"/>
        <scheme val="minor"/>
      </rPr>
      <t>*r68)+(-v84_S</t>
    </r>
    <r>
      <rPr>
        <vertAlign val="subscript"/>
        <sz val="11"/>
        <rFont val="Calibri"/>
        <family val="2"/>
        <charset val="238"/>
        <scheme val="minor"/>
      </rPr>
      <t>O2</t>
    </r>
    <r>
      <rPr>
        <sz val="11"/>
        <rFont val="Calibri"/>
        <family val="2"/>
        <scheme val="minor"/>
      </rPr>
      <t>*r84)+(-v85_S</t>
    </r>
    <r>
      <rPr>
        <vertAlign val="subscript"/>
        <sz val="11"/>
        <rFont val="Calibri"/>
        <family val="2"/>
        <charset val="238"/>
        <scheme val="minor"/>
      </rPr>
      <t>O2</t>
    </r>
    <r>
      <rPr>
        <sz val="11"/>
        <rFont val="Calibri"/>
        <family val="2"/>
        <scheme val="minor"/>
      </rPr>
      <t>*r85)+(-v103_S</t>
    </r>
    <r>
      <rPr>
        <vertAlign val="subscript"/>
        <sz val="11"/>
        <rFont val="Calibri"/>
        <family val="2"/>
        <charset val="238"/>
        <scheme val="minor"/>
      </rPr>
      <t>O2</t>
    </r>
    <r>
      <rPr>
        <sz val="11"/>
        <rFont val="Calibri"/>
        <family val="2"/>
        <scheme val="minor"/>
      </rPr>
      <t>*r103)+(-v104_S</t>
    </r>
    <r>
      <rPr>
        <vertAlign val="subscript"/>
        <sz val="11"/>
        <rFont val="Calibri"/>
        <family val="2"/>
        <charset val="238"/>
        <scheme val="minor"/>
      </rPr>
      <t>O2</t>
    </r>
    <r>
      <rPr>
        <sz val="11"/>
        <rFont val="Calibri"/>
        <family val="2"/>
        <scheme val="minor"/>
      </rPr>
      <t>*r104)+(+EEQ</t>
    </r>
    <r>
      <rPr>
        <vertAlign val="subscript"/>
        <sz val="11"/>
        <rFont val="Calibri"/>
        <family val="2"/>
        <charset val="238"/>
        <scheme val="minor"/>
      </rPr>
      <t>N2,NO3</t>
    </r>
    <r>
      <rPr>
        <sz val="11"/>
        <rFont val="Calibri"/>
        <family val="2"/>
        <scheme val="minor"/>
      </rPr>
      <t xml:space="preserve"> * v2_S</t>
    </r>
    <r>
      <rPr>
        <vertAlign val="subscript"/>
        <sz val="11"/>
        <rFont val="Calibri"/>
        <family val="2"/>
        <charset val="238"/>
        <scheme val="minor"/>
      </rPr>
      <t>N2</t>
    </r>
    <r>
      <rPr>
        <sz val="11"/>
        <rFont val="Calibri"/>
        <family val="2"/>
        <scheme val="minor"/>
      </rPr>
      <t>*r2)+(+EEQ</t>
    </r>
    <r>
      <rPr>
        <vertAlign val="subscript"/>
        <sz val="11"/>
        <rFont val="Calibri"/>
        <family val="2"/>
        <charset val="238"/>
        <scheme val="minor"/>
      </rPr>
      <t>N2,NO3</t>
    </r>
    <r>
      <rPr>
        <sz val="11"/>
        <rFont val="Calibri"/>
        <family val="2"/>
        <scheme val="minor"/>
      </rPr>
      <t xml:space="preserve"> * v5_S</t>
    </r>
    <r>
      <rPr>
        <vertAlign val="subscript"/>
        <sz val="11"/>
        <rFont val="Calibri"/>
        <family val="2"/>
        <charset val="238"/>
        <scheme val="minor"/>
      </rPr>
      <t>N2</t>
    </r>
    <r>
      <rPr>
        <sz val="11"/>
        <rFont val="Calibri"/>
        <family val="2"/>
        <scheme val="minor"/>
      </rPr>
      <t>*r5)+(+EEQ</t>
    </r>
    <r>
      <rPr>
        <vertAlign val="subscript"/>
        <sz val="11"/>
        <rFont val="Calibri"/>
        <family val="2"/>
        <charset val="238"/>
        <scheme val="minor"/>
      </rPr>
      <t>N2,NO3</t>
    </r>
    <r>
      <rPr>
        <sz val="11"/>
        <rFont val="Calibri"/>
        <family val="2"/>
        <scheme val="minor"/>
      </rPr>
      <t xml:space="preserve"> * v12_S</t>
    </r>
    <r>
      <rPr>
        <vertAlign val="subscript"/>
        <sz val="11"/>
        <rFont val="Calibri"/>
        <family val="2"/>
        <charset val="238"/>
        <scheme val="minor"/>
      </rPr>
      <t>N2</t>
    </r>
    <r>
      <rPr>
        <sz val="11"/>
        <rFont val="Calibri"/>
        <family val="2"/>
        <scheme val="minor"/>
      </rPr>
      <t>*r12)+(+EEQ</t>
    </r>
    <r>
      <rPr>
        <vertAlign val="subscript"/>
        <sz val="11"/>
        <rFont val="Calibri"/>
        <family val="2"/>
        <charset val="238"/>
        <scheme val="minor"/>
      </rPr>
      <t>N2,NO3</t>
    </r>
    <r>
      <rPr>
        <sz val="11"/>
        <rFont val="Calibri"/>
        <family val="2"/>
        <scheme val="minor"/>
      </rPr>
      <t xml:space="preserve"> * v17_S</t>
    </r>
    <r>
      <rPr>
        <vertAlign val="subscript"/>
        <sz val="11"/>
        <rFont val="Calibri"/>
        <family val="2"/>
        <charset val="238"/>
        <scheme val="minor"/>
      </rPr>
      <t>N2</t>
    </r>
    <r>
      <rPr>
        <sz val="11"/>
        <rFont val="Calibri"/>
        <family val="2"/>
        <scheme val="minor"/>
      </rPr>
      <t>*r17)+(+EEQ</t>
    </r>
    <r>
      <rPr>
        <vertAlign val="subscript"/>
        <sz val="11"/>
        <rFont val="Calibri"/>
        <family val="2"/>
        <charset val="238"/>
        <scheme val="minor"/>
      </rPr>
      <t>N2,NO3</t>
    </r>
    <r>
      <rPr>
        <sz val="11"/>
        <rFont val="Calibri"/>
        <family val="2"/>
        <scheme val="minor"/>
      </rPr>
      <t xml:space="preserve"> * v20_S</t>
    </r>
    <r>
      <rPr>
        <vertAlign val="subscript"/>
        <sz val="11"/>
        <rFont val="Calibri"/>
        <family val="2"/>
        <charset val="238"/>
        <scheme val="minor"/>
      </rPr>
      <t>N2</t>
    </r>
    <r>
      <rPr>
        <sz val="11"/>
        <rFont val="Calibri"/>
        <family val="2"/>
        <scheme val="minor"/>
      </rPr>
      <t>*r20)+(+EEQ</t>
    </r>
    <r>
      <rPr>
        <vertAlign val="subscript"/>
        <sz val="11"/>
        <rFont val="Calibri"/>
        <family val="2"/>
        <charset val="238"/>
        <scheme val="minor"/>
      </rPr>
      <t>N2,NO3</t>
    </r>
    <r>
      <rPr>
        <sz val="11"/>
        <rFont val="Calibri"/>
        <family val="2"/>
        <scheme val="minor"/>
      </rPr>
      <t xml:space="preserve"> * v23_S</t>
    </r>
    <r>
      <rPr>
        <vertAlign val="subscript"/>
        <sz val="11"/>
        <rFont val="Calibri"/>
        <family val="2"/>
        <charset val="238"/>
        <scheme val="minor"/>
      </rPr>
      <t>N2</t>
    </r>
    <r>
      <rPr>
        <sz val="11"/>
        <rFont val="Calibri"/>
        <family val="2"/>
        <scheme val="minor"/>
      </rPr>
      <t>*r23)+(+EEQ</t>
    </r>
    <r>
      <rPr>
        <vertAlign val="subscript"/>
        <sz val="11"/>
        <rFont val="Calibri"/>
        <family val="2"/>
        <charset val="238"/>
        <scheme val="minor"/>
      </rPr>
      <t>N2,NO3</t>
    </r>
    <r>
      <rPr>
        <sz val="11"/>
        <rFont val="Calibri"/>
        <family val="2"/>
        <scheme val="minor"/>
      </rPr>
      <t xml:space="preserve"> * v28_S</t>
    </r>
    <r>
      <rPr>
        <vertAlign val="subscript"/>
        <sz val="11"/>
        <rFont val="Calibri"/>
        <family val="2"/>
        <charset val="238"/>
        <scheme val="minor"/>
      </rPr>
      <t>N2</t>
    </r>
    <r>
      <rPr>
        <sz val="11"/>
        <rFont val="Calibri"/>
        <family val="2"/>
        <scheme val="minor"/>
      </rPr>
      <t>*r28)+(+EEQ</t>
    </r>
    <r>
      <rPr>
        <vertAlign val="subscript"/>
        <sz val="11"/>
        <rFont val="Calibri"/>
        <family val="2"/>
        <charset val="238"/>
        <scheme val="minor"/>
      </rPr>
      <t>N2,NO3</t>
    </r>
    <r>
      <rPr>
        <sz val="11"/>
        <rFont val="Calibri"/>
        <family val="2"/>
        <scheme val="minor"/>
      </rPr>
      <t xml:space="preserve"> * v43_S</t>
    </r>
    <r>
      <rPr>
        <vertAlign val="subscript"/>
        <sz val="11"/>
        <rFont val="Calibri"/>
        <family val="2"/>
        <charset val="238"/>
        <scheme val="minor"/>
      </rPr>
      <t>N2</t>
    </r>
    <r>
      <rPr>
        <sz val="11"/>
        <rFont val="Calibri"/>
        <family val="2"/>
        <scheme val="minor"/>
      </rPr>
      <t>*r43)+(+EEQ</t>
    </r>
    <r>
      <rPr>
        <vertAlign val="subscript"/>
        <sz val="11"/>
        <rFont val="Calibri"/>
        <family val="2"/>
        <charset val="238"/>
        <scheme val="minor"/>
      </rPr>
      <t>N2,NO3</t>
    </r>
    <r>
      <rPr>
        <sz val="11"/>
        <rFont val="Calibri"/>
        <family val="2"/>
        <scheme val="minor"/>
      </rPr>
      <t xml:space="preserve"> * v59_S</t>
    </r>
    <r>
      <rPr>
        <vertAlign val="subscript"/>
        <sz val="11"/>
        <rFont val="Calibri"/>
        <family val="2"/>
        <charset val="238"/>
        <scheme val="minor"/>
      </rPr>
      <t>N2</t>
    </r>
    <r>
      <rPr>
        <sz val="11"/>
        <rFont val="Calibri"/>
        <family val="2"/>
        <scheme val="minor"/>
      </rPr>
      <t>*r59)+(+EEQ</t>
    </r>
    <r>
      <rPr>
        <vertAlign val="subscript"/>
        <sz val="11"/>
        <rFont val="Calibri"/>
        <family val="2"/>
        <charset val="238"/>
        <scheme val="minor"/>
      </rPr>
      <t>N2,NO3</t>
    </r>
    <r>
      <rPr>
        <sz val="11"/>
        <rFont val="Calibri"/>
        <family val="2"/>
        <scheme val="minor"/>
      </rPr>
      <t xml:space="preserve"> * v62_S</t>
    </r>
    <r>
      <rPr>
        <vertAlign val="subscript"/>
        <sz val="11"/>
        <rFont val="Calibri"/>
        <family val="2"/>
        <charset val="238"/>
        <scheme val="minor"/>
      </rPr>
      <t>N2</t>
    </r>
    <r>
      <rPr>
        <sz val="11"/>
        <rFont val="Calibri"/>
        <family val="2"/>
        <scheme val="minor"/>
      </rPr>
      <t>*r62)) * DeltaHbio</t>
    </r>
  </si>
  <si>
    <t>CASTO with Phosphorus accumulating metabolism (PAM)</t>
  </si>
  <si>
    <t>CASTO with Glycogen accumulating metabolism (GAM)</t>
  </si>
  <si>
    <r>
      <t>(i</t>
    </r>
    <r>
      <rPr>
        <vertAlign val="subscript"/>
        <sz val="11"/>
        <rFont val="Calibri"/>
        <family val="2"/>
        <scheme val="minor"/>
      </rPr>
      <t>CV,BIO</t>
    </r>
    <r>
      <rPr>
        <sz val="11"/>
        <rFont val="Calibri"/>
        <family val="2"/>
        <scheme val="minor"/>
      </rPr>
      <t>-i</t>
    </r>
    <r>
      <rPr>
        <vertAlign val="subscript"/>
        <sz val="11"/>
        <rFont val="Calibri"/>
        <family val="2"/>
        <scheme val="minor"/>
      </rPr>
      <t>CV,XE</t>
    </r>
    <r>
      <rPr>
        <sz val="11"/>
        <rFont val="Calibri"/>
        <family val="2"/>
        <scheme val="minor"/>
      </rPr>
      <t>*f</t>
    </r>
    <r>
      <rPr>
        <vertAlign val="subscript"/>
        <sz val="11"/>
        <rFont val="Calibri"/>
        <family val="2"/>
        <scheme val="minor"/>
      </rPr>
      <t>E</t>
    </r>
    <r>
      <rPr>
        <sz val="11"/>
        <rFont val="Calibri"/>
        <family val="2"/>
        <scheme val="minor"/>
      </rPr>
      <t>)/(1-f</t>
    </r>
    <r>
      <rPr>
        <vertAlign val="subscript"/>
        <sz val="11"/>
        <rFont val="Calibri"/>
        <family val="2"/>
        <scheme val="minor"/>
      </rPr>
      <t>E</t>
    </r>
    <r>
      <rPr>
        <sz val="11"/>
        <rFont val="Calibri"/>
        <family val="2"/>
        <scheme val="minor"/>
      </rPr>
      <t>)</t>
    </r>
  </si>
  <si>
    <r>
      <t>(i</t>
    </r>
    <r>
      <rPr>
        <vertAlign val="subscript"/>
        <sz val="11"/>
        <rFont val="Calibri"/>
        <family val="2"/>
      </rPr>
      <t>CIT,SB</t>
    </r>
    <r>
      <rPr>
        <sz val="11"/>
        <rFont val="Calibri"/>
        <family val="2"/>
      </rPr>
      <t>-i</t>
    </r>
    <r>
      <rPr>
        <vertAlign val="subscript"/>
        <sz val="11"/>
        <rFont val="Calibri"/>
        <family val="2"/>
      </rPr>
      <t>CIT,VFA</t>
    </r>
    <r>
      <rPr>
        <sz val="11"/>
        <rFont val="Calibri"/>
        <family val="2"/>
      </rPr>
      <t>*(1-Y</t>
    </r>
    <r>
      <rPr>
        <vertAlign val="subscript"/>
        <sz val="11"/>
        <rFont val="Calibri"/>
        <family val="2"/>
      </rPr>
      <t>CASTO,SB,ana</t>
    </r>
    <r>
      <rPr>
        <sz val="11"/>
        <rFont val="Calibri"/>
        <family val="2"/>
      </rPr>
      <t>-Y</t>
    </r>
    <r>
      <rPr>
        <vertAlign val="subscript"/>
        <sz val="11"/>
        <rFont val="Calibri"/>
        <family val="2"/>
      </rPr>
      <t>CASTO,H2,ana,high</t>
    </r>
    <r>
      <rPr>
        <sz val="11"/>
        <rFont val="Calibri"/>
        <family val="2"/>
      </rPr>
      <t>)-i</t>
    </r>
    <r>
      <rPr>
        <vertAlign val="subscript"/>
        <sz val="11"/>
        <rFont val="Calibri"/>
        <family val="2"/>
      </rPr>
      <t>CIT,PHA</t>
    </r>
    <r>
      <rPr>
        <sz val="11"/>
        <rFont val="Calibri"/>
        <family val="2"/>
      </rPr>
      <t>*Y</t>
    </r>
    <r>
      <rPr>
        <vertAlign val="subscript"/>
        <sz val="11"/>
        <rFont val="Calibri"/>
        <family val="2"/>
      </rPr>
      <t>CASTO,SB,ana</t>
    </r>
    <r>
      <rPr>
        <sz val="11"/>
        <rFont val="Calibri"/>
        <family val="2"/>
      </rPr>
      <t>)/Y</t>
    </r>
    <r>
      <rPr>
        <vertAlign val="subscript"/>
        <sz val="11"/>
        <rFont val="Calibri"/>
        <family val="2"/>
      </rPr>
      <t>CASTO,SB,ana</t>
    </r>
  </si>
  <si>
    <r>
      <t>(i</t>
    </r>
    <r>
      <rPr>
        <vertAlign val="subscript"/>
        <sz val="11"/>
        <rFont val="Calibri"/>
        <family val="2"/>
      </rPr>
      <t>CIT,SB</t>
    </r>
    <r>
      <rPr>
        <sz val="11"/>
        <rFont val="Calibri"/>
        <family val="2"/>
      </rPr>
      <t>-i</t>
    </r>
    <r>
      <rPr>
        <vertAlign val="subscript"/>
        <sz val="11"/>
        <rFont val="Calibri"/>
        <family val="2"/>
      </rPr>
      <t>CIT,VFA</t>
    </r>
    <r>
      <rPr>
        <sz val="11"/>
        <rFont val="Calibri"/>
        <family val="2"/>
      </rPr>
      <t>*(1-Y</t>
    </r>
    <r>
      <rPr>
        <vertAlign val="subscript"/>
        <sz val="11"/>
        <rFont val="Calibri"/>
        <family val="2"/>
      </rPr>
      <t>CASTO,SB,ana</t>
    </r>
    <r>
      <rPr>
        <sz val="11"/>
        <rFont val="Calibri"/>
        <family val="2"/>
      </rPr>
      <t>-Y</t>
    </r>
    <r>
      <rPr>
        <vertAlign val="subscript"/>
        <sz val="11"/>
        <rFont val="Calibri"/>
        <family val="2"/>
      </rPr>
      <t>CASTO,H2,ana,low</t>
    </r>
    <r>
      <rPr>
        <sz val="11"/>
        <rFont val="Calibri"/>
        <family val="2"/>
      </rPr>
      <t>)-i</t>
    </r>
    <r>
      <rPr>
        <vertAlign val="subscript"/>
        <sz val="11"/>
        <rFont val="Calibri"/>
        <family val="2"/>
      </rPr>
      <t>CIT,PHA</t>
    </r>
    <r>
      <rPr>
        <sz val="11"/>
        <rFont val="Calibri"/>
        <family val="2"/>
      </rPr>
      <t>*Y</t>
    </r>
    <r>
      <rPr>
        <vertAlign val="subscript"/>
        <sz val="11"/>
        <rFont val="Calibri"/>
        <family val="2"/>
      </rPr>
      <t>CASTO,SB,ana</t>
    </r>
    <r>
      <rPr>
        <sz val="11"/>
        <rFont val="Calibri"/>
        <family val="2"/>
      </rPr>
      <t>)/Y</t>
    </r>
    <r>
      <rPr>
        <vertAlign val="subscript"/>
        <sz val="11"/>
        <rFont val="Calibri"/>
        <family val="2"/>
      </rPr>
      <t>CASTO,SB,ana</t>
    </r>
  </si>
  <si>
    <r>
      <t>1/Y</t>
    </r>
    <r>
      <rPr>
        <vertAlign val="subscript"/>
        <sz val="11"/>
        <rFont val="Calibri"/>
        <family val="2"/>
      </rPr>
      <t>CASTO,SB,ana</t>
    </r>
    <r>
      <rPr>
        <sz val="11"/>
        <rFont val="Calibri"/>
        <family val="2"/>
      </rPr>
      <t>*i</t>
    </r>
    <r>
      <rPr>
        <vertAlign val="subscript"/>
        <sz val="11"/>
        <rFont val="Calibri"/>
        <family val="2"/>
      </rPr>
      <t>S,SB</t>
    </r>
  </si>
  <si>
    <t>previously 0,30</t>
  </si>
  <si>
    <t>Rate of H2S stripping (F)</t>
  </si>
  <si>
    <t>Rate of CH4 and H2 stripping (F)</t>
  </si>
  <si>
    <t>Rate of TCOD oxidized using oxygen (G)</t>
  </si>
  <si>
    <t>Rate of TCOD oxidized using nitrite and nitrate (H)</t>
  </si>
  <si>
    <t>Rate of TCOD produced by photosynthesis (I)</t>
  </si>
  <si>
    <t>Rate of TCOD in nitrifier growth (J)</t>
  </si>
  <si>
    <t>Rate of SNHx stripping (F)</t>
  </si>
  <si>
    <t>Rate of TN denitrified (G)</t>
  </si>
  <si>
    <t>Rate of SO2 transferred by mechanical aeration (D)</t>
  </si>
  <si>
    <t>Rate of SO2 transferred by natural aeration (E)</t>
  </si>
  <si>
    <t>Rate of SO2 consumed by carbon oxidation (F)</t>
  </si>
  <si>
    <t>Rate of SO2 consumed by nitrification (G)</t>
  </si>
  <si>
    <t>Rate of SO2 consumed by iron oxidation (H)</t>
  </si>
  <si>
    <t>Rate of SO2 produced by photosynthesis (I)</t>
  </si>
  <si>
    <t>Rate of SO2 produced by ALGAE respiration (J)</t>
  </si>
  <si>
    <t>Rate of SCO2 stripping</t>
  </si>
  <si>
    <t>Rate of ammonia from ordinary heterotrophic organisms</t>
  </si>
  <si>
    <t>Rate of ammonia from nitrification</t>
  </si>
  <si>
    <t>Rate of ammonia from algae</t>
  </si>
  <si>
    <t>Rate of ammonia from hydrolysis</t>
  </si>
  <si>
    <t>Rate of nitrate from ordinary heterotrophic organisms</t>
  </si>
  <si>
    <t>Rate of nitrate from nitrification</t>
  </si>
  <si>
    <t>Rate of nitrate from algae</t>
  </si>
  <si>
    <t>Rate of exchange of phosphate with sediments</t>
  </si>
  <si>
    <t>Rate of phosphate from ordinary heterotrophic organisms</t>
  </si>
  <si>
    <t>Rate of phosphate from nitrification</t>
  </si>
  <si>
    <t>Rate of phosphate from algae</t>
  </si>
  <si>
    <t>Rate of phosphate from precipitation reactions</t>
  </si>
  <si>
    <t>Rate of CO2 from ordinary heterotrophic organisms</t>
  </si>
  <si>
    <t>Rate of CO2 from nitrifying organisms</t>
  </si>
  <si>
    <t>Rate of CO2 from algae</t>
  </si>
  <si>
    <t>Rate of CO2 from hydrolysis processes</t>
  </si>
  <si>
    <t>Rate of CO2 from precipitation processes</t>
  </si>
  <si>
    <r>
      <t>K</t>
    </r>
    <r>
      <rPr>
        <vertAlign val="subscript"/>
        <sz val="11"/>
        <rFont val="Calibri"/>
        <family val="2"/>
        <scheme val="minor"/>
      </rPr>
      <t>ORP,ana</t>
    </r>
  </si>
  <si>
    <t>Half-saturation of anaerobic activity for anaerobic ORP</t>
  </si>
  <si>
    <r>
      <t>ratio</t>
    </r>
    <r>
      <rPr>
        <vertAlign val="subscript"/>
        <sz val="11"/>
        <rFont val="Calibri"/>
        <family val="2"/>
      </rPr>
      <t>AAR,rbCODDR</t>
    </r>
  </si>
  <si>
    <t>rbCODDR to AAR ratio</t>
  </si>
  <si>
    <t>AAR/rbCODDR</t>
  </si>
  <si>
    <r>
      <t>ORP</t>
    </r>
    <r>
      <rPr>
        <vertAlign val="subscript"/>
        <sz val="11"/>
        <rFont val="Calibri"/>
        <family val="2"/>
      </rPr>
      <t>ana</t>
    </r>
  </si>
  <si>
    <t>Oxidation-reduction potential due to anaerobic activity</t>
  </si>
  <si>
    <r>
      <t>ORP</t>
    </r>
    <r>
      <rPr>
        <vertAlign val="subscript"/>
        <sz val="11"/>
        <rFont val="Calibri"/>
        <family val="2"/>
        <scheme val="minor"/>
      </rPr>
      <t xml:space="preserve">base </t>
    </r>
    <r>
      <rPr>
        <sz val="11"/>
        <rFont val="Calibri"/>
        <family val="2"/>
        <scheme val="minor"/>
      </rPr>
      <t>* (ratio</t>
    </r>
    <r>
      <rPr>
        <vertAlign val="subscript"/>
        <sz val="11"/>
        <rFont val="Calibri"/>
        <family val="2"/>
        <scheme val="minor"/>
      </rPr>
      <t>AAR,rbCODDR</t>
    </r>
    <r>
      <rPr>
        <sz val="11"/>
        <rFont val="Calibri"/>
        <family val="2"/>
        <scheme val="minor"/>
      </rPr>
      <t>)/(K</t>
    </r>
    <r>
      <rPr>
        <vertAlign val="subscript"/>
        <sz val="11"/>
        <rFont val="Calibri"/>
        <family val="2"/>
        <scheme val="minor"/>
      </rPr>
      <t xml:space="preserve">ORP,ana </t>
    </r>
    <r>
      <rPr>
        <sz val="11"/>
        <rFont val="Calibri"/>
        <family val="2"/>
        <scheme val="minor"/>
      </rPr>
      <t>+ ratio</t>
    </r>
    <r>
      <rPr>
        <vertAlign val="subscript"/>
        <sz val="11"/>
        <rFont val="Calibri"/>
        <family val="2"/>
        <scheme val="minor"/>
      </rPr>
      <t>AAR,rbCODDR</t>
    </r>
    <r>
      <rPr>
        <sz val="11"/>
        <rFont val="Calibri"/>
        <family val="2"/>
        <scheme val="minor"/>
      </rPr>
      <t>)</t>
    </r>
  </si>
  <si>
    <r>
      <t>Max(ORP</t>
    </r>
    <r>
      <rPr>
        <vertAlign val="subscript"/>
        <sz val="11"/>
        <rFont val="Calibri"/>
        <family val="2"/>
        <scheme val="minor"/>
      </rPr>
      <t>O2;</t>
    </r>
    <r>
      <rPr>
        <sz val="11"/>
        <rFont val="Calibri"/>
        <family val="2"/>
        <scheme val="minor"/>
      </rPr>
      <t>ORP</t>
    </r>
    <r>
      <rPr>
        <vertAlign val="subscript"/>
        <sz val="11"/>
        <rFont val="Calibri"/>
        <family val="2"/>
        <scheme val="minor"/>
      </rPr>
      <t>NOx;</t>
    </r>
    <r>
      <rPr>
        <sz val="11"/>
        <rFont val="Calibri"/>
        <family val="2"/>
        <scheme val="minor"/>
      </rPr>
      <t>ORP</t>
    </r>
    <r>
      <rPr>
        <vertAlign val="subscript"/>
        <sz val="11"/>
        <rFont val="Calibri"/>
        <family val="2"/>
        <scheme val="minor"/>
      </rPr>
      <t>ana</t>
    </r>
    <r>
      <rPr>
        <sz val="11"/>
        <rFont val="Calibri"/>
        <family val="2"/>
        <scheme val="minor"/>
      </rPr>
      <t>)</t>
    </r>
  </si>
  <si>
    <t>rbCODDR</t>
  </si>
  <si>
    <t>rbCOD degradation rate (rbCODDR)</t>
  </si>
  <si>
    <r>
      <t>g COD.m</t>
    </r>
    <r>
      <rPr>
        <vertAlign val="superscript"/>
        <sz val="11"/>
        <rFont val="Calibri"/>
        <family val="2"/>
        <scheme val="minor"/>
      </rPr>
      <t>-3</t>
    </r>
    <r>
      <rPr>
        <sz val="11"/>
        <rFont val="Calibri"/>
        <family val="2"/>
        <scheme val="minor"/>
      </rPr>
      <t>.d</t>
    </r>
    <r>
      <rPr>
        <vertAlign val="superscript"/>
        <sz val="11"/>
        <rFont val="Calibri"/>
        <family val="2"/>
        <scheme val="minor"/>
      </rPr>
      <t>-1</t>
    </r>
  </si>
  <si>
    <t>AAR</t>
  </si>
  <si>
    <t>Anaerobic activity rate (AAR)</t>
  </si>
  <si>
    <r>
      <t>v7_S</t>
    </r>
    <r>
      <rPr>
        <vertAlign val="subscript"/>
        <sz val="11"/>
        <rFont val="Calibri"/>
        <family val="2"/>
        <scheme val="minor"/>
      </rPr>
      <t>H2</t>
    </r>
    <r>
      <rPr>
        <sz val="11"/>
        <rFont val="Calibri"/>
        <family val="2"/>
        <scheme val="minor"/>
      </rPr>
      <t xml:space="preserve"> * r7 + v8_S</t>
    </r>
    <r>
      <rPr>
        <vertAlign val="subscript"/>
        <sz val="11"/>
        <rFont val="Calibri"/>
        <family val="2"/>
        <scheme val="minor"/>
      </rPr>
      <t>H2</t>
    </r>
    <r>
      <rPr>
        <sz val="11"/>
        <rFont val="Calibri"/>
        <family val="2"/>
        <scheme val="minor"/>
      </rPr>
      <t xml:space="preserve"> * r8 + v32_S</t>
    </r>
    <r>
      <rPr>
        <vertAlign val="subscript"/>
        <sz val="11"/>
        <rFont val="Calibri"/>
        <family val="2"/>
        <scheme val="minor"/>
      </rPr>
      <t>H2</t>
    </r>
    <r>
      <rPr>
        <sz val="11"/>
        <rFont val="Calibri"/>
        <family val="2"/>
        <scheme val="minor"/>
      </rPr>
      <t xml:space="preserve"> * r32 + v33_S</t>
    </r>
    <r>
      <rPr>
        <vertAlign val="subscript"/>
        <sz val="11"/>
        <rFont val="Calibri"/>
        <family val="2"/>
        <scheme val="minor"/>
      </rPr>
      <t>H2</t>
    </r>
    <r>
      <rPr>
        <sz val="11"/>
        <rFont val="Calibri"/>
        <family val="2"/>
        <scheme val="minor"/>
      </rPr>
      <t xml:space="preserve"> * r33 + v46_S</t>
    </r>
    <r>
      <rPr>
        <vertAlign val="subscript"/>
        <sz val="11"/>
        <rFont val="Calibri"/>
        <family val="2"/>
        <scheme val="minor"/>
      </rPr>
      <t>CH4</t>
    </r>
    <r>
      <rPr>
        <sz val="11"/>
        <rFont val="Calibri"/>
        <family val="2"/>
        <scheme val="minor"/>
      </rPr>
      <t xml:space="preserve"> * r46 + v49_S</t>
    </r>
    <r>
      <rPr>
        <vertAlign val="subscript"/>
        <sz val="11"/>
        <rFont val="Calibri"/>
        <family val="2"/>
        <scheme val="minor"/>
      </rPr>
      <t>CH4</t>
    </r>
    <r>
      <rPr>
        <sz val="11"/>
        <rFont val="Calibri"/>
        <family val="2"/>
        <scheme val="minor"/>
      </rPr>
      <t xml:space="preserve"> * r49 + v52_SH2S * r52 + v55_SH2S * r55</t>
    </r>
  </si>
  <si>
    <r>
      <t>-(v1_S</t>
    </r>
    <r>
      <rPr>
        <vertAlign val="subscript"/>
        <sz val="11"/>
        <rFont val="Calibri"/>
        <family val="2"/>
        <scheme val="minor"/>
      </rPr>
      <t>VFA</t>
    </r>
    <r>
      <rPr>
        <sz val="11"/>
        <rFont val="Calibri"/>
        <family val="2"/>
        <scheme val="minor"/>
      </rPr>
      <t xml:space="preserve"> * r1 + v2_S</t>
    </r>
    <r>
      <rPr>
        <vertAlign val="subscript"/>
        <sz val="11"/>
        <rFont val="Calibri"/>
        <family val="2"/>
        <scheme val="minor"/>
      </rPr>
      <t>VFA</t>
    </r>
    <r>
      <rPr>
        <sz val="11"/>
        <rFont val="Calibri"/>
        <family val="2"/>
        <scheme val="minor"/>
      </rPr>
      <t xml:space="preserve"> * r2 + v3_S</t>
    </r>
    <r>
      <rPr>
        <vertAlign val="subscript"/>
        <sz val="11"/>
        <rFont val="Calibri"/>
        <family val="2"/>
        <scheme val="minor"/>
      </rPr>
      <t>VFA</t>
    </r>
    <r>
      <rPr>
        <sz val="11"/>
        <rFont val="Calibri"/>
        <family val="2"/>
        <scheme val="minor"/>
      </rPr>
      <t xml:space="preserve"> * r3 + v25_S</t>
    </r>
    <r>
      <rPr>
        <vertAlign val="subscript"/>
        <sz val="11"/>
        <rFont val="Calibri"/>
        <family val="2"/>
        <scheme val="minor"/>
      </rPr>
      <t>VFA</t>
    </r>
    <r>
      <rPr>
        <sz val="11"/>
        <rFont val="Calibri"/>
        <family val="2"/>
        <scheme val="minor"/>
      </rPr>
      <t xml:space="preserve"> * 25 + v26_S</t>
    </r>
    <r>
      <rPr>
        <vertAlign val="subscript"/>
        <sz val="11"/>
        <rFont val="Calibri"/>
        <family val="2"/>
        <scheme val="minor"/>
      </rPr>
      <t>VFA</t>
    </r>
    <r>
      <rPr>
        <sz val="11"/>
        <rFont val="Calibri"/>
        <family val="2"/>
        <scheme val="minor"/>
      </rPr>
      <t xml:space="preserve"> * r26 + v46_S</t>
    </r>
    <r>
      <rPr>
        <vertAlign val="subscript"/>
        <sz val="11"/>
        <rFont val="Calibri"/>
        <family val="2"/>
        <scheme val="minor"/>
      </rPr>
      <t>VFA</t>
    </r>
    <r>
      <rPr>
        <sz val="11"/>
        <rFont val="Calibri"/>
        <family val="2"/>
        <scheme val="minor"/>
      </rPr>
      <t xml:space="preserve"> * r46 + v52_SVFA * r52  + v4_S</t>
    </r>
    <r>
      <rPr>
        <vertAlign val="subscript"/>
        <sz val="11"/>
        <rFont val="Calibri"/>
        <family val="2"/>
        <scheme val="minor"/>
      </rPr>
      <t>B</t>
    </r>
    <r>
      <rPr>
        <sz val="11"/>
        <rFont val="Calibri"/>
        <family val="2"/>
        <scheme val="minor"/>
      </rPr>
      <t xml:space="preserve"> * r4 + v5_S</t>
    </r>
    <r>
      <rPr>
        <vertAlign val="subscript"/>
        <sz val="11"/>
        <rFont val="Calibri"/>
        <family val="2"/>
        <scheme val="minor"/>
      </rPr>
      <t>B</t>
    </r>
    <r>
      <rPr>
        <sz val="11"/>
        <rFont val="Calibri"/>
        <family val="2"/>
        <scheme val="minor"/>
      </rPr>
      <t xml:space="preserve"> * r5 + v6_S</t>
    </r>
    <r>
      <rPr>
        <vertAlign val="subscript"/>
        <sz val="11"/>
        <rFont val="Calibri"/>
        <family val="2"/>
        <scheme val="minor"/>
      </rPr>
      <t>B</t>
    </r>
    <r>
      <rPr>
        <sz val="11"/>
        <rFont val="Calibri"/>
        <family val="2"/>
        <scheme val="minor"/>
      </rPr>
      <t xml:space="preserve"> * r6 + v7_SB * r7 + v8_SB * r8 + v32_S</t>
    </r>
    <r>
      <rPr>
        <vertAlign val="subscript"/>
        <sz val="11"/>
        <rFont val="Calibri"/>
        <family val="2"/>
        <scheme val="minor"/>
      </rPr>
      <t>B</t>
    </r>
    <r>
      <rPr>
        <sz val="11"/>
        <rFont val="Calibri"/>
        <family val="2"/>
        <scheme val="minor"/>
      </rPr>
      <t xml:space="preserve"> * r32 + v33_S</t>
    </r>
    <r>
      <rPr>
        <vertAlign val="subscript"/>
        <sz val="11"/>
        <rFont val="Calibri"/>
        <family val="2"/>
        <scheme val="minor"/>
      </rPr>
      <t>B</t>
    </r>
    <r>
      <rPr>
        <sz val="11"/>
        <rFont val="Calibri"/>
        <family val="2"/>
        <scheme val="minor"/>
      </rPr>
      <t xml:space="preserve"> * r33 + v9_S</t>
    </r>
    <r>
      <rPr>
        <vertAlign val="subscript"/>
        <sz val="11"/>
        <rFont val="Calibri"/>
        <family val="2"/>
        <scheme val="minor"/>
      </rPr>
      <t>MEOL</t>
    </r>
    <r>
      <rPr>
        <sz val="11"/>
        <rFont val="Calibri"/>
        <family val="2"/>
        <scheme val="minor"/>
      </rPr>
      <t xml:space="preserve"> * r9 + v12_S</t>
    </r>
    <r>
      <rPr>
        <vertAlign val="subscript"/>
        <sz val="11"/>
        <rFont val="Calibri"/>
        <family val="2"/>
        <scheme val="minor"/>
      </rPr>
      <t>MEOL</t>
    </r>
    <r>
      <rPr>
        <sz val="11"/>
        <rFont val="Calibri"/>
        <family val="2"/>
        <scheme val="minor"/>
      </rPr>
      <t xml:space="preserve"> * r12 + v13_S</t>
    </r>
    <r>
      <rPr>
        <vertAlign val="subscript"/>
        <sz val="11"/>
        <rFont val="Calibri"/>
        <family val="2"/>
        <scheme val="minor"/>
      </rPr>
      <t>MEOL</t>
    </r>
    <r>
      <rPr>
        <sz val="11"/>
        <rFont val="Calibri"/>
        <family val="2"/>
        <scheme val="minor"/>
      </rPr>
      <t xml:space="preserve"> * r13 )</t>
    </r>
  </si>
  <si>
    <r>
      <t>X</t>
    </r>
    <r>
      <rPr>
        <vertAlign val="subscript"/>
        <sz val="11"/>
        <rFont val="Calibri"/>
        <family val="2"/>
      </rPr>
      <t>B</t>
    </r>
    <r>
      <rPr>
        <sz val="11"/>
        <rFont val="Calibri"/>
        <family val="2"/>
      </rPr>
      <t xml:space="preserve"> + X</t>
    </r>
    <r>
      <rPr>
        <vertAlign val="subscript"/>
        <sz val="11"/>
        <rFont val="Calibri"/>
        <family val="2"/>
      </rPr>
      <t>B,e</t>
    </r>
    <r>
      <rPr>
        <sz val="11"/>
        <rFont val="Calibri"/>
        <family val="2"/>
      </rPr>
      <t xml:space="preserve"> + C</t>
    </r>
    <r>
      <rPr>
        <vertAlign val="subscript"/>
        <sz val="11"/>
        <rFont val="Calibri"/>
        <family val="2"/>
      </rPr>
      <t>B</t>
    </r>
  </si>
  <si>
    <t>Half-saturation of MEOL for MEOLOs under nitrite reduction</t>
  </si>
  <si>
    <r>
      <t>µ</t>
    </r>
    <r>
      <rPr>
        <vertAlign val="subscript"/>
        <sz val="11"/>
        <rFont val="Calibri"/>
        <family val="2"/>
      </rPr>
      <t>OHO,T</t>
    </r>
    <r>
      <rPr>
        <sz val="11"/>
        <rFont val="Calibri"/>
        <family val="2"/>
      </rPr>
      <t>*X</t>
    </r>
    <r>
      <rPr>
        <vertAlign val="subscript"/>
        <sz val="11"/>
        <rFont val="Calibri"/>
        <family val="2"/>
      </rPr>
      <t>OHO</t>
    </r>
    <r>
      <rPr>
        <sz val="11"/>
        <rFont val="Calibri"/>
        <family val="2"/>
      </rPr>
      <t>*</t>
    </r>
    <r>
      <rPr>
        <sz val="11"/>
        <color rgb="FFFF0000"/>
        <rFont val="Calibri"/>
        <family val="2"/>
        <charset val="238"/>
      </rPr>
      <t>η</t>
    </r>
    <r>
      <rPr>
        <vertAlign val="subscript"/>
        <sz val="11"/>
        <color rgb="FFFF0000"/>
        <rFont val="Calibri"/>
        <family val="2"/>
        <charset val="238"/>
      </rPr>
      <t>OHO,anox,NO2red</t>
    </r>
    <r>
      <rPr>
        <sz val="11"/>
        <rFont val="Calibri"/>
        <family val="2"/>
      </rPr>
      <t>*Msat</t>
    </r>
    <r>
      <rPr>
        <vertAlign val="subscript"/>
        <sz val="11"/>
        <rFont val="Calibri"/>
        <family val="2"/>
      </rPr>
      <t>SVFA,KVFA</t>
    </r>
    <r>
      <rPr>
        <sz val="11"/>
        <rFont val="Calibri"/>
        <family val="2"/>
      </rPr>
      <t>*Msat</t>
    </r>
    <r>
      <rPr>
        <vertAlign val="subscript"/>
        <sz val="11"/>
        <rFont val="Calibri"/>
        <family val="2"/>
      </rPr>
      <t>SNO2,KNO2,OHO</t>
    </r>
    <r>
      <rPr>
        <sz val="11"/>
        <rFont val="Calibri"/>
        <family val="2"/>
      </rPr>
      <t>*</t>
    </r>
    <r>
      <rPr>
        <sz val="11"/>
        <color rgb="FFFF0000"/>
        <rFont val="Calibri"/>
        <family val="2"/>
        <charset val="238"/>
      </rPr>
      <t>(Loginh</t>
    </r>
    <r>
      <rPr>
        <vertAlign val="subscript"/>
        <sz val="11"/>
        <color rgb="FFFF0000"/>
        <rFont val="Calibri"/>
        <family val="2"/>
      </rPr>
      <t>SNO3,KNO3,OHO</t>
    </r>
    <r>
      <rPr>
        <sz val="11"/>
        <color rgb="FFFF0000"/>
        <rFont val="Calibri"/>
        <family val="2"/>
        <charset val="238"/>
      </rPr>
      <t>*Loginh</t>
    </r>
    <r>
      <rPr>
        <vertAlign val="subscript"/>
        <sz val="11"/>
        <color rgb="FFFF0000"/>
        <rFont val="Calibri"/>
        <family val="2"/>
      </rPr>
      <t>SVFA,KVFA,OHO,SNO2</t>
    </r>
    <r>
      <rPr>
        <sz val="11"/>
        <color rgb="FFFF0000"/>
        <rFont val="Calibri"/>
        <family val="2"/>
        <charset val="238"/>
      </rPr>
      <t>+Logsat</t>
    </r>
    <r>
      <rPr>
        <vertAlign val="subscript"/>
        <sz val="11"/>
        <color rgb="FFFF0000"/>
        <rFont val="Calibri"/>
        <family val="2"/>
      </rPr>
      <t>SVFA,KVFA,OHO,SNO2</t>
    </r>
    <r>
      <rPr>
        <sz val="11"/>
        <color rgb="FFFF0000"/>
        <rFont val="Calibri"/>
        <family val="2"/>
        <charset val="238"/>
      </rPr>
      <t>)</t>
    </r>
    <r>
      <rPr>
        <sz val="11"/>
        <rFont val="Calibri"/>
        <family val="2"/>
      </rPr>
      <t>*Minh</t>
    </r>
    <r>
      <rPr>
        <vertAlign val="subscript"/>
        <sz val="11"/>
        <rFont val="Calibri"/>
        <family val="2"/>
      </rPr>
      <t>SO2,KO2,OHO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*Msat</t>
    </r>
    <r>
      <rPr>
        <vertAlign val="subscript"/>
        <sz val="11"/>
        <rFont val="Calibri"/>
        <family val="2"/>
      </rPr>
      <t>SSO4,KSO4,BIO</t>
    </r>
    <r>
      <rPr>
        <sz val="11"/>
        <rFont val="Calibri"/>
        <family val="2"/>
      </rPr>
      <t>*Bellinh</t>
    </r>
    <r>
      <rPr>
        <vertAlign val="subscript"/>
        <sz val="11"/>
        <rFont val="Calibri"/>
        <family val="2"/>
      </rPr>
      <t>pH</t>
    </r>
  </si>
  <si>
    <r>
      <t>µ</t>
    </r>
    <r>
      <rPr>
        <vertAlign val="subscript"/>
        <sz val="11"/>
        <rFont val="Calibri"/>
        <family val="2"/>
      </rPr>
      <t>MEOLO,T</t>
    </r>
    <r>
      <rPr>
        <sz val="11"/>
        <rFont val="Calibri"/>
        <family val="2"/>
      </rPr>
      <t>*X</t>
    </r>
    <r>
      <rPr>
        <vertAlign val="subscript"/>
        <sz val="11"/>
        <rFont val="Calibri"/>
        <family val="2"/>
      </rPr>
      <t>MEOLO</t>
    </r>
    <r>
      <rPr>
        <sz val="11"/>
        <rFont val="Calibri"/>
        <family val="2"/>
      </rPr>
      <t>*Msat</t>
    </r>
    <r>
      <rPr>
        <vertAlign val="subscript"/>
        <sz val="11"/>
        <rFont val="Calibri"/>
        <family val="2"/>
      </rPr>
      <t>SMEOL,KMEOL</t>
    </r>
    <r>
      <rPr>
        <sz val="11"/>
        <rFont val="Calibri"/>
        <family val="2"/>
      </rPr>
      <t>*Msat</t>
    </r>
    <r>
      <rPr>
        <vertAlign val="subscript"/>
        <sz val="11"/>
        <rFont val="Calibri"/>
        <family val="2"/>
      </rPr>
      <t>SNO2,KNO2,MEOLO</t>
    </r>
    <r>
      <rPr>
        <sz val="11"/>
        <rFont val="Calibri"/>
        <family val="2"/>
      </rPr>
      <t>*</t>
    </r>
    <r>
      <rPr>
        <sz val="11"/>
        <color rgb="FFFF0000"/>
        <rFont val="Calibri"/>
        <family val="2"/>
        <charset val="238"/>
      </rPr>
      <t>(Loginh</t>
    </r>
    <r>
      <rPr>
        <vertAlign val="subscript"/>
        <sz val="11"/>
        <color rgb="FFFF0000"/>
        <rFont val="Calibri"/>
        <family val="2"/>
      </rPr>
      <t>SNO3,KNO3,MEOLO</t>
    </r>
    <r>
      <rPr>
        <sz val="11"/>
        <color rgb="FFFF0000"/>
        <rFont val="Calibri"/>
        <family val="2"/>
        <charset val="238"/>
      </rPr>
      <t>*Loginh</t>
    </r>
    <r>
      <rPr>
        <vertAlign val="subscript"/>
        <sz val="11"/>
        <color rgb="FFFF0000"/>
        <rFont val="Calibri"/>
        <family val="2"/>
      </rPr>
      <t>SMEOL,KMEOL,SNO2</t>
    </r>
    <r>
      <rPr>
        <sz val="11"/>
        <color rgb="FFFF0000"/>
        <rFont val="Calibri"/>
        <family val="2"/>
        <charset val="238"/>
      </rPr>
      <t>+Logsat</t>
    </r>
    <r>
      <rPr>
        <vertAlign val="subscript"/>
        <sz val="11"/>
        <color rgb="FFFF0000"/>
        <rFont val="Calibri"/>
        <family val="2"/>
      </rPr>
      <t>SMEOL,KMEOL,SNO2</t>
    </r>
    <r>
      <rPr>
        <sz val="11"/>
        <color rgb="FFFF0000"/>
        <rFont val="Calibri"/>
        <family val="2"/>
        <charset val="238"/>
      </rPr>
      <t>)</t>
    </r>
    <r>
      <rPr>
        <sz val="11"/>
        <rFont val="Calibri"/>
        <family val="2"/>
      </rPr>
      <t>*Minh</t>
    </r>
    <r>
      <rPr>
        <vertAlign val="subscript"/>
        <sz val="11"/>
        <rFont val="Calibri"/>
        <family val="2"/>
      </rPr>
      <t>SO2,KiO2,MEOLO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*Msat</t>
    </r>
    <r>
      <rPr>
        <vertAlign val="subscript"/>
        <sz val="11"/>
        <rFont val="Calibri"/>
        <family val="2"/>
      </rPr>
      <t>SSO4,KSO4,BIO</t>
    </r>
    <r>
      <rPr>
        <sz val="11"/>
        <rFont val="Calibri"/>
        <family val="2"/>
      </rPr>
      <t>*Bellinh</t>
    </r>
    <r>
      <rPr>
        <vertAlign val="subscript"/>
        <sz val="11"/>
        <rFont val="Calibri"/>
        <family val="2"/>
      </rPr>
      <t>pH</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</si>
</sst>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8" formatCode="#,##0.00\ &quot;€&quot;;[Red]\-#,##0.00\ &quot;€&quot;"/>
    <numFmt numFmtId="164" formatCode="0.0"/>
    <numFmt numFmtId="165" formatCode="0.0000"/>
    <numFmt numFmtId="166" formatCode="0.000"/>
    <numFmt numFmtId="167" formatCode="0.000E+00"/>
    <numFmt numFmtId="168" formatCode="0.00000"/>
    <numFmt numFmtId="169" formatCode="0.0E+00"/>
    <numFmt numFmtId="170" formatCode="0.000000"/>
  </numFmts>
  <fonts count="122" x14ac:knownFonts="1">
    <font>
      <sz val="11"/>
      <color indexed="8"/>
      <name val="Calibri"/>
      <family val="2"/>
    </font>
    <font>
      <sz val="11"/>
      <color theme="1"/>
      <name val="Calibri"/>
      <family val="2"/>
      <scheme val="minor"/>
    </font>
    <font>
      <sz val="11"/>
      <color theme="1"/>
      <name val="Calibri"/>
      <family val="2"/>
      <scheme val="minor"/>
    </font>
    <font>
      <sz val="11"/>
      <color theme="1"/>
      <name val="Calibri"/>
      <family val="2"/>
      <charset val="238"/>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1"/>
      <color indexed="8"/>
      <name val="Calibri"/>
      <family val="2"/>
    </font>
    <font>
      <b/>
      <i/>
      <sz val="11"/>
      <color indexed="8"/>
      <name val="Calibri"/>
      <family val="2"/>
    </font>
    <font>
      <sz val="8"/>
      <name val="Calibri"/>
      <family val="2"/>
    </font>
    <font>
      <sz val="11"/>
      <color indexed="8"/>
      <name val="Arial"/>
      <family val="2"/>
      <charset val="238"/>
    </font>
    <font>
      <b/>
      <sz val="11"/>
      <color indexed="8"/>
      <name val="Arial"/>
      <family val="2"/>
    </font>
    <font>
      <sz val="11"/>
      <color rgb="FFFF0000"/>
      <name val="Calibri"/>
      <family val="2"/>
    </font>
    <font>
      <b/>
      <sz val="11"/>
      <color theme="1"/>
      <name val="Calibri"/>
      <family val="2"/>
      <scheme val="minor"/>
    </font>
    <font>
      <vertAlign val="subscript"/>
      <sz val="11"/>
      <color indexed="8"/>
      <name val="Calibri"/>
      <family val="2"/>
      <charset val="238"/>
    </font>
    <font>
      <b/>
      <sz val="11"/>
      <color indexed="8"/>
      <name val="Calibri"/>
      <family val="2"/>
      <charset val="238"/>
    </font>
    <font>
      <sz val="11"/>
      <color indexed="8"/>
      <name val="Calibri"/>
      <family val="2"/>
      <charset val="238"/>
    </font>
    <font>
      <b/>
      <sz val="14"/>
      <color indexed="8"/>
      <name val="Calibri"/>
      <family val="2"/>
      <charset val="238"/>
    </font>
    <font>
      <b/>
      <sz val="11"/>
      <color rgb="FF002060"/>
      <name val="Calibri"/>
      <family val="2"/>
    </font>
    <font>
      <sz val="11"/>
      <color rgb="FFC00000"/>
      <name val="Calibri"/>
      <family val="2"/>
    </font>
    <font>
      <sz val="11"/>
      <color theme="1"/>
      <name val="Calibri"/>
      <family val="2"/>
    </font>
    <font>
      <sz val="11"/>
      <color indexed="8"/>
      <name val="Calibri"/>
      <family val="2"/>
    </font>
    <font>
      <b/>
      <sz val="11"/>
      <color rgb="FFFF0000"/>
      <name val="Calibri"/>
      <family val="2"/>
      <scheme val="minor"/>
    </font>
    <font>
      <sz val="10"/>
      <name val="Arial"/>
      <family val="2"/>
    </font>
    <font>
      <sz val="11"/>
      <name val="Calibri"/>
      <family val="2"/>
    </font>
    <font>
      <sz val="11"/>
      <color indexed="8"/>
      <name val="Arial"/>
      <family val="2"/>
    </font>
    <font>
      <b/>
      <sz val="11"/>
      <name val="Calibri"/>
      <family val="2"/>
    </font>
    <font>
      <sz val="11"/>
      <name val="Calibri"/>
      <family val="2"/>
      <scheme val="minor"/>
    </font>
    <font>
      <vertAlign val="subscript"/>
      <sz val="11"/>
      <color indexed="8"/>
      <name val="Calibri"/>
      <family val="2"/>
    </font>
    <font>
      <vertAlign val="subscript"/>
      <sz val="11"/>
      <color indexed="8"/>
      <name val="Calibri"/>
      <family val="2"/>
      <scheme val="minor"/>
    </font>
    <font>
      <u/>
      <sz val="11"/>
      <color theme="10"/>
      <name val="Calibri"/>
      <family val="2"/>
    </font>
    <font>
      <sz val="11"/>
      <color indexed="8"/>
      <name val="Calibri"/>
      <family val="2"/>
      <scheme val="minor"/>
    </font>
    <font>
      <vertAlign val="subscript"/>
      <sz val="11"/>
      <name val="Calibri"/>
      <family val="2"/>
    </font>
    <font>
      <sz val="11"/>
      <color rgb="FF00B050"/>
      <name val="Calibri"/>
      <family val="2"/>
    </font>
    <font>
      <b/>
      <sz val="11"/>
      <color indexed="8"/>
      <name val="Calibri"/>
      <family val="2"/>
      <scheme val="minor"/>
    </font>
    <font>
      <b/>
      <sz val="11"/>
      <name val="Calibri"/>
      <family val="2"/>
      <scheme val="minor"/>
    </font>
    <font>
      <vertAlign val="subscript"/>
      <sz val="11"/>
      <name val="Calibri"/>
      <family val="2"/>
      <scheme val="minor"/>
    </font>
    <font>
      <vertAlign val="superscript"/>
      <sz val="11"/>
      <name val="Calibri"/>
      <family val="2"/>
    </font>
    <font>
      <sz val="10"/>
      <name val="Arial"/>
      <family val="2"/>
      <charset val="238"/>
    </font>
    <font>
      <vertAlign val="superscript"/>
      <sz val="11"/>
      <name val="Calibri"/>
      <family val="2"/>
      <scheme val="minor"/>
    </font>
    <font>
      <b/>
      <sz val="12"/>
      <name val="Calibri"/>
      <family val="2"/>
      <scheme val="minor"/>
    </font>
    <font>
      <b/>
      <vertAlign val="subscript"/>
      <sz val="12"/>
      <name val="Calibri"/>
      <family val="2"/>
      <scheme val="minor"/>
    </font>
    <font>
      <vertAlign val="subscript"/>
      <sz val="11"/>
      <name val="Calibri"/>
      <family val="2"/>
      <charset val="238"/>
      <scheme val="minor"/>
    </font>
    <font>
      <b/>
      <i/>
      <sz val="11"/>
      <name val="Calibri"/>
      <family val="2"/>
      <scheme val="minor"/>
    </font>
    <font>
      <b/>
      <vertAlign val="superscript"/>
      <sz val="11"/>
      <name val="Calibri"/>
      <family val="2"/>
    </font>
    <font>
      <b/>
      <vertAlign val="subscript"/>
      <sz val="11"/>
      <name val="Calibri"/>
      <family val="2"/>
    </font>
    <font>
      <b/>
      <sz val="11"/>
      <name val="Calibri"/>
      <family val="2"/>
      <charset val="238"/>
    </font>
    <font>
      <b/>
      <vertAlign val="subscript"/>
      <sz val="11"/>
      <name val="Calibri"/>
      <family val="2"/>
      <charset val="238"/>
    </font>
    <font>
      <vertAlign val="subscript"/>
      <sz val="11"/>
      <name val="Calibri"/>
      <family val="2"/>
      <charset val="238"/>
    </font>
    <font>
      <b/>
      <vertAlign val="subscript"/>
      <sz val="11"/>
      <name val="Calibri"/>
      <family val="2"/>
      <charset val="238"/>
      <scheme val="minor"/>
    </font>
    <font>
      <vertAlign val="superscript"/>
      <sz val="8"/>
      <name val="Arial"/>
      <family val="2"/>
    </font>
    <font>
      <b/>
      <vertAlign val="subscript"/>
      <sz val="11"/>
      <name val="Calibri"/>
      <family val="2"/>
      <scheme val="minor"/>
    </font>
    <font>
      <b/>
      <sz val="11"/>
      <name val="Calibri"/>
      <family val="2"/>
      <charset val="238"/>
      <scheme val="minor"/>
    </font>
    <font>
      <vertAlign val="superscript"/>
      <sz val="11"/>
      <color indexed="8"/>
      <name val="Calibri"/>
      <family val="2"/>
      <scheme val="minor"/>
    </font>
    <font>
      <sz val="11"/>
      <color rgb="FF0082C8"/>
      <name val="Calibri"/>
      <family val="2"/>
      <scheme val="minor"/>
    </font>
    <font>
      <sz val="11"/>
      <color rgb="FFFF0000"/>
      <name val="Calibri"/>
      <family val="2"/>
      <scheme val="minor"/>
    </font>
    <font>
      <vertAlign val="subscript"/>
      <sz val="11"/>
      <color theme="1"/>
      <name val="Calibri"/>
      <family val="2"/>
      <scheme val="minor"/>
    </font>
    <font>
      <vertAlign val="superscript"/>
      <sz val="11"/>
      <color theme="1"/>
      <name val="Calibri"/>
      <family val="2"/>
      <scheme val="minor"/>
    </font>
    <font>
      <i/>
      <vertAlign val="subscript"/>
      <sz val="11"/>
      <name val="Calibri"/>
      <family val="2"/>
    </font>
    <font>
      <b/>
      <sz val="11"/>
      <color indexed="9"/>
      <name val="Calibri"/>
      <family val="2"/>
      <scheme val="minor"/>
    </font>
    <font>
      <sz val="11"/>
      <color rgb="FF00B050"/>
      <name val="Calibri"/>
      <family val="2"/>
      <scheme val="minor"/>
    </font>
    <font>
      <i/>
      <sz val="11"/>
      <name val="Calibri"/>
      <family val="2"/>
      <scheme val="minor"/>
    </font>
    <font>
      <i/>
      <vertAlign val="subscript"/>
      <sz val="11"/>
      <name val="Calibri"/>
      <family val="2"/>
      <scheme val="minor"/>
    </font>
    <font>
      <sz val="20"/>
      <color theme="0" tint="-0.499984740745262"/>
      <name val="Calibri"/>
      <family val="2"/>
      <scheme val="minor"/>
    </font>
    <font>
      <vertAlign val="subscript"/>
      <sz val="12.65"/>
      <name val="Calibri"/>
      <family val="2"/>
    </font>
    <font>
      <vertAlign val="superscript"/>
      <sz val="11"/>
      <name val="Calibri"/>
      <family val="2"/>
      <charset val="238"/>
    </font>
    <font>
      <vertAlign val="superscript"/>
      <sz val="11"/>
      <name val="Calibri"/>
      <family val="2"/>
      <charset val="238"/>
      <scheme val="minor"/>
    </font>
    <font>
      <vertAlign val="subscript"/>
      <sz val="11"/>
      <color rgb="FF000000"/>
      <name val="Calibri"/>
      <family val="2"/>
      <scheme val="minor"/>
    </font>
    <font>
      <sz val="11"/>
      <color rgb="FF000000"/>
      <name val="Calibri"/>
      <family val="2"/>
      <charset val="238"/>
      <scheme val="minor"/>
    </font>
    <font>
      <vertAlign val="superscript"/>
      <sz val="11"/>
      <color rgb="FF000000"/>
      <name val="Calibri"/>
      <family val="2"/>
      <scheme val="minor"/>
    </font>
    <font>
      <sz val="11"/>
      <color rgb="FF000000"/>
      <name val="Calibri"/>
      <family val="2"/>
    </font>
    <font>
      <sz val="11"/>
      <name val="Calibri"/>
      <family val="2"/>
      <charset val="238"/>
      <scheme val="minor"/>
    </font>
    <font>
      <vertAlign val="superscript"/>
      <sz val="11"/>
      <color theme="1"/>
      <name val="Calibri"/>
      <family val="2"/>
      <charset val="238"/>
      <scheme val="minor"/>
    </font>
    <font>
      <vertAlign val="subscript"/>
      <sz val="11"/>
      <color rgb="FF000000"/>
      <name val="Calibri"/>
      <family val="2"/>
      <charset val="238"/>
      <scheme val="minor"/>
    </font>
    <font>
      <vertAlign val="subscript"/>
      <sz val="11"/>
      <color rgb="FF000000"/>
      <name val="Calibri"/>
      <family val="2"/>
      <charset val="238"/>
    </font>
    <font>
      <sz val="11"/>
      <color rgb="FF000000"/>
      <name val="Calibri"/>
      <family val="2"/>
      <charset val="238"/>
    </font>
    <font>
      <sz val="11"/>
      <name val="Calibri"/>
      <family val="2"/>
      <charset val="238"/>
    </font>
    <font>
      <vertAlign val="subscript"/>
      <sz val="9.35"/>
      <name val="Calibri"/>
      <family val="2"/>
      <charset val="238"/>
    </font>
    <font>
      <b/>
      <vertAlign val="subscript"/>
      <sz val="12"/>
      <name val="Calibri"/>
      <family val="2"/>
      <charset val="238"/>
      <scheme val="minor"/>
    </font>
    <font>
      <vertAlign val="subscript"/>
      <sz val="11"/>
      <color rgb="FF000000"/>
      <name val="Calibri"/>
      <family val="2"/>
    </font>
    <font>
      <vertAlign val="subscript"/>
      <sz val="11"/>
      <color indexed="8"/>
      <name val="Calibri"/>
      <family val="2"/>
      <charset val="238"/>
      <scheme val="minor"/>
    </font>
    <font>
      <sz val="11"/>
      <color indexed="8"/>
      <name val="Calibri"/>
      <family val="2"/>
      <charset val="238"/>
      <scheme val="minor"/>
    </font>
    <font>
      <vertAlign val="superscript"/>
      <sz val="11"/>
      <color indexed="8"/>
      <name val="Calibri"/>
      <family val="2"/>
      <charset val="238"/>
      <scheme val="minor"/>
    </font>
    <font>
      <vertAlign val="superscript"/>
      <sz val="11"/>
      <color indexed="8"/>
      <name val="Calibri"/>
      <family val="2"/>
      <charset val="238"/>
    </font>
    <font>
      <b/>
      <i/>
      <sz val="11"/>
      <color theme="0" tint="-0.499984740745262"/>
      <name val="Calibri"/>
      <family val="2"/>
      <scheme val="minor"/>
    </font>
    <font>
      <sz val="11"/>
      <color rgb="FF000000"/>
      <name val="Calibri"/>
      <family val="2"/>
      <scheme val="minor"/>
    </font>
    <font>
      <vertAlign val="superscript"/>
      <sz val="11"/>
      <color indexed="8"/>
      <name val="Calibri"/>
      <family val="2"/>
    </font>
    <font>
      <vertAlign val="subscript"/>
      <sz val="11"/>
      <color rgb="FFFF0000"/>
      <name val="Calibri"/>
      <family val="2"/>
      <scheme val="minor"/>
    </font>
    <font>
      <sz val="11"/>
      <color rgb="FFFF0000"/>
      <name val="Calibri"/>
      <family val="2"/>
      <charset val="238"/>
    </font>
    <font>
      <vertAlign val="subscript"/>
      <sz val="11"/>
      <color rgb="FFFF0000"/>
      <name val="Calibri"/>
      <family val="2"/>
      <charset val="238"/>
    </font>
    <font>
      <sz val="11"/>
      <color rgb="FF9C5700"/>
      <name val="Calibri"/>
      <family val="2"/>
      <charset val="238"/>
      <scheme val="minor"/>
    </font>
    <font>
      <vertAlign val="subscript"/>
      <sz val="11"/>
      <color rgb="FFFF0000"/>
      <name val="Calibri"/>
      <family val="2"/>
    </font>
  </fonts>
  <fills count="56">
    <fill>
      <patternFill patternType="none"/>
    </fill>
    <fill>
      <patternFill patternType="gray125"/>
    </fill>
    <fill>
      <patternFill patternType="solid">
        <fgColor theme="0"/>
        <bgColor indexed="64"/>
      </patternFill>
    </fill>
    <fill>
      <patternFill patternType="solid">
        <fgColor rgb="FF498F87"/>
        <bgColor indexed="64"/>
      </patternFill>
    </fill>
    <fill>
      <patternFill patternType="solid">
        <fgColor theme="8" tint="0.59999389629810485"/>
        <bgColor indexed="64"/>
      </patternFill>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theme="9" tint="0.79995117038483843"/>
        <bgColor indexed="64"/>
      </patternFill>
    </fill>
    <fill>
      <patternFill patternType="solid">
        <fgColor theme="8" tint="0.39997558519241921"/>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rgb="FFFFFFFF"/>
        <bgColor indexed="64"/>
      </patternFill>
    </fill>
    <fill>
      <patternFill patternType="solid">
        <fgColor theme="2" tint="-0.249977111117893"/>
        <bgColor indexed="64"/>
      </patternFill>
    </fill>
    <fill>
      <patternFill patternType="solid">
        <fgColor theme="0" tint="-0.14999847407452621"/>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FF99"/>
        <bgColor indexed="64"/>
      </patternFill>
    </fill>
    <fill>
      <patternFill patternType="solid">
        <fgColor rgb="FF2B8DD5"/>
        <bgColor indexed="64"/>
      </patternFill>
    </fill>
    <fill>
      <patternFill patternType="solid">
        <fgColor theme="6" tint="0.59999389629810485"/>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indexed="9"/>
        <bgColor indexed="64"/>
      </patternFill>
    </fill>
    <fill>
      <patternFill patternType="solid">
        <fgColor rgb="FFDCE6F1"/>
        <bgColor indexed="64"/>
      </patternFill>
    </fill>
    <fill>
      <patternFill patternType="solid">
        <fgColor rgb="FFB8CCE4"/>
        <bgColor indexed="64"/>
      </patternFill>
    </fill>
    <fill>
      <patternFill patternType="solid">
        <fgColor rgb="FFF2F2F2"/>
        <bgColor indexed="64"/>
      </patternFill>
    </fill>
    <fill>
      <patternFill patternType="solid">
        <fgColor rgb="FFF2DCDB"/>
        <bgColor indexed="64"/>
      </patternFill>
    </fill>
    <fill>
      <patternFill patternType="solid">
        <fgColor rgb="FFDDD9C4"/>
        <bgColor indexed="64"/>
      </patternFill>
    </fill>
    <fill>
      <patternFill patternType="solid">
        <fgColor rgb="FFC4BD97"/>
        <bgColor indexed="64"/>
      </patternFill>
    </fill>
    <fill>
      <patternFill patternType="solid">
        <fgColor rgb="FFE4DFEC"/>
        <bgColor indexed="64"/>
      </patternFill>
    </fill>
    <fill>
      <patternFill patternType="solid">
        <fgColor rgb="FFCCC0DA"/>
        <bgColor indexed="64"/>
      </patternFill>
    </fill>
    <fill>
      <patternFill patternType="solid">
        <fgColor rgb="FFB1A0C7"/>
        <bgColor indexed="64"/>
      </patternFill>
    </fill>
    <fill>
      <patternFill patternType="solid">
        <fgColor rgb="FFEBF1DE"/>
        <bgColor indexed="64"/>
      </patternFill>
    </fill>
    <fill>
      <patternFill patternType="solid">
        <fgColor rgb="FFFDE9D9"/>
        <bgColor indexed="64"/>
      </patternFill>
    </fill>
    <fill>
      <patternFill patternType="solid">
        <fgColor rgb="FFFCD5B4"/>
        <bgColor indexed="64"/>
      </patternFill>
    </fill>
    <fill>
      <patternFill patternType="solid">
        <fgColor rgb="FFC4D79B"/>
        <bgColor indexed="64"/>
      </patternFill>
    </fill>
    <fill>
      <patternFill patternType="solid">
        <fgColor rgb="FFB7DEE8"/>
        <bgColor indexed="64"/>
      </patternFill>
    </fill>
    <fill>
      <patternFill patternType="solid">
        <fgColor rgb="FFE6B8B7"/>
        <bgColor indexed="64"/>
      </patternFill>
    </fill>
    <fill>
      <patternFill patternType="solid">
        <fgColor indexed="11"/>
        <bgColor indexed="64"/>
      </patternFill>
    </fill>
    <fill>
      <patternFill patternType="solid">
        <fgColor rgb="FFC0C0C0"/>
        <bgColor indexed="64"/>
      </patternFill>
    </fill>
    <fill>
      <patternFill patternType="solid">
        <fgColor theme="0" tint="-0.249977111117893"/>
        <bgColor indexed="64"/>
      </patternFill>
    </fill>
    <fill>
      <patternFill patternType="solid">
        <fgColor rgb="FF2B8DD5"/>
        <bgColor indexed="9"/>
      </patternFill>
    </fill>
    <fill>
      <patternFill patternType="solid">
        <fgColor theme="6" tint="-0.249977111117893"/>
        <bgColor indexed="64"/>
      </patternFill>
    </fill>
    <fill>
      <patternFill patternType="solid">
        <fgColor rgb="FF76933C"/>
        <bgColor indexed="64"/>
      </patternFill>
    </fill>
    <fill>
      <patternFill patternType="solid">
        <fgColor indexed="13"/>
        <bgColor indexed="64"/>
      </patternFill>
    </fill>
    <fill>
      <patternFill patternType="solid">
        <fgColor rgb="FFFFEB9C"/>
      </patternFill>
    </fill>
    <fill>
      <patternFill patternType="solid">
        <fgColor theme="9"/>
        <bgColor indexed="64"/>
      </patternFill>
    </fill>
  </fills>
  <borders count="233">
    <border>
      <left/>
      <right/>
      <top/>
      <bottom/>
      <diagonal/>
    </border>
    <border>
      <left style="medium">
        <color indexed="64"/>
      </left>
      <right style="medium">
        <color indexed="8"/>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8"/>
      </left>
      <right style="medium">
        <color indexed="8"/>
      </right>
      <top style="medium">
        <color indexed="8"/>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rgb="FF000000"/>
      </left>
      <right style="medium">
        <color rgb="FF000000"/>
      </right>
      <top style="medium">
        <color rgb="FF000000"/>
      </top>
      <bottom/>
      <diagonal/>
    </border>
    <border>
      <left style="medium">
        <color indexed="64"/>
      </left>
      <right/>
      <top style="medium">
        <color indexed="64"/>
      </top>
      <bottom style="medium">
        <color indexed="64"/>
      </bottom>
      <diagonal/>
    </border>
    <border>
      <left/>
      <right style="medium">
        <color indexed="8"/>
      </right>
      <top style="medium">
        <color indexed="64"/>
      </top>
      <bottom/>
      <diagonal/>
    </border>
    <border>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medium">
        <color indexed="64"/>
      </left>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8"/>
      </left>
      <right style="medium">
        <color indexed="8"/>
      </right>
      <top style="medium">
        <color indexed="8"/>
      </top>
      <bottom/>
      <diagonal/>
    </border>
    <border>
      <left/>
      <right/>
      <top style="medium">
        <color indexed="64"/>
      </top>
      <bottom/>
      <diagonal/>
    </border>
    <border>
      <left style="thin">
        <color indexed="64"/>
      </left>
      <right style="thin">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style="medium">
        <color indexed="64"/>
      </bottom>
      <diagonal/>
    </border>
    <border>
      <left style="medium">
        <color indexed="8"/>
      </left>
      <right style="medium">
        <color indexed="8"/>
      </right>
      <top style="medium">
        <color indexed="8"/>
      </top>
      <bottom/>
      <diagonal/>
    </border>
    <border>
      <left style="medium">
        <color indexed="64"/>
      </left>
      <right style="medium">
        <color indexed="64"/>
      </right>
      <top style="medium">
        <color indexed="64"/>
      </top>
      <bottom/>
      <diagonal/>
    </border>
    <border>
      <left style="medium">
        <color indexed="8"/>
      </left>
      <right style="medium">
        <color indexed="8"/>
      </right>
      <top style="medium">
        <color indexed="8"/>
      </top>
      <bottom/>
      <diagonal/>
    </border>
    <border>
      <left style="medium">
        <color indexed="64"/>
      </left>
      <right style="thin">
        <color indexed="64"/>
      </right>
      <top style="medium">
        <color auto="1"/>
      </top>
      <bottom style="medium">
        <color indexed="64"/>
      </bottom>
      <diagonal/>
    </border>
    <border>
      <left style="thin">
        <color indexed="64"/>
      </left>
      <right style="thin">
        <color indexed="64"/>
      </right>
      <top style="medium">
        <color auto="1"/>
      </top>
      <bottom style="medium">
        <color indexed="64"/>
      </bottom>
      <diagonal/>
    </border>
    <border>
      <left style="thin">
        <color indexed="64"/>
      </left>
      <right style="medium">
        <color indexed="64"/>
      </right>
      <top style="medium">
        <color auto="1"/>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auto="1"/>
      </top>
      <bottom style="medium">
        <color indexed="64"/>
      </bottom>
      <diagonal/>
    </border>
    <border>
      <left style="thin">
        <color indexed="64"/>
      </left>
      <right style="thin">
        <color indexed="64"/>
      </right>
      <top style="medium">
        <color auto="1"/>
      </top>
      <bottom style="medium">
        <color indexed="64"/>
      </bottom>
      <diagonal/>
    </border>
    <border>
      <left style="thin">
        <color indexed="64"/>
      </left>
      <right style="medium">
        <color indexed="64"/>
      </right>
      <top style="medium">
        <color auto="1"/>
      </top>
      <bottom style="medium">
        <color indexed="64"/>
      </bottom>
      <diagonal/>
    </border>
    <border>
      <left style="medium">
        <color indexed="64"/>
      </left>
      <right style="thin">
        <color indexed="64"/>
      </right>
      <top style="medium">
        <color auto="1"/>
      </top>
      <bottom style="medium">
        <color indexed="64"/>
      </bottom>
      <diagonal/>
    </border>
    <border>
      <left style="thin">
        <color indexed="64"/>
      </left>
      <right style="thin">
        <color indexed="64"/>
      </right>
      <top style="medium">
        <color auto="1"/>
      </top>
      <bottom style="medium">
        <color indexed="64"/>
      </bottom>
      <diagonal/>
    </border>
    <border>
      <left style="thin">
        <color indexed="64"/>
      </left>
      <right style="medium">
        <color indexed="64"/>
      </right>
      <top style="medium">
        <color auto="1"/>
      </top>
      <bottom style="medium">
        <color indexed="64"/>
      </bottom>
      <diagonal/>
    </border>
    <border>
      <left style="medium">
        <color indexed="64"/>
      </left>
      <right style="thin">
        <color indexed="64"/>
      </right>
      <top style="medium">
        <color auto="1"/>
      </top>
      <bottom style="thin">
        <color indexed="64"/>
      </bottom>
      <diagonal/>
    </border>
    <border>
      <left style="thin">
        <color indexed="64"/>
      </left>
      <right style="thin">
        <color indexed="64"/>
      </right>
      <top style="medium">
        <color auto="1"/>
      </top>
      <bottom style="thin">
        <color indexed="64"/>
      </bottom>
      <diagonal/>
    </border>
    <border>
      <left style="thin">
        <color indexed="64"/>
      </left>
      <right style="medium">
        <color indexed="64"/>
      </right>
      <top style="medium">
        <color auto="1"/>
      </top>
      <bottom style="thin">
        <color indexed="64"/>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right/>
      <top style="thin">
        <color auto="1"/>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medium">
        <color auto="1"/>
      </top>
      <bottom/>
      <diagonal/>
    </border>
    <border>
      <left style="thin">
        <color indexed="64"/>
      </left>
      <right style="thin">
        <color indexed="64"/>
      </right>
      <top style="medium">
        <color auto="1"/>
      </top>
      <bottom/>
      <diagonal/>
    </border>
    <border>
      <left style="thin">
        <color indexed="64"/>
      </left>
      <right style="medium">
        <color indexed="64"/>
      </right>
      <top style="medium">
        <color auto="1"/>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indexed="64"/>
      </right>
      <top style="medium">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indexed="8"/>
      </left>
      <right style="medium">
        <color indexed="8"/>
      </right>
      <top style="medium">
        <color indexed="8"/>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auto="1"/>
      </left>
      <right style="thin">
        <color auto="1"/>
      </right>
      <top style="medium">
        <color auto="1"/>
      </top>
      <bottom style="medium">
        <color auto="1"/>
      </bottom>
      <diagonal/>
    </border>
    <border>
      <left style="medium">
        <color indexed="64"/>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9"/>
      </left>
      <right style="medium">
        <color indexed="9"/>
      </right>
      <top/>
      <bottom style="medium">
        <color indexed="9"/>
      </bottom>
      <diagonal/>
    </border>
    <border>
      <left style="thin">
        <color auto="1"/>
      </left>
      <right style="thin">
        <color auto="1"/>
      </right>
      <top/>
      <bottom style="medium">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medium">
        <color indexed="64"/>
      </right>
      <top style="thin">
        <color auto="1"/>
      </top>
      <bottom style="thin">
        <color auto="1"/>
      </bottom>
      <diagonal/>
    </border>
    <border>
      <left/>
      <right style="thin">
        <color auto="1"/>
      </right>
      <top style="medium">
        <color auto="1"/>
      </top>
      <bottom style="thin">
        <color auto="1"/>
      </bottom>
      <diagonal/>
    </border>
    <border>
      <left/>
      <right style="medium">
        <color indexed="64"/>
      </right>
      <top style="thin">
        <color auto="1"/>
      </top>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top style="thin">
        <color auto="1"/>
      </top>
      <bottom style="thin">
        <color auto="1"/>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8"/>
      </left>
      <right style="medium">
        <color indexed="8"/>
      </right>
      <top style="medium">
        <color indexed="8"/>
      </top>
      <bottom/>
      <diagonal/>
    </border>
    <border>
      <left style="thin">
        <color auto="1"/>
      </left>
      <right style="thin">
        <color auto="1"/>
      </right>
      <top style="thin">
        <color auto="1"/>
      </top>
      <bottom style="medium">
        <color auto="1"/>
      </bottom>
      <diagonal/>
    </border>
    <border>
      <left style="medium">
        <color indexed="8"/>
      </left>
      <right style="medium">
        <color indexed="8"/>
      </right>
      <top style="medium">
        <color indexed="8"/>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auto="1"/>
      </left>
      <right style="medium">
        <color auto="1"/>
      </right>
      <top/>
      <bottom style="medium">
        <color auto="1"/>
      </bottom>
      <diagonal/>
    </border>
    <border>
      <left style="medium">
        <color auto="1"/>
      </left>
      <right style="thin">
        <color auto="1"/>
      </right>
      <top/>
      <bottom style="medium">
        <color auto="1"/>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auto="1"/>
      </left>
      <right style="thin">
        <color auto="1"/>
      </right>
      <top style="thin">
        <color auto="1"/>
      </top>
      <bottom/>
      <diagonal/>
    </border>
    <border>
      <left style="medium">
        <color auto="1"/>
      </left>
      <right style="thin">
        <color auto="1"/>
      </right>
      <top style="thin">
        <color auto="1"/>
      </top>
      <bottom style="thin">
        <color auto="1"/>
      </bottom>
      <diagonal/>
    </border>
    <border>
      <left style="medium">
        <color indexed="8"/>
      </left>
      <right style="medium">
        <color indexed="8"/>
      </right>
      <top style="medium">
        <color indexed="8"/>
      </top>
      <bottom/>
      <diagonal/>
    </border>
    <border>
      <left style="medium">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auto="1"/>
      </left>
      <right style="thin">
        <color auto="1"/>
      </right>
      <top/>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indexed="8"/>
      </left>
      <right style="medium">
        <color indexed="8"/>
      </right>
      <top style="medium">
        <color indexed="8"/>
      </top>
      <bottom/>
      <diagonal/>
    </border>
    <border>
      <left style="medium">
        <color indexed="64"/>
      </left>
      <right style="thin">
        <color indexed="64"/>
      </right>
      <top style="medium">
        <color indexed="64"/>
      </top>
      <bottom style="thin">
        <color indexed="64"/>
      </bottom>
      <diagonal/>
    </border>
    <border>
      <left style="thin">
        <color auto="1"/>
      </left>
      <right style="thin">
        <color auto="1"/>
      </right>
      <top style="medium">
        <color auto="1"/>
      </top>
      <bottom style="thin">
        <color auto="1"/>
      </bottom>
      <diagonal/>
    </border>
    <border>
      <left style="thin">
        <color indexed="64"/>
      </left>
      <right style="medium">
        <color indexed="64"/>
      </right>
      <top style="medium">
        <color indexed="64"/>
      </top>
      <bottom style="thin">
        <color indexed="64"/>
      </bottom>
      <diagonal/>
    </border>
    <border>
      <left style="medium">
        <color auto="1"/>
      </left>
      <right style="medium">
        <color indexed="64"/>
      </right>
      <top style="medium">
        <color auto="1"/>
      </top>
      <bottom/>
      <diagonal/>
    </border>
    <border>
      <left style="medium">
        <color indexed="8"/>
      </left>
      <right style="medium">
        <color indexed="8"/>
      </right>
      <top style="medium">
        <color indexed="8"/>
      </top>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medium">
        <color indexed="64"/>
      </right>
      <top style="medium">
        <color auto="1"/>
      </top>
      <bottom/>
      <diagonal/>
    </border>
    <border>
      <left style="medium">
        <color indexed="64"/>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top style="medium">
        <color auto="1"/>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top style="medium">
        <color auto="1"/>
      </top>
      <bottom style="thin">
        <color indexed="64"/>
      </bottom>
      <diagonal/>
    </border>
    <border>
      <left/>
      <right/>
      <top style="medium">
        <color auto="1"/>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thin">
        <color auto="1"/>
      </left>
      <right/>
      <top style="thin">
        <color auto="1"/>
      </top>
      <bottom style="medium">
        <color indexed="64"/>
      </bottom>
      <diagonal/>
    </border>
    <border>
      <left/>
      <right/>
      <top style="thin">
        <color auto="1"/>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indexed="8"/>
      </left>
      <right style="medium">
        <color indexed="8"/>
      </right>
      <top style="medium">
        <color indexed="8"/>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8"/>
      </left>
      <right style="medium">
        <color indexed="8"/>
      </right>
      <top style="medium">
        <color indexed="8"/>
      </top>
      <bottom/>
      <diagonal/>
    </border>
    <border>
      <left style="thin">
        <color auto="1"/>
      </left>
      <right style="medium">
        <color auto="1"/>
      </right>
      <top style="medium">
        <color auto="1"/>
      </top>
      <bottom style="thin">
        <color auto="1"/>
      </bottom>
      <diagonal/>
    </border>
    <border>
      <left style="medium">
        <color indexed="8"/>
      </left>
      <right style="medium">
        <color indexed="8"/>
      </right>
      <top style="medium">
        <color indexed="8"/>
      </top>
      <bottom/>
      <diagonal/>
    </border>
    <border>
      <left style="thin">
        <color indexed="64"/>
      </left>
      <right style="thin">
        <color indexed="64"/>
      </right>
      <top style="medium">
        <color indexed="64"/>
      </top>
      <bottom style="thin">
        <color indexed="64"/>
      </bottom>
      <diagonal/>
    </border>
    <border>
      <left style="thin">
        <color auto="1"/>
      </left>
      <right style="medium">
        <color auto="1"/>
      </right>
      <top style="medium">
        <color auto="1"/>
      </top>
      <bottom style="thin">
        <color auto="1"/>
      </bottom>
      <diagonal/>
    </border>
    <border>
      <left style="thin">
        <color indexed="23"/>
      </left>
      <right style="thin">
        <color indexed="23"/>
      </right>
      <top style="thin">
        <color indexed="9"/>
      </top>
      <bottom style="medium">
        <color indexed="9"/>
      </bottom>
      <diagonal/>
    </border>
    <border>
      <left style="thin">
        <color indexed="23"/>
      </left>
      <right style="medium">
        <color indexed="9"/>
      </right>
      <top style="thin">
        <color indexed="9"/>
      </top>
      <bottom style="medium">
        <color indexed="9"/>
      </bottom>
      <diagonal/>
    </border>
    <border>
      <left style="medium">
        <color indexed="9"/>
      </left>
      <right style="medium">
        <color indexed="9"/>
      </right>
      <top style="thin">
        <color indexed="9"/>
      </top>
      <bottom style="medium">
        <color indexed="9"/>
      </bottom>
      <diagonal/>
    </border>
    <border>
      <left style="thin">
        <color indexed="23"/>
      </left>
      <right style="thin">
        <color indexed="23"/>
      </right>
      <top/>
      <bottom style="thin">
        <color indexed="23"/>
      </bottom>
      <diagonal/>
    </border>
    <border>
      <left style="medium">
        <color indexed="9"/>
      </left>
      <right style="medium">
        <color indexed="9"/>
      </right>
      <top/>
      <bottom/>
      <diagonal/>
    </border>
    <border>
      <left style="thin">
        <color auto="1"/>
      </left>
      <right style="thin">
        <color auto="1"/>
      </right>
      <top style="thin">
        <color auto="1"/>
      </top>
      <bottom style="thin">
        <color auto="1"/>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auto="1"/>
      </left>
      <right style="thin">
        <color auto="1"/>
      </right>
      <top style="medium">
        <color indexed="64"/>
      </top>
      <bottom/>
      <diagonal/>
    </border>
    <border>
      <left style="thin">
        <color indexed="64"/>
      </left>
      <right style="thin">
        <color indexed="64"/>
      </right>
      <top style="medium">
        <color auto="1"/>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auto="1"/>
      </left>
      <right style="thin">
        <color auto="1"/>
      </right>
      <top style="thin">
        <color auto="1"/>
      </top>
      <bottom style="medium">
        <color auto="1"/>
      </bottom>
      <diagonal/>
    </border>
    <border>
      <left style="thin">
        <color indexed="64"/>
      </left>
      <right style="thin">
        <color indexed="64"/>
      </right>
      <top style="thin">
        <color indexed="64"/>
      </top>
      <bottom style="thin">
        <color indexed="64"/>
      </bottom>
      <diagonal/>
    </border>
    <border>
      <left style="medium">
        <color auto="1"/>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medium">
        <color indexed="64"/>
      </right>
      <top style="medium">
        <color indexed="64"/>
      </top>
      <bottom/>
      <diagonal/>
    </border>
    <border>
      <left style="thin">
        <color indexed="23"/>
      </left>
      <right style="thin">
        <color indexed="23"/>
      </right>
      <top style="thin">
        <color indexed="9"/>
      </top>
      <bottom style="medium">
        <color indexed="9"/>
      </bottom>
      <diagonal/>
    </border>
    <border>
      <left style="thin">
        <color indexed="23"/>
      </left>
      <right style="medium">
        <color indexed="9"/>
      </right>
      <top style="thin">
        <color indexed="9"/>
      </top>
      <bottom style="medium">
        <color indexed="9"/>
      </bottom>
      <diagonal/>
    </border>
    <border>
      <left style="medium">
        <color indexed="9"/>
      </left>
      <right style="medium">
        <color indexed="9"/>
      </right>
      <top style="thin">
        <color indexed="9"/>
      </top>
      <bottom style="medium">
        <color indexed="9"/>
      </bottom>
      <diagonal/>
    </border>
    <border>
      <left style="medium">
        <color indexed="9"/>
      </left>
      <right style="thin">
        <color indexed="23"/>
      </right>
      <top style="thin">
        <color indexed="9"/>
      </top>
      <bottom style="medium">
        <color indexed="9"/>
      </bottom>
      <diagonal/>
    </border>
    <border>
      <left style="thin">
        <color indexed="23"/>
      </left>
      <right style="medium">
        <color indexed="9"/>
      </right>
      <top style="thin">
        <color indexed="9"/>
      </top>
      <bottom/>
      <diagonal/>
    </border>
    <border>
      <left style="medium">
        <color indexed="9"/>
      </left>
      <right style="medium">
        <color indexed="9"/>
      </right>
      <top style="thin">
        <color indexed="9"/>
      </top>
      <bottom/>
      <diagonal/>
    </border>
    <border>
      <left style="medium">
        <color indexed="9"/>
      </left>
      <right style="thin">
        <color indexed="23"/>
      </right>
      <top style="thin">
        <color indexed="9"/>
      </top>
      <bottom/>
      <diagonal/>
    </border>
    <border>
      <left style="thin">
        <color indexed="23"/>
      </left>
      <right style="thin">
        <color indexed="23"/>
      </right>
      <top style="thin">
        <color indexed="23"/>
      </top>
      <bottom style="thin">
        <color indexed="23"/>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auto="1"/>
      </left>
      <right style="thin">
        <color auto="1"/>
      </right>
      <top style="thin">
        <color auto="1"/>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8"/>
      </left>
      <right style="medium">
        <color indexed="8"/>
      </right>
      <top style="medium">
        <color indexed="8"/>
      </top>
      <bottom/>
      <diagonal/>
    </border>
    <border>
      <left style="medium">
        <color indexed="64"/>
      </left>
      <right style="thin">
        <color indexed="64"/>
      </right>
      <top style="medium">
        <color auto="1"/>
      </top>
      <bottom style="medium">
        <color indexed="64"/>
      </bottom>
      <diagonal/>
    </border>
    <border>
      <left style="thin">
        <color indexed="64"/>
      </left>
      <right style="thin">
        <color indexed="64"/>
      </right>
      <top style="medium">
        <color auto="1"/>
      </top>
      <bottom style="medium">
        <color indexed="64"/>
      </bottom>
      <diagonal/>
    </border>
    <border>
      <left style="thin">
        <color indexed="64"/>
      </left>
      <right style="medium">
        <color indexed="64"/>
      </right>
      <top style="medium">
        <color auto="1"/>
      </top>
      <bottom style="medium">
        <color indexed="64"/>
      </bottom>
      <diagonal/>
    </border>
    <border>
      <left style="medium">
        <color indexed="9"/>
      </left>
      <right style="medium">
        <color indexed="9"/>
      </right>
      <top style="thin">
        <color indexed="9"/>
      </top>
      <bottom style="medium">
        <color indexed="9"/>
      </bottom>
      <diagonal/>
    </border>
    <border>
      <left style="thin">
        <color indexed="23"/>
      </left>
      <right style="medium">
        <color indexed="9"/>
      </right>
      <top style="thin">
        <color indexed="9"/>
      </top>
      <bottom style="medium">
        <color indexed="9"/>
      </bottom>
      <diagonal/>
    </border>
    <border>
      <left style="medium">
        <color indexed="64"/>
      </left>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auto="1"/>
      </left>
      <right style="thin">
        <color auto="1"/>
      </right>
      <top style="medium">
        <color auto="1"/>
      </top>
      <bottom style="thin">
        <color auto="1"/>
      </bottom>
      <diagonal/>
    </border>
    <border>
      <left style="thin">
        <color indexed="64"/>
      </left>
      <right style="thin">
        <color indexed="64"/>
      </right>
      <top style="medium">
        <color indexed="64"/>
      </top>
      <bottom style="thin">
        <color indexed="64"/>
      </bottom>
      <diagonal/>
    </border>
    <border>
      <left style="thin">
        <color auto="1"/>
      </left>
      <right style="medium">
        <color auto="1"/>
      </right>
      <top style="medium">
        <color auto="1"/>
      </top>
      <bottom style="thin">
        <color auto="1"/>
      </bottom>
      <diagonal/>
    </border>
    <border>
      <left style="thin">
        <color indexed="64"/>
      </left>
      <right style="thin">
        <color indexed="64"/>
      </right>
      <top style="thin">
        <color indexed="64"/>
      </top>
      <bottom style="medium">
        <color indexed="64"/>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medium">
        <color indexed="8"/>
      </left>
      <right style="medium">
        <color indexed="8"/>
      </right>
      <top style="medium">
        <color indexed="8"/>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medium">
        <color indexed="64"/>
      </right>
      <top style="medium">
        <color auto="1"/>
      </top>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23"/>
      </left>
      <right style="thin">
        <color indexed="23"/>
      </right>
      <top style="medium">
        <color indexed="64"/>
      </top>
      <bottom style="medium">
        <color indexed="64"/>
      </bottom>
      <diagonal/>
    </border>
    <border>
      <left style="thin">
        <color indexed="64"/>
      </left>
      <right style="thin">
        <color indexed="64"/>
      </right>
      <top style="medium">
        <color auto="1"/>
      </top>
      <bottom style="medium">
        <color indexed="64"/>
      </bottom>
      <diagonal/>
    </border>
    <border>
      <left style="thin">
        <color indexed="64"/>
      </left>
      <right style="medium">
        <color indexed="64"/>
      </right>
      <top style="medium">
        <color auto="1"/>
      </top>
      <bottom style="medium">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8"/>
      </left>
      <right style="medium">
        <color indexed="8"/>
      </right>
      <top style="medium">
        <color indexed="8"/>
      </top>
      <bottom/>
      <diagonal/>
    </border>
    <border>
      <left style="medium">
        <color auto="1"/>
      </left>
      <right style="thin">
        <color auto="1"/>
      </right>
      <top style="medium">
        <color auto="1"/>
      </top>
      <bottom style="medium">
        <color auto="1"/>
      </bottom>
      <diagonal/>
    </border>
  </borders>
  <cellStyleXfs count="261">
    <xf numFmtId="0" fontId="0" fillId="0" borderId="0"/>
    <xf numFmtId="0" fontId="36" fillId="0" borderId="0"/>
    <xf numFmtId="0" fontId="53" fillId="0" borderId="0"/>
    <xf numFmtId="0" fontId="35" fillId="0" borderId="0"/>
    <xf numFmtId="0" fontId="60" fillId="0" borderId="0" applyNumberFormat="0" applyFill="0" applyBorder="0" applyAlignment="0" applyProtection="0">
      <alignment vertical="top"/>
      <protection locked="0"/>
    </xf>
    <xf numFmtId="0" fontId="34" fillId="0" borderId="0"/>
    <xf numFmtId="0" fontId="51" fillId="0" borderId="0"/>
    <xf numFmtId="0" fontId="68" fillId="0" borderId="0"/>
    <xf numFmtId="0" fontId="33" fillId="0" borderId="0"/>
    <xf numFmtId="0" fontId="33" fillId="0" borderId="0"/>
    <xf numFmtId="0" fontId="33" fillId="0" borderId="0"/>
    <xf numFmtId="0" fontId="32" fillId="0" borderId="0"/>
    <xf numFmtId="0" fontId="31" fillId="0" borderId="0"/>
    <xf numFmtId="0" fontId="30" fillId="0" borderId="0"/>
    <xf numFmtId="0" fontId="30" fillId="0" borderId="0"/>
    <xf numFmtId="0" fontId="30" fillId="0" borderId="0"/>
    <xf numFmtId="0" fontId="29" fillId="0" borderId="0"/>
    <xf numFmtId="0" fontId="28" fillId="0" borderId="0"/>
    <xf numFmtId="0" fontId="28" fillId="0" borderId="0"/>
    <xf numFmtId="0" fontId="28" fillId="0" borderId="0"/>
    <xf numFmtId="0" fontId="27" fillId="0" borderId="0"/>
    <xf numFmtId="0" fontId="27" fillId="0" borderId="0"/>
    <xf numFmtId="0" fontId="27" fillId="0" borderId="0"/>
    <xf numFmtId="0" fontId="51" fillId="0" borderId="0"/>
    <xf numFmtId="0" fontId="26" fillId="0" borderId="0"/>
    <xf numFmtId="0" fontId="26" fillId="0" borderId="0"/>
    <xf numFmtId="0" fontId="26" fillId="0" borderId="0"/>
    <xf numFmtId="0" fontId="26" fillId="0" borderId="0"/>
    <xf numFmtId="0" fontId="25" fillId="0" borderId="0"/>
    <xf numFmtId="0" fontId="25" fillId="0" borderId="0"/>
    <xf numFmtId="0" fontId="23" fillId="0" borderId="0"/>
    <xf numFmtId="0" fontId="23" fillId="0" borderId="0"/>
    <xf numFmtId="0" fontId="23" fillId="0" borderId="0"/>
    <xf numFmtId="0" fontId="23" fillId="0" borderId="0"/>
    <xf numFmtId="0" fontId="23" fillId="0" borderId="0"/>
    <xf numFmtId="0" fontId="51"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6" fillId="0" borderId="0"/>
    <xf numFmtId="0" fontId="16" fillId="0" borderId="0"/>
    <xf numFmtId="0" fontId="16" fillId="0" borderId="0"/>
    <xf numFmtId="0" fontId="16" fillId="0" borderId="0"/>
    <xf numFmtId="0" fontId="15" fillId="0" borderId="0"/>
    <xf numFmtId="0" fontId="15" fillId="0" borderId="0"/>
    <xf numFmtId="0" fontId="15" fillId="0" borderId="0"/>
    <xf numFmtId="0" fontId="15" fillId="0" borderId="0"/>
    <xf numFmtId="0" fontId="15"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8" fillId="0" borderId="0"/>
    <xf numFmtId="0" fontId="8" fillId="0" borderId="0"/>
    <xf numFmtId="0" fontId="7" fillId="0" borderId="0"/>
    <xf numFmtId="0" fontId="120" fillId="54" borderId="0" applyNumberFormat="0" applyBorder="0" applyAlignment="0" applyProtection="0"/>
  </cellStyleXfs>
  <cellXfs count="3242">
    <xf numFmtId="0" fontId="0" fillId="0" borderId="0" xfId="0"/>
    <xf numFmtId="0" fontId="37" fillId="0" borderId="0" xfId="0" applyFont="1"/>
    <xf numFmtId="0" fontId="37" fillId="0" borderId="5" xfId="0" applyFont="1" applyBorder="1" applyAlignment="1">
      <alignment vertical="top" wrapText="1"/>
    </xf>
    <xf numFmtId="0" fontId="0" fillId="0" borderId="0" xfId="0" applyAlignment="1">
      <alignment horizontal="center" vertical="center"/>
    </xf>
    <xf numFmtId="0" fontId="0" fillId="0" borderId="0" xfId="0" applyAlignment="1">
      <alignment horizontal="left" vertical="center"/>
    </xf>
    <xf numFmtId="0" fontId="0" fillId="0" borderId="6" xfId="0" applyBorder="1"/>
    <xf numFmtId="0" fontId="0" fillId="0" borderId="0" xfId="0" applyAlignment="1">
      <alignment horizontal="center" vertical="center" wrapText="1"/>
    </xf>
    <xf numFmtId="0" fontId="45" fillId="0" borderId="0" xfId="0" applyFont="1"/>
    <xf numFmtId="0" fontId="0" fillId="0" borderId="0" xfId="0" applyAlignment="1">
      <alignment vertical="top"/>
    </xf>
    <xf numFmtId="0" fontId="0" fillId="2" borderId="0" xfId="0" applyFill="1"/>
    <xf numFmtId="0" fontId="42" fillId="3" borderId="17" xfId="0" applyFont="1" applyFill="1" applyBorder="1"/>
    <xf numFmtId="0" fontId="42" fillId="3" borderId="18" xfId="0" applyFont="1" applyFill="1" applyBorder="1"/>
    <xf numFmtId="0" fontId="42" fillId="3" borderId="19" xfId="0" applyFont="1" applyFill="1" applyBorder="1"/>
    <xf numFmtId="0" fontId="43" fillId="0" borderId="0" xfId="0" applyFont="1" applyAlignment="1">
      <alignment horizontal="left" vertical="center"/>
    </xf>
    <xf numFmtId="0" fontId="43" fillId="0" borderId="31" xfId="0" applyFont="1" applyBorder="1" applyAlignment="1">
      <alignment horizontal="left" vertical="center"/>
    </xf>
    <xf numFmtId="0" fontId="43" fillId="0" borderId="4" xfId="0" applyFont="1" applyBorder="1" applyAlignment="1">
      <alignment horizontal="left" vertical="center"/>
    </xf>
    <xf numFmtId="0" fontId="43" fillId="0" borderId="18" xfId="0" applyFont="1" applyBorder="1" applyAlignment="1">
      <alignment horizontal="left" vertical="center"/>
    </xf>
    <xf numFmtId="0" fontId="43" fillId="0" borderId="29" xfId="0" applyFont="1" applyBorder="1" applyAlignment="1">
      <alignment horizontal="left" vertical="center"/>
    </xf>
    <xf numFmtId="0" fontId="43" fillId="0" borderId="28" xfId="0" applyFont="1" applyBorder="1" applyAlignment="1">
      <alignment horizontal="left" vertical="center"/>
    </xf>
    <xf numFmtId="0" fontId="43" fillId="0" borderId="0" xfId="1" applyFont="1"/>
    <xf numFmtId="0" fontId="36" fillId="0" borderId="0" xfId="1"/>
    <xf numFmtId="0" fontId="52" fillId="4" borderId="2" xfId="1" applyFont="1" applyFill="1" applyBorder="1"/>
    <xf numFmtId="0" fontId="43" fillId="4" borderId="12" xfId="1" applyFont="1" applyFill="1" applyBorder="1" applyAlignment="1">
      <alignment horizontal="center" vertical="center"/>
    </xf>
    <xf numFmtId="0" fontId="43" fillId="4" borderId="3" xfId="1" applyFont="1" applyFill="1" applyBorder="1" applyAlignment="1">
      <alignment horizontal="center" vertical="center"/>
    </xf>
    <xf numFmtId="0" fontId="43" fillId="4" borderId="2" xfId="1" applyFont="1" applyFill="1" applyBorder="1"/>
    <xf numFmtId="0" fontId="36" fillId="4" borderId="12" xfId="1" applyFill="1" applyBorder="1" applyAlignment="1">
      <alignment horizontal="center" vertical="center"/>
    </xf>
    <xf numFmtId="0" fontId="36" fillId="4" borderId="3" xfId="1" applyFill="1" applyBorder="1" applyAlignment="1">
      <alignment horizontal="center" vertical="center"/>
    </xf>
    <xf numFmtId="0" fontId="36" fillId="0" borderId="0" xfId="1" applyAlignment="1">
      <alignment horizontal="center" vertical="center"/>
    </xf>
    <xf numFmtId="0" fontId="43" fillId="4" borderId="32" xfId="1" applyFont="1" applyFill="1" applyBorder="1"/>
    <xf numFmtId="0" fontId="36" fillId="4" borderId="0" xfId="1" applyFill="1" applyAlignment="1">
      <alignment horizontal="center" vertical="center"/>
    </xf>
    <xf numFmtId="0" fontId="36" fillId="4" borderId="21" xfId="1" applyFill="1" applyBorder="1" applyAlignment="1">
      <alignment horizontal="center" vertical="center"/>
    </xf>
    <xf numFmtId="0" fontId="43" fillId="4" borderId="33" xfId="1" applyFont="1" applyFill="1" applyBorder="1"/>
    <xf numFmtId="0" fontId="36" fillId="4" borderId="23" xfId="1" applyFill="1" applyBorder="1" applyAlignment="1">
      <alignment horizontal="center" vertical="center"/>
    </xf>
    <xf numFmtId="0" fontId="36" fillId="4" borderId="24" xfId="1" applyFill="1" applyBorder="1" applyAlignment="1">
      <alignment horizontal="center" vertical="center"/>
    </xf>
    <xf numFmtId="0" fontId="36" fillId="4" borderId="4" xfId="1" applyFill="1" applyBorder="1" applyAlignment="1">
      <alignment horizontal="center" vertical="center"/>
    </xf>
    <xf numFmtId="0" fontId="36" fillId="4" borderId="33" xfId="1" applyFill="1" applyBorder="1" applyAlignment="1">
      <alignment horizontal="center" vertical="center"/>
    </xf>
    <xf numFmtId="0" fontId="43" fillId="4" borderId="4" xfId="1" applyFont="1" applyFill="1" applyBorder="1"/>
    <xf numFmtId="0" fontId="36" fillId="4" borderId="28" xfId="1" applyFill="1" applyBorder="1" applyAlignment="1">
      <alignment horizontal="center" vertical="center"/>
    </xf>
    <xf numFmtId="11" fontId="36" fillId="4" borderId="23" xfId="1" applyNumberFormat="1" applyFill="1" applyBorder="1" applyAlignment="1">
      <alignment horizontal="center" vertical="center"/>
    </xf>
    <xf numFmtId="0" fontId="36" fillId="4" borderId="35" xfId="1" applyFill="1" applyBorder="1" applyAlignment="1">
      <alignment horizontal="center" vertical="center"/>
    </xf>
    <xf numFmtId="0" fontId="55" fillId="0" borderId="15" xfId="2" applyFont="1" applyBorder="1" applyAlignment="1">
      <alignment horizontal="left" vertical="center" wrapText="1"/>
    </xf>
    <xf numFmtId="0" fontId="55" fillId="0" borderId="15" xfId="2" applyFont="1" applyBorder="1" applyAlignment="1">
      <alignment horizontal="center" vertical="center" wrapText="1"/>
    </xf>
    <xf numFmtId="0" fontId="0" fillId="0" borderId="15" xfId="0" applyBorder="1" applyAlignment="1">
      <alignment horizontal="center" vertical="center" wrapText="1"/>
    </xf>
    <xf numFmtId="0" fontId="51" fillId="0" borderId="15" xfId="0" applyFont="1" applyBorder="1" applyAlignment="1">
      <alignment horizontal="center" vertical="center"/>
    </xf>
    <xf numFmtId="0" fontId="57" fillId="0" borderId="0" xfId="0" applyFont="1" applyAlignment="1">
      <alignment vertical="center"/>
    </xf>
    <xf numFmtId="0" fontId="57" fillId="0" borderId="0" xfId="0" applyFont="1"/>
    <xf numFmtId="0" fontId="0" fillId="6" borderId="0" xfId="0" applyFill="1"/>
    <xf numFmtId="0" fontId="41" fillId="6" borderId="0" xfId="0" applyFont="1" applyFill="1" applyAlignment="1">
      <alignment horizontal="center" vertical="center" wrapText="1"/>
    </xf>
    <xf numFmtId="0" fontId="47" fillId="6" borderId="0" xfId="0" applyFont="1" applyFill="1" applyAlignment="1">
      <alignment horizontal="center" vertical="center" wrapText="1"/>
    </xf>
    <xf numFmtId="0" fontId="48" fillId="7" borderId="0" xfId="0" applyFont="1" applyFill="1"/>
    <xf numFmtId="0" fontId="0" fillId="7" borderId="0" xfId="0" applyFill="1"/>
    <xf numFmtId="0" fontId="37" fillId="7" borderId="4" xfId="0" applyFont="1" applyFill="1" applyBorder="1" applyAlignment="1">
      <alignment horizontal="center" vertical="center"/>
    </xf>
    <xf numFmtId="0" fontId="37" fillId="7" borderId="34" xfId="0" applyFont="1" applyFill="1" applyBorder="1" applyAlignment="1">
      <alignment horizontal="center" vertical="center" wrapText="1"/>
    </xf>
    <xf numFmtId="0" fontId="43" fillId="7" borderId="31" xfId="0" applyFont="1" applyFill="1" applyBorder="1" applyAlignment="1">
      <alignment horizontal="left" vertical="center"/>
    </xf>
    <xf numFmtId="0" fontId="43" fillId="7" borderId="4" xfId="0" applyFont="1" applyFill="1" applyBorder="1" applyAlignment="1">
      <alignment horizontal="left" vertical="center"/>
    </xf>
    <xf numFmtId="0" fontId="43" fillId="7" borderId="18" xfId="0" applyFont="1" applyFill="1" applyBorder="1" applyAlignment="1">
      <alignment horizontal="left" vertical="center"/>
    </xf>
    <xf numFmtId="0" fontId="43" fillId="7" borderId="29" xfId="0" applyFont="1" applyFill="1" applyBorder="1" applyAlignment="1">
      <alignment horizontal="left" vertical="center"/>
    </xf>
    <xf numFmtId="0" fontId="43" fillId="7" borderId="28" xfId="0" applyFont="1" applyFill="1" applyBorder="1" applyAlignment="1">
      <alignment horizontal="left" vertical="center"/>
    </xf>
    <xf numFmtId="0" fontId="43" fillId="7" borderId="25" xfId="0" applyFont="1" applyFill="1" applyBorder="1" applyAlignment="1">
      <alignment horizontal="left" vertical="center" wrapText="1"/>
    </xf>
    <xf numFmtId="0" fontId="43" fillId="7" borderId="0" xfId="0" applyFont="1" applyFill="1" applyAlignment="1">
      <alignment horizontal="left" vertical="center"/>
    </xf>
    <xf numFmtId="0" fontId="37" fillId="7" borderId="5" xfId="0" applyFont="1" applyFill="1" applyBorder="1" applyAlignment="1">
      <alignment vertical="top" wrapText="1"/>
    </xf>
    <xf numFmtId="0" fontId="43" fillId="7" borderId="26" xfId="0" applyFont="1" applyFill="1" applyBorder="1" applyAlignment="1">
      <alignment horizontal="left" vertical="center"/>
    </xf>
    <xf numFmtId="0" fontId="43" fillId="7" borderId="2" xfId="0" applyFont="1" applyFill="1" applyBorder="1" applyAlignment="1">
      <alignment horizontal="left" vertical="center"/>
    </xf>
    <xf numFmtId="0" fontId="43" fillId="7" borderId="3" xfId="0" applyFont="1" applyFill="1" applyBorder="1" applyAlignment="1">
      <alignment horizontal="left" vertical="center"/>
    </xf>
    <xf numFmtId="0" fontId="43" fillId="7" borderId="12" xfId="0" applyFont="1" applyFill="1" applyBorder="1" applyAlignment="1">
      <alignment horizontal="left" vertical="center"/>
    </xf>
    <xf numFmtId="0" fontId="43" fillId="7" borderId="16" xfId="0" applyFont="1" applyFill="1" applyBorder="1" applyAlignment="1">
      <alignment horizontal="left" vertical="center"/>
    </xf>
    <xf numFmtId="0" fontId="0" fillId="0" borderId="0" xfId="0" applyAlignment="1">
      <alignment horizontal="left"/>
    </xf>
    <xf numFmtId="0" fontId="37" fillId="7" borderId="28" xfId="0" applyFont="1" applyFill="1" applyBorder="1" applyAlignment="1">
      <alignment horizontal="center" vertical="center" wrapText="1"/>
    </xf>
    <xf numFmtId="0" fontId="37" fillId="0" borderId="0" xfId="0" applyFont="1" applyAlignment="1">
      <alignment horizontal="center" vertical="center"/>
    </xf>
    <xf numFmtId="0" fontId="57" fillId="0" borderId="6" xfId="0" applyFont="1" applyBorder="1"/>
    <xf numFmtId="0" fontId="57" fillId="0" borderId="6" xfId="0" applyFont="1" applyBorder="1" applyAlignment="1">
      <alignment wrapText="1"/>
    </xf>
    <xf numFmtId="0" fontId="58" fillId="6" borderId="0" xfId="0" applyFont="1" applyFill="1"/>
    <xf numFmtId="0" fontId="37" fillId="7" borderId="27" xfId="0" applyFont="1" applyFill="1" applyBorder="1" applyAlignment="1">
      <alignment horizontal="center" vertical="center" wrapText="1"/>
    </xf>
    <xf numFmtId="0" fontId="57" fillId="0" borderId="6" xfId="0" applyFont="1" applyBorder="1" applyAlignment="1">
      <alignment vertical="center"/>
    </xf>
    <xf numFmtId="0" fontId="63" fillId="0" borderId="0" xfId="0" applyFont="1"/>
    <xf numFmtId="0" fontId="54" fillId="6" borderId="0" xfId="0" applyFont="1" applyFill="1"/>
    <xf numFmtId="0" fontId="54" fillId="0" borderId="0" xfId="0" applyFont="1"/>
    <xf numFmtId="0" fontId="57" fillId="0" borderId="6" xfId="0" applyFont="1" applyBorder="1" applyAlignment="1">
      <alignment horizontal="left" vertical="center"/>
    </xf>
    <xf numFmtId="0" fontId="54" fillId="0" borderId="6" xfId="0" applyFont="1" applyBorder="1" applyAlignment="1">
      <alignment horizontal="left" vertical="center"/>
    </xf>
    <xf numFmtId="0" fontId="54" fillId="0" borderId="6" xfId="0" applyFont="1" applyBorder="1"/>
    <xf numFmtId="0" fontId="54" fillId="0" borderId="8" xfId="0" applyFont="1" applyBorder="1"/>
    <xf numFmtId="0" fontId="54" fillId="0" borderId="11" xfId="0" applyFont="1" applyBorder="1"/>
    <xf numFmtId="0" fontId="57" fillId="0" borderId="15" xfId="0" applyFont="1" applyBorder="1" applyAlignment="1">
      <alignment horizontal="center" vertical="center"/>
    </xf>
    <xf numFmtId="0" fontId="57" fillId="0" borderId="15" xfId="0" applyFont="1" applyBorder="1" applyAlignment="1">
      <alignment horizontal="left" vertical="center"/>
    </xf>
    <xf numFmtId="0" fontId="57" fillId="0" borderId="38" xfId="0" applyFont="1" applyBorder="1" applyAlignment="1">
      <alignment horizontal="center" vertical="center"/>
    </xf>
    <xf numFmtId="0" fontId="56" fillId="0" borderId="7" xfId="0" applyFont="1" applyBorder="1" applyAlignment="1">
      <alignment horizontal="center" vertical="center"/>
    </xf>
    <xf numFmtId="0" fontId="57" fillId="0" borderId="6" xfId="0" applyFont="1" applyBorder="1" applyAlignment="1">
      <alignment horizontal="center" vertical="center"/>
    </xf>
    <xf numFmtId="0" fontId="57" fillId="0" borderId="8" xfId="0" applyFont="1" applyBorder="1" applyAlignment="1">
      <alignment horizontal="center" vertical="center"/>
    </xf>
    <xf numFmtId="0" fontId="56" fillId="0" borderId="7" xfId="0" applyFont="1" applyBorder="1" applyAlignment="1">
      <alignment horizontal="center" vertical="center" wrapText="1"/>
    </xf>
    <xf numFmtId="0" fontId="56" fillId="0" borderId="9" xfId="0" applyFont="1" applyBorder="1" applyAlignment="1">
      <alignment horizontal="center" vertical="center" wrapText="1"/>
    </xf>
    <xf numFmtId="0" fontId="54" fillId="0" borderId="10" xfId="0" applyFont="1" applyBorder="1"/>
    <xf numFmtId="0" fontId="57" fillId="0" borderId="10" xfId="0" applyFont="1" applyBorder="1" applyAlignment="1">
      <alignment horizontal="center" vertical="center"/>
    </xf>
    <xf numFmtId="0" fontId="54" fillId="0" borderId="6" xfId="0" applyFont="1" applyBorder="1" applyAlignment="1">
      <alignment horizontal="center"/>
    </xf>
    <xf numFmtId="0" fontId="54" fillId="0" borderId="10" xfId="0" applyFont="1" applyBorder="1" applyAlignment="1">
      <alignment horizontal="center"/>
    </xf>
    <xf numFmtId="0" fontId="37" fillId="6" borderId="0" xfId="0" applyFont="1" applyFill="1" applyAlignment="1">
      <alignment horizontal="center" vertical="center" wrapText="1"/>
    </xf>
    <xf numFmtId="0" fontId="65" fillId="0" borderId="7" xfId="3" applyFont="1" applyBorder="1" applyAlignment="1">
      <alignment horizontal="left" vertical="center" wrapText="1"/>
    </xf>
    <xf numFmtId="0" fontId="70" fillId="0" borderId="7" xfId="3" applyFont="1" applyBorder="1" applyAlignment="1">
      <alignment horizontal="left" vertical="center" wrapText="1"/>
    </xf>
    <xf numFmtId="0" fontId="76" fillId="0" borderId="7" xfId="0" applyFont="1" applyBorder="1" applyAlignment="1">
      <alignment horizontal="left" vertical="center"/>
    </xf>
    <xf numFmtId="0" fontId="82" fillId="0" borderId="7" xfId="3" applyFont="1" applyBorder="1" applyAlignment="1">
      <alignment horizontal="left" vertical="center" wrapText="1"/>
    </xf>
    <xf numFmtId="0" fontId="64" fillId="6" borderId="0" xfId="0" applyFont="1" applyFill="1" applyAlignment="1">
      <alignment horizontal="center" vertical="center" wrapText="1"/>
    </xf>
    <xf numFmtId="0" fontId="61" fillId="6" borderId="0" xfId="0" applyFont="1" applyFill="1" applyAlignment="1">
      <alignment horizontal="center" vertical="center"/>
    </xf>
    <xf numFmtId="0" fontId="64" fillId="0" borderId="0" xfId="0" applyFont="1" applyAlignment="1">
      <alignment horizontal="center" vertical="center"/>
    </xf>
    <xf numFmtId="0" fontId="61" fillId="0" borderId="0" xfId="0" applyFont="1" applyAlignment="1">
      <alignment horizontal="center" vertical="center"/>
    </xf>
    <xf numFmtId="0" fontId="61" fillId="0" borderId="0" xfId="0" applyFont="1" applyAlignment="1">
      <alignment horizontal="left" vertical="center" wrapText="1"/>
    </xf>
    <xf numFmtId="2" fontId="61" fillId="0" borderId="0" xfId="0" applyNumberFormat="1" applyFont="1" applyAlignment="1">
      <alignment horizontal="center" vertical="center" wrapText="1"/>
    </xf>
    <xf numFmtId="0" fontId="61" fillId="0" borderId="0" xfId="0" applyFont="1" applyAlignment="1">
      <alignment horizontal="center" vertical="center" wrapText="1"/>
    </xf>
    <xf numFmtId="166" fontId="61" fillId="0" borderId="0" xfId="0" applyNumberFormat="1" applyFont="1" applyAlignment="1">
      <alignment horizontal="center" vertical="center" wrapText="1"/>
    </xf>
    <xf numFmtId="0" fontId="61" fillId="12" borderId="6" xfId="0" applyFont="1" applyFill="1" applyBorder="1" applyAlignment="1">
      <alignment horizontal="left" vertical="center"/>
    </xf>
    <xf numFmtId="0" fontId="61" fillId="9" borderId="6" xfId="0" applyFont="1" applyFill="1" applyBorder="1" applyAlignment="1">
      <alignment horizontal="center" vertical="center" wrapText="1"/>
    </xf>
    <xf numFmtId="0" fontId="61" fillId="9" borderId="6" xfId="0" applyFont="1" applyFill="1" applyBorder="1" applyAlignment="1">
      <alignment horizontal="left" vertical="center" wrapText="1"/>
    </xf>
    <xf numFmtId="164" fontId="61" fillId="9" borderId="6" xfId="0" applyNumberFormat="1" applyFont="1" applyFill="1" applyBorder="1" applyAlignment="1">
      <alignment horizontal="center" vertical="center" wrapText="1"/>
    </xf>
    <xf numFmtId="166" fontId="61" fillId="9" borderId="6" xfId="0" applyNumberFormat="1" applyFont="1" applyFill="1" applyBorder="1" applyAlignment="1">
      <alignment horizontal="center" vertical="center" wrapText="1"/>
    </xf>
    <xf numFmtId="2" fontId="61" fillId="9" borderId="6" xfId="0" applyNumberFormat="1" applyFont="1" applyFill="1" applyBorder="1" applyAlignment="1">
      <alignment horizontal="center" vertical="center" wrapText="1"/>
    </xf>
    <xf numFmtId="0" fontId="61" fillId="9" borderId="6" xfId="0" quotePrefix="1" applyFont="1" applyFill="1" applyBorder="1" applyAlignment="1">
      <alignment horizontal="center" vertical="center" wrapText="1"/>
    </xf>
    <xf numFmtId="165" fontId="61" fillId="9" borderId="6" xfId="0" applyNumberFormat="1" applyFont="1" applyFill="1" applyBorder="1" applyAlignment="1">
      <alignment horizontal="center" vertical="center" wrapText="1"/>
    </xf>
    <xf numFmtId="0" fontId="61" fillId="0" borderId="0" xfId="0" applyFont="1" applyAlignment="1">
      <alignment horizontal="left" vertical="center"/>
    </xf>
    <xf numFmtId="0" fontId="57" fillId="0" borderId="15" xfId="0" applyFont="1" applyBorder="1" applyAlignment="1">
      <alignment horizontal="center" vertical="center" wrapText="1"/>
    </xf>
    <xf numFmtId="0" fontId="57" fillId="0" borderId="6" xfId="0" applyFont="1" applyBorder="1" applyAlignment="1">
      <alignment horizontal="center" vertical="center" wrapText="1"/>
    </xf>
    <xf numFmtId="165" fontId="61" fillId="0" borderId="0" xfId="0" applyNumberFormat="1" applyFont="1" applyAlignment="1">
      <alignment horizontal="center" vertical="center"/>
    </xf>
    <xf numFmtId="0" fontId="64" fillId="0" borderId="0" xfId="0" applyFont="1" applyAlignment="1">
      <alignment horizontal="left" vertical="center"/>
    </xf>
    <xf numFmtId="166" fontId="57" fillId="0" borderId="6" xfId="0" applyNumberFormat="1" applyFont="1" applyBorder="1" applyAlignment="1">
      <alignment horizontal="center" vertical="center" wrapText="1"/>
    </xf>
    <xf numFmtId="2" fontId="57" fillId="0" borderId="6" xfId="0" applyNumberFormat="1" applyFont="1" applyBorder="1" applyAlignment="1">
      <alignment horizontal="center" vertical="center" wrapText="1"/>
    </xf>
    <xf numFmtId="0" fontId="57" fillId="0" borderId="6" xfId="0" quotePrefix="1" applyFont="1" applyBorder="1" applyAlignment="1">
      <alignment horizontal="center" vertical="center" wrapText="1"/>
    </xf>
    <xf numFmtId="0" fontId="57" fillId="0" borderId="11" xfId="0" applyFont="1" applyBorder="1" applyAlignment="1">
      <alignment horizontal="center" vertical="center" wrapText="1"/>
    </xf>
    <xf numFmtId="0" fontId="57" fillId="0" borderId="10" xfId="0" applyFont="1" applyBorder="1" applyAlignment="1">
      <alignment horizontal="left" vertical="center"/>
    </xf>
    <xf numFmtId="0" fontId="64" fillId="7" borderId="47" xfId="0" applyFont="1" applyFill="1" applyBorder="1" applyAlignment="1">
      <alignment horizontal="center" vertical="center" wrapText="1"/>
    </xf>
    <xf numFmtId="0" fontId="54" fillId="0" borderId="0" xfId="0" applyFont="1" applyAlignment="1">
      <alignment horizontal="center" vertical="center"/>
    </xf>
    <xf numFmtId="0" fontId="61" fillId="0" borderId="0" xfId="0" applyFont="1"/>
    <xf numFmtId="0" fontId="64" fillId="7" borderId="44" xfId="0" applyFont="1" applyFill="1" applyBorder="1" applyAlignment="1">
      <alignment horizontal="center" vertical="center" wrapText="1"/>
    </xf>
    <xf numFmtId="0" fontId="0" fillId="6" borderId="0" xfId="0" applyFill="1" applyAlignment="1">
      <alignment horizontal="left" vertical="center"/>
    </xf>
    <xf numFmtId="0" fontId="48" fillId="0" borderId="0" xfId="0" applyFont="1"/>
    <xf numFmtId="0" fontId="0" fillId="0" borderId="0" xfId="0" quotePrefix="1" applyAlignment="1">
      <alignment horizontal="right"/>
    </xf>
    <xf numFmtId="0" fontId="49" fillId="0" borderId="0" xfId="0" quotePrefix="1" applyFont="1"/>
    <xf numFmtId="0" fontId="38" fillId="0" borderId="0" xfId="0" applyFont="1"/>
    <xf numFmtId="0" fontId="0" fillId="0" borderId="13" xfId="0" applyBorder="1"/>
    <xf numFmtId="0" fontId="42" fillId="0" borderId="0" xfId="0" applyFont="1"/>
    <xf numFmtId="0" fontId="46" fillId="0" borderId="0" xfId="0" applyFont="1"/>
    <xf numFmtId="0" fontId="0" fillId="14" borderId="9" xfId="0" applyFill="1" applyBorder="1"/>
    <xf numFmtId="2" fontId="0" fillId="14" borderId="11" xfId="0" applyNumberFormat="1" applyFill="1" applyBorder="1"/>
    <xf numFmtId="0" fontId="65" fillId="7" borderId="50" xfId="0" applyFont="1" applyFill="1" applyBorder="1" applyAlignment="1">
      <alignment horizontal="center" vertical="center" wrapText="1"/>
    </xf>
    <xf numFmtId="0" fontId="37" fillId="0" borderId="0" xfId="0" applyFont="1" applyAlignment="1">
      <alignment horizontal="left" vertical="center" wrapText="1"/>
    </xf>
    <xf numFmtId="0" fontId="56" fillId="0" borderId="0" xfId="0" applyFont="1"/>
    <xf numFmtId="0" fontId="37" fillId="0" borderId="0" xfId="0" applyFont="1" applyAlignment="1">
      <alignment vertical="top" wrapText="1"/>
    </xf>
    <xf numFmtId="0" fontId="65" fillId="7" borderId="50" xfId="0" applyFont="1" applyFill="1" applyBorder="1" applyAlignment="1">
      <alignment horizontal="center" vertical="center"/>
    </xf>
    <xf numFmtId="0" fontId="51" fillId="0" borderId="0" xfId="23"/>
    <xf numFmtId="0" fontId="54" fillId="0" borderId="0" xfId="0" applyFont="1" applyAlignment="1">
      <alignment horizontal="center" vertical="center" wrapText="1"/>
    </xf>
    <xf numFmtId="0" fontId="56" fillId="7" borderId="31" xfId="0" applyFont="1" applyFill="1" applyBorder="1" applyAlignment="1">
      <alignment horizontal="center" vertical="center" wrapText="1"/>
    </xf>
    <xf numFmtId="0" fontId="57" fillId="0" borderId="7" xfId="0" applyFont="1" applyBorder="1" applyAlignment="1">
      <alignment horizontal="left" vertical="center"/>
    </xf>
    <xf numFmtId="0" fontId="57" fillId="0" borderId="37" xfId="0" applyFont="1" applyBorder="1" applyAlignment="1">
      <alignment horizontal="left" vertical="center"/>
    </xf>
    <xf numFmtId="0" fontId="57" fillId="0" borderId="9" xfId="0" applyFont="1" applyBorder="1" applyAlignment="1">
      <alignment horizontal="left" vertical="center"/>
    </xf>
    <xf numFmtId="0" fontId="57" fillId="11" borderId="6" xfId="0" applyFont="1" applyFill="1" applyBorder="1" applyAlignment="1">
      <alignment horizontal="center" vertical="center" wrapText="1"/>
    </xf>
    <xf numFmtId="0" fontId="57" fillId="0" borderId="0" xfId="0" applyFont="1" applyAlignment="1">
      <alignment horizontal="left" vertical="center"/>
    </xf>
    <xf numFmtId="164" fontId="57" fillId="0" borderId="0" xfId="0" applyNumberFormat="1" applyFont="1" applyAlignment="1">
      <alignment horizontal="center" vertical="center" wrapText="1"/>
    </xf>
    <xf numFmtId="0" fontId="57" fillId="0" borderId="0" xfId="0" applyFont="1" applyAlignment="1">
      <alignment horizontal="center" vertical="center" wrapText="1"/>
    </xf>
    <xf numFmtId="0" fontId="61" fillId="6" borderId="0" xfId="0" applyFont="1" applyFill="1" applyAlignment="1">
      <alignment horizontal="left" vertical="center"/>
    </xf>
    <xf numFmtId="0" fontId="57" fillId="0" borderId="0" xfId="0" applyFont="1" applyAlignment="1">
      <alignment horizontal="left" vertical="center" wrapText="1"/>
    </xf>
    <xf numFmtId="0" fontId="65" fillId="7" borderId="50" xfId="0" applyFont="1" applyFill="1" applyBorder="1" applyAlignment="1">
      <alignment horizontal="left" vertical="center" wrapText="1"/>
    </xf>
    <xf numFmtId="0" fontId="61" fillId="8" borderId="7" xfId="0" applyFont="1" applyFill="1" applyBorder="1" applyAlignment="1">
      <alignment horizontal="left" vertical="center"/>
    </xf>
    <xf numFmtId="0" fontId="61" fillId="12" borderId="7" xfId="0" applyFont="1" applyFill="1" applyBorder="1" applyAlignment="1">
      <alignment horizontal="left" vertical="center"/>
    </xf>
    <xf numFmtId="0" fontId="57" fillId="11" borderId="7" xfId="0" applyFont="1" applyFill="1" applyBorder="1" applyAlignment="1">
      <alignment horizontal="left" vertical="center"/>
    </xf>
    <xf numFmtId="0" fontId="0" fillId="6" borderId="0" xfId="0" applyFill="1" applyAlignment="1">
      <alignment horizontal="center"/>
    </xf>
    <xf numFmtId="0" fontId="61" fillId="0" borderId="0" xfId="0" applyFont="1" applyAlignment="1">
      <alignment horizontal="center"/>
    </xf>
    <xf numFmtId="0" fontId="0" fillId="0" borderId="0" xfId="0" applyAlignment="1">
      <alignment horizontal="center"/>
    </xf>
    <xf numFmtId="0" fontId="56" fillId="0" borderId="37" xfId="0" applyFont="1" applyBorder="1" applyAlignment="1">
      <alignment horizontal="center" vertical="center"/>
    </xf>
    <xf numFmtId="0" fontId="30" fillId="0" borderId="0" xfId="13"/>
    <xf numFmtId="0" fontId="65" fillId="13" borderId="44" xfId="13" applyFont="1" applyFill="1" applyBorder="1"/>
    <xf numFmtId="0" fontId="65" fillId="13" borderId="49" xfId="13" applyFont="1" applyFill="1" applyBorder="1" applyAlignment="1">
      <alignment horizontal="center"/>
    </xf>
    <xf numFmtId="0" fontId="65" fillId="13" borderId="50" xfId="13" applyFont="1" applyFill="1" applyBorder="1" applyAlignment="1">
      <alignment horizontal="center" vertical="top" wrapText="1"/>
    </xf>
    <xf numFmtId="0" fontId="65" fillId="13" borderId="50" xfId="13" applyFont="1" applyFill="1" applyBorder="1" applyAlignment="1">
      <alignment horizontal="center" vertical="center" wrapText="1"/>
    </xf>
    <xf numFmtId="0" fontId="65" fillId="13" borderId="51" xfId="13" applyFont="1" applyFill="1" applyBorder="1" applyAlignment="1">
      <alignment horizontal="center" vertical="top" wrapText="1"/>
    </xf>
    <xf numFmtId="0" fontId="54" fillId="0" borderId="37" xfId="0" applyFont="1" applyBorder="1"/>
    <xf numFmtId="0" fontId="57" fillId="0" borderId="0" xfId="0" applyFont="1" applyAlignment="1">
      <alignment horizontal="left"/>
    </xf>
    <xf numFmtId="0" fontId="57" fillId="0" borderId="0" xfId="0" applyFont="1" applyAlignment="1">
      <alignment horizontal="center"/>
    </xf>
    <xf numFmtId="0" fontId="57" fillId="0" borderId="0" xfId="0" quotePrefix="1" applyFont="1" applyAlignment="1">
      <alignment horizontal="center"/>
    </xf>
    <xf numFmtId="11" fontId="57" fillId="0" borderId="0" xfId="0" applyNumberFormat="1" applyFont="1" applyAlignment="1">
      <alignment horizontal="center"/>
    </xf>
    <xf numFmtId="0" fontId="54" fillId="0" borderId="0" xfId="23" applyFont="1"/>
    <xf numFmtId="0" fontId="51" fillId="0" borderId="0" xfId="6"/>
    <xf numFmtId="0" fontId="54" fillId="0" borderId="30" xfId="6" applyFont="1" applyBorder="1"/>
    <xf numFmtId="0" fontId="54" fillId="0" borderId="36" xfId="6" applyFont="1" applyBorder="1"/>
    <xf numFmtId="0" fontId="54" fillId="0" borderId="36" xfId="6" applyFont="1" applyBorder="1" applyAlignment="1">
      <alignment horizontal="center"/>
    </xf>
    <xf numFmtId="0" fontId="54" fillId="0" borderId="42" xfId="6" applyFont="1" applyBorder="1"/>
    <xf numFmtId="0" fontId="24" fillId="0" borderId="0" xfId="13" applyFont="1"/>
    <xf numFmtId="0" fontId="54" fillId="0" borderId="11" xfId="6" applyFont="1" applyBorder="1"/>
    <xf numFmtId="0" fontId="57" fillId="8" borderId="7" xfId="0" applyFont="1" applyFill="1" applyBorder="1" applyAlignment="1">
      <alignment horizontal="left" vertical="center"/>
    </xf>
    <xf numFmtId="164" fontId="57" fillId="8" borderId="6" xfId="0" applyNumberFormat="1" applyFont="1" applyFill="1" applyBorder="1" applyAlignment="1">
      <alignment horizontal="center" vertical="center" wrapText="1"/>
    </xf>
    <xf numFmtId="0" fontId="57" fillId="8" borderId="6" xfId="0" applyFont="1" applyFill="1" applyBorder="1" applyAlignment="1">
      <alignment horizontal="center" vertical="center" wrapText="1"/>
    </xf>
    <xf numFmtId="2" fontId="57" fillId="8" borderId="6" xfId="0" applyNumberFormat="1" applyFont="1" applyFill="1" applyBorder="1" applyAlignment="1">
      <alignment horizontal="center" vertical="center" wrapText="1"/>
    </xf>
    <xf numFmtId="0" fontId="57" fillId="10" borderId="7" xfId="0" applyFont="1" applyFill="1" applyBorder="1" applyAlignment="1">
      <alignment horizontal="left" vertical="center"/>
    </xf>
    <xf numFmtId="0" fontId="57" fillId="10" borderId="6" xfId="0" applyFont="1" applyFill="1" applyBorder="1" applyAlignment="1">
      <alignment horizontal="center" vertical="center" wrapText="1"/>
    </xf>
    <xf numFmtId="0" fontId="57" fillId="12" borderId="7" xfId="0" applyFont="1" applyFill="1" applyBorder="1" applyAlignment="1">
      <alignment horizontal="left" vertical="center"/>
    </xf>
    <xf numFmtId="0" fontId="57" fillId="12" borderId="6" xfId="0" applyFont="1" applyFill="1" applyBorder="1" applyAlignment="1">
      <alignment horizontal="left" vertical="center"/>
    </xf>
    <xf numFmtId="0" fontId="57" fillId="12" borderId="6" xfId="0" applyFont="1" applyFill="1" applyBorder="1" applyAlignment="1">
      <alignment horizontal="center" vertical="center"/>
    </xf>
    <xf numFmtId="0" fontId="57" fillId="12" borderId="10" xfId="0" applyFont="1" applyFill="1" applyBorder="1" applyAlignment="1">
      <alignment horizontal="left" vertical="center"/>
    </xf>
    <xf numFmtId="0" fontId="57" fillId="12" borderId="10" xfId="0" applyFont="1" applyFill="1" applyBorder="1" applyAlignment="1">
      <alignment horizontal="center" vertical="center"/>
    </xf>
    <xf numFmtId="0" fontId="57" fillId="0" borderId="36" xfId="0" applyFont="1" applyBorder="1" applyAlignment="1">
      <alignment horizontal="center" vertical="center" wrapText="1"/>
    </xf>
    <xf numFmtId="0" fontId="57" fillId="0" borderId="36" xfId="0" applyFont="1" applyBorder="1" applyAlignment="1">
      <alignment horizontal="left" vertical="center" wrapText="1"/>
    </xf>
    <xf numFmtId="0" fontId="57" fillId="0" borderId="36" xfId="0" quotePrefix="1" applyFont="1" applyBorder="1" applyAlignment="1">
      <alignment horizontal="center" vertical="center" wrapText="1"/>
    </xf>
    <xf numFmtId="0" fontId="65" fillId="0" borderId="42" xfId="0" applyFont="1" applyBorder="1" applyAlignment="1">
      <alignment horizontal="center" vertical="center"/>
    </xf>
    <xf numFmtId="164" fontId="57" fillId="0" borderId="36" xfId="0" applyNumberFormat="1" applyFont="1" applyBorder="1" applyAlignment="1">
      <alignment horizontal="center" vertical="center" wrapText="1"/>
    </xf>
    <xf numFmtId="0" fontId="57" fillId="0" borderId="36" xfId="0" applyFont="1" applyBorder="1" applyAlignment="1">
      <alignment vertical="center" wrapText="1"/>
    </xf>
    <xf numFmtId="0" fontId="65" fillId="0" borderId="37" xfId="3" applyFont="1" applyBorder="1" applyAlignment="1">
      <alignment horizontal="left" vertical="center" wrapText="1"/>
    </xf>
    <xf numFmtId="0" fontId="52" fillId="0" borderId="0" xfId="0" applyFont="1" applyAlignment="1">
      <alignment horizontal="center" vertical="center"/>
    </xf>
    <xf numFmtId="165" fontId="85" fillId="0" borderId="0" xfId="0" applyNumberFormat="1" applyFont="1" applyAlignment="1">
      <alignment horizontal="center" vertical="center"/>
    </xf>
    <xf numFmtId="0" fontId="57" fillId="15" borderId="6" xfId="0" applyFont="1" applyFill="1" applyBorder="1" applyAlignment="1">
      <alignment horizontal="center" vertical="center" wrapText="1"/>
    </xf>
    <xf numFmtId="0" fontId="54" fillId="0" borderId="8" xfId="0" applyFont="1" applyBorder="1" applyAlignment="1">
      <alignment horizontal="left" vertical="center"/>
    </xf>
    <xf numFmtId="165" fontId="61" fillId="0" borderId="0" xfId="0" applyNumberFormat="1" applyFont="1" applyAlignment="1">
      <alignment horizontal="center" vertical="center" wrapText="1"/>
    </xf>
    <xf numFmtId="0" fontId="57" fillId="12" borderId="8" xfId="0" applyFont="1" applyFill="1" applyBorder="1" applyAlignment="1">
      <alignment horizontal="left" vertical="center"/>
    </xf>
    <xf numFmtId="0" fontId="57" fillId="12" borderId="11" xfId="0" applyFont="1" applyFill="1" applyBorder="1" applyAlignment="1">
      <alignment horizontal="left" vertical="center"/>
    </xf>
    <xf numFmtId="0" fontId="64" fillId="0" borderId="0" xfId="0" applyFont="1"/>
    <xf numFmtId="0" fontId="61" fillId="10" borderId="6" xfId="0" applyFont="1" applyFill="1" applyBorder="1" applyAlignment="1">
      <alignment horizontal="left" vertical="center" wrapText="1"/>
    </xf>
    <xf numFmtId="0" fontId="61" fillId="10" borderId="6" xfId="0" applyFont="1" applyFill="1" applyBorder="1" applyAlignment="1">
      <alignment horizontal="center" vertical="center" wrapText="1"/>
    </xf>
    <xf numFmtId="0" fontId="57" fillId="8" borderId="7" xfId="0" applyFont="1" applyFill="1" applyBorder="1" applyAlignment="1">
      <alignment vertical="center"/>
    </xf>
    <xf numFmtId="0" fontId="57" fillId="0" borderId="63" xfId="0" applyFont="1" applyBorder="1" applyAlignment="1">
      <alignment horizontal="center" vertical="center"/>
    </xf>
    <xf numFmtId="0" fontId="57" fillId="12" borderId="63" xfId="0" applyFont="1" applyFill="1" applyBorder="1" applyAlignment="1">
      <alignment horizontal="center" vertical="center"/>
    </xf>
    <xf numFmtId="0" fontId="57" fillId="0" borderId="63" xfId="0" applyFont="1" applyBorder="1" applyAlignment="1">
      <alignment horizontal="left" vertical="center"/>
    </xf>
    <xf numFmtId="0" fontId="57" fillId="15" borderId="63" xfId="0" applyFont="1" applyFill="1" applyBorder="1" applyAlignment="1">
      <alignment horizontal="center" vertical="center" wrapText="1"/>
    </xf>
    <xf numFmtId="0" fontId="57" fillId="15" borderId="6" xfId="0" applyFont="1" applyFill="1" applyBorder="1" applyAlignment="1">
      <alignment horizontal="center" vertical="center"/>
    </xf>
    <xf numFmtId="0" fontId="57" fillId="15" borderId="10" xfId="0" applyFont="1" applyFill="1" applyBorder="1" applyAlignment="1">
      <alignment horizontal="center" vertical="center"/>
    </xf>
    <xf numFmtId="0" fontId="61" fillId="7" borderId="6" xfId="0" applyFont="1" applyFill="1" applyBorder="1" applyAlignment="1">
      <alignment horizontal="center" vertical="center" wrapText="1"/>
    </xf>
    <xf numFmtId="164" fontId="61" fillId="7" borderId="6" xfId="0" applyNumberFormat="1" applyFont="1" applyFill="1" applyBorder="1" applyAlignment="1">
      <alignment horizontal="center" vertical="center" wrapText="1"/>
    </xf>
    <xf numFmtId="166" fontId="61" fillId="8" borderId="6" xfId="0" applyNumberFormat="1" applyFont="1" applyFill="1" applyBorder="1" applyAlignment="1">
      <alignment horizontal="center" vertical="center" wrapText="1"/>
    </xf>
    <xf numFmtId="0" fontId="61" fillId="8" borderId="6" xfId="0" quotePrefix="1" applyFont="1" applyFill="1" applyBorder="1" applyAlignment="1">
      <alignment horizontal="center" vertical="center" wrapText="1"/>
    </xf>
    <xf numFmtId="0" fontId="61" fillId="8" borderId="6" xfId="0" applyFont="1" applyFill="1" applyBorder="1" applyAlignment="1">
      <alignment horizontal="left" vertical="center" wrapText="1"/>
    </xf>
    <xf numFmtId="0" fontId="61" fillId="9" borderId="7" xfId="0" applyFont="1" applyFill="1" applyBorder="1" applyAlignment="1">
      <alignment horizontal="left" vertical="center"/>
    </xf>
    <xf numFmtId="166" fontId="61" fillId="9" borderId="6" xfId="0" applyNumberFormat="1" applyFont="1" applyFill="1" applyBorder="1" applyAlignment="1">
      <alignment horizontal="center" vertical="center"/>
    </xf>
    <xf numFmtId="0" fontId="61" fillId="16" borderId="7" xfId="0" applyFont="1" applyFill="1" applyBorder="1" applyAlignment="1">
      <alignment horizontal="left" vertical="center"/>
    </xf>
    <xf numFmtId="166" fontId="61" fillId="16" borderId="6" xfId="0" applyNumberFormat="1" applyFont="1" applyFill="1" applyBorder="1" applyAlignment="1">
      <alignment horizontal="center" vertical="center" wrapText="1"/>
    </xf>
    <xf numFmtId="0" fontId="61" fillId="16" borderId="6" xfId="0" quotePrefix="1" applyFont="1" applyFill="1" applyBorder="1" applyAlignment="1">
      <alignment horizontal="center" vertical="center" wrapText="1"/>
    </xf>
    <xf numFmtId="166" fontId="61" fillId="10" borderId="6" xfId="0" applyNumberFormat="1" applyFont="1" applyFill="1" applyBorder="1" applyAlignment="1">
      <alignment horizontal="center" vertical="center" wrapText="1"/>
    </xf>
    <xf numFmtId="0" fontId="61" fillId="10" borderId="6" xfId="0" quotePrefix="1" applyFont="1" applyFill="1" applyBorder="1" applyAlignment="1">
      <alignment horizontal="center" vertical="center" wrapText="1"/>
    </xf>
    <xf numFmtId="0" fontId="61" fillId="19" borderId="6" xfId="0" applyFont="1" applyFill="1" applyBorder="1" applyAlignment="1">
      <alignment horizontal="left" vertical="center" wrapText="1"/>
    </xf>
    <xf numFmtId="166" fontId="61" fillId="19" borderId="6" xfId="0" applyNumberFormat="1" applyFont="1" applyFill="1" applyBorder="1" applyAlignment="1">
      <alignment horizontal="center" vertical="center" wrapText="1"/>
    </xf>
    <xf numFmtId="0" fontId="61" fillId="19" borderId="6" xfId="0" quotePrefix="1" applyFont="1" applyFill="1" applyBorder="1" applyAlignment="1">
      <alignment horizontal="center" vertical="center" wrapText="1"/>
    </xf>
    <xf numFmtId="0" fontId="61" fillId="8" borderId="63" xfId="0" applyFont="1" applyFill="1" applyBorder="1" applyAlignment="1">
      <alignment horizontal="left" vertical="center" wrapText="1"/>
    </xf>
    <xf numFmtId="166" fontId="61" fillId="8" borderId="63" xfId="0" applyNumberFormat="1" applyFont="1" applyFill="1" applyBorder="1" applyAlignment="1">
      <alignment horizontal="center" vertical="center" wrapText="1"/>
    </xf>
    <xf numFmtId="0" fontId="61" fillId="8" borderId="63" xfId="0" quotePrefix="1" applyFont="1" applyFill="1" applyBorder="1" applyAlignment="1">
      <alignment horizontal="center" vertical="center" wrapText="1"/>
    </xf>
    <xf numFmtId="0" fontId="57" fillId="18" borderId="7" xfId="0" applyFont="1" applyFill="1" applyBorder="1" applyAlignment="1">
      <alignment horizontal="left" vertical="center"/>
    </xf>
    <xf numFmtId="0" fontId="54" fillId="11" borderId="6" xfId="0" quotePrefix="1" applyFont="1" applyFill="1" applyBorder="1" applyAlignment="1">
      <alignment horizontal="left" vertical="center"/>
    </xf>
    <xf numFmtId="0" fontId="57" fillId="11" borderId="6" xfId="0" applyFont="1" applyFill="1" applyBorder="1" applyAlignment="1">
      <alignment horizontal="center" vertical="center"/>
    </xf>
    <xf numFmtId="0" fontId="57" fillId="0" borderId="7" xfId="0" applyFont="1" applyBorder="1" applyAlignment="1">
      <alignment vertical="center"/>
    </xf>
    <xf numFmtId="0" fontId="57" fillId="15" borderId="64" xfId="0" applyFont="1" applyFill="1" applyBorder="1" applyAlignment="1">
      <alignment horizontal="left" vertical="center"/>
    </xf>
    <xf numFmtId="0" fontId="57" fillId="15" borderId="8" xfId="0" applyFont="1" applyFill="1" applyBorder="1" applyAlignment="1">
      <alignment horizontal="left" vertical="center"/>
    </xf>
    <xf numFmtId="0" fontId="57" fillId="15" borderId="7" xfId="0" applyFont="1" applyFill="1" applyBorder="1" applyAlignment="1">
      <alignment vertical="center"/>
    </xf>
    <xf numFmtId="0" fontId="61" fillId="15" borderId="6" xfId="0" applyFont="1" applyFill="1" applyBorder="1" applyAlignment="1">
      <alignment horizontal="center" vertical="center" wrapText="1"/>
    </xf>
    <xf numFmtId="0" fontId="61" fillId="15" borderId="8" xfId="0" applyFont="1" applyFill="1" applyBorder="1" applyAlignment="1">
      <alignment horizontal="left" vertical="center" wrapText="1"/>
    </xf>
    <xf numFmtId="0" fontId="61" fillId="15" borderId="10" xfId="0" applyFont="1" applyFill="1" applyBorder="1" applyAlignment="1">
      <alignment horizontal="left" vertical="center" wrapText="1"/>
    </xf>
    <xf numFmtId="0" fontId="61" fillId="15" borderId="10" xfId="0" applyFont="1" applyFill="1" applyBorder="1" applyAlignment="1">
      <alignment horizontal="center" vertical="center" wrapText="1"/>
    </xf>
    <xf numFmtId="0" fontId="61" fillId="15" borderId="11" xfId="0" applyFont="1" applyFill="1" applyBorder="1" applyAlignment="1">
      <alignment horizontal="left" vertical="center" wrapText="1"/>
    </xf>
    <xf numFmtId="0" fontId="57" fillId="11" borderId="6" xfId="0" applyFont="1" applyFill="1" applyBorder="1" applyAlignment="1">
      <alignment horizontal="left" vertical="center"/>
    </xf>
    <xf numFmtId="0" fontId="57" fillId="11" borderId="9" xfId="0" applyFont="1" applyFill="1" applyBorder="1" applyAlignment="1">
      <alignment horizontal="left" vertical="center"/>
    </xf>
    <xf numFmtId="0" fontId="57" fillId="11" borderId="10" xfId="0" applyFont="1" applyFill="1" applyBorder="1" applyAlignment="1">
      <alignment horizontal="center" vertical="center"/>
    </xf>
    <xf numFmtId="0" fontId="57" fillId="12" borderId="6" xfId="0" applyFont="1" applyFill="1" applyBorder="1" applyAlignment="1">
      <alignment horizontal="center" vertical="center" wrapText="1"/>
    </xf>
    <xf numFmtId="0" fontId="57" fillId="8" borderId="7" xfId="0" quotePrefix="1" applyFont="1" applyFill="1" applyBorder="1" applyAlignment="1">
      <alignment horizontal="left" vertical="center"/>
    </xf>
    <xf numFmtId="0" fontId="57" fillId="8" borderId="6" xfId="0" applyFont="1" applyFill="1" applyBorder="1" applyAlignment="1">
      <alignment horizontal="left" vertical="center"/>
    </xf>
    <xf numFmtId="0" fontId="57" fillId="8" borderId="37" xfId="0" quotePrefix="1" applyFont="1" applyFill="1" applyBorder="1" applyAlignment="1">
      <alignment horizontal="left" vertical="center"/>
    </xf>
    <xf numFmtId="0" fontId="57" fillId="8" borderId="9" xfId="0" quotePrefix="1" applyFont="1" applyFill="1" applyBorder="1" applyAlignment="1">
      <alignment horizontal="left" vertical="center"/>
    </xf>
    <xf numFmtId="0" fontId="57" fillId="12" borderId="7" xfId="0" quotePrefix="1" applyFont="1" applyFill="1" applyBorder="1" applyAlignment="1">
      <alignment horizontal="left" vertical="center"/>
    </xf>
    <xf numFmtId="0" fontId="57" fillId="12" borderId="15" xfId="0" applyFont="1" applyFill="1" applyBorder="1" applyAlignment="1">
      <alignment horizontal="left" vertical="center"/>
    </xf>
    <xf numFmtId="0" fontId="57" fillId="12" borderId="37" xfId="0" quotePrefix="1" applyFont="1" applyFill="1" applyBorder="1" applyAlignment="1">
      <alignment horizontal="left" vertical="center"/>
    </xf>
    <xf numFmtId="0" fontId="57" fillId="12" borderId="9" xfId="0" quotePrefix="1" applyFont="1" applyFill="1" applyBorder="1" applyAlignment="1">
      <alignment horizontal="left" vertical="center"/>
    </xf>
    <xf numFmtId="0" fontId="57" fillId="0" borderId="6" xfId="0" quotePrefix="1" applyFont="1" applyBorder="1" applyAlignment="1">
      <alignment horizontal="left" vertical="center"/>
    </xf>
    <xf numFmtId="0" fontId="57" fillId="0" borderId="7" xfId="0" quotePrefix="1" applyFont="1" applyBorder="1" applyAlignment="1">
      <alignment horizontal="left" vertical="center"/>
    </xf>
    <xf numFmtId="0" fontId="61" fillId="8" borderId="6" xfId="0" applyFont="1" applyFill="1" applyBorder="1" applyAlignment="1">
      <alignment horizontal="left" vertical="center"/>
    </xf>
    <xf numFmtId="0" fontId="61" fillId="11" borderId="7" xfId="0" applyFont="1" applyFill="1" applyBorder="1" applyAlignment="1">
      <alignment horizontal="left" vertical="center"/>
    </xf>
    <xf numFmtId="0" fontId="61" fillId="11" borderId="6" xfId="0" applyFont="1" applyFill="1" applyBorder="1" applyAlignment="1">
      <alignment horizontal="left" vertical="center"/>
    </xf>
    <xf numFmtId="0" fontId="61" fillId="9" borderId="6" xfId="0" applyFont="1" applyFill="1" applyBorder="1" applyAlignment="1">
      <alignment horizontal="left" vertical="center"/>
    </xf>
    <xf numFmtId="0" fontId="61" fillId="16" borderId="6" xfId="0" applyFont="1" applyFill="1" applyBorder="1" applyAlignment="1">
      <alignment horizontal="left" vertical="center"/>
    </xf>
    <xf numFmtId="0" fontId="54" fillId="20" borderId="6" xfId="0" applyFont="1" applyFill="1" applyBorder="1" applyAlignment="1">
      <alignment horizontal="center" vertical="center"/>
    </xf>
    <xf numFmtId="0" fontId="54" fillId="20" borderId="6" xfId="0" applyFont="1" applyFill="1" applyBorder="1" applyAlignment="1">
      <alignment horizontal="center" vertical="center" wrapText="1"/>
    </xf>
    <xf numFmtId="0" fontId="54" fillId="20" borderId="6" xfId="0" applyFont="1" applyFill="1" applyBorder="1"/>
    <xf numFmtId="0" fontId="0" fillId="20" borderId="6" xfId="0" applyFill="1" applyBorder="1"/>
    <xf numFmtId="0" fontId="54" fillId="20" borderId="15" xfId="0" applyFont="1" applyFill="1" applyBorder="1" applyAlignment="1">
      <alignment horizontal="center" vertical="center"/>
    </xf>
    <xf numFmtId="0" fontId="54" fillId="20" borderId="15" xfId="0" applyFont="1" applyFill="1" applyBorder="1" applyAlignment="1">
      <alignment horizontal="center" vertical="center" wrapText="1"/>
    </xf>
    <xf numFmtId="0" fontId="54" fillId="20" borderId="15" xfId="0" applyFont="1" applyFill="1" applyBorder="1"/>
    <xf numFmtId="0" fontId="54" fillId="20" borderId="37" xfId="0" applyFont="1" applyFill="1" applyBorder="1" applyAlignment="1">
      <alignment horizontal="center" vertical="center"/>
    </xf>
    <xf numFmtId="0" fontId="54" fillId="20" borderId="38" xfId="0" applyFont="1" applyFill="1" applyBorder="1"/>
    <xf numFmtId="0" fontId="54" fillId="20" borderId="9" xfId="0" applyFont="1" applyFill="1" applyBorder="1" applyAlignment="1">
      <alignment horizontal="center" vertical="center"/>
    </xf>
    <xf numFmtId="0" fontId="54" fillId="20" borderId="10" xfId="0" applyFont="1" applyFill="1" applyBorder="1" applyAlignment="1">
      <alignment horizontal="center" vertical="center" wrapText="1"/>
    </xf>
    <xf numFmtId="0" fontId="54" fillId="20" borderId="10" xfId="0" applyFont="1" applyFill="1" applyBorder="1"/>
    <xf numFmtId="0" fontId="54" fillId="20" borderId="11" xfId="0" applyFont="1" applyFill="1" applyBorder="1"/>
    <xf numFmtId="0" fontId="57" fillId="20" borderId="37" xfId="0" applyFont="1" applyFill="1" applyBorder="1" applyAlignment="1">
      <alignment horizontal="left" vertical="center"/>
    </xf>
    <xf numFmtId="0" fontId="57" fillId="20" borderId="6" xfId="0" applyFont="1" applyFill="1" applyBorder="1" applyAlignment="1">
      <alignment horizontal="left" vertical="center"/>
    </xf>
    <xf numFmtId="0" fontId="57" fillId="20" borderId="10" xfId="0" applyFont="1" applyFill="1" applyBorder="1" applyAlignment="1">
      <alignment horizontal="left" vertical="center"/>
    </xf>
    <xf numFmtId="0" fontId="57" fillId="20" borderId="7" xfId="0" applyFont="1" applyFill="1" applyBorder="1" applyAlignment="1">
      <alignment horizontal="left" vertical="center"/>
    </xf>
    <xf numFmtId="0" fontId="57" fillId="20" borderId="9" xfId="0" applyFont="1" applyFill="1" applyBorder="1" applyAlignment="1">
      <alignment horizontal="left" vertical="center"/>
    </xf>
    <xf numFmtId="0" fontId="57" fillId="20" borderId="59" xfId="25" applyFont="1" applyFill="1" applyBorder="1" applyAlignment="1">
      <alignment horizontal="left" vertical="center"/>
    </xf>
    <xf numFmtId="0" fontId="57" fillId="20" borderId="7" xfId="25" applyFont="1" applyFill="1" applyBorder="1" applyAlignment="1">
      <alignment horizontal="left" vertical="center"/>
    </xf>
    <xf numFmtId="0" fontId="57" fillId="20" borderId="9" xfId="25" applyFont="1" applyFill="1" applyBorder="1" applyAlignment="1">
      <alignment horizontal="left" vertical="center"/>
    </xf>
    <xf numFmtId="0" fontId="65" fillId="13" borderId="73" xfId="0" applyFont="1" applyFill="1" applyBorder="1" applyAlignment="1">
      <alignment horizontal="center" vertical="center"/>
    </xf>
    <xf numFmtId="0" fontId="65" fillId="13" borderId="70" xfId="13" applyFont="1" applyFill="1" applyBorder="1" applyAlignment="1">
      <alignment horizontal="center"/>
    </xf>
    <xf numFmtId="0" fontId="65" fillId="13" borderId="71" xfId="13" applyFont="1" applyFill="1" applyBorder="1" applyAlignment="1">
      <alignment horizontal="center" vertical="top" wrapText="1"/>
    </xf>
    <xf numFmtId="0" fontId="65" fillId="13" borderId="71" xfId="13" applyFont="1" applyFill="1" applyBorder="1" applyAlignment="1">
      <alignment horizontal="center" vertical="center" wrapText="1"/>
    </xf>
    <xf numFmtId="0" fontId="65" fillId="13" borderId="72" xfId="13" applyFont="1" applyFill="1" applyBorder="1" applyAlignment="1">
      <alignment horizontal="center" vertical="top" wrapText="1"/>
    </xf>
    <xf numFmtId="0" fontId="54" fillId="0" borderId="9" xfId="0" applyFont="1" applyBorder="1" applyAlignment="1">
      <alignment horizontal="left" vertical="center"/>
    </xf>
    <xf numFmtId="0" fontId="26" fillId="0" borderId="0" xfId="25" applyAlignment="1">
      <alignment horizontal="left" vertical="center"/>
    </xf>
    <xf numFmtId="0" fontId="57" fillId="0" borderId="0" xfId="25" applyFont="1" applyAlignment="1">
      <alignment horizontal="left" vertical="center"/>
    </xf>
    <xf numFmtId="0" fontId="65" fillId="7" borderId="56" xfId="0" applyFont="1" applyFill="1" applyBorder="1" applyAlignment="1">
      <alignment horizontal="left" vertical="center"/>
    </xf>
    <xf numFmtId="0" fontId="65" fillId="7" borderId="73" xfId="0" applyFont="1" applyFill="1" applyBorder="1" applyAlignment="1">
      <alignment horizontal="center" vertical="center"/>
    </xf>
    <xf numFmtId="0" fontId="65" fillId="7" borderId="73" xfId="0" applyFont="1" applyFill="1" applyBorder="1" applyAlignment="1">
      <alignment horizontal="center"/>
    </xf>
    <xf numFmtId="0" fontId="65" fillId="7" borderId="53" xfId="0" applyFont="1" applyFill="1" applyBorder="1" applyAlignment="1">
      <alignment horizontal="left" vertical="center"/>
    </xf>
    <xf numFmtId="0" fontId="65" fillId="7" borderId="67" xfId="0" applyFont="1" applyFill="1" applyBorder="1" applyAlignment="1">
      <alignment horizontal="left" vertical="center"/>
    </xf>
    <xf numFmtId="0" fontId="57" fillId="7" borderId="73" xfId="0" applyFont="1" applyFill="1" applyBorder="1" applyAlignment="1">
      <alignment horizontal="left" vertical="center" wrapText="1"/>
    </xf>
    <xf numFmtId="0" fontId="65" fillId="7" borderId="54" xfId="0" applyFont="1" applyFill="1" applyBorder="1" applyAlignment="1">
      <alignment horizontal="left" vertical="center" wrapText="1"/>
    </xf>
    <xf numFmtId="0" fontId="65" fillId="7" borderId="68" xfId="0" applyFont="1" applyFill="1" applyBorder="1" applyAlignment="1">
      <alignment horizontal="left" vertical="center" wrapText="1"/>
    </xf>
    <xf numFmtId="0" fontId="65" fillId="7" borderId="54" xfId="0" applyFont="1" applyFill="1" applyBorder="1" applyAlignment="1">
      <alignment horizontal="center" vertical="center" wrapText="1"/>
    </xf>
    <xf numFmtId="164" fontId="57" fillId="7" borderId="73" xfId="0" applyNumberFormat="1" applyFont="1" applyFill="1" applyBorder="1" applyAlignment="1">
      <alignment horizontal="center" vertical="center" wrapText="1"/>
    </xf>
    <xf numFmtId="0" fontId="57" fillId="7" borderId="73" xfId="0" applyFont="1" applyFill="1" applyBorder="1" applyAlignment="1">
      <alignment horizontal="center" vertical="center" wrapText="1"/>
    </xf>
    <xf numFmtId="0" fontId="65" fillId="7" borderId="57" xfId="0" applyFont="1" applyFill="1" applyBorder="1" applyAlignment="1">
      <alignment horizontal="left" vertical="center"/>
    </xf>
    <xf numFmtId="0" fontId="65" fillId="7" borderId="54" xfId="0" applyFont="1" applyFill="1" applyBorder="1" applyAlignment="1">
      <alignment horizontal="left" vertical="center"/>
    </xf>
    <xf numFmtId="0" fontId="65" fillId="7" borderId="58" xfId="0" applyFont="1" applyFill="1" applyBorder="1" applyAlignment="1">
      <alignment horizontal="left" vertical="center"/>
    </xf>
    <xf numFmtId="0" fontId="65" fillId="7" borderId="55" xfId="0" applyFont="1" applyFill="1" applyBorder="1" applyAlignment="1">
      <alignment horizontal="left" vertical="center"/>
    </xf>
    <xf numFmtId="0" fontId="57" fillId="0" borderId="76" xfId="0" applyFont="1" applyBorder="1" applyAlignment="1">
      <alignment horizontal="center" vertical="center"/>
    </xf>
    <xf numFmtId="0" fontId="57" fillId="21" borderId="7" xfId="0" applyFont="1" applyFill="1" applyBorder="1" applyAlignment="1">
      <alignment horizontal="left" vertical="center"/>
    </xf>
    <xf numFmtId="2" fontId="57" fillId="11" borderId="6" xfId="0" applyNumberFormat="1" applyFont="1" applyFill="1" applyBorder="1" applyAlignment="1">
      <alignment horizontal="center" vertical="center"/>
    </xf>
    <xf numFmtId="164" fontId="61" fillId="18" borderId="6" xfId="0" applyNumberFormat="1" applyFont="1" applyFill="1" applyBorder="1" applyAlignment="1">
      <alignment horizontal="center" vertical="center"/>
    </xf>
    <xf numFmtId="0" fontId="61" fillId="18" borderId="15" xfId="0" applyFont="1" applyFill="1" applyBorder="1" applyAlignment="1">
      <alignment horizontal="center" vertical="center"/>
    </xf>
    <xf numFmtId="0" fontId="61" fillId="18" borderId="6" xfId="0" applyFont="1" applyFill="1" applyBorder="1" applyAlignment="1">
      <alignment horizontal="center" vertical="center"/>
    </xf>
    <xf numFmtId="0" fontId="57" fillId="18" borderId="10" xfId="0" applyFont="1" applyFill="1" applyBorder="1" applyAlignment="1">
      <alignment horizontal="left" vertical="center"/>
    </xf>
    <xf numFmtId="0" fontId="57" fillId="18" borderId="10" xfId="0" applyFont="1" applyFill="1" applyBorder="1" applyAlignment="1">
      <alignment horizontal="center" vertical="center"/>
    </xf>
    <xf numFmtId="0" fontId="57" fillId="9" borderId="7" xfId="0" applyFont="1" applyFill="1" applyBorder="1" applyAlignment="1">
      <alignment horizontal="left" vertical="center"/>
    </xf>
    <xf numFmtId="0" fontId="57" fillId="9" borderId="6" xfId="0" applyFont="1" applyFill="1" applyBorder="1" applyAlignment="1">
      <alignment horizontal="left" vertical="center"/>
    </xf>
    <xf numFmtId="0" fontId="57" fillId="8" borderId="6" xfId="0" quotePrefix="1" applyFont="1" applyFill="1" applyBorder="1" applyAlignment="1">
      <alignment horizontal="left" vertical="center"/>
    </xf>
    <xf numFmtId="0" fontId="57" fillId="21" borderId="6" xfId="0" quotePrefix="1" applyFont="1" applyFill="1" applyBorder="1" applyAlignment="1">
      <alignment horizontal="left" vertical="center"/>
    </xf>
    <xf numFmtId="0" fontId="57" fillId="21" borderId="6" xfId="0" applyFont="1" applyFill="1" applyBorder="1" applyAlignment="1">
      <alignment horizontal="left" vertical="center"/>
    </xf>
    <xf numFmtId="0" fontId="57" fillId="18" borderId="6" xfId="0" quotePrefix="1" applyFont="1" applyFill="1" applyBorder="1" applyAlignment="1">
      <alignment horizontal="left" vertical="center"/>
    </xf>
    <xf numFmtId="0" fontId="57" fillId="7" borderId="7" xfId="0" applyFont="1" applyFill="1" applyBorder="1" applyAlignment="1">
      <alignment horizontal="left" vertical="center"/>
    </xf>
    <xf numFmtId="0" fontId="57" fillId="7" borderId="6" xfId="0" applyFont="1" applyFill="1" applyBorder="1" applyAlignment="1">
      <alignment horizontal="left" vertical="center"/>
    </xf>
    <xf numFmtId="0" fontId="66" fillId="7" borderId="7" xfId="0" applyFont="1" applyFill="1" applyBorder="1" applyAlignment="1">
      <alignment horizontal="left" vertical="center"/>
    </xf>
    <xf numFmtId="0" fontId="57" fillId="7" borderId="6" xfId="0" quotePrefix="1" applyFont="1" applyFill="1" applyBorder="1" applyAlignment="1">
      <alignment horizontal="left" vertical="center"/>
    </xf>
    <xf numFmtId="0" fontId="57" fillId="20" borderId="80" xfId="0" applyFont="1" applyFill="1" applyBorder="1" applyAlignment="1">
      <alignment horizontal="left" vertical="center"/>
    </xf>
    <xf numFmtId="0" fontId="61" fillId="8" borderId="79" xfId="0" applyFont="1" applyFill="1" applyBorder="1" applyAlignment="1">
      <alignment horizontal="left" vertical="center"/>
    </xf>
    <xf numFmtId="0" fontId="61" fillId="8" borderId="80" xfId="0" applyFont="1" applyFill="1" applyBorder="1" applyAlignment="1">
      <alignment horizontal="left" vertical="center"/>
    </xf>
    <xf numFmtId="0" fontId="61" fillId="7" borderId="8" xfId="0" applyFont="1" applyFill="1" applyBorder="1" applyAlignment="1">
      <alignment horizontal="left" vertical="center" wrapText="1"/>
    </xf>
    <xf numFmtId="0" fontId="57" fillId="7" borderId="10" xfId="0" applyFont="1" applyFill="1" applyBorder="1" applyAlignment="1">
      <alignment horizontal="center" vertical="center"/>
    </xf>
    <xf numFmtId="2" fontId="57" fillId="7" borderId="10" xfId="0" applyNumberFormat="1" applyFont="1" applyFill="1" applyBorder="1" applyAlignment="1">
      <alignment horizontal="center" vertical="center" wrapText="1"/>
    </xf>
    <xf numFmtId="0" fontId="56" fillId="17" borderId="0" xfId="0" applyFont="1" applyFill="1" applyAlignment="1">
      <alignment horizontal="center" vertical="center"/>
    </xf>
    <xf numFmtId="0" fontId="65" fillId="17" borderId="0" xfId="0" applyFont="1" applyFill="1" applyAlignment="1">
      <alignment horizontal="center" vertical="center"/>
    </xf>
    <xf numFmtId="0" fontId="73" fillId="7" borderId="49" xfId="0" applyFont="1" applyFill="1" applyBorder="1" applyAlignment="1">
      <alignment horizontal="center" vertical="center" wrapText="1"/>
    </xf>
    <xf numFmtId="0" fontId="73" fillId="7" borderId="50" xfId="0" applyFont="1" applyFill="1" applyBorder="1" applyAlignment="1">
      <alignment horizontal="center" vertical="center" wrapText="1"/>
    </xf>
    <xf numFmtId="0" fontId="73" fillId="7" borderId="51" xfId="0" applyFont="1" applyFill="1" applyBorder="1" applyAlignment="1">
      <alignment horizontal="center" vertical="center" wrapText="1"/>
    </xf>
    <xf numFmtId="0" fontId="56" fillId="7" borderId="82" xfId="0" applyFont="1" applyFill="1" applyBorder="1" applyAlignment="1">
      <alignment horizontal="center" vertical="center"/>
    </xf>
    <xf numFmtId="0" fontId="56" fillId="7" borderId="83" xfId="0" applyFont="1" applyFill="1" applyBorder="1" applyAlignment="1">
      <alignment horizontal="left" vertical="center" wrapText="1"/>
    </xf>
    <xf numFmtId="0" fontId="56" fillId="7" borderId="83" xfId="0" applyFont="1" applyFill="1" applyBorder="1" applyAlignment="1">
      <alignment horizontal="center" vertical="center"/>
    </xf>
    <xf numFmtId="0" fontId="65" fillId="7" borderId="82" xfId="0" applyFont="1" applyFill="1" applyBorder="1" applyAlignment="1">
      <alignment horizontal="center" vertical="center"/>
    </xf>
    <xf numFmtId="0" fontId="65" fillId="7" borderId="84" xfId="0" applyFont="1" applyFill="1" applyBorder="1" applyAlignment="1">
      <alignment horizontal="center" vertical="center"/>
    </xf>
    <xf numFmtId="0" fontId="54" fillId="20" borderId="7" xfId="0" applyFont="1" applyFill="1" applyBorder="1" applyAlignment="1">
      <alignment horizontal="center" vertical="center"/>
    </xf>
    <xf numFmtId="0" fontId="54" fillId="20" borderId="8" xfId="0" applyFont="1" applyFill="1" applyBorder="1"/>
    <xf numFmtId="0" fontId="54" fillId="20" borderId="10" xfId="0" applyFont="1" applyFill="1" applyBorder="1" applyAlignment="1">
      <alignment horizontal="center" vertical="center"/>
    </xf>
    <xf numFmtId="0" fontId="54" fillId="20" borderId="36" xfId="0" applyFont="1" applyFill="1" applyBorder="1"/>
    <xf numFmtId="0" fontId="54" fillId="20" borderId="79" xfId="0" applyFont="1" applyFill="1" applyBorder="1" applyAlignment="1">
      <alignment horizontal="center" vertical="center"/>
    </xf>
    <xf numFmtId="0" fontId="54" fillId="20" borderId="80" xfId="0" applyFont="1" applyFill="1" applyBorder="1" applyAlignment="1">
      <alignment horizontal="center" vertical="center" wrapText="1"/>
    </xf>
    <xf numFmtId="0" fontId="54" fillId="20" borderId="80" xfId="0" applyFont="1" applyFill="1" applyBorder="1"/>
    <xf numFmtId="0" fontId="54" fillId="20" borderId="81" xfId="0" applyFont="1" applyFill="1" applyBorder="1"/>
    <xf numFmtId="0" fontId="61" fillId="18" borderId="6" xfId="0" applyFont="1" applyFill="1" applyBorder="1" applyAlignment="1">
      <alignment horizontal="left" vertical="center" wrapText="1"/>
    </xf>
    <xf numFmtId="166" fontId="61" fillId="18" borderId="6" xfId="0" applyNumberFormat="1" applyFont="1" applyFill="1" applyBorder="1" applyAlignment="1">
      <alignment horizontal="center" vertical="center" wrapText="1"/>
    </xf>
    <xf numFmtId="0" fontId="61" fillId="18" borderId="6" xfId="0" quotePrefix="1" applyFont="1" applyFill="1" applyBorder="1" applyAlignment="1">
      <alignment horizontal="center" vertical="center" wrapText="1"/>
    </xf>
    <xf numFmtId="0" fontId="61" fillId="12" borderId="6" xfId="0" applyFont="1" applyFill="1" applyBorder="1" applyAlignment="1">
      <alignment horizontal="left" vertical="center" wrapText="1"/>
    </xf>
    <xf numFmtId="166" fontId="61" fillId="12" borderId="6" xfId="0" applyNumberFormat="1" applyFont="1" applyFill="1" applyBorder="1" applyAlignment="1">
      <alignment horizontal="center" vertical="center" wrapText="1"/>
    </xf>
    <xf numFmtId="0" fontId="61" fillId="12" borderId="6" xfId="0" quotePrefix="1" applyFont="1" applyFill="1" applyBorder="1" applyAlignment="1">
      <alignment horizontal="center" vertical="center" wrapText="1"/>
    </xf>
    <xf numFmtId="2" fontId="57" fillId="12" borderId="6" xfId="0" applyNumberFormat="1" applyFont="1" applyFill="1" applyBorder="1" applyAlignment="1">
      <alignment horizontal="center" vertical="center" wrapText="1"/>
    </xf>
    <xf numFmtId="2" fontId="57" fillId="8" borderId="76" xfId="0" applyNumberFormat="1" applyFont="1" applyFill="1" applyBorder="1" applyAlignment="1">
      <alignment horizontal="center" vertical="center" wrapText="1"/>
    </xf>
    <xf numFmtId="0" fontId="57" fillId="8" borderId="76" xfId="0" applyFont="1" applyFill="1" applyBorder="1" applyAlignment="1">
      <alignment horizontal="center" vertical="center" wrapText="1"/>
    </xf>
    <xf numFmtId="2" fontId="57" fillId="11" borderId="6" xfId="0" applyNumberFormat="1" applyFont="1" applyFill="1" applyBorder="1" applyAlignment="1">
      <alignment horizontal="center" vertical="center" wrapText="1"/>
    </xf>
    <xf numFmtId="164" fontId="57" fillId="11" borderId="6" xfId="0" applyNumberFormat="1" applyFont="1" applyFill="1" applyBorder="1" applyAlignment="1">
      <alignment horizontal="center" vertical="center"/>
    </xf>
    <xf numFmtId="0" fontId="61" fillId="9" borderId="15" xfId="0" applyFont="1" applyFill="1" applyBorder="1" applyAlignment="1">
      <alignment horizontal="center" vertical="center" wrapText="1"/>
    </xf>
    <xf numFmtId="164" fontId="61" fillId="6" borderId="0" xfId="0" applyNumberFormat="1" applyFont="1" applyFill="1" applyAlignment="1">
      <alignment horizontal="left" vertical="center"/>
    </xf>
    <xf numFmtId="164" fontId="64" fillId="0" borderId="0" xfId="0" applyNumberFormat="1" applyFont="1" applyAlignment="1">
      <alignment horizontal="left" vertical="center"/>
    </xf>
    <xf numFmtId="0" fontId="57" fillId="0" borderId="8" xfId="0" applyFont="1" applyBorder="1" applyAlignment="1">
      <alignment horizontal="left" vertical="center"/>
    </xf>
    <xf numFmtId="0" fontId="65" fillId="7" borderId="39" xfId="0" applyFont="1" applyFill="1" applyBorder="1" applyAlignment="1">
      <alignment horizontal="left" vertical="center"/>
    </xf>
    <xf numFmtId="0" fontId="65" fillId="7" borderId="40" xfId="0" applyFont="1" applyFill="1" applyBorder="1" applyAlignment="1">
      <alignment horizontal="left" vertical="center"/>
    </xf>
    <xf numFmtId="0" fontId="65" fillId="7" borderId="41" xfId="0" applyFont="1" applyFill="1" applyBorder="1" applyAlignment="1">
      <alignment horizontal="left" vertical="center"/>
    </xf>
    <xf numFmtId="164" fontId="57" fillId="8" borderId="6" xfId="0" applyNumberFormat="1" applyFont="1" applyFill="1" applyBorder="1" applyAlignment="1">
      <alignment horizontal="left" vertical="center"/>
    </xf>
    <xf numFmtId="2" fontId="57" fillId="8" borderId="6" xfId="0" applyNumberFormat="1" applyFont="1" applyFill="1" applyBorder="1" applyAlignment="1">
      <alignment horizontal="left" vertical="center"/>
    </xf>
    <xf numFmtId="166" fontId="57" fillId="8" borderId="6" xfId="0" applyNumberFormat="1" applyFont="1" applyFill="1" applyBorder="1" applyAlignment="1">
      <alignment horizontal="left" vertical="center"/>
    </xf>
    <xf numFmtId="2" fontId="57" fillId="8" borderId="15" xfId="0" applyNumberFormat="1" applyFont="1" applyFill="1" applyBorder="1" applyAlignment="1">
      <alignment horizontal="left" vertical="center"/>
    </xf>
    <xf numFmtId="165" fontId="57" fillId="8" borderId="6" xfId="0" applyNumberFormat="1" applyFont="1" applyFill="1" applyBorder="1" applyAlignment="1">
      <alignment horizontal="left" vertical="center"/>
    </xf>
    <xf numFmtId="0" fontId="57" fillId="11" borderId="6" xfId="0" quotePrefix="1" applyFont="1" applyFill="1" applyBorder="1" applyAlignment="1">
      <alignment horizontal="left" vertical="center"/>
    </xf>
    <xf numFmtId="0" fontId="57" fillId="12" borderId="6" xfId="0" quotePrefix="1" applyFont="1" applyFill="1" applyBorder="1" applyAlignment="1">
      <alignment horizontal="left" vertical="center"/>
    </xf>
    <xf numFmtId="0" fontId="57" fillId="12" borderId="10" xfId="0" quotePrefix="1" applyFont="1" applyFill="1" applyBorder="1" applyAlignment="1">
      <alignment horizontal="left" vertical="center"/>
    </xf>
    <xf numFmtId="166" fontId="57" fillId="12" borderId="6" xfId="0" applyNumberFormat="1" applyFont="1" applyFill="1" applyBorder="1" applyAlignment="1">
      <alignment horizontal="left" vertical="center"/>
    </xf>
    <xf numFmtId="165" fontId="57" fillId="12" borderId="6" xfId="0" applyNumberFormat="1" applyFont="1" applyFill="1" applyBorder="1" applyAlignment="1">
      <alignment horizontal="left" vertical="center"/>
    </xf>
    <xf numFmtId="164" fontId="54" fillId="0" borderId="0" xfId="0" applyNumberFormat="1" applyFont="1" applyAlignment="1">
      <alignment horizontal="left" vertical="center"/>
    </xf>
    <xf numFmtId="0" fontId="57" fillId="0" borderId="76" xfId="0" quotePrefix="1" applyFont="1" applyBorder="1" applyAlignment="1">
      <alignment horizontal="left" vertical="center"/>
    </xf>
    <xf numFmtId="0" fontId="57" fillId="8" borderId="8" xfId="0" applyFont="1" applyFill="1" applyBorder="1" applyAlignment="1">
      <alignment horizontal="left" vertical="center"/>
    </xf>
    <xf numFmtId="0" fontId="57" fillId="21" borderId="8" xfId="0" applyFont="1" applyFill="1" applyBorder="1" applyAlignment="1">
      <alignment horizontal="left" vertical="center"/>
    </xf>
    <xf numFmtId="0" fontId="57" fillId="11" borderId="8" xfId="0" applyFont="1" applyFill="1" applyBorder="1" applyAlignment="1">
      <alignment horizontal="left" vertical="center"/>
    </xf>
    <xf numFmtId="0" fontId="57" fillId="18" borderId="8" xfId="0" applyFont="1" applyFill="1" applyBorder="1" applyAlignment="1">
      <alignment horizontal="left" vertical="center"/>
    </xf>
    <xf numFmtId="0" fontId="57" fillId="7" borderId="8" xfId="0" applyFont="1" applyFill="1" applyBorder="1" applyAlignment="1">
      <alignment horizontal="left" vertical="center"/>
    </xf>
    <xf numFmtId="0" fontId="57" fillId="9" borderId="6" xfId="0" quotePrefix="1" applyFont="1" applyFill="1" applyBorder="1" applyAlignment="1">
      <alignment horizontal="left" vertical="center"/>
    </xf>
    <xf numFmtId="0" fontId="57" fillId="9" borderId="8" xfId="0" applyFont="1" applyFill="1" applyBorder="1" applyAlignment="1">
      <alignment horizontal="left" vertical="center"/>
    </xf>
    <xf numFmtId="0" fontId="57" fillId="0" borderId="0" xfId="0" quotePrefix="1" applyFont="1" applyAlignment="1">
      <alignment horizontal="left" vertical="center"/>
    </xf>
    <xf numFmtId="164" fontId="43" fillId="0" borderId="0" xfId="0" applyNumberFormat="1" applyFont="1" applyAlignment="1">
      <alignment horizontal="left" vertical="center"/>
    </xf>
    <xf numFmtId="0" fontId="57" fillId="8" borderId="80" xfId="0" applyFont="1" applyFill="1" applyBorder="1" applyAlignment="1">
      <alignment horizontal="left" vertical="center"/>
    </xf>
    <xf numFmtId="0" fontId="61" fillId="8" borderId="81" xfId="0" applyFont="1" applyFill="1" applyBorder="1" applyAlignment="1">
      <alignment horizontal="left" vertical="center"/>
    </xf>
    <xf numFmtId="0" fontId="61" fillId="8" borderId="8" xfId="0" applyFont="1" applyFill="1" applyBorder="1" applyAlignment="1">
      <alignment horizontal="left" vertical="center"/>
    </xf>
    <xf numFmtId="0" fontId="61" fillId="11" borderId="8" xfId="0" applyFont="1" applyFill="1" applyBorder="1" applyAlignment="1">
      <alignment horizontal="left" vertical="center"/>
    </xf>
    <xf numFmtId="0" fontId="61" fillId="12" borderId="8" xfId="0" applyFont="1" applyFill="1" applyBorder="1" applyAlignment="1">
      <alignment horizontal="left" vertical="center"/>
    </xf>
    <xf numFmtId="0" fontId="61" fillId="9" borderId="8" xfId="0" applyFont="1" applyFill="1" applyBorder="1" applyAlignment="1">
      <alignment horizontal="left" vertical="center"/>
    </xf>
    <xf numFmtId="0" fontId="57" fillId="16" borderId="6" xfId="0" applyFont="1" applyFill="1" applyBorder="1" applyAlignment="1">
      <alignment horizontal="left" vertical="center"/>
    </xf>
    <xf numFmtId="0" fontId="61" fillId="16" borderId="8" xfId="0" applyFont="1" applyFill="1" applyBorder="1" applyAlignment="1">
      <alignment horizontal="left" vertical="center"/>
    </xf>
    <xf numFmtId="0" fontId="64" fillId="7" borderId="4" xfId="0" applyFont="1" applyFill="1" applyBorder="1" applyAlignment="1">
      <alignment horizontal="left" vertical="center"/>
    </xf>
    <xf numFmtId="0" fontId="57" fillId="20" borderId="38" xfId="0" applyFont="1" applyFill="1" applyBorder="1" applyAlignment="1">
      <alignment horizontal="left" vertical="center"/>
    </xf>
    <xf numFmtId="167" fontId="57" fillId="20" borderId="6" xfId="0" applyNumberFormat="1" applyFont="1" applyFill="1" applyBorder="1" applyAlignment="1">
      <alignment horizontal="left" vertical="center"/>
    </xf>
    <xf numFmtId="0" fontId="57" fillId="20" borderId="6" xfId="0" quotePrefix="1" applyFont="1" applyFill="1" applyBorder="1" applyAlignment="1">
      <alignment horizontal="left" vertical="center"/>
    </xf>
    <xf numFmtId="0" fontId="57" fillId="20" borderId="8" xfId="0" applyFont="1" applyFill="1" applyBorder="1" applyAlignment="1">
      <alignment horizontal="left" vertical="center"/>
    </xf>
    <xf numFmtId="0" fontId="57" fillId="20" borderId="10" xfId="0" quotePrefix="1" applyFont="1" applyFill="1" applyBorder="1" applyAlignment="1">
      <alignment horizontal="left" vertical="center"/>
    </xf>
    <xf numFmtId="0" fontId="57" fillId="20" borderId="11" xfId="0" applyFont="1" applyFill="1" applyBorder="1" applyAlignment="1">
      <alignment horizontal="left" vertical="center"/>
    </xf>
    <xf numFmtId="0" fontId="64" fillId="7" borderId="44" xfId="0" applyFont="1" applyFill="1" applyBorder="1" applyAlignment="1">
      <alignment horizontal="left" vertical="center"/>
    </xf>
    <xf numFmtId="0" fontId="57" fillId="20" borderId="63" xfId="0" quotePrefix="1" applyFont="1" applyFill="1" applyBorder="1" applyAlignment="1">
      <alignment horizontal="left" vertical="center"/>
    </xf>
    <xf numFmtId="0" fontId="57" fillId="20" borderId="64" xfId="0" applyFont="1" applyFill="1" applyBorder="1" applyAlignment="1">
      <alignment horizontal="left" vertical="center"/>
    </xf>
    <xf numFmtId="167" fontId="57" fillId="20" borderId="10" xfId="0" applyNumberFormat="1" applyFont="1" applyFill="1" applyBorder="1" applyAlignment="1">
      <alignment horizontal="left" vertical="center"/>
    </xf>
    <xf numFmtId="0" fontId="57" fillId="20" borderId="80" xfId="0" quotePrefix="1" applyFont="1" applyFill="1" applyBorder="1" applyAlignment="1">
      <alignment horizontal="left" vertical="center"/>
    </xf>
    <xf numFmtId="0" fontId="57" fillId="20" borderId="81" xfId="0" applyFont="1" applyFill="1" applyBorder="1" applyAlignment="1">
      <alignment horizontal="left" vertical="center"/>
    </xf>
    <xf numFmtId="167" fontId="57" fillId="20" borderId="60" xfId="0" applyNumberFormat="1" applyFont="1" applyFill="1" applyBorder="1" applyAlignment="1">
      <alignment horizontal="left" vertical="center"/>
    </xf>
    <xf numFmtId="0" fontId="57" fillId="20" borderId="60" xfId="0" quotePrefix="1" applyFont="1" applyFill="1" applyBorder="1" applyAlignment="1">
      <alignment horizontal="left" vertical="center"/>
    </xf>
    <xf numFmtId="0" fontId="57" fillId="20" borderId="61" xfId="0" applyFont="1" applyFill="1" applyBorder="1" applyAlignment="1">
      <alignment horizontal="left" vertical="center"/>
    </xf>
    <xf numFmtId="165" fontId="57" fillId="20" borderId="10" xfId="0" applyNumberFormat="1" applyFont="1" applyFill="1" applyBorder="1" applyAlignment="1">
      <alignment horizontal="left" vertical="center"/>
    </xf>
    <xf numFmtId="164" fontId="61" fillId="0" borderId="0" xfId="0" applyNumberFormat="1" applyFont="1" applyAlignment="1">
      <alignment horizontal="left" vertical="center"/>
    </xf>
    <xf numFmtId="0" fontId="57" fillId="8" borderId="6" xfId="0" quotePrefix="1" applyFont="1" applyFill="1" applyBorder="1" applyAlignment="1">
      <alignment horizontal="center" vertical="center" wrapText="1"/>
    </xf>
    <xf numFmtId="0" fontId="57" fillId="11" borderId="10" xfId="0" applyFont="1" applyFill="1" applyBorder="1" applyAlignment="1">
      <alignment horizontal="center" vertical="center" wrapText="1"/>
    </xf>
    <xf numFmtId="2" fontId="61" fillId="10" borderId="6" xfId="0" applyNumberFormat="1" applyFont="1" applyFill="1" applyBorder="1" applyAlignment="1">
      <alignment horizontal="center" vertical="center" wrapText="1"/>
    </xf>
    <xf numFmtId="0" fontId="61" fillId="10" borderId="10" xfId="0" applyFont="1" applyFill="1" applyBorder="1" applyAlignment="1">
      <alignment horizontal="center" vertical="center" wrapText="1"/>
    </xf>
    <xf numFmtId="1" fontId="57" fillId="15" borderId="63" xfId="0" applyNumberFormat="1" applyFont="1" applyFill="1" applyBorder="1" applyAlignment="1">
      <alignment horizontal="center" vertical="center" wrapText="1"/>
    </xf>
    <xf numFmtId="1" fontId="57" fillId="15" borderId="6" xfId="0" applyNumberFormat="1" applyFont="1" applyFill="1" applyBorder="1" applyAlignment="1">
      <alignment horizontal="center" vertical="center" wrapText="1"/>
    </xf>
    <xf numFmtId="0" fontId="61" fillId="7" borderId="10" xfId="0" applyFont="1" applyFill="1" applyBorder="1" applyAlignment="1">
      <alignment horizontal="center" vertical="center" wrapText="1"/>
    </xf>
    <xf numFmtId="166" fontId="57" fillId="0" borderId="63" xfId="0" applyNumberFormat="1" applyFont="1" applyBorder="1" applyAlignment="1">
      <alignment horizontal="center" vertical="center" wrapText="1"/>
    </xf>
    <xf numFmtId="0" fontId="57" fillId="0" borderId="63" xfId="0" applyFont="1" applyBorder="1" applyAlignment="1">
      <alignment horizontal="center" vertical="center" wrapText="1"/>
    </xf>
    <xf numFmtId="164" fontId="61" fillId="0" borderId="6" xfId="0" applyNumberFormat="1" applyFont="1" applyBorder="1" applyAlignment="1">
      <alignment horizontal="center" vertical="center"/>
    </xf>
    <xf numFmtId="0" fontId="61" fillId="0" borderId="6" xfId="0" applyFont="1" applyBorder="1" applyAlignment="1">
      <alignment horizontal="center" vertical="center"/>
    </xf>
    <xf numFmtId="0" fontId="58" fillId="6" borderId="0" xfId="0" applyFont="1" applyFill="1" applyAlignment="1">
      <alignment horizontal="left"/>
    </xf>
    <xf numFmtId="0" fontId="54" fillId="8" borderId="6" xfId="0" quotePrefix="1" applyFont="1" applyFill="1" applyBorder="1" applyAlignment="1">
      <alignment horizontal="left" vertical="center"/>
    </xf>
    <xf numFmtId="0" fontId="54" fillId="10" borderId="6" xfId="0" quotePrefix="1" applyFont="1" applyFill="1" applyBorder="1" applyAlignment="1">
      <alignment horizontal="left" vertical="center"/>
    </xf>
    <xf numFmtId="0" fontId="54" fillId="7" borderId="6" xfId="0" quotePrefix="1" applyFont="1" applyFill="1" applyBorder="1" applyAlignment="1">
      <alignment horizontal="left" vertical="center"/>
    </xf>
    <xf numFmtId="0" fontId="37" fillId="0" borderId="0" xfId="0" applyFont="1" applyAlignment="1">
      <alignment horizontal="left" vertical="center"/>
    </xf>
    <xf numFmtId="164" fontId="57" fillId="0" borderId="13" xfId="0" applyNumberFormat="1" applyFont="1" applyBorder="1" applyAlignment="1">
      <alignment horizontal="left" vertical="center"/>
    </xf>
    <xf numFmtId="167" fontId="57" fillId="20" borderId="63" xfId="0" applyNumberFormat="1" applyFont="1" applyFill="1" applyBorder="1" applyAlignment="1">
      <alignment horizontal="left" vertical="center"/>
    </xf>
    <xf numFmtId="167" fontId="57" fillId="20" borderId="80" xfId="0" applyNumberFormat="1" applyFont="1" applyFill="1" applyBorder="1" applyAlignment="1">
      <alignment horizontal="left" vertical="center"/>
    </xf>
    <xf numFmtId="167" fontId="57" fillId="20" borderId="15" xfId="0" applyNumberFormat="1" applyFont="1" applyFill="1" applyBorder="1" applyAlignment="1">
      <alignment horizontal="left" vertical="center"/>
    </xf>
    <xf numFmtId="164" fontId="57" fillId="0" borderId="88" xfId="0" quotePrefix="1" applyNumberFormat="1" applyFont="1" applyBorder="1" applyAlignment="1">
      <alignment horizontal="left" vertical="center"/>
    </xf>
    <xf numFmtId="0" fontId="57" fillId="0" borderId="88" xfId="0" quotePrefix="1" applyFont="1" applyBorder="1" applyAlignment="1">
      <alignment horizontal="left" vertical="center"/>
    </xf>
    <xf numFmtId="0" fontId="57" fillId="0" borderId="87" xfId="0" quotePrefix="1" applyFont="1" applyBorder="1" applyAlignment="1">
      <alignment horizontal="left" vertical="center"/>
    </xf>
    <xf numFmtId="0" fontId="65" fillId="7" borderId="83" xfId="0" applyFont="1" applyFill="1" applyBorder="1" applyAlignment="1">
      <alignment horizontal="left" vertical="center"/>
    </xf>
    <xf numFmtId="0" fontId="65" fillId="7" borderId="71" xfId="0" applyFont="1" applyFill="1" applyBorder="1" applyAlignment="1">
      <alignment horizontal="left" vertical="center"/>
    </xf>
    <xf numFmtId="0" fontId="65" fillId="7" borderId="84" xfId="0" applyFont="1" applyFill="1" applyBorder="1" applyAlignment="1">
      <alignment horizontal="left" vertical="center"/>
    </xf>
    <xf numFmtId="0" fontId="57" fillId="0" borderId="9" xfId="0" applyFont="1" applyBorder="1" applyAlignment="1">
      <alignment vertical="center"/>
    </xf>
    <xf numFmtId="0" fontId="57" fillId="19" borderId="87" xfId="0" applyFont="1" applyFill="1" applyBorder="1" applyAlignment="1">
      <alignment horizontal="center" vertical="center"/>
    </xf>
    <xf numFmtId="0" fontId="57" fillId="19" borderId="87" xfId="0" applyFont="1" applyFill="1" applyBorder="1" applyAlignment="1">
      <alignment horizontal="center" vertical="center" wrapText="1"/>
    </xf>
    <xf numFmtId="0" fontId="57" fillId="19" borderId="6" xfId="0" applyFont="1" applyFill="1" applyBorder="1" applyAlignment="1">
      <alignment horizontal="left" vertical="center"/>
    </xf>
    <xf numFmtId="0" fontId="57" fillId="19" borderId="6" xfId="0" quotePrefix="1" applyFont="1" applyFill="1" applyBorder="1" applyAlignment="1">
      <alignment horizontal="left" vertical="center"/>
    </xf>
    <xf numFmtId="0" fontId="57" fillId="19" borderId="8" xfId="0" applyFont="1" applyFill="1" applyBorder="1" applyAlignment="1">
      <alignment horizontal="left" vertical="center"/>
    </xf>
    <xf numFmtId="0" fontId="61" fillId="19" borderId="6" xfId="0" applyFont="1" applyFill="1" applyBorder="1" applyAlignment="1">
      <alignment horizontal="left" vertical="center"/>
    </xf>
    <xf numFmtId="0" fontId="61" fillId="19" borderId="8" xfId="0" applyFont="1" applyFill="1" applyBorder="1" applyAlignment="1">
      <alignment horizontal="left" vertical="center"/>
    </xf>
    <xf numFmtId="0" fontId="61" fillId="11" borderId="6" xfId="0" applyFont="1" applyFill="1" applyBorder="1" applyAlignment="1">
      <alignment horizontal="left" vertical="center" wrapText="1"/>
    </xf>
    <xf numFmtId="166" fontId="61" fillId="11" borderId="6" xfId="0" applyNumberFormat="1" applyFont="1" applyFill="1" applyBorder="1" applyAlignment="1">
      <alignment horizontal="center" vertical="center" wrapText="1"/>
    </xf>
    <xf numFmtId="0" fontId="61" fillId="11" borderId="6" xfId="0" quotePrefix="1" applyFont="1" applyFill="1" applyBorder="1" applyAlignment="1">
      <alignment horizontal="center" vertical="center" wrapText="1"/>
    </xf>
    <xf numFmtId="2" fontId="57" fillId="19" borderId="87" xfId="0" applyNumberFormat="1" applyFont="1" applyFill="1" applyBorder="1" applyAlignment="1">
      <alignment horizontal="center" vertical="center" wrapText="1"/>
    </xf>
    <xf numFmtId="0" fontId="57" fillId="19" borderId="6" xfId="0" applyFont="1" applyFill="1" applyBorder="1" applyAlignment="1">
      <alignment horizontal="center" vertical="center"/>
    </xf>
    <xf numFmtId="0" fontId="57" fillId="11" borderId="87" xfId="0" applyFont="1" applyFill="1" applyBorder="1" applyAlignment="1">
      <alignment horizontal="left" vertical="center"/>
    </xf>
    <xf numFmtId="2" fontId="57" fillId="11" borderId="6" xfId="0" applyNumberFormat="1" applyFont="1" applyFill="1" applyBorder="1" applyAlignment="1">
      <alignment horizontal="left" vertical="center"/>
    </xf>
    <xf numFmtId="0" fontId="57" fillId="11" borderId="6" xfId="0" quotePrefix="1" applyFont="1" applyFill="1" applyBorder="1" applyAlignment="1">
      <alignment horizontal="center" vertical="center" wrapText="1"/>
    </xf>
    <xf numFmtId="0" fontId="57" fillId="0" borderId="87" xfId="0" applyFont="1" applyBorder="1" applyAlignment="1">
      <alignment horizontal="left" vertical="center" wrapText="1"/>
    </xf>
    <xf numFmtId="0" fontId="57" fillId="0" borderId="88" xfId="0" applyFont="1" applyBorder="1" applyAlignment="1">
      <alignment horizontal="left" vertical="center" wrapText="1"/>
    </xf>
    <xf numFmtId="0" fontId="57" fillId="0" borderId="87" xfId="0" applyFont="1" applyBorder="1" applyAlignment="1">
      <alignment horizontal="left" vertical="center"/>
    </xf>
    <xf numFmtId="0" fontId="61" fillId="9" borderId="80" xfId="0" applyFont="1" applyFill="1" applyBorder="1" applyAlignment="1">
      <alignment horizontal="center" vertical="center" wrapText="1"/>
    </xf>
    <xf numFmtId="0" fontId="64" fillId="7" borderId="74" xfId="0" applyFont="1" applyFill="1" applyBorder="1" applyAlignment="1">
      <alignment horizontal="left" vertical="center"/>
    </xf>
    <xf numFmtId="0" fontId="57" fillId="0" borderId="80" xfId="0" applyFont="1" applyBorder="1" applyAlignment="1">
      <alignment horizontal="left" vertical="center"/>
    </xf>
    <xf numFmtId="0" fontId="57" fillId="0" borderId="80" xfId="0" applyFont="1" applyBorder="1" applyAlignment="1">
      <alignment horizontal="center" vertical="center"/>
    </xf>
    <xf numFmtId="0" fontId="54" fillId="0" borderId="15" xfId="0" applyFont="1" applyBorder="1" applyAlignment="1">
      <alignment horizontal="left" vertical="center"/>
    </xf>
    <xf numFmtId="0" fontId="54" fillId="0" borderId="7" xfId="0" applyFont="1" applyBorder="1" applyAlignment="1">
      <alignment horizontal="left" vertical="center"/>
    </xf>
    <xf numFmtId="0" fontId="64" fillId="7" borderId="78" xfId="0" applyFont="1" applyFill="1" applyBorder="1" applyAlignment="1">
      <alignment vertical="center" wrapText="1"/>
    </xf>
    <xf numFmtId="0" fontId="57" fillId="0" borderId="87" xfId="0" applyFont="1" applyBorder="1" applyAlignment="1">
      <alignment horizontal="center" vertical="center" wrapText="1"/>
    </xf>
    <xf numFmtId="0" fontId="54" fillId="20" borderId="88" xfId="0" applyFont="1" applyFill="1" applyBorder="1" applyAlignment="1">
      <alignment horizontal="center" vertical="center" wrapText="1"/>
    </xf>
    <xf numFmtId="0" fontId="54" fillId="20" borderId="76" xfId="0" applyFont="1" applyFill="1" applyBorder="1" applyAlignment="1">
      <alignment horizontal="center" vertical="center" wrapText="1"/>
    </xf>
    <xf numFmtId="0" fontId="54" fillId="20" borderId="6" xfId="0" quotePrefix="1" applyFont="1" applyFill="1" applyBorder="1" applyAlignment="1">
      <alignment horizontal="left" vertical="center"/>
    </xf>
    <xf numFmtId="0" fontId="64" fillId="7" borderId="71" xfId="0" applyFont="1" applyFill="1" applyBorder="1" applyAlignment="1">
      <alignment horizontal="center" vertical="center" wrapText="1"/>
    </xf>
    <xf numFmtId="2" fontId="61" fillId="10" borderId="76" xfId="0" applyNumberFormat="1" applyFont="1" applyFill="1" applyBorder="1" applyAlignment="1">
      <alignment horizontal="center" vertical="center" wrapText="1"/>
    </xf>
    <xf numFmtId="0" fontId="61" fillId="10" borderId="76" xfId="0" applyFont="1" applyFill="1" applyBorder="1" applyAlignment="1">
      <alignment horizontal="center" vertical="center" wrapText="1"/>
    </xf>
    <xf numFmtId="164" fontId="61" fillId="10" borderId="6" xfId="0" applyNumberFormat="1" applyFont="1" applyFill="1" applyBorder="1" applyAlignment="1">
      <alignment horizontal="center" vertical="center" wrapText="1"/>
    </xf>
    <xf numFmtId="0" fontId="61" fillId="10" borderId="88" xfId="0" applyFont="1" applyFill="1" applyBorder="1" applyAlignment="1">
      <alignment horizontal="left" vertical="center" wrapText="1"/>
    </xf>
    <xf numFmtId="2" fontId="61" fillId="10" borderId="88" xfId="0" applyNumberFormat="1" applyFont="1" applyFill="1" applyBorder="1" applyAlignment="1">
      <alignment horizontal="center" vertical="center" wrapText="1"/>
    </xf>
    <xf numFmtId="0" fontId="61" fillId="10" borderId="88" xfId="0" applyFont="1" applyFill="1" applyBorder="1" applyAlignment="1">
      <alignment horizontal="center" vertical="center" wrapText="1"/>
    </xf>
    <xf numFmtId="2" fontId="61" fillId="22" borderId="76" xfId="0" applyNumberFormat="1" applyFont="1" applyFill="1" applyBorder="1" applyAlignment="1">
      <alignment horizontal="center" vertical="center" wrapText="1"/>
    </xf>
    <xf numFmtId="0" fontId="61" fillId="22" borderId="76" xfId="0" applyFont="1" applyFill="1" applyBorder="1" applyAlignment="1">
      <alignment horizontal="center" vertical="center" wrapText="1"/>
    </xf>
    <xf numFmtId="2" fontId="61" fillId="22" borderId="6" xfId="0" applyNumberFormat="1" applyFont="1" applyFill="1" applyBorder="1" applyAlignment="1">
      <alignment horizontal="center" vertical="center" wrapText="1"/>
    </xf>
    <xf numFmtId="0" fontId="61" fillId="22" borderId="6" xfId="0" applyFont="1" applyFill="1" applyBorder="1" applyAlignment="1">
      <alignment horizontal="center" vertical="center" wrapText="1"/>
    </xf>
    <xf numFmtId="0" fontId="61" fillId="22" borderId="10" xfId="0" applyFont="1" applyFill="1" applyBorder="1" applyAlignment="1">
      <alignment horizontal="center" vertical="center" wrapText="1"/>
    </xf>
    <xf numFmtId="0" fontId="61" fillId="20" borderId="76" xfId="0" applyFont="1" applyFill="1" applyBorder="1" applyAlignment="1">
      <alignment horizontal="center" vertical="center" wrapText="1"/>
    </xf>
    <xf numFmtId="0" fontId="61" fillId="20" borderId="6" xfId="0" applyFont="1" applyFill="1" applyBorder="1" applyAlignment="1">
      <alignment horizontal="left" vertical="center" wrapText="1"/>
    </xf>
    <xf numFmtId="0" fontId="61" fillId="20" borderId="6" xfId="0" applyFont="1" applyFill="1" applyBorder="1" applyAlignment="1">
      <alignment horizontal="center" vertical="center" wrapText="1"/>
    </xf>
    <xf numFmtId="0" fontId="61" fillId="20" borderId="10" xfId="0" applyFont="1" applyFill="1" applyBorder="1" applyAlignment="1">
      <alignment horizontal="left" vertical="center" wrapText="1"/>
    </xf>
    <xf numFmtId="0" fontId="61" fillId="20" borderId="10" xfId="0" applyFont="1" applyFill="1" applyBorder="1" applyAlignment="1">
      <alignment horizontal="center" vertical="center" wrapText="1"/>
    </xf>
    <xf numFmtId="166" fontId="61" fillId="20" borderId="6" xfId="0" applyNumberFormat="1" applyFont="1" applyFill="1" applyBorder="1" applyAlignment="1">
      <alignment horizontal="center" vertical="center" wrapText="1"/>
    </xf>
    <xf numFmtId="0" fontId="61" fillId="20" borderId="6" xfId="0" quotePrefix="1" applyFont="1" applyFill="1" applyBorder="1" applyAlignment="1">
      <alignment horizontal="center" vertical="center" wrapText="1"/>
    </xf>
    <xf numFmtId="0" fontId="57" fillId="10" borderId="92" xfId="0" applyFont="1" applyFill="1" applyBorder="1" applyAlignment="1">
      <alignment horizontal="left" vertical="center"/>
    </xf>
    <xf numFmtId="0" fontId="57" fillId="10" borderId="88" xfId="0" applyFont="1" applyFill="1" applyBorder="1" applyAlignment="1">
      <alignment horizontal="center" vertical="center" wrapText="1"/>
    </xf>
    <xf numFmtId="0" fontId="64" fillId="2" borderId="0" xfId="0" applyFont="1" applyFill="1" applyAlignment="1">
      <alignment horizontal="center" vertical="center"/>
    </xf>
    <xf numFmtId="0" fontId="57" fillId="20" borderId="6" xfId="0" applyFont="1" applyFill="1" applyBorder="1" applyAlignment="1">
      <alignment horizontal="center" vertical="center" wrapText="1"/>
    </xf>
    <xf numFmtId="0" fontId="57" fillId="20" borderId="6" xfId="0" applyFont="1" applyFill="1" applyBorder="1" applyAlignment="1">
      <alignment horizontal="center" vertical="center"/>
    </xf>
    <xf numFmtId="0" fontId="54" fillId="10" borderId="88" xfId="0" quotePrefix="1" applyFont="1" applyFill="1" applyBorder="1" applyAlignment="1">
      <alignment horizontal="left" vertical="center"/>
    </xf>
    <xf numFmtId="0" fontId="54" fillId="10" borderId="10" xfId="0" quotePrefix="1" applyFont="1" applyFill="1" applyBorder="1" applyAlignment="1">
      <alignment horizontal="left" vertical="center"/>
    </xf>
    <xf numFmtId="0" fontId="54" fillId="7" borderId="88" xfId="0" quotePrefix="1" applyFont="1" applyFill="1" applyBorder="1" applyAlignment="1">
      <alignment horizontal="left" vertical="center"/>
    </xf>
    <xf numFmtId="0" fontId="54" fillId="7" borderId="10" xfId="0" quotePrefix="1" applyFont="1" applyFill="1" applyBorder="1" applyAlignment="1">
      <alignment horizontal="left" vertical="center"/>
    </xf>
    <xf numFmtId="0" fontId="61" fillId="0" borderId="0" xfId="0" applyFont="1" applyAlignment="1">
      <alignment vertical="center"/>
    </xf>
    <xf numFmtId="2" fontId="57" fillId="9" borderId="6" xfId="0" applyNumberFormat="1" applyFont="1" applyFill="1" applyBorder="1" applyAlignment="1">
      <alignment horizontal="left" vertical="center"/>
    </xf>
    <xf numFmtId="164" fontId="54" fillId="9" borderId="6" xfId="0" applyNumberFormat="1" applyFont="1" applyFill="1" applyBorder="1" applyAlignment="1">
      <alignment horizontal="left" vertical="center"/>
    </xf>
    <xf numFmtId="0" fontId="57" fillId="0" borderId="87" xfId="0" applyFont="1" applyBorder="1" applyAlignment="1">
      <alignment vertical="center"/>
    </xf>
    <xf numFmtId="0" fontId="54" fillId="0" borderId="87" xfId="0" applyFont="1" applyBorder="1" applyAlignment="1">
      <alignment horizontal="center" vertical="center"/>
    </xf>
    <xf numFmtId="0" fontId="91" fillId="0" borderId="9" xfId="35" applyFont="1" applyBorder="1" applyAlignment="1">
      <alignment horizontal="left" vertical="center" wrapText="1"/>
    </xf>
    <xf numFmtId="0" fontId="54" fillId="20" borderId="96" xfId="0" applyFont="1" applyFill="1" applyBorder="1" applyAlignment="1">
      <alignment horizontal="center" vertical="center"/>
    </xf>
    <xf numFmtId="0" fontId="57" fillId="9" borderId="96" xfId="0" applyFont="1" applyFill="1" applyBorder="1" applyAlignment="1">
      <alignment horizontal="left" vertical="center"/>
    </xf>
    <xf numFmtId="166" fontId="57" fillId="9" borderId="87" xfId="0" applyNumberFormat="1" applyFont="1" applyFill="1" applyBorder="1" applyAlignment="1">
      <alignment horizontal="center" vertical="center" wrapText="1"/>
    </xf>
    <xf numFmtId="0" fontId="57" fillId="9" borderId="87" xfId="0" applyFont="1" applyFill="1" applyBorder="1" applyAlignment="1">
      <alignment horizontal="center" vertical="center" wrapText="1"/>
    </xf>
    <xf numFmtId="2" fontId="57" fillId="9" borderId="87" xfId="0" applyNumberFormat="1" applyFont="1" applyFill="1" applyBorder="1" applyAlignment="1">
      <alignment horizontal="center" vertical="center" wrapText="1"/>
    </xf>
    <xf numFmtId="166" fontId="57" fillId="24" borderId="87" xfId="0" applyNumberFormat="1" applyFont="1" applyFill="1" applyBorder="1" applyAlignment="1">
      <alignment horizontal="center" vertical="center" wrapText="1"/>
    </xf>
    <xf numFmtId="0" fontId="57" fillId="24" borderId="87" xfId="0" applyFont="1" applyFill="1" applyBorder="1" applyAlignment="1">
      <alignment horizontal="center" vertical="center" wrapText="1"/>
    </xf>
    <xf numFmtId="2" fontId="57" fillId="24" borderId="87" xfId="0" applyNumberFormat="1" applyFont="1" applyFill="1" applyBorder="1" applyAlignment="1">
      <alignment horizontal="center" vertical="center" wrapText="1"/>
    </xf>
    <xf numFmtId="0" fontId="54" fillId="24" borderId="87" xfId="0" applyFont="1" applyFill="1" applyBorder="1" applyAlignment="1">
      <alignment horizontal="center"/>
    </xf>
    <xf numFmtId="165" fontId="57" fillId="24" borderId="87" xfId="0" applyNumberFormat="1" applyFont="1" applyFill="1" applyBorder="1" applyAlignment="1">
      <alignment horizontal="center" vertical="center"/>
    </xf>
    <xf numFmtId="0" fontId="57" fillId="21" borderId="87" xfId="0" applyFont="1" applyFill="1" applyBorder="1" applyAlignment="1">
      <alignment horizontal="left" vertical="center" wrapText="1"/>
    </xf>
    <xf numFmtId="164" fontId="57" fillId="21" borderId="88" xfId="0" applyNumberFormat="1" applyFont="1" applyFill="1" applyBorder="1" applyAlignment="1">
      <alignment horizontal="center" vertical="center" wrapText="1"/>
    </xf>
    <xf numFmtId="0" fontId="57" fillId="21" borderId="88" xfId="0" applyFont="1" applyFill="1" applyBorder="1" applyAlignment="1">
      <alignment horizontal="center" vertical="center" wrapText="1"/>
    </xf>
    <xf numFmtId="164" fontId="61" fillId="21" borderId="87" xfId="0" applyNumberFormat="1" applyFont="1" applyFill="1" applyBorder="1" applyAlignment="1">
      <alignment horizontal="center" vertical="center"/>
    </xf>
    <xf numFmtId="0" fontId="61" fillId="21" borderId="87" xfId="0" applyFont="1" applyFill="1" applyBorder="1" applyAlignment="1">
      <alignment horizontal="center" vertical="center"/>
    </xf>
    <xf numFmtId="0" fontId="57" fillId="21" borderId="99" xfId="0" applyFont="1" applyFill="1" applyBorder="1" applyAlignment="1">
      <alignment horizontal="left" vertical="center" wrapText="1"/>
    </xf>
    <xf numFmtId="164" fontId="57" fillId="21" borderId="99" xfId="0" applyNumberFormat="1" applyFont="1" applyFill="1" applyBorder="1" applyAlignment="1">
      <alignment horizontal="center" vertical="center" wrapText="1"/>
    </xf>
    <xf numFmtId="0" fontId="57" fillId="21" borderId="99" xfId="0" applyFont="1" applyFill="1" applyBorder="1" applyAlignment="1">
      <alignment horizontal="center" vertical="center" wrapText="1"/>
    </xf>
    <xf numFmtId="2" fontId="57" fillId="21" borderId="87" xfId="0" applyNumberFormat="1" applyFont="1" applyFill="1" applyBorder="1" applyAlignment="1">
      <alignment horizontal="center" vertical="center" wrapText="1"/>
    </xf>
    <xf numFmtId="0" fontId="57" fillId="21" borderId="87" xfId="0" applyFont="1" applyFill="1" applyBorder="1" applyAlignment="1">
      <alignment horizontal="center" vertical="center" wrapText="1"/>
    </xf>
    <xf numFmtId="0" fontId="57" fillId="11" borderId="96" xfId="0" applyFont="1" applyFill="1" applyBorder="1" applyAlignment="1">
      <alignment horizontal="left" vertical="center"/>
    </xf>
    <xf numFmtId="0" fontId="57" fillId="11" borderId="87" xfId="0" applyFont="1" applyFill="1" applyBorder="1" applyAlignment="1">
      <alignment horizontal="left" vertical="center" wrapText="1"/>
    </xf>
    <xf numFmtId="0" fontId="57" fillId="11" borderId="87" xfId="0" applyFont="1" applyFill="1" applyBorder="1" applyAlignment="1">
      <alignment horizontal="center" vertical="center" wrapText="1"/>
    </xf>
    <xf numFmtId="0" fontId="57" fillId="11" borderId="87" xfId="0" applyFont="1" applyFill="1" applyBorder="1" applyAlignment="1">
      <alignment horizontal="center" vertical="center"/>
    </xf>
    <xf numFmtId="0" fontId="57" fillId="11" borderId="96" xfId="0" applyFont="1" applyFill="1" applyBorder="1" applyAlignment="1">
      <alignment vertical="center"/>
    </xf>
    <xf numFmtId="0" fontId="61" fillId="11" borderId="87" xfId="0" applyFont="1" applyFill="1" applyBorder="1" applyAlignment="1">
      <alignment horizontal="left" vertical="center" wrapText="1"/>
    </xf>
    <xf numFmtId="164" fontId="57" fillId="11" borderId="10" xfId="0" applyNumberFormat="1" applyFont="1" applyFill="1" applyBorder="1" applyAlignment="1">
      <alignment horizontal="center" vertical="center"/>
    </xf>
    <xf numFmtId="0" fontId="57" fillId="11" borderId="11" xfId="0" applyFont="1" applyFill="1" applyBorder="1" applyAlignment="1">
      <alignment horizontal="left" vertical="center"/>
    </xf>
    <xf numFmtId="0" fontId="57" fillId="11" borderId="88" xfId="0" quotePrefix="1" applyFont="1" applyFill="1" applyBorder="1" applyAlignment="1">
      <alignment horizontal="center" vertical="center" wrapText="1"/>
    </xf>
    <xf numFmtId="0" fontId="57" fillId="11" borderId="88" xfId="0" applyFont="1" applyFill="1" applyBorder="1" applyAlignment="1">
      <alignment horizontal="center" vertical="center" wrapText="1"/>
    </xf>
    <xf numFmtId="0" fontId="57" fillId="11" borderId="88" xfId="0" applyFont="1" applyFill="1" applyBorder="1" applyAlignment="1">
      <alignment horizontal="center" vertical="center"/>
    </xf>
    <xf numFmtId="0" fontId="57" fillId="15" borderId="87" xfId="0" applyFont="1" applyFill="1" applyBorder="1" applyAlignment="1">
      <alignment horizontal="left" vertical="center" wrapText="1"/>
    </xf>
    <xf numFmtId="0" fontId="61" fillId="15" borderId="87" xfId="0" applyFont="1" applyFill="1" applyBorder="1" applyAlignment="1">
      <alignment horizontal="left" vertical="center" wrapText="1"/>
    </xf>
    <xf numFmtId="0" fontId="61" fillId="11" borderId="96" xfId="0" applyFont="1" applyFill="1" applyBorder="1" applyAlignment="1">
      <alignment horizontal="left" vertical="center"/>
    </xf>
    <xf numFmtId="166" fontId="61" fillId="11" borderId="87" xfId="0" applyNumberFormat="1" applyFont="1" applyFill="1" applyBorder="1" applyAlignment="1">
      <alignment horizontal="center" vertical="center" wrapText="1"/>
    </xf>
    <xf numFmtId="0" fontId="61" fillId="11" borderId="87" xfId="0" quotePrefix="1" applyFont="1" applyFill="1" applyBorder="1" applyAlignment="1">
      <alignment horizontal="center" vertical="center" wrapText="1"/>
    </xf>
    <xf numFmtId="0" fontId="57" fillId="25" borderId="37" xfId="0" quotePrefix="1" applyFont="1" applyFill="1" applyBorder="1" applyAlignment="1">
      <alignment horizontal="left" vertical="center"/>
    </xf>
    <xf numFmtId="0" fontId="57" fillId="25" borderId="15" xfId="0" applyFont="1" applyFill="1" applyBorder="1" applyAlignment="1">
      <alignment horizontal="left" vertical="center"/>
    </xf>
    <xf numFmtId="0" fontId="57" fillId="25" borderId="15" xfId="0" quotePrefix="1" applyFont="1" applyFill="1" applyBorder="1" applyAlignment="1">
      <alignment horizontal="left" vertical="center"/>
    </xf>
    <xf numFmtId="0" fontId="57" fillId="25" borderId="7" xfId="0" quotePrefix="1" applyFont="1" applyFill="1" applyBorder="1" applyAlignment="1">
      <alignment horizontal="left" vertical="center"/>
    </xf>
    <xf numFmtId="0" fontId="57" fillId="25" borderId="6" xfId="0" applyFont="1" applyFill="1" applyBorder="1" applyAlignment="1">
      <alignment horizontal="left" vertical="center"/>
    </xf>
    <xf numFmtId="0" fontId="57" fillId="25" borderId="6" xfId="0" quotePrefix="1" applyFont="1" applyFill="1" applyBorder="1" applyAlignment="1">
      <alignment horizontal="left" vertical="center"/>
    </xf>
    <xf numFmtId="166" fontId="57" fillId="25" borderId="6" xfId="0" applyNumberFormat="1" applyFont="1" applyFill="1" applyBorder="1" applyAlignment="1">
      <alignment horizontal="left" vertical="center"/>
    </xf>
    <xf numFmtId="165" fontId="57" fillId="25" borderId="6" xfId="0" applyNumberFormat="1" applyFont="1" applyFill="1" applyBorder="1" applyAlignment="1">
      <alignment horizontal="left" vertical="center"/>
    </xf>
    <xf numFmtId="0" fontId="57" fillId="25" borderId="9" xfId="0" quotePrefix="1" applyFont="1" applyFill="1" applyBorder="1" applyAlignment="1">
      <alignment horizontal="left" vertical="center"/>
    </xf>
    <xf numFmtId="0" fontId="57" fillId="25" borderId="10" xfId="0" applyFont="1" applyFill="1" applyBorder="1" applyAlignment="1">
      <alignment horizontal="left" vertical="center"/>
    </xf>
    <xf numFmtId="0" fontId="57" fillId="25" borderId="10" xfId="0" quotePrefix="1" applyFont="1" applyFill="1" applyBorder="1" applyAlignment="1">
      <alignment horizontal="left" vertical="center"/>
    </xf>
    <xf numFmtId="0" fontId="57" fillId="0" borderId="99" xfId="0" applyFont="1" applyBorder="1" applyAlignment="1">
      <alignment horizontal="left" vertical="center"/>
    </xf>
    <xf numFmtId="0" fontId="19" fillId="0" borderId="96" xfId="0" applyFont="1" applyBorder="1" applyAlignment="1">
      <alignment horizontal="left" vertical="center"/>
    </xf>
    <xf numFmtId="0" fontId="19" fillId="0" borderId="92" xfId="0" applyFont="1" applyBorder="1" applyAlignment="1">
      <alignment horizontal="left" vertical="center"/>
    </xf>
    <xf numFmtId="0" fontId="19" fillId="0" borderId="9" xfId="0" applyFont="1" applyBorder="1" applyAlignment="1">
      <alignment horizontal="left" vertical="center"/>
    </xf>
    <xf numFmtId="0" fontId="57" fillId="8" borderId="87" xfId="0" quotePrefix="1" applyFont="1" applyFill="1" applyBorder="1" applyAlignment="1">
      <alignment horizontal="left" vertical="center"/>
    </xf>
    <xf numFmtId="0" fontId="57" fillId="8" borderId="88" xfId="0" quotePrefix="1" applyFont="1" applyFill="1" applyBorder="1" applyAlignment="1">
      <alignment horizontal="left" vertical="center"/>
    </xf>
    <xf numFmtId="0" fontId="65" fillId="7" borderId="82" xfId="0" applyFont="1" applyFill="1" applyBorder="1" applyAlignment="1">
      <alignment horizontal="left" vertical="center"/>
    </xf>
    <xf numFmtId="0" fontId="57" fillId="8" borderId="96" xfId="0" applyFont="1" applyFill="1" applyBorder="1" applyAlignment="1">
      <alignment horizontal="left" vertical="center"/>
    </xf>
    <xf numFmtId="0" fontId="57" fillId="8" borderId="97" xfId="0" applyFont="1" applyFill="1" applyBorder="1" applyAlignment="1">
      <alignment horizontal="left" vertical="center"/>
    </xf>
    <xf numFmtId="0" fontId="57" fillId="0" borderId="92" xfId="0" applyFont="1" applyBorder="1" applyAlignment="1">
      <alignment horizontal="left" vertical="center"/>
    </xf>
    <xf numFmtId="0" fontId="57" fillId="0" borderId="93" xfId="0" applyFont="1" applyBorder="1" applyAlignment="1">
      <alignment horizontal="left" vertical="center"/>
    </xf>
    <xf numFmtId="0" fontId="57" fillId="8" borderId="92" xfId="0" applyFont="1" applyFill="1" applyBorder="1" applyAlignment="1">
      <alignment horizontal="left" vertical="center"/>
    </xf>
    <xf numFmtId="0" fontId="57" fillId="8" borderId="93" xfId="0" applyFont="1" applyFill="1" applyBorder="1" applyAlignment="1">
      <alignment horizontal="left" vertical="center"/>
    </xf>
    <xf numFmtId="0" fontId="57" fillId="9" borderId="87" xfId="0" quotePrefix="1" applyFont="1" applyFill="1" applyBorder="1" applyAlignment="1">
      <alignment horizontal="left" vertical="center"/>
    </xf>
    <xf numFmtId="0" fontId="57" fillId="7" borderId="96" xfId="0" applyFont="1" applyFill="1" applyBorder="1" applyAlignment="1">
      <alignment horizontal="left" vertical="center"/>
    </xf>
    <xf numFmtId="0" fontId="61" fillId="11" borderId="87" xfId="0" applyFont="1" applyFill="1" applyBorder="1" applyAlignment="1">
      <alignment horizontal="left" vertical="center"/>
    </xf>
    <xf numFmtId="0" fontId="61" fillId="11" borderId="97" xfId="0" applyFont="1" applyFill="1" applyBorder="1" applyAlignment="1">
      <alignment horizontal="left" vertical="center"/>
    </xf>
    <xf numFmtId="0" fontId="61" fillId="16" borderId="87" xfId="0" applyFont="1" applyFill="1" applyBorder="1" applyAlignment="1">
      <alignment horizontal="left" vertical="center"/>
    </xf>
    <xf numFmtId="0" fontId="57" fillId="20" borderId="87" xfId="0" applyFont="1" applyFill="1" applyBorder="1" applyAlignment="1">
      <alignment horizontal="left" vertical="center"/>
    </xf>
    <xf numFmtId="0" fontId="57" fillId="20" borderId="30" xfId="0" applyFont="1" applyFill="1" applyBorder="1" applyAlignment="1">
      <alignment horizontal="left" vertical="center"/>
    </xf>
    <xf numFmtId="2" fontId="54" fillId="0" borderId="15" xfId="0" applyNumberFormat="1" applyFont="1" applyBorder="1" applyAlignment="1">
      <alignment horizontal="left" vertical="center"/>
    </xf>
    <xf numFmtId="2" fontId="54" fillId="0" borderId="6" xfId="0" applyNumberFormat="1" applyFont="1" applyBorder="1" applyAlignment="1">
      <alignment horizontal="left" vertical="center"/>
    </xf>
    <xf numFmtId="0" fontId="64" fillId="7" borderId="101" xfId="0" applyFont="1" applyFill="1" applyBorder="1" applyAlignment="1">
      <alignment vertical="center" wrapText="1"/>
    </xf>
    <xf numFmtId="0" fontId="61" fillId="22" borderId="102" xfId="0" applyFont="1" applyFill="1" applyBorder="1" applyAlignment="1">
      <alignment horizontal="center" vertical="center" wrapText="1"/>
    </xf>
    <xf numFmtId="0" fontId="61" fillId="10" borderId="102" xfId="0" applyFont="1" applyFill="1" applyBorder="1" applyAlignment="1">
      <alignment horizontal="center" vertical="center" wrapText="1"/>
    </xf>
    <xf numFmtId="0" fontId="61" fillId="20" borderId="102" xfId="0" applyFont="1" applyFill="1" applyBorder="1" applyAlignment="1">
      <alignment horizontal="center" vertical="center" wrapText="1"/>
    </xf>
    <xf numFmtId="0" fontId="57" fillId="0" borderId="95" xfId="0" quotePrefix="1" applyFont="1" applyBorder="1" applyAlignment="1">
      <alignment horizontal="center" vertical="center" wrapText="1"/>
    </xf>
    <xf numFmtId="2" fontId="57" fillId="0" borderId="88" xfId="0" applyNumberFormat="1" applyFont="1" applyBorder="1" applyAlignment="1">
      <alignment horizontal="center" vertical="center" wrapText="1"/>
    </xf>
    <xf numFmtId="0" fontId="57" fillId="0" borderId="98" xfId="0" applyFont="1" applyBorder="1" applyAlignment="1">
      <alignment horizontal="left" vertical="center"/>
    </xf>
    <xf numFmtId="164" fontId="57" fillId="0" borderId="99" xfId="0" applyNumberFormat="1" applyFont="1" applyBorder="1" applyAlignment="1">
      <alignment horizontal="left" vertical="center"/>
    </xf>
    <xf numFmtId="0" fontId="57" fillId="0" borderId="100" xfId="0" applyFont="1" applyBorder="1" applyAlignment="1">
      <alignment horizontal="left" vertical="center"/>
    </xf>
    <xf numFmtId="164" fontId="57" fillId="0" borderId="87" xfId="0" applyNumberFormat="1" applyFont="1" applyBorder="1" applyAlignment="1">
      <alignment horizontal="left" vertical="center"/>
    </xf>
    <xf numFmtId="0" fontId="57" fillId="0" borderId="97" xfId="0" applyFont="1" applyBorder="1" applyAlignment="1">
      <alignment horizontal="left" vertical="center"/>
    </xf>
    <xf numFmtId="0" fontId="57" fillId="0" borderId="96" xfId="0" applyFont="1" applyBorder="1" applyAlignment="1">
      <alignment horizontal="left" vertical="center"/>
    </xf>
    <xf numFmtId="0" fontId="54" fillId="0" borderId="96" xfId="0" applyFont="1" applyBorder="1" applyAlignment="1">
      <alignment horizontal="left" vertical="center"/>
    </xf>
    <xf numFmtId="0" fontId="57" fillId="0" borderId="102" xfId="0" applyFont="1" applyBorder="1" applyAlignment="1">
      <alignment horizontal="left" vertical="center"/>
    </xf>
    <xf numFmtId="164" fontId="54" fillId="0" borderId="87" xfId="0" applyNumberFormat="1" applyFont="1" applyBorder="1" applyAlignment="1">
      <alignment horizontal="left" vertical="center"/>
    </xf>
    <xf numFmtId="0" fontId="57" fillId="20" borderId="87" xfId="0" quotePrefix="1" applyFont="1" applyFill="1" applyBorder="1" applyAlignment="1">
      <alignment horizontal="left" vertical="center"/>
    </xf>
    <xf numFmtId="0" fontId="57" fillId="0" borderId="88" xfId="0" applyFont="1" applyBorder="1" applyAlignment="1">
      <alignment horizontal="left" vertical="center"/>
    </xf>
    <xf numFmtId="0" fontId="57" fillId="0" borderId="88" xfId="0" applyFont="1" applyBorder="1" applyAlignment="1">
      <alignment horizontal="center" vertical="center"/>
    </xf>
    <xf numFmtId="0" fontId="57" fillId="0" borderId="102" xfId="0" applyFont="1" applyBorder="1" applyAlignment="1">
      <alignment horizontal="center" vertical="center"/>
    </xf>
    <xf numFmtId="165" fontId="64" fillId="0" borderId="0" xfId="0" applyNumberFormat="1" applyFont="1" applyAlignment="1">
      <alignment horizontal="center" vertical="center"/>
    </xf>
    <xf numFmtId="0" fontId="57" fillId="0" borderId="95" xfId="0" applyFont="1" applyBorder="1" applyAlignment="1">
      <alignment horizontal="left" vertical="center"/>
    </xf>
    <xf numFmtId="0" fontId="57" fillId="0" borderId="95" xfId="0" applyFont="1" applyBorder="1" applyAlignment="1">
      <alignment horizontal="center" vertical="center"/>
    </xf>
    <xf numFmtId="164" fontId="57" fillId="0" borderId="95" xfId="0" applyNumberFormat="1" applyFont="1" applyBorder="1" applyAlignment="1">
      <alignment horizontal="left" vertical="center"/>
    </xf>
    <xf numFmtId="0" fontId="89" fillId="23" borderId="85" xfId="25" applyFont="1" applyFill="1" applyBorder="1" applyAlignment="1">
      <alignment horizontal="left" vertical="center"/>
    </xf>
    <xf numFmtId="0" fontId="57" fillId="0" borderId="112" xfId="0" applyFont="1" applyBorder="1" applyAlignment="1">
      <alignment horizontal="center" vertical="center"/>
    </xf>
    <xf numFmtId="0" fontId="57" fillId="0" borderId="112" xfId="0" applyFont="1" applyBorder="1" applyAlignment="1">
      <alignment horizontal="center" vertical="center" wrapText="1"/>
    </xf>
    <xf numFmtId="0" fontId="65" fillId="7" borderId="82" xfId="0" applyFont="1" applyFill="1" applyBorder="1" applyAlignment="1">
      <alignment horizontal="center" vertical="center" wrapText="1"/>
    </xf>
    <xf numFmtId="0" fontId="64" fillId="7" borderId="2" xfId="0" applyFont="1" applyFill="1" applyBorder="1" applyAlignment="1">
      <alignment vertical="center" wrapText="1"/>
    </xf>
    <xf numFmtId="164" fontId="61" fillId="7" borderId="113" xfId="0" applyNumberFormat="1" applyFont="1" applyFill="1" applyBorder="1" applyAlignment="1">
      <alignment horizontal="center" vertical="center" wrapText="1"/>
    </xf>
    <xf numFmtId="0" fontId="61" fillId="7" borderId="113" xfId="0" applyFont="1" applyFill="1" applyBorder="1" applyAlignment="1">
      <alignment horizontal="center" vertical="center" wrapText="1"/>
    </xf>
    <xf numFmtId="0" fontId="57" fillId="7" borderId="113" xfId="0" applyFont="1" applyFill="1" applyBorder="1" applyAlignment="1">
      <alignment horizontal="center" vertical="center" wrapText="1"/>
    </xf>
    <xf numFmtId="0" fontId="57" fillId="7" borderId="113" xfId="0" applyFont="1" applyFill="1" applyBorder="1" applyAlignment="1">
      <alignment horizontal="center" vertical="center"/>
    </xf>
    <xf numFmtId="0" fontId="57" fillId="7" borderId="97" xfId="0" applyFont="1" applyFill="1" applyBorder="1" applyAlignment="1">
      <alignment horizontal="left" vertical="center"/>
    </xf>
    <xf numFmtId="0" fontId="56" fillId="0" borderId="96" xfId="0" applyFont="1" applyBorder="1" applyAlignment="1">
      <alignment horizontal="center" vertical="center" wrapText="1"/>
    </xf>
    <xf numFmtId="0" fontId="57" fillId="26" borderId="9" xfId="0" applyFont="1" applyFill="1" applyBorder="1" applyAlignment="1">
      <alignment horizontal="left" vertical="center"/>
    </xf>
    <xf numFmtId="0" fontId="57" fillId="26" borderId="112" xfId="0" applyFont="1" applyFill="1" applyBorder="1" applyAlignment="1">
      <alignment horizontal="left" vertical="center" wrapText="1"/>
    </xf>
    <xf numFmtId="0" fontId="57" fillId="27" borderId="9" xfId="0" applyFont="1" applyFill="1" applyBorder="1" applyAlignment="1">
      <alignment horizontal="left" vertical="center"/>
    </xf>
    <xf numFmtId="0" fontId="57" fillId="27" borderId="112" xfId="0" applyFont="1" applyFill="1" applyBorder="1" applyAlignment="1">
      <alignment horizontal="center" vertical="center" wrapText="1"/>
    </xf>
    <xf numFmtId="0" fontId="57" fillId="27" borderId="112" xfId="0" applyFont="1" applyFill="1" applyBorder="1" applyAlignment="1">
      <alignment horizontal="center" vertical="center"/>
    </xf>
    <xf numFmtId="0" fontId="18" fillId="0" borderId="96" xfId="0" applyFont="1" applyBorder="1" applyAlignment="1">
      <alignment horizontal="left" vertical="center"/>
    </xf>
    <xf numFmtId="0" fontId="57" fillId="26" borderId="112" xfId="0" applyFont="1" applyFill="1" applyBorder="1" applyAlignment="1">
      <alignment horizontal="left" vertical="center"/>
    </xf>
    <xf numFmtId="0" fontId="57" fillId="27" borderId="112" xfId="0" applyFont="1" applyFill="1" applyBorder="1" applyAlignment="1">
      <alignment horizontal="left" vertical="center"/>
    </xf>
    <xf numFmtId="0" fontId="57" fillId="4" borderId="9" xfId="0" applyFont="1" applyFill="1" applyBorder="1" applyAlignment="1">
      <alignment horizontal="left" vertical="center"/>
    </xf>
    <xf numFmtId="0" fontId="57" fillId="4" borderId="11" xfId="0" applyFont="1" applyFill="1" applyBorder="1" applyAlignment="1">
      <alignment horizontal="left" vertical="center"/>
    </xf>
    <xf numFmtId="0" fontId="54" fillId="20" borderId="112" xfId="0" applyFont="1" applyFill="1" applyBorder="1" applyAlignment="1">
      <alignment horizontal="center" vertical="center" wrapText="1"/>
    </xf>
    <xf numFmtId="0" fontId="57" fillId="20" borderId="96" xfId="0" applyFont="1" applyFill="1" applyBorder="1" applyAlignment="1">
      <alignment horizontal="left" vertical="center"/>
    </xf>
    <xf numFmtId="0" fontId="56" fillId="5" borderId="9" xfId="0" applyFont="1" applyFill="1" applyBorder="1" applyAlignment="1">
      <alignment horizontal="center" vertical="center"/>
    </xf>
    <xf numFmtId="0" fontId="57" fillId="5" borderId="112" xfId="0" applyFont="1" applyFill="1" applyBorder="1" applyAlignment="1">
      <alignment horizontal="center" vertical="center"/>
    </xf>
    <xf numFmtId="0" fontId="54" fillId="5" borderId="112" xfId="0" applyFont="1" applyFill="1" applyBorder="1" applyAlignment="1">
      <alignment horizontal="center" vertical="center"/>
    </xf>
    <xf numFmtId="0" fontId="57" fillId="28" borderId="11" xfId="0" applyFont="1" applyFill="1" applyBorder="1" applyAlignment="1">
      <alignment horizontal="left" vertical="center"/>
    </xf>
    <xf numFmtId="0" fontId="57" fillId="7" borderId="11" xfId="0" applyFont="1" applyFill="1" applyBorder="1" applyAlignment="1">
      <alignment horizontal="left" vertical="center"/>
    </xf>
    <xf numFmtId="0" fontId="57" fillId="28" borderId="96" xfId="0" quotePrefix="1" applyFont="1" applyFill="1" applyBorder="1" applyAlignment="1">
      <alignment horizontal="left" vertical="center"/>
    </xf>
    <xf numFmtId="0" fontId="57" fillId="28" borderId="112" xfId="0" applyFont="1" applyFill="1" applyBorder="1" applyAlignment="1">
      <alignment horizontal="left" vertical="center"/>
    </xf>
    <xf numFmtId="0" fontId="57" fillId="29" borderId="112" xfId="0" applyFont="1" applyFill="1" applyBorder="1" applyAlignment="1">
      <alignment horizontal="center" vertical="center" wrapText="1"/>
    </xf>
    <xf numFmtId="0" fontId="57" fillId="29" borderId="112" xfId="0" applyFont="1" applyFill="1" applyBorder="1" applyAlignment="1">
      <alignment horizontal="center" vertical="center"/>
    </xf>
    <xf numFmtId="0" fontId="65" fillId="29" borderId="112" xfId="0" applyFont="1" applyFill="1" applyBorder="1" applyAlignment="1">
      <alignment horizontal="center" vertical="center" wrapText="1"/>
    </xf>
    <xf numFmtId="0" fontId="57" fillId="28" borderId="87" xfId="0" applyFont="1" applyFill="1" applyBorder="1" applyAlignment="1">
      <alignment horizontal="center" vertical="center"/>
    </xf>
    <xf numFmtId="0" fontId="57" fillId="28" borderId="87" xfId="0" applyFont="1" applyFill="1" applyBorder="1" applyAlignment="1">
      <alignment horizontal="left" vertical="center"/>
    </xf>
    <xf numFmtId="0" fontId="57" fillId="28" borderId="36" xfId="0" applyFont="1" applyFill="1" applyBorder="1" applyAlignment="1">
      <alignment horizontal="center" vertical="center" wrapText="1"/>
    </xf>
    <xf numFmtId="0" fontId="57" fillId="27" borderId="105" xfId="0" applyFont="1" applyFill="1" applyBorder="1" applyAlignment="1">
      <alignment horizontal="left" vertical="center"/>
    </xf>
    <xf numFmtId="0" fontId="57" fillId="15" borderId="87" xfId="0" applyFont="1" applyFill="1" applyBorder="1" applyAlignment="1">
      <alignment horizontal="left" vertical="center"/>
    </xf>
    <xf numFmtId="0" fontId="57" fillId="28" borderId="105" xfId="0" applyFont="1" applyFill="1" applyBorder="1" applyAlignment="1">
      <alignment horizontal="left" vertical="center"/>
    </xf>
    <xf numFmtId="0" fontId="37" fillId="0" borderId="0" xfId="0" applyFont="1" applyAlignment="1">
      <alignment horizontal="center" vertical="center" wrapText="1"/>
    </xf>
    <xf numFmtId="0" fontId="54" fillId="0" borderId="87" xfId="0" applyFont="1" applyBorder="1"/>
    <xf numFmtId="0" fontId="54" fillId="0" borderId="97" xfId="0" applyFont="1" applyBorder="1"/>
    <xf numFmtId="0" fontId="57" fillId="0" borderId="87" xfId="0" applyFont="1" applyBorder="1" applyAlignment="1">
      <alignment horizontal="center" vertical="center"/>
    </xf>
    <xf numFmtId="0" fontId="57" fillId="0" borderId="88" xfId="0" applyFont="1" applyBorder="1" applyAlignment="1">
      <alignment horizontal="center" vertical="center" wrapText="1"/>
    </xf>
    <xf numFmtId="0" fontId="65" fillId="7" borderId="108" xfId="0" applyFont="1" applyFill="1" applyBorder="1" applyAlignment="1">
      <alignment horizontal="center" vertical="center" wrapText="1"/>
    </xf>
    <xf numFmtId="0" fontId="65" fillId="7" borderId="108" xfId="0" applyFont="1" applyFill="1" applyBorder="1" applyAlignment="1">
      <alignment horizontal="left" vertical="center" wrapText="1"/>
    </xf>
    <xf numFmtId="0" fontId="57" fillId="0" borderId="87" xfId="46" applyFont="1" applyBorder="1" applyAlignment="1">
      <alignment horizontal="center" vertical="center" wrapText="1"/>
    </xf>
    <xf numFmtId="0" fontId="56" fillId="0" borderId="114" xfId="0" applyFont="1" applyBorder="1" applyAlignment="1">
      <alignment horizontal="center" vertical="center" wrapText="1"/>
    </xf>
    <xf numFmtId="0" fontId="54" fillId="0" borderId="13" xfId="0" applyFont="1" applyBorder="1"/>
    <xf numFmtId="0" fontId="54" fillId="0" borderId="52" xfId="0" applyFont="1" applyBorder="1"/>
    <xf numFmtId="0" fontId="57" fillId="15" borderId="87" xfId="0" applyFont="1" applyFill="1" applyBorder="1" applyAlignment="1">
      <alignment horizontal="center" vertical="center" wrapText="1"/>
    </xf>
    <xf numFmtId="0" fontId="61" fillId="0" borderId="0" xfId="0" applyFont="1" applyAlignment="1">
      <alignment horizontal="left"/>
    </xf>
    <xf numFmtId="0" fontId="57" fillId="26" borderId="87" xfId="0" applyFont="1" applyFill="1" applyBorder="1" applyAlignment="1">
      <alignment horizontal="left" vertical="center"/>
    </xf>
    <xf numFmtId="0" fontId="57" fillId="26" borderId="87" xfId="0" applyFont="1" applyFill="1" applyBorder="1" applyAlignment="1">
      <alignment horizontal="center" vertical="center" wrapText="1"/>
    </xf>
    <xf numFmtId="0" fontId="57" fillId="26" borderId="87" xfId="0" applyFont="1" applyFill="1" applyBorder="1" applyAlignment="1">
      <alignment horizontal="center" vertical="center"/>
    </xf>
    <xf numFmtId="0" fontId="57" fillId="26" borderId="87" xfId="0" applyFont="1" applyFill="1" applyBorder="1" applyAlignment="1">
      <alignment horizontal="left" vertical="center" wrapText="1"/>
    </xf>
    <xf numFmtId="0" fontId="57" fillId="26" borderId="104" xfId="0" applyFont="1" applyFill="1" applyBorder="1" applyAlignment="1">
      <alignment horizontal="left" vertical="center"/>
    </xf>
    <xf numFmtId="0" fontId="57" fillId="28" borderId="105" xfId="0" applyFont="1" applyFill="1" applyBorder="1" applyAlignment="1">
      <alignment horizontal="center" vertical="center" wrapText="1"/>
    </xf>
    <xf numFmtId="0" fontId="57" fillId="28" borderId="105" xfId="0" applyFont="1" applyFill="1" applyBorder="1" applyAlignment="1">
      <alignment horizontal="center" vertical="center"/>
    </xf>
    <xf numFmtId="0" fontId="57" fillId="27" borderId="87" xfId="0" applyFont="1" applyFill="1" applyBorder="1" applyAlignment="1">
      <alignment horizontal="left" vertical="center"/>
    </xf>
    <xf numFmtId="164" fontId="57" fillId="27" borderId="87" xfId="0" applyNumberFormat="1" applyFont="1" applyFill="1" applyBorder="1" applyAlignment="1">
      <alignment horizontal="center" vertical="center" wrapText="1"/>
    </xf>
    <xf numFmtId="0" fontId="57" fillId="27" borderId="87" xfId="0" applyFont="1" applyFill="1" applyBorder="1" applyAlignment="1">
      <alignment horizontal="center" vertical="center"/>
    </xf>
    <xf numFmtId="0" fontId="57" fillId="27" borderId="87" xfId="0" applyFont="1" applyFill="1" applyBorder="1" applyAlignment="1">
      <alignment horizontal="center" vertical="center" wrapText="1"/>
    </xf>
    <xf numFmtId="0" fontId="57" fillId="15" borderId="87" xfId="0" applyFont="1" applyFill="1" applyBorder="1" applyAlignment="1">
      <alignment horizontal="center" vertical="center"/>
    </xf>
    <xf numFmtId="1" fontId="57" fillId="15" borderId="87" xfId="0" applyNumberFormat="1" applyFont="1" applyFill="1" applyBorder="1" applyAlignment="1">
      <alignment horizontal="center" vertical="center" wrapText="1"/>
    </xf>
    <xf numFmtId="0" fontId="61" fillId="16" borderId="87" xfId="0" applyFont="1" applyFill="1" applyBorder="1" applyAlignment="1">
      <alignment horizontal="center" vertical="center" wrapText="1"/>
    </xf>
    <xf numFmtId="0" fontId="61" fillId="7" borderId="87" xfId="0" applyFont="1" applyFill="1" applyBorder="1" applyAlignment="1">
      <alignment horizontal="center" vertical="center" wrapText="1"/>
    </xf>
    <xf numFmtId="164" fontId="61" fillId="7" borderId="87" xfId="0" applyNumberFormat="1" applyFont="1" applyFill="1" applyBorder="1" applyAlignment="1">
      <alignment horizontal="center" vertical="center" wrapText="1"/>
    </xf>
    <xf numFmtId="166" fontId="57" fillId="17" borderId="87" xfId="0" applyNumberFormat="1" applyFont="1" applyFill="1" applyBorder="1" applyAlignment="1">
      <alignment horizontal="center" vertical="center" wrapText="1"/>
    </xf>
    <xf numFmtId="0" fontId="57" fillId="17" borderId="87" xfId="0" applyFont="1" applyFill="1" applyBorder="1" applyAlignment="1">
      <alignment horizontal="center" vertical="center" wrapText="1"/>
    </xf>
    <xf numFmtId="166" fontId="61" fillId="26" borderId="87" xfId="0" applyNumberFormat="1" applyFont="1" applyFill="1" applyBorder="1" applyAlignment="1">
      <alignment horizontal="center" vertical="center" wrapText="1"/>
    </xf>
    <xf numFmtId="0" fontId="61" fillId="26" borderId="87" xfId="0" applyFont="1" applyFill="1" applyBorder="1" applyAlignment="1">
      <alignment horizontal="center" vertical="center" wrapText="1"/>
    </xf>
    <xf numFmtId="0" fontId="61" fillId="26" borderId="87" xfId="0" quotePrefix="1" applyFont="1" applyFill="1" applyBorder="1" applyAlignment="1">
      <alignment horizontal="center" vertical="center" wrapText="1"/>
    </xf>
    <xf numFmtId="166" fontId="61" fillId="27" borderId="87" xfId="0" applyNumberFormat="1" applyFont="1" applyFill="1" applyBorder="1" applyAlignment="1">
      <alignment horizontal="center" vertical="center" wrapText="1"/>
    </xf>
    <xf numFmtId="0" fontId="61" fillId="27" borderId="87" xfId="0" applyFont="1" applyFill="1" applyBorder="1" applyAlignment="1">
      <alignment horizontal="center" vertical="center" wrapText="1"/>
    </xf>
    <xf numFmtId="0" fontId="61" fillId="27" borderId="87" xfId="0" quotePrefix="1" applyFont="1" applyFill="1" applyBorder="1" applyAlignment="1">
      <alignment horizontal="center" vertical="center" wrapText="1"/>
    </xf>
    <xf numFmtId="166" fontId="61" fillId="16" borderId="87" xfId="0" applyNumberFormat="1" applyFont="1" applyFill="1" applyBorder="1" applyAlignment="1">
      <alignment horizontal="center" vertical="center" wrapText="1"/>
    </xf>
    <xf numFmtId="0" fontId="61" fillId="16" borderId="87" xfId="0" applyFont="1" applyFill="1" applyBorder="1" applyAlignment="1">
      <alignment horizontal="center" vertical="center"/>
    </xf>
    <xf numFmtId="0" fontId="61" fillId="16" borderId="87" xfId="0" quotePrefix="1" applyFont="1" applyFill="1" applyBorder="1" applyAlignment="1">
      <alignment horizontal="center" vertical="center" wrapText="1"/>
    </xf>
    <xf numFmtId="0" fontId="57" fillId="27" borderId="87" xfId="0" applyFont="1" applyFill="1" applyBorder="1" applyAlignment="1">
      <alignment horizontal="left" vertical="center" wrapText="1"/>
    </xf>
    <xf numFmtId="0" fontId="57" fillId="18" borderId="87" xfId="0" applyFont="1" applyFill="1" applyBorder="1" applyAlignment="1">
      <alignment horizontal="left" vertical="center" wrapText="1"/>
    </xf>
    <xf numFmtId="2" fontId="57" fillId="18" borderId="87" xfId="0" applyNumberFormat="1" applyFont="1" applyFill="1" applyBorder="1" applyAlignment="1">
      <alignment horizontal="center" vertical="center" wrapText="1"/>
    </xf>
    <xf numFmtId="0" fontId="57" fillId="18" borderId="87" xfId="0" applyFont="1" applyFill="1" applyBorder="1" applyAlignment="1">
      <alignment horizontal="center" vertical="center" wrapText="1"/>
    </xf>
    <xf numFmtId="0" fontId="57" fillId="5" borderId="87" xfId="0" applyFont="1" applyFill="1" applyBorder="1" applyAlignment="1">
      <alignment horizontal="center" vertical="center"/>
    </xf>
    <xf numFmtId="0" fontId="54" fillId="5" borderId="87" xfId="0" applyFont="1" applyFill="1" applyBorder="1" applyAlignment="1">
      <alignment horizontal="center" vertical="center"/>
    </xf>
    <xf numFmtId="0" fontId="57" fillId="27" borderId="104" xfId="0" applyFont="1" applyFill="1" applyBorder="1" applyAlignment="1">
      <alignment horizontal="left" vertical="center"/>
    </xf>
    <xf numFmtId="164" fontId="57" fillId="27" borderId="105" xfId="0" applyNumberFormat="1" applyFont="1" applyFill="1" applyBorder="1" applyAlignment="1">
      <alignment horizontal="center" vertical="center" wrapText="1"/>
    </xf>
    <xf numFmtId="0" fontId="57" fillId="27" borderId="105" xfId="0" applyFont="1" applyFill="1" applyBorder="1" applyAlignment="1">
      <alignment horizontal="center" vertical="center"/>
    </xf>
    <xf numFmtId="0" fontId="57" fillId="28" borderId="106" xfId="0" applyFont="1" applyFill="1" applyBorder="1" applyAlignment="1">
      <alignment horizontal="left" vertical="center"/>
    </xf>
    <xf numFmtId="0" fontId="57" fillId="15" borderId="97" xfId="0" applyFont="1" applyFill="1" applyBorder="1" applyAlignment="1">
      <alignment horizontal="left" vertical="center"/>
    </xf>
    <xf numFmtId="0" fontId="61" fillId="15" borderId="87" xfId="0" applyFont="1" applyFill="1" applyBorder="1" applyAlignment="1">
      <alignment horizontal="center" vertical="center" wrapText="1"/>
    </xf>
    <xf numFmtId="166" fontId="61" fillId="15" borderId="87" xfId="0" applyNumberFormat="1" applyFont="1" applyFill="1" applyBorder="1" applyAlignment="1">
      <alignment horizontal="center" vertical="center" wrapText="1"/>
    </xf>
    <xf numFmtId="0" fontId="61" fillId="15" borderId="97" xfId="0" applyFont="1" applyFill="1" applyBorder="1" applyAlignment="1">
      <alignment horizontal="left" vertical="center" wrapText="1"/>
    </xf>
    <xf numFmtId="0" fontId="57" fillId="26" borderId="105" xfId="0" applyFont="1" applyFill="1" applyBorder="1" applyAlignment="1">
      <alignment horizontal="left" vertical="center"/>
    </xf>
    <xf numFmtId="0" fontId="54" fillId="20" borderId="87" xfId="0" applyFont="1" applyFill="1" applyBorder="1" applyAlignment="1">
      <alignment horizontal="center" vertical="center"/>
    </xf>
    <xf numFmtId="0" fontId="54" fillId="20" borderId="87" xfId="0" applyFont="1" applyFill="1" applyBorder="1" applyAlignment="1">
      <alignment horizontal="center" vertical="center" wrapText="1"/>
    </xf>
    <xf numFmtId="0" fontId="54" fillId="20" borderId="87" xfId="0" applyFont="1" applyFill="1" applyBorder="1"/>
    <xf numFmtId="0" fontId="54" fillId="20" borderId="88" xfId="0" applyFont="1" applyFill="1" applyBorder="1"/>
    <xf numFmtId="0" fontId="57" fillId="20" borderId="88" xfId="0" applyFont="1" applyFill="1" applyBorder="1" applyAlignment="1">
      <alignment horizontal="left" vertical="center"/>
    </xf>
    <xf numFmtId="0" fontId="57" fillId="20" borderId="13" xfId="0" applyFont="1" applyFill="1" applyBorder="1" applyAlignment="1">
      <alignment horizontal="left" vertical="center"/>
    </xf>
    <xf numFmtId="0" fontId="57" fillId="27" borderId="37" xfId="0" applyFont="1" applyFill="1" applyBorder="1" applyAlignment="1">
      <alignment horizontal="left" vertical="center"/>
    </xf>
    <xf numFmtId="0" fontId="57" fillId="27" borderId="88" xfId="0" applyFont="1" applyFill="1" applyBorder="1" applyAlignment="1">
      <alignment horizontal="left" vertical="center"/>
    </xf>
    <xf numFmtId="0" fontId="54" fillId="0" borderId="0" xfId="0" applyFont="1" applyAlignment="1">
      <alignment horizontal="left" vertical="center"/>
    </xf>
    <xf numFmtId="0" fontId="57" fillId="28" borderId="87" xfId="0" applyFont="1" applyFill="1" applyBorder="1" applyAlignment="1">
      <alignment horizontal="center" vertical="center" wrapText="1"/>
    </xf>
    <xf numFmtId="0" fontId="57" fillId="10" borderId="87" xfId="0" applyFont="1" applyFill="1" applyBorder="1" applyAlignment="1">
      <alignment horizontal="left" vertical="center"/>
    </xf>
    <xf numFmtId="0" fontId="59" fillId="7" borderId="97" xfId="0" applyFont="1" applyFill="1" applyBorder="1" applyAlignment="1">
      <alignment horizontal="left" vertical="center" wrapText="1"/>
    </xf>
    <xf numFmtId="0" fontId="61" fillId="7" borderId="97" xfId="0" applyFont="1" applyFill="1" applyBorder="1" applyAlignment="1">
      <alignment horizontal="left" vertical="center" wrapText="1"/>
    </xf>
    <xf numFmtId="0" fontId="57" fillId="26" borderId="105" xfId="0" applyFont="1" applyFill="1" applyBorder="1" applyAlignment="1">
      <alignment horizontal="center" vertical="center" wrapText="1"/>
    </xf>
    <xf numFmtId="0" fontId="0" fillId="5" borderId="87" xfId="0" applyFill="1" applyBorder="1"/>
    <xf numFmtId="0" fontId="57" fillId="29" borderId="105" xfId="0" applyFont="1" applyFill="1" applyBorder="1" applyAlignment="1">
      <alignment horizontal="center" vertical="center" wrapText="1"/>
    </xf>
    <xf numFmtId="0" fontId="57" fillId="29" borderId="105" xfId="0" applyFont="1" applyFill="1" applyBorder="1" applyAlignment="1">
      <alignment horizontal="center" vertical="center"/>
    </xf>
    <xf numFmtId="0" fontId="65" fillId="29" borderId="105" xfId="0" applyFont="1" applyFill="1" applyBorder="1" applyAlignment="1">
      <alignment horizontal="center" vertical="center" wrapText="1"/>
    </xf>
    <xf numFmtId="0" fontId="57" fillId="29" borderId="87" xfId="0" applyFont="1" applyFill="1" applyBorder="1" applyAlignment="1">
      <alignment horizontal="center" vertical="center" wrapText="1"/>
    </xf>
    <xf numFmtId="0" fontId="57" fillId="29" borderId="87" xfId="0" applyFont="1" applyFill="1" applyBorder="1" applyAlignment="1">
      <alignment horizontal="center" vertical="center"/>
    </xf>
    <xf numFmtId="0" fontId="65" fillId="29" borderId="87" xfId="0" applyFont="1" applyFill="1" applyBorder="1" applyAlignment="1">
      <alignment horizontal="center" vertical="center" wrapText="1"/>
    </xf>
    <xf numFmtId="0" fontId="54" fillId="29" borderId="87" xfId="0" applyFont="1" applyFill="1" applyBorder="1" applyAlignment="1">
      <alignment horizontal="center"/>
    </xf>
    <xf numFmtId="0" fontId="57" fillId="5" borderId="105" xfId="0" applyFont="1" applyFill="1" applyBorder="1" applyAlignment="1">
      <alignment horizontal="center" vertical="center"/>
    </xf>
    <xf numFmtId="0" fontId="57" fillId="5" borderId="105" xfId="0" quotePrefix="1" applyFont="1" applyFill="1" applyBorder="1" applyAlignment="1">
      <alignment horizontal="center" vertical="center"/>
    </xf>
    <xf numFmtId="0" fontId="54" fillId="5" borderId="105" xfId="0" applyFont="1" applyFill="1" applyBorder="1" applyAlignment="1">
      <alignment horizontal="center" vertical="center"/>
    </xf>
    <xf numFmtId="164" fontId="57" fillId="0" borderId="0" xfId="0" applyNumberFormat="1" applyFont="1" applyAlignment="1">
      <alignment horizontal="left" vertical="center"/>
    </xf>
    <xf numFmtId="0" fontId="65" fillId="0" borderId="0" xfId="0" applyFont="1" applyAlignment="1">
      <alignment horizontal="left" vertical="center"/>
    </xf>
    <xf numFmtId="0" fontId="57" fillId="0" borderId="112" xfId="0" applyFont="1" applyBorder="1" applyAlignment="1">
      <alignment horizontal="left" vertical="center"/>
    </xf>
    <xf numFmtId="0" fontId="57" fillId="28" borderId="96" xfId="0" applyFont="1" applyFill="1" applyBorder="1" applyAlignment="1">
      <alignment horizontal="left" vertical="center"/>
    </xf>
    <xf numFmtId="0" fontId="57" fillId="28" borderId="9" xfId="0" applyFont="1" applyFill="1" applyBorder="1" applyAlignment="1">
      <alignment horizontal="left" vertical="center"/>
    </xf>
    <xf numFmtId="0" fontId="57" fillId="28" borderId="112" xfId="0" applyFont="1" applyFill="1" applyBorder="1" applyAlignment="1">
      <alignment horizontal="center" vertical="center" wrapText="1"/>
    </xf>
    <xf numFmtId="0" fontId="57" fillId="28" borderId="112" xfId="0" applyFont="1" applyFill="1" applyBorder="1" applyAlignment="1">
      <alignment horizontal="center" vertical="center"/>
    </xf>
    <xf numFmtId="0" fontId="57" fillId="26" borderId="105" xfId="0" applyFont="1" applyFill="1" applyBorder="1" applyAlignment="1">
      <alignment horizontal="center" vertical="center"/>
    </xf>
    <xf numFmtId="0" fontId="57" fillId="26" borderId="96" xfId="0" applyFont="1" applyFill="1" applyBorder="1" applyAlignment="1">
      <alignment horizontal="left" vertical="center"/>
    </xf>
    <xf numFmtId="0" fontId="57" fillId="26" borderId="112" xfId="0" applyFont="1" applyFill="1" applyBorder="1" applyAlignment="1">
      <alignment horizontal="center" vertical="center" wrapText="1"/>
    </xf>
    <xf numFmtId="0" fontId="57" fillId="26" borderId="112" xfId="0" applyFont="1" applyFill="1" applyBorder="1" applyAlignment="1">
      <alignment horizontal="center" vertical="center"/>
    </xf>
    <xf numFmtId="0" fontId="57" fillId="27" borderId="96" xfId="0" applyFont="1" applyFill="1" applyBorder="1" applyAlignment="1">
      <alignment horizontal="left" vertical="center"/>
    </xf>
    <xf numFmtId="0" fontId="57" fillId="8" borderId="15" xfId="0" quotePrefix="1" applyFont="1" applyFill="1" applyBorder="1" applyAlignment="1">
      <alignment horizontal="left" vertical="center"/>
    </xf>
    <xf numFmtId="0" fontId="57" fillId="12" borderId="15" xfId="0" quotePrefix="1" applyFont="1" applyFill="1" applyBorder="1" applyAlignment="1">
      <alignment horizontal="left" vertical="center"/>
    </xf>
    <xf numFmtId="2" fontId="57" fillId="9" borderId="96" xfId="0" applyNumberFormat="1" applyFont="1" applyFill="1" applyBorder="1" applyAlignment="1">
      <alignment horizontal="left" vertical="center"/>
    </xf>
    <xf numFmtId="2" fontId="57" fillId="24" borderId="96" xfId="0" applyNumberFormat="1" applyFont="1" applyFill="1" applyBorder="1" applyAlignment="1">
      <alignment horizontal="left" vertical="center"/>
    </xf>
    <xf numFmtId="0" fontId="61" fillId="16" borderId="96" xfId="0" applyFont="1" applyFill="1" applyBorder="1" applyAlignment="1">
      <alignment horizontal="left" vertical="center"/>
    </xf>
    <xf numFmtId="0" fontId="57" fillId="20" borderId="15" xfId="0" applyFont="1" applyFill="1" applyBorder="1" applyAlignment="1">
      <alignment horizontal="left" vertical="center"/>
    </xf>
    <xf numFmtId="0" fontId="57" fillId="0" borderId="13" xfId="0" applyFont="1" applyBorder="1" applyAlignment="1">
      <alignment horizontal="left" vertical="center"/>
    </xf>
    <xf numFmtId="0" fontId="66" fillId="0" borderId="30" xfId="0" applyFont="1" applyBorder="1" applyAlignment="1">
      <alignment horizontal="left" vertical="center"/>
    </xf>
    <xf numFmtId="0" fontId="57" fillId="27" borderId="88" xfId="0" applyFont="1" applyFill="1" applyBorder="1" applyAlignment="1">
      <alignment horizontal="left" vertical="center" wrapText="1"/>
    </xf>
    <xf numFmtId="0" fontId="57" fillId="27" borderId="88" xfId="0" applyFont="1" applyFill="1" applyBorder="1" applyAlignment="1">
      <alignment horizontal="center" vertical="center" wrapText="1"/>
    </xf>
    <xf numFmtId="0" fontId="65" fillId="0" borderId="96" xfId="46" applyFont="1" applyBorder="1" applyAlignment="1">
      <alignment horizontal="left" vertical="center" wrapText="1"/>
    </xf>
    <xf numFmtId="0" fontId="82" fillId="0" borderId="96" xfId="46" applyFont="1" applyBorder="1" applyAlignment="1">
      <alignment horizontal="left" vertical="center" wrapText="1"/>
    </xf>
    <xf numFmtId="0" fontId="0" fillId="5" borderId="87" xfId="0" applyFill="1" applyBorder="1" applyAlignment="1">
      <alignment horizontal="center" vertical="center"/>
    </xf>
    <xf numFmtId="0" fontId="54" fillId="20" borderId="13" xfId="0" applyFont="1" applyFill="1" applyBorder="1" applyAlignment="1">
      <alignment horizontal="center" vertical="center" wrapText="1"/>
    </xf>
    <xf numFmtId="0" fontId="0" fillId="20" borderId="13" xfId="0" applyFill="1" applyBorder="1"/>
    <xf numFmtId="0" fontId="54" fillId="20" borderId="52" xfId="0" applyFont="1" applyFill="1" applyBorder="1"/>
    <xf numFmtId="0" fontId="65" fillId="7" borderId="117" xfId="0" applyFont="1" applyFill="1" applyBorder="1" applyAlignment="1">
      <alignment horizontal="left" vertical="center"/>
    </xf>
    <xf numFmtId="0" fontId="65" fillId="7" borderId="118" xfId="0" applyFont="1" applyFill="1" applyBorder="1" applyAlignment="1">
      <alignment horizontal="left" vertical="center"/>
    </xf>
    <xf numFmtId="0" fontId="57" fillId="28" borderId="98" xfId="0" quotePrefix="1" applyFont="1" applyFill="1" applyBorder="1" applyAlignment="1">
      <alignment horizontal="left" vertical="center"/>
    </xf>
    <xf numFmtId="0" fontId="57" fillId="28" borderId="87" xfId="0" quotePrefix="1" applyFont="1" applyFill="1" applyBorder="1" applyAlignment="1">
      <alignment horizontal="left" vertical="center"/>
    </xf>
    <xf numFmtId="2" fontId="57" fillId="9" borderId="87" xfId="0" applyNumberFormat="1" applyFont="1" applyFill="1" applyBorder="1" applyAlignment="1">
      <alignment horizontal="left" vertical="center"/>
    </xf>
    <xf numFmtId="2" fontId="57" fillId="30" borderId="111" xfId="0" applyNumberFormat="1" applyFont="1" applyFill="1" applyBorder="1" applyAlignment="1">
      <alignment horizontal="left" vertical="center"/>
    </xf>
    <xf numFmtId="2" fontId="57" fillId="30" borderId="86" xfId="0" applyNumberFormat="1" applyFont="1" applyFill="1" applyBorder="1" applyAlignment="1">
      <alignment horizontal="left" vertical="center"/>
    </xf>
    <xf numFmtId="0" fontId="61" fillId="16" borderId="111" xfId="0" applyFont="1" applyFill="1" applyBorder="1" applyAlignment="1">
      <alignment horizontal="left" vertical="center"/>
    </xf>
    <xf numFmtId="0" fontId="57" fillId="16" borderId="87" xfId="0" applyFont="1" applyFill="1" applyBorder="1" applyAlignment="1">
      <alignment horizontal="left" vertical="center"/>
    </xf>
    <xf numFmtId="0" fontId="61" fillId="16" borderId="97" xfId="0" applyFont="1" applyFill="1" applyBorder="1" applyAlignment="1">
      <alignment horizontal="left" vertical="center"/>
    </xf>
    <xf numFmtId="2" fontId="61" fillId="26" borderId="87" xfId="0" applyNumberFormat="1" applyFont="1" applyFill="1" applyBorder="1" applyAlignment="1">
      <alignment horizontal="left" vertical="center"/>
    </xf>
    <xf numFmtId="0" fontId="61" fillId="26" borderId="87" xfId="0" applyFont="1" applyFill="1" applyBorder="1" applyAlignment="1">
      <alignment horizontal="left" vertical="center"/>
    </xf>
    <xf numFmtId="2" fontId="61" fillId="27" borderId="87" xfId="0" applyNumberFormat="1" applyFont="1" applyFill="1" applyBorder="1" applyAlignment="1">
      <alignment horizontal="left" vertical="center"/>
    </xf>
    <xf numFmtId="0" fontId="61" fillId="27" borderId="87" xfId="0" applyFont="1" applyFill="1" applyBorder="1" applyAlignment="1">
      <alignment horizontal="left" vertical="center"/>
    </xf>
    <xf numFmtId="2" fontId="61" fillId="16" borderId="87" xfId="0" applyNumberFormat="1" applyFont="1" applyFill="1" applyBorder="1" applyAlignment="1">
      <alignment horizontal="left" vertical="center"/>
    </xf>
    <xf numFmtId="2" fontId="61" fillId="16" borderId="86" xfId="0" applyNumberFormat="1" applyFont="1" applyFill="1" applyBorder="1" applyAlignment="1">
      <alignment horizontal="left" vertical="center"/>
    </xf>
    <xf numFmtId="0" fontId="57" fillId="16" borderId="86" xfId="0" applyFont="1" applyFill="1" applyBorder="1" applyAlignment="1">
      <alignment horizontal="left" vertical="center"/>
    </xf>
    <xf numFmtId="0" fontId="61" fillId="16" borderId="86" xfId="0" applyFont="1" applyFill="1" applyBorder="1" applyAlignment="1">
      <alignment horizontal="left" vertical="center"/>
    </xf>
    <xf numFmtId="2" fontId="57" fillId="0" borderId="87" xfId="0" applyNumberFormat="1" applyFont="1" applyBorder="1" applyAlignment="1">
      <alignment horizontal="left" vertical="center"/>
    </xf>
    <xf numFmtId="2" fontId="57" fillId="21" borderId="6" xfId="0" applyNumberFormat="1" applyFont="1" applyFill="1" applyBorder="1" applyAlignment="1">
      <alignment horizontal="left" vertical="center"/>
    </xf>
    <xf numFmtId="164" fontId="54" fillId="21" borderId="6" xfId="0" applyNumberFormat="1" applyFont="1" applyFill="1" applyBorder="1" applyAlignment="1">
      <alignment horizontal="left" vertical="center"/>
    </xf>
    <xf numFmtId="164" fontId="54" fillId="10" borderId="6" xfId="0" applyNumberFormat="1" applyFont="1" applyFill="1" applyBorder="1" applyAlignment="1">
      <alignment horizontal="left" vertical="center"/>
    </xf>
    <xf numFmtId="0" fontId="57" fillId="10" borderId="6" xfId="0" applyFont="1" applyFill="1" applyBorder="1" applyAlignment="1">
      <alignment horizontal="left" vertical="center"/>
    </xf>
    <xf numFmtId="164" fontId="54" fillId="22" borderId="6" xfId="0" applyNumberFormat="1" applyFont="1" applyFill="1" applyBorder="1" applyAlignment="1">
      <alignment horizontal="left" vertical="center"/>
    </xf>
    <xf numFmtId="0" fontId="54" fillId="22" borderId="6" xfId="0" quotePrefix="1" applyFont="1" applyFill="1" applyBorder="1" applyAlignment="1">
      <alignment horizontal="left" vertical="center"/>
    </xf>
    <xf numFmtId="0" fontId="57" fillId="22" borderId="6" xfId="0" applyFont="1" applyFill="1" applyBorder="1" applyAlignment="1">
      <alignment horizontal="left" vertical="center"/>
    </xf>
    <xf numFmtId="164" fontId="54" fillId="20" borderId="6" xfId="0" applyNumberFormat="1" applyFont="1" applyFill="1" applyBorder="1" applyAlignment="1">
      <alignment horizontal="left" vertical="center"/>
    </xf>
    <xf numFmtId="164" fontId="54" fillId="11" borderId="6" xfId="0" applyNumberFormat="1" applyFont="1" applyFill="1" applyBorder="1" applyAlignment="1">
      <alignment horizontal="left" vertical="center"/>
    </xf>
    <xf numFmtId="2" fontId="57" fillId="28" borderId="87" xfId="0" applyNumberFormat="1" applyFont="1" applyFill="1" applyBorder="1" applyAlignment="1">
      <alignment horizontal="left" vertical="center"/>
    </xf>
    <xf numFmtId="2" fontId="57" fillId="26" borderId="87" xfId="0" applyNumberFormat="1" applyFont="1" applyFill="1" applyBorder="1" applyAlignment="1">
      <alignment horizontal="left" vertical="center"/>
    </xf>
    <xf numFmtId="0" fontId="57" fillId="26" borderId="87" xfId="0" quotePrefix="1" applyFont="1" applyFill="1" applyBorder="1" applyAlignment="1">
      <alignment horizontal="left" vertical="center"/>
    </xf>
    <xf numFmtId="2" fontId="57" fillId="27" borderId="87" xfId="0" applyNumberFormat="1" applyFont="1" applyFill="1" applyBorder="1" applyAlignment="1">
      <alignment horizontal="left" vertical="center"/>
    </xf>
    <xf numFmtId="0" fontId="57" fillId="27" borderId="87" xfId="0" quotePrefix="1" applyFont="1" applyFill="1" applyBorder="1" applyAlignment="1">
      <alignment horizontal="left" vertical="center"/>
    </xf>
    <xf numFmtId="0" fontId="57" fillId="30" borderId="86" xfId="0" quotePrefix="1" applyFont="1" applyFill="1" applyBorder="1" applyAlignment="1">
      <alignment horizontal="left" vertical="center"/>
    </xf>
    <xf numFmtId="167" fontId="57" fillId="20" borderId="87" xfId="0" applyNumberFormat="1" applyFont="1" applyFill="1" applyBorder="1" applyAlignment="1">
      <alignment horizontal="left" vertical="center"/>
    </xf>
    <xf numFmtId="0" fontId="57" fillId="20" borderId="97" xfId="0" applyFont="1" applyFill="1" applyBorder="1" applyAlignment="1">
      <alignment horizontal="left" vertical="center"/>
    </xf>
    <xf numFmtId="0" fontId="57" fillId="20" borderId="96" xfId="63" applyFont="1" applyFill="1" applyBorder="1" applyAlignment="1">
      <alignment horizontal="left" vertical="center"/>
    </xf>
    <xf numFmtId="167" fontId="57" fillId="20" borderId="13" xfId="0" applyNumberFormat="1" applyFont="1" applyFill="1" applyBorder="1" applyAlignment="1">
      <alignment horizontal="left" vertical="center"/>
    </xf>
    <xf numFmtId="0" fontId="57" fillId="20" borderId="86" xfId="0" applyFont="1" applyFill="1" applyBorder="1" applyAlignment="1">
      <alignment horizontal="left" vertical="center"/>
    </xf>
    <xf numFmtId="0" fontId="57" fillId="20" borderId="110" xfId="0" applyFont="1" applyFill="1" applyBorder="1" applyAlignment="1">
      <alignment horizontal="left" vertical="center"/>
    </xf>
    <xf numFmtId="2" fontId="57" fillId="24" borderId="87" xfId="0" applyNumberFormat="1" applyFont="1" applyFill="1" applyBorder="1" applyAlignment="1">
      <alignment horizontal="left" vertical="center"/>
    </xf>
    <xf numFmtId="0" fontId="57" fillId="24" borderId="87" xfId="0" quotePrefix="1" applyFont="1" applyFill="1" applyBorder="1" applyAlignment="1">
      <alignment horizontal="left" vertical="center"/>
    </xf>
    <xf numFmtId="0" fontId="57" fillId="24" borderId="97" xfId="0" quotePrefix="1" applyFont="1" applyFill="1" applyBorder="1" applyAlignment="1">
      <alignment horizontal="left" vertical="center"/>
    </xf>
    <xf numFmtId="0" fontId="57" fillId="0" borderId="112" xfId="0" quotePrefix="1" applyFont="1" applyBorder="1" applyAlignment="1">
      <alignment horizontal="left" vertical="center"/>
    </xf>
    <xf numFmtId="164" fontId="57" fillId="0" borderId="15" xfId="0" quotePrefix="1" applyNumberFormat="1" applyFont="1" applyBorder="1" applyAlignment="1">
      <alignment horizontal="left" vertical="center"/>
    </xf>
    <xf numFmtId="164" fontId="54" fillId="0" borderId="6" xfId="0" applyNumberFormat="1" applyFont="1" applyBorder="1" applyAlignment="1">
      <alignment horizontal="left" vertical="center"/>
    </xf>
    <xf numFmtId="166" fontId="54" fillId="10" borderId="6" xfId="0" applyNumberFormat="1" applyFont="1" applyFill="1" applyBorder="1" applyAlignment="1">
      <alignment horizontal="left" vertical="center"/>
    </xf>
    <xf numFmtId="166" fontId="54" fillId="10" borderId="87" xfId="0" applyNumberFormat="1" applyFont="1" applyFill="1" applyBorder="1" applyAlignment="1">
      <alignment horizontal="left" vertical="center"/>
    </xf>
    <xf numFmtId="166" fontId="54" fillId="10" borderId="10" xfId="0" applyNumberFormat="1" applyFont="1" applyFill="1" applyBorder="1" applyAlignment="1">
      <alignment horizontal="left" vertical="center"/>
    </xf>
    <xf numFmtId="166" fontId="54" fillId="10" borderId="102" xfId="0" applyNumberFormat="1" applyFont="1" applyFill="1" applyBorder="1" applyAlignment="1">
      <alignment horizontal="left" vertical="center"/>
    </xf>
    <xf numFmtId="166" fontId="54" fillId="7" borderId="87" xfId="0" applyNumberFormat="1" applyFont="1" applyFill="1" applyBorder="1" applyAlignment="1">
      <alignment horizontal="left" vertical="center"/>
    </xf>
    <xf numFmtId="166" fontId="54" fillId="7" borderId="102" xfId="0" applyNumberFormat="1" applyFont="1" applyFill="1" applyBorder="1" applyAlignment="1">
      <alignment horizontal="left" vertical="center"/>
    </xf>
    <xf numFmtId="0" fontId="57" fillId="28" borderId="105" xfId="0" quotePrefix="1" applyFont="1" applyFill="1" applyBorder="1" applyAlignment="1">
      <alignment horizontal="left" vertical="center"/>
    </xf>
    <xf numFmtId="164" fontId="57" fillId="28" borderId="87" xfId="0" applyNumberFormat="1" applyFont="1" applyFill="1" applyBorder="1" applyAlignment="1">
      <alignment horizontal="left" vertical="center"/>
    </xf>
    <xf numFmtId="164" fontId="57" fillId="28" borderId="112" xfId="0" applyNumberFormat="1" applyFont="1" applyFill="1" applyBorder="1" applyAlignment="1">
      <alignment horizontal="left" vertical="center"/>
    </xf>
    <xf numFmtId="0" fontId="57" fillId="28" borderId="112" xfId="0" quotePrefix="1" applyFont="1" applyFill="1" applyBorder="1" applyAlignment="1">
      <alignment horizontal="left" vertical="center"/>
    </xf>
    <xf numFmtId="0" fontId="57" fillId="26" borderId="105" xfId="0" quotePrefix="1" applyFont="1" applyFill="1" applyBorder="1" applyAlignment="1">
      <alignment horizontal="left" vertical="center"/>
    </xf>
    <xf numFmtId="164" fontId="57" fillId="26" borderId="87" xfId="0" applyNumberFormat="1" applyFont="1" applyFill="1" applyBorder="1" applyAlignment="1">
      <alignment horizontal="left" vertical="center"/>
    </xf>
    <xf numFmtId="164" fontId="57" fillId="26" borderId="112" xfId="0" applyNumberFormat="1" applyFont="1" applyFill="1" applyBorder="1" applyAlignment="1">
      <alignment horizontal="left" vertical="center"/>
    </xf>
    <xf numFmtId="0" fontId="57" fillId="26" borderId="112" xfId="0" quotePrefix="1" applyFont="1" applyFill="1" applyBorder="1" applyAlignment="1">
      <alignment horizontal="left" vertical="center"/>
    </xf>
    <xf numFmtId="2" fontId="57" fillId="27" borderId="105" xfId="0" applyNumberFormat="1" applyFont="1" applyFill="1" applyBorder="1" applyAlignment="1">
      <alignment horizontal="left" vertical="center"/>
    </xf>
    <xf numFmtId="0" fontId="57" fillId="27" borderId="105" xfId="0" quotePrefix="1" applyFont="1" applyFill="1" applyBorder="1" applyAlignment="1">
      <alignment horizontal="left" vertical="center"/>
    </xf>
    <xf numFmtId="166" fontId="57" fillId="27" borderId="87" xfId="0" applyNumberFormat="1" applyFont="1" applyFill="1" applyBorder="1" applyAlignment="1">
      <alignment horizontal="left" vertical="center"/>
    </xf>
    <xf numFmtId="165" fontId="57" fillId="27" borderId="87" xfId="0" applyNumberFormat="1" applyFont="1" applyFill="1" applyBorder="1" applyAlignment="1">
      <alignment horizontal="left" vertical="center"/>
    </xf>
    <xf numFmtId="2" fontId="57" fillId="27" borderId="88" xfId="0" applyNumberFormat="1" applyFont="1" applyFill="1" applyBorder="1" applyAlignment="1">
      <alignment horizontal="left" vertical="center"/>
    </xf>
    <xf numFmtId="0" fontId="57" fillId="27" borderId="88" xfId="0" quotePrefix="1" applyFont="1" applyFill="1" applyBorder="1" applyAlignment="1">
      <alignment horizontal="left" vertical="center"/>
    </xf>
    <xf numFmtId="164" fontId="57" fillId="27" borderId="87" xfId="0" applyNumberFormat="1" applyFont="1" applyFill="1" applyBorder="1" applyAlignment="1">
      <alignment horizontal="left" vertical="center"/>
    </xf>
    <xf numFmtId="0" fontId="57" fillId="27" borderId="112" xfId="0" quotePrefix="1" applyFont="1" applyFill="1" applyBorder="1" applyAlignment="1">
      <alignment horizontal="left" vertical="center"/>
    </xf>
    <xf numFmtId="2" fontId="57" fillId="0" borderId="76" xfId="0" applyNumberFormat="1" applyFont="1" applyBorder="1" applyAlignment="1">
      <alignment horizontal="left" vertical="center"/>
    </xf>
    <xf numFmtId="0" fontId="57" fillId="0" borderId="76" xfId="0" applyFont="1" applyBorder="1" applyAlignment="1">
      <alignment horizontal="left" vertical="center"/>
    </xf>
    <xf numFmtId="0" fontId="57" fillId="10" borderId="87" xfId="0" quotePrefix="1" applyFont="1" applyFill="1" applyBorder="1" applyAlignment="1">
      <alignment horizontal="left" vertical="center"/>
    </xf>
    <xf numFmtId="2" fontId="57" fillId="22" borderId="87" xfId="0" applyNumberFormat="1" applyFont="1" applyFill="1" applyBorder="1" applyAlignment="1">
      <alignment horizontal="left" vertical="center"/>
    </xf>
    <xf numFmtId="0" fontId="57" fillId="22" borderId="87" xfId="0" quotePrefix="1" applyFont="1" applyFill="1" applyBorder="1" applyAlignment="1">
      <alignment horizontal="left" vertical="center"/>
    </xf>
    <xf numFmtId="0" fontId="54" fillId="0" borderId="87" xfId="0" quotePrefix="1" applyFont="1" applyBorder="1" applyAlignment="1">
      <alignment horizontal="left" vertical="center"/>
    </xf>
    <xf numFmtId="2" fontId="54" fillId="0" borderId="10" xfId="0" applyNumberFormat="1" applyFont="1" applyBorder="1" applyAlignment="1">
      <alignment horizontal="left" vertical="center"/>
    </xf>
    <xf numFmtId="0" fontId="54" fillId="0" borderId="10" xfId="0" quotePrefix="1" applyFont="1" applyBorder="1" applyAlignment="1">
      <alignment horizontal="left" vertical="center"/>
    </xf>
    <xf numFmtId="0" fontId="40" fillId="6" borderId="0" xfId="0" applyFont="1" applyFill="1" applyAlignment="1">
      <alignment horizontal="left" vertical="center"/>
    </xf>
    <xf numFmtId="0" fontId="56" fillId="7" borderId="84" xfId="0" applyFont="1" applyFill="1" applyBorder="1" applyAlignment="1">
      <alignment horizontal="left" vertical="center" wrapText="1"/>
    </xf>
    <xf numFmtId="0" fontId="41" fillId="6" borderId="0" xfId="0" applyFont="1" applyFill="1" applyAlignment="1">
      <alignment horizontal="left" vertical="center"/>
    </xf>
    <xf numFmtId="0" fontId="41" fillId="0" borderId="0" xfId="0" applyFont="1" applyAlignment="1">
      <alignment horizontal="left" vertical="center"/>
    </xf>
    <xf numFmtId="0" fontId="37" fillId="7" borderId="4" xfId="0" applyFont="1" applyFill="1" applyBorder="1" applyAlignment="1">
      <alignment horizontal="left" vertical="center"/>
    </xf>
    <xf numFmtId="0" fontId="0" fillId="6" borderId="0" xfId="0" applyFill="1" applyAlignment="1">
      <alignment horizontal="left"/>
    </xf>
    <xf numFmtId="0" fontId="54" fillId="0" borderId="87" xfId="0" applyFont="1" applyBorder="1" applyAlignment="1">
      <alignment horizontal="left" vertical="center"/>
    </xf>
    <xf numFmtId="0" fontId="54" fillId="0" borderId="112" xfId="0" applyFont="1" applyBorder="1" applyAlignment="1">
      <alignment horizontal="left" vertical="center"/>
    </xf>
    <xf numFmtId="0" fontId="56" fillId="7" borderId="82" xfId="0" applyFont="1" applyFill="1" applyBorder="1" applyAlignment="1">
      <alignment horizontal="left" vertical="center" wrapText="1"/>
    </xf>
    <xf numFmtId="2" fontId="54" fillId="0" borderId="87" xfId="0" applyNumberFormat="1" applyFont="1" applyBorder="1" applyAlignment="1">
      <alignment horizontal="left" vertical="center"/>
    </xf>
    <xf numFmtId="0" fontId="43" fillId="0" borderId="0" xfId="3" applyFont="1" applyAlignment="1">
      <alignment horizontal="left" vertical="center" wrapText="1"/>
    </xf>
    <xf numFmtId="166" fontId="0" fillId="0" borderId="0" xfId="0" applyNumberFormat="1" applyAlignment="1">
      <alignment horizontal="left"/>
    </xf>
    <xf numFmtId="0" fontId="43" fillId="0" borderId="0" xfId="46" applyFont="1" applyAlignment="1">
      <alignment horizontal="left" vertical="center" wrapText="1"/>
    </xf>
    <xf numFmtId="0" fontId="54" fillId="0" borderId="97" xfId="0" applyFont="1" applyBorder="1" applyAlignment="1">
      <alignment horizontal="left" vertical="center"/>
    </xf>
    <xf numFmtId="166" fontId="0" fillId="0" borderId="0" xfId="0" applyNumberFormat="1" applyAlignment="1">
      <alignment horizontal="left" vertical="center"/>
    </xf>
    <xf numFmtId="0" fontId="54" fillId="29" borderId="11" xfId="0" applyFont="1" applyFill="1" applyBorder="1" applyAlignment="1">
      <alignment horizontal="left" vertical="center"/>
    </xf>
    <xf numFmtId="0" fontId="57" fillId="0" borderId="90" xfId="0" applyFont="1" applyBorder="1" applyAlignment="1">
      <alignment horizontal="left" vertical="center"/>
    </xf>
    <xf numFmtId="0" fontId="56" fillId="31" borderId="82" xfId="0" applyFont="1" applyFill="1" applyBorder="1" applyAlignment="1">
      <alignment horizontal="center" vertical="center"/>
    </xf>
    <xf numFmtId="0" fontId="56" fillId="31" borderId="71" xfId="0" applyFont="1" applyFill="1" applyBorder="1" applyAlignment="1">
      <alignment horizontal="center" vertical="center"/>
    </xf>
    <xf numFmtId="0" fontId="65" fillId="31" borderId="82" xfId="0" applyFont="1" applyFill="1" applyBorder="1" applyAlignment="1">
      <alignment horizontal="center" vertical="center"/>
    </xf>
    <xf numFmtId="0" fontId="56" fillId="31" borderId="83" xfId="0" applyFont="1" applyFill="1" applyBorder="1" applyAlignment="1">
      <alignment horizontal="center" vertical="center" wrapText="1"/>
    </xf>
    <xf numFmtId="0" fontId="65" fillId="7" borderId="70" xfId="0" applyFont="1" applyFill="1" applyBorder="1" applyAlignment="1">
      <alignment horizontal="left" vertical="center"/>
    </xf>
    <xf numFmtId="0" fontId="65" fillId="7" borderId="72" xfId="0" applyFont="1" applyFill="1" applyBorder="1" applyAlignment="1">
      <alignment horizontal="left" vertical="center"/>
    </xf>
    <xf numFmtId="165" fontId="57" fillId="15" borderId="87" xfId="0" applyNumberFormat="1" applyFont="1" applyFill="1" applyBorder="1" applyAlignment="1">
      <alignment horizontal="center" vertical="center" wrapText="1"/>
    </xf>
    <xf numFmtId="0" fontId="93" fillId="0" borderId="0" xfId="0" applyFont="1"/>
    <xf numFmtId="0" fontId="57" fillId="0" borderId="89" xfId="0" applyFont="1" applyBorder="1" applyAlignment="1">
      <alignment horizontal="center" vertical="center" wrapText="1"/>
    </xf>
    <xf numFmtId="0" fontId="57" fillId="5" borderId="87" xfId="0" quotePrefix="1" applyFont="1" applyFill="1" applyBorder="1" applyAlignment="1">
      <alignment horizontal="center" vertical="center"/>
    </xf>
    <xf numFmtId="0" fontId="37" fillId="7" borderId="74" xfId="0" applyFont="1" applyFill="1" applyBorder="1" applyAlignment="1">
      <alignment horizontal="center" vertical="center"/>
    </xf>
    <xf numFmtId="0" fontId="56" fillId="5" borderId="104" xfId="0" applyFont="1" applyFill="1" applyBorder="1" applyAlignment="1">
      <alignment horizontal="center" vertical="center"/>
    </xf>
    <xf numFmtId="0" fontId="56" fillId="5" borderId="115" xfId="0" applyFont="1" applyFill="1" applyBorder="1" applyAlignment="1">
      <alignment horizontal="center" vertical="center"/>
    </xf>
    <xf numFmtId="0" fontId="54" fillId="0" borderId="105" xfId="0" applyFont="1" applyBorder="1" applyAlignment="1">
      <alignment horizontal="center"/>
    </xf>
    <xf numFmtId="2" fontId="54" fillId="0" borderId="87" xfId="0" applyNumberFormat="1" applyFont="1" applyBorder="1" applyAlignment="1">
      <alignment horizontal="center" vertical="center"/>
    </xf>
    <xf numFmtId="0" fontId="54" fillId="0" borderId="87" xfId="0" applyFont="1" applyBorder="1" applyAlignment="1">
      <alignment horizontal="center"/>
    </xf>
    <xf numFmtId="0" fontId="56" fillId="7" borderId="71" xfId="0" applyFont="1" applyFill="1" applyBorder="1" applyAlignment="1">
      <alignment horizontal="center" vertical="center"/>
    </xf>
    <xf numFmtId="0" fontId="56" fillId="7" borderId="82" xfId="0" applyFont="1" applyFill="1" applyBorder="1" applyAlignment="1">
      <alignment horizontal="center" vertical="center" wrapText="1"/>
    </xf>
    <xf numFmtId="2" fontId="54" fillId="0" borderId="15" xfId="0" applyNumberFormat="1" applyFont="1" applyBorder="1" applyAlignment="1">
      <alignment horizontal="center" vertical="center"/>
    </xf>
    <xf numFmtId="2" fontId="54" fillId="0" borderId="88" xfId="0" applyNumberFormat="1" applyFont="1" applyBorder="1" applyAlignment="1">
      <alignment horizontal="center" vertical="center"/>
    </xf>
    <xf numFmtId="0" fontId="54" fillId="0" borderId="88" xfId="0" applyFont="1" applyBorder="1" applyAlignment="1">
      <alignment horizontal="center" vertical="center"/>
    </xf>
    <xf numFmtId="0" fontId="54" fillId="0" borderId="15" xfId="0" applyFont="1" applyBorder="1" applyAlignment="1">
      <alignment horizontal="center" vertical="center"/>
    </xf>
    <xf numFmtId="2" fontId="54" fillId="0" borderId="6" xfId="0" applyNumberFormat="1" applyFont="1" applyBorder="1" applyAlignment="1">
      <alignment horizontal="center" vertical="center"/>
    </xf>
    <xf numFmtId="0" fontId="54" fillId="0" borderId="113" xfId="0" applyFont="1" applyBorder="1" applyAlignment="1">
      <alignment horizontal="center" vertical="center"/>
    </xf>
    <xf numFmtId="0" fontId="54" fillId="0" borderId="6" xfId="0" applyFont="1" applyBorder="1" applyAlignment="1">
      <alignment horizontal="center" vertical="center"/>
    </xf>
    <xf numFmtId="11" fontId="54" fillId="0" borderId="6" xfId="0" applyNumberFormat="1" applyFont="1" applyBorder="1" applyAlignment="1">
      <alignment horizontal="center" vertical="center"/>
    </xf>
    <xf numFmtId="166" fontId="54" fillId="0" borderId="6" xfId="0" applyNumberFormat="1" applyFont="1" applyBorder="1" applyAlignment="1">
      <alignment horizontal="center" vertical="center"/>
    </xf>
    <xf numFmtId="11" fontId="54" fillId="0" borderId="87" xfId="0" applyNumberFormat="1" applyFont="1" applyBorder="1" applyAlignment="1">
      <alignment horizontal="center" vertical="center"/>
    </xf>
    <xf numFmtId="2" fontId="57" fillId="20" borderId="86" xfId="0" applyNumberFormat="1" applyFont="1" applyFill="1" applyBorder="1" applyAlignment="1">
      <alignment horizontal="left" vertical="center"/>
    </xf>
    <xf numFmtId="0" fontId="65" fillId="7" borderId="108" xfId="0" applyFont="1" applyFill="1" applyBorder="1" applyAlignment="1">
      <alignment horizontal="left" vertical="center"/>
    </xf>
    <xf numFmtId="0" fontId="57" fillId="20" borderId="112" xfId="0" applyFont="1" applyFill="1" applyBorder="1" applyAlignment="1">
      <alignment horizontal="left" vertical="center"/>
    </xf>
    <xf numFmtId="0" fontId="65" fillId="13" borderId="74" xfId="13" applyFont="1" applyFill="1" applyBorder="1"/>
    <xf numFmtId="0" fontId="65" fillId="13" borderId="117" xfId="13" applyFont="1" applyFill="1" applyBorder="1" applyAlignment="1">
      <alignment horizontal="center"/>
    </xf>
    <xf numFmtId="0" fontId="65" fillId="13" borderId="108" xfId="13" applyFont="1" applyFill="1" applyBorder="1" applyAlignment="1">
      <alignment horizontal="center" vertical="top" wrapText="1"/>
    </xf>
    <xf numFmtId="0" fontId="65" fillId="13" borderId="108" xfId="13" applyFont="1" applyFill="1" applyBorder="1" applyAlignment="1">
      <alignment horizontal="center" vertical="center" wrapText="1"/>
    </xf>
    <xf numFmtId="0" fontId="65" fillId="13" borderId="118" xfId="13" applyFont="1" applyFill="1" applyBorder="1" applyAlignment="1">
      <alignment horizontal="center" vertical="top" wrapText="1"/>
    </xf>
    <xf numFmtId="0" fontId="54" fillId="0" borderId="104" xfId="0" applyFont="1" applyBorder="1"/>
    <xf numFmtId="0" fontId="54" fillId="0" borderId="105" xfId="0" applyFont="1" applyBorder="1"/>
    <xf numFmtId="0" fontId="54" fillId="0" borderId="106" xfId="0" applyFont="1" applyBorder="1"/>
    <xf numFmtId="0" fontId="54" fillId="0" borderId="88" xfId="0" applyFont="1" applyBorder="1"/>
    <xf numFmtId="0" fontId="54" fillId="0" borderId="88" xfId="0" applyFont="1" applyBorder="1" applyAlignment="1">
      <alignment horizontal="center"/>
    </xf>
    <xf numFmtId="0" fontId="54" fillId="0" borderId="93" xfId="0" applyFont="1" applyBorder="1"/>
    <xf numFmtId="0" fontId="54" fillId="0" borderId="115" xfId="23" applyFont="1" applyBorder="1"/>
    <xf numFmtId="0" fontId="54" fillId="0" borderId="87" xfId="23" applyFont="1" applyBorder="1"/>
    <xf numFmtId="0" fontId="54" fillId="0" borderId="87" xfId="23" applyFont="1" applyBorder="1" applyAlignment="1">
      <alignment horizontal="center"/>
    </xf>
    <xf numFmtId="0" fontId="54" fillId="0" borderId="87" xfId="23" applyFont="1" applyBorder="1" applyAlignment="1">
      <alignment horizontal="left" vertical="center"/>
    </xf>
    <xf numFmtId="0" fontId="54" fillId="0" borderId="89" xfId="23" applyFont="1" applyBorder="1"/>
    <xf numFmtId="0" fontId="54" fillId="0" borderId="115" xfId="23" applyFont="1" applyBorder="1" applyAlignment="1">
      <alignment horizontal="left" vertical="center"/>
    </xf>
    <xf numFmtId="0" fontId="54" fillId="0" borderId="87" xfId="23" applyFont="1" applyBorder="1" applyAlignment="1">
      <alignment horizontal="center" vertical="center"/>
    </xf>
    <xf numFmtId="0" fontId="54" fillId="0" borderId="89" xfId="23" applyFont="1" applyBorder="1" applyAlignment="1">
      <alignment horizontal="left" vertical="center"/>
    </xf>
    <xf numFmtId="0" fontId="54" fillId="0" borderId="9" xfId="23" applyFont="1" applyBorder="1"/>
    <xf numFmtId="0" fontId="54" fillId="0" borderId="112" xfId="23" applyFont="1" applyBorder="1"/>
    <xf numFmtId="0" fontId="54" fillId="0" borderId="112" xfId="23" applyFont="1" applyBorder="1" applyAlignment="1">
      <alignment horizontal="center"/>
    </xf>
    <xf numFmtId="0" fontId="54" fillId="0" borderId="11" xfId="23" applyFont="1" applyBorder="1"/>
    <xf numFmtId="0" fontId="54" fillId="0" borderId="115" xfId="0" applyFont="1" applyBorder="1"/>
    <xf numFmtId="0" fontId="54" fillId="0" borderId="89" xfId="0" applyFont="1" applyBorder="1"/>
    <xf numFmtId="0" fontId="91" fillId="0" borderId="115" xfId="35" applyFont="1" applyBorder="1" applyAlignment="1">
      <alignment horizontal="left" vertical="center" wrapText="1"/>
    </xf>
    <xf numFmtId="0" fontId="57" fillId="0" borderId="112" xfId="0" applyFont="1" applyBorder="1" applyAlignment="1">
      <alignment vertical="center"/>
    </xf>
    <xf numFmtId="0" fontId="64" fillId="7" borderId="34" xfId="0" applyFont="1" applyFill="1" applyBorder="1" applyAlignment="1">
      <alignment horizontal="left" vertical="center"/>
    </xf>
    <xf numFmtId="0" fontId="64" fillId="7" borderId="116" xfId="0" applyFont="1" applyFill="1" applyBorder="1" applyAlignment="1">
      <alignment horizontal="left" vertical="center"/>
    </xf>
    <xf numFmtId="0" fontId="57" fillId="0" borderId="111" xfId="0" applyFont="1" applyBorder="1" applyAlignment="1">
      <alignment horizontal="left" vertical="center"/>
    </xf>
    <xf numFmtId="0" fontId="64" fillId="7" borderId="45" xfId="0" applyFont="1" applyFill="1" applyBorder="1" applyAlignment="1">
      <alignment horizontal="left" vertical="center"/>
    </xf>
    <xf numFmtId="0" fontId="22" fillId="0" borderId="63" xfId="0" applyFont="1" applyBorder="1" applyAlignment="1">
      <alignment horizontal="left" vertical="center"/>
    </xf>
    <xf numFmtId="0" fontId="22" fillId="0" borderId="6" xfId="0" applyFont="1" applyBorder="1" applyAlignment="1">
      <alignment horizontal="left" vertical="center"/>
    </xf>
    <xf numFmtId="2" fontId="22" fillId="0" borderId="15" xfId="0" applyNumberFormat="1" applyFont="1" applyBorder="1" applyAlignment="1">
      <alignment horizontal="left" vertical="center"/>
    </xf>
    <xf numFmtId="0" fontId="22" fillId="0" borderId="15" xfId="0" applyFont="1" applyBorder="1" applyAlignment="1">
      <alignment horizontal="left" vertical="center"/>
    </xf>
    <xf numFmtId="0" fontId="18" fillId="0" borderId="87" xfId="0" applyFont="1" applyBorder="1" applyAlignment="1">
      <alignment horizontal="left" vertical="center"/>
    </xf>
    <xf numFmtId="0" fontId="18" fillId="0" borderId="88" xfId="0" applyFont="1" applyBorder="1" applyAlignment="1">
      <alignment horizontal="left" vertical="center"/>
    </xf>
    <xf numFmtId="169" fontId="18" fillId="0" borderId="87" xfId="0" applyNumberFormat="1" applyFont="1" applyBorder="1" applyAlignment="1">
      <alignment horizontal="left" vertical="center"/>
    </xf>
    <xf numFmtId="0" fontId="20" fillId="0" borderId="88" xfId="0" applyFont="1" applyBorder="1" applyAlignment="1">
      <alignment horizontal="left" vertical="center"/>
    </xf>
    <xf numFmtId="0" fontId="20" fillId="0" borderId="87" xfId="0" applyFont="1" applyBorder="1" applyAlignment="1">
      <alignment horizontal="left" vertical="center"/>
    </xf>
    <xf numFmtId="0" fontId="22" fillId="0" borderId="10" xfId="0" applyFont="1" applyBorder="1" applyAlignment="1">
      <alignment horizontal="left" vertical="center"/>
    </xf>
    <xf numFmtId="0" fontId="64" fillId="7" borderId="78" xfId="0" applyFont="1" applyFill="1" applyBorder="1" applyAlignment="1">
      <alignment horizontal="left" vertical="center"/>
    </xf>
    <xf numFmtId="0" fontId="57" fillId="0" borderId="10" xfId="0" quotePrefix="1" applyFont="1" applyBorder="1" applyAlignment="1">
      <alignment horizontal="left" vertical="center"/>
    </xf>
    <xf numFmtId="0" fontId="37" fillId="7" borderId="78" xfId="0" applyFont="1" applyFill="1" applyBorder="1" applyAlignment="1">
      <alignment horizontal="left" vertical="center"/>
    </xf>
    <xf numFmtId="0" fontId="37" fillId="7" borderId="101" xfId="0" applyFont="1" applyFill="1" applyBorder="1" applyAlignment="1">
      <alignment horizontal="left" vertical="center"/>
    </xf>
    <xf numFmtId="0" fontId="64" fillId="7" borderId="101" xfId="0" applyFont="1" applyFill="1" applyBorder="1" applyAlignment="1">
      <alignment horizontal="left" vertical="center"/>
    </xf>
    <xf numFmtId="0" fontId="64" fillId="7" borderId="103" xfId="0" applyFont="1" applyFill="1" applyBorder="1" applyAlignment="1">
      <alignment horizontal="left" vertical="center"/>
    </xf>
    <xf numFmtId="0" fontId="57" fillId="20" borderId="62" xfId="0" applyFont="1" applyFill="1" applyBorder="1" applyAlignment="1">
      <alignment horizontal="left" vertical="center"/>
    </xf>
    <xf numFmtId="0" fontId="57" fillId="20" borderId="79" xfId="0" applyFont="1" applyFill="1" applyBorder="1" applyAlignment="1">
      <alignment horizontal="left" vertical="center"/>
    </xf>
    <xf numFmtId="167" fontId="57" fillId="0" borderId="15" xfId="0" applyNumberFormat="1" applyFont="1" applyBorder="1" applyAlignment="1">
      <alignment horizontal="center" vertical="center"/>
    </xf>
    <xf numFmtId="167" fontId="57" fillId="0" borderId="6" xfId="0" applyNumberFormat="1" applyFont="1" applyBorder="1" applyAlignment="1">
      <alignment horizontal="center" vertical="center"/>
    </xf>
    <xf numFmtId="167" fontId="54" fillId="0" borderId="6" xfId="0" applyNumberFormat="1" applyFont="1" applyBorder="1" applyAlignment="1">
      <alignment horizontal="center"/>
    </xf>
    <xf numFmtId="167" fontId="54" fillId="0" borderId="112" xfId="0" applyNumberFormat="1" applyFont="1" applyBorder="1" applyAlignment="1">
      <alignment horizontal="center"/>
    </xf>
    <xf numFmtId="11" fontId="54" fillId="20" borderId="80" xfId="0" applyNumberFormat="1" applyFont="1" applyFill="1" applyBorder="1"/>
    <xf numFmtId="11" fontId="54" fillId="20" borderId="10" xfId="0" applyNumberFormat="1" applyFont="1" applyFill="1" applyBorder="1"/>
    <xf numFmtId="0" fontId="54" fillId="0" borderId="113" xfId="0" applyFont="1" applyBorder="1" applyAlignment="1">
      <alignment horizontal="left" vertical="center"/>
    </xf>
    <xf numFmtId="2" fontId="54" fillId="0" borderId="113" xfId="0" applyNumberFormat="1" applyFont="1" applyBorder="1" applyAlignment="1">
      <alignment horizontal="left" vertical="center"/>
    </xf>
    <xf numFmtId="0" fontId="54" fillId="0" borderId="113" xfId="0" applyFont="1" applyBorder="1" applyAlignment="1">
      <alignment horizontal="center" vertical="center" wrapText="1"/>
    </xf>
    <xf numFmtId="0" fontId="54" fillId="0" borderId="113" xfId="0" applyFont="1" applyBorder="1" applyAlignment="1">
      <alignment horizontal="left" vertical="center" wrapText="1"/>
    </xf>
    <xf numFmtId="0" fontId="57" fillId="20" borderId="9" xfId="0" applyFont="1" applyFill="1" applyBorder="1" applyAlignment="1">
      <alignment horizontal="left" vertical="center" wrapText="1"/>
    </xf>
    <xf numFmtId="0" fontId="57" fillId="20" borderId="112" xfId="0" applyFont="1" applyFill="1" applyBorder="1" applyAlignment="1">
      <alignment horizontal="center" vertical="center"/>
    </xf>
    <xf numFmtId="166" fontId="57" fillId="20" borderId="112" xfId="0" applyNumberFormat="1" applyFont="1" applyFill="1" applyBorder="1" applyAlignment="1">
      <alignment horizontal="center" vertical="center"/>
    </xf>
    <xf numFmtId="0" fontId="57" fillId="20" borderId="112" xfId="0" quotePrefix="1" applyFont="1" applyFill="1" applyBorder="1" applyAlignment="1">
      <alignment horizontal="center" vertical="center"/>
    </xf>
    <xf numFmtId="0" fontId="57" fillId="20" borderId="92" xfId="0" applyFont="1" applyFill="1" applyBorder="1" applyAlignment="1">
      <alignment horizontal="left" vertical="center"/>
    </xf>
    <xf numFmtId="166" fontId="57" fillId="20" borderId="88" xfId="0" applyNumberFormat="1" applyFont="1" applyFill="1" applyBorder="1" applyAlignment="1">
      <alignment horizontal="left" vertical="center"/>
    </xf>
    <xf numFmtId="0" fontId="57" fillId="20" borderId="93" xfId="0" applyFont="1" applyFill="1" applyBorder="1" applyAlignment="1">
      <alignment horizontal="left" vertical="center"/>
    </xf>
    <xf numFmtId="0" fontId="57" fillId="20" borderId="92" xfId="0" applyFont="1" applyFill="1" applyBorder="1" applyAlignment="1">
      <alignment horizontal="left" vertical="center" wrapText="1"/>
    </xf>
    <xf numFmtId="0" fontId="57" fillId="20" borderId="113" xfId="0" applyFont="1" applyFill="1" applyBorder="1" applyAlignment="1">
      <alignment horizontal="left" vertical="center"/>
    </xf>
    <xf numFmtId="0" fontId="57" fillId="20" borderId="115" xfId="0" applyFont="1" applyFill="1" applyBorder="1" applyAlignment="1">
      <alignment horizontal="left" vertical="center" wrapText="1"/>
    </xf>
    <xf numFmtId="166" fontId="57" fillId="20" borderId="113" xfId="0" applyNumberFormat="1" applyFont="1" applyFill="1" applyBorder="1" applyAlignment="1">
      <alignment horizontal="left" vertical="center"/>
    </xf>
    <xf numFmtId="167" fontId="57" fillId="20" borderId="113" xfId="0" applyNumberFormat="1" applyFont="1" applyFill="1" applyBorder="1" applyAlignment="1">
      <alignment horizontal="left" vertical="center"/>
    </xf>
    <xf numFmtId="0" fontId="57" fillId="20" borderId="113" xfId="0" quotePrefix="1" applyFont="1" applyFill="1" applyBorder="1" applyAlignment="1">
      <alignment horizontal="left" vertical="center"/>
    </xf>
    <xf numFmtId="166" fontId="57" fillId="20" borderId="112" xfId="0" applyNumberFormat="1" applyFont="1" applyFill="1" applyBorder="1" applyAlignment="1">
      <alignment horizontal="left" vertical="center"/>
    </xf>
    <xf numFmtId="0" fontId="57" fillId="20" borderId="112" xfId="0" quotePrefix="1" applyFont="1" applyFill="1" applyBorder="1" applyAlignment="1">
      <alignment horizontal="left" vertical="center"/>
    </xf>
    <xf numFmtId="0" fontId="57" fillId="20" borderId="88" xfId="0" quotePrefix="1" applyFont="1" applyFill="1" applyBorder="1" applyAlignment="1">
      <alignment horizontal="left" vertical="center"/>
    </xf>
    <xf numFmtId="0" fontId="54" fillId="9" borderId="115" xfId="0" applyFont="1" applyFill="1" applyBorder="1" applyAlignment="1">
      <alignment horizontal="left" vertical="center"/>
    </xf>
    <xf numFmtId="165" fontId="61" fillId="9" borderId="113" xfId="0" applyNumberFormat="1" applyFont="1" applyFill="1" applyBorder="1" applyAlignment="1">
      <alignment vertical="center" wrapText="1"/>
    </xf>
    <xf numFmtId="165" fontId="61" fillId="9" borderId="113" xfId="0" applyNumberFormat="1" applyFont="1" applyFill="1" applyBorder="1" applyAlignment="1">
      <alignment horizontal="center" vertical="center" wrapText="1"/>
    </xf>
    <xf numFmtId="0" fontId="61" fillId="9" borderId="113" xfId="0" applyFont="1" applyFill="1" applyBorder="1" applyAlignment="1">
      <alignment horizontal="center" vertical="center" wrapText="1"/>
    </xf>
    <xf numFmtId="0" fontId="54" fillId="9" borderId="113" xfId="0" applyFont="1" applyFill="1" applyBorder="1" applyAlignment="1">
      <alignment horizontal="center" vertical="center"/>
    </xf>
    <xf numFmtId="0" fontId="54" fillId="9" borderId="97" xfId="0" applyFont="1" applyFill="1" applyBorder="1" applyAlignment="1">
      <alignment horizontal="left" vertical="center"/>
    </xf>
    <xf numFmtId="0" fontId="57" fillId="7" borderId="120" xfId="0" applyFont="1" applyFill="1" applyBorder="1" applyAlignment="1">
      <alignment horizontal="center" vertical="center" wrapText="1"/>
    </xf>
    <xf numFmtId="0" fontId="61" fillId="7" borderId="120" xfId="0" applyFont="1" applyFill="1" applyBorder="1" applyAlignment="1">
      <alignment horizontal="center" vertical="center" wrapText="1"/>
    </xf>
    <xf numFmtId="0" fontId="57" fillId="7" borderId="121" xfId="0" applyFont="1" applyFill="1" applyBorder="1" applyAlignment="1">
      <alignment horizontal="left" vertical="center"/>
    </xf>
    <xf numFmtId="2" fontId="57" fillId="7" borderId="113" xfId="0" applyNumberFormat="1" applyFont="1" applyFill="1" applyBorder="1" applyAlignment="1">
      <alignment horizontal="center" vertical="center" wrapText="1"/>
    </xf>
    <xf numFmtId="166" fontId="57" fillId="7" borderId="113" xfId="0" applyNumberFormat="1" applyFont="1" applyFill="1" applyBorder="1" applyAlignment="1">
      <alignment horizontal="center" vertical="center" wrapText="1"/>
    </xf>
    <xf numFmtId="0" fontId="57" fillId="4" borderId="111" xfId="0" applyFont="1" applyFill="1" applyBorder="1" applyAlignment="1">
      <alignment horizontal="left" vertical="center"/>
    </xf>
    <xf numFmtId="0" fontId="57" fillId="4" borderId="86" xfId="0" applyFont="1" applyFill="1" applyBorder="1" applyAlignment="1">
      <alignment horizontal="left" vertical="center"/>
    </xf>
    <xf numFmtId="11" fontId="57" fillId="4" borderId="86" xfId="0" applyNumberFormat="1" applyFont="1" applyFill="1" applyBorder="1" applyAlignment="1">
      <alignment horizontal="left" vertical="center"/>
    </xf>
    <xf numFmtId="0" fontId="64" fillId="7" borderId="122" xfId="0" applyFont="1" applyFill="1" applyBorder="1" applyAlignment="1">
      <alignment horizontal="left" vertical="center" wrapText="1"/>
    </xf>
    <xf numFmtId="164" fontId="57" fillId="19" borderId="13" xfId="0" applyNumberFormat="1" applyFont="1" applyFill="1" applyBorder="1" applyAlignment="1">
      <alignment horizontal="center" vertical="center"/>
    </xf>
    <xf numFmtId="0" fontId="90" fillId="12" borderId="6" xfId="0" applyFont="1" applyFill="1" applyBorder="1" applyAlignment="1">
      <alignment horizontal="center" vertical="center"/>
    </xf>
    <xf numFmtId="164" fontId="61" fillId="7" borderId="88" xfId="0" applyNumberFormat="1" applyFont="1" applyFill="1" applyBorder="1" applyAlignment="1">
      <alignment horizontal="center" vertical="center" wrapText="1"/>
    </xf>
    <xf numFmtId="0" fontId="61" fillId="7" borderId="88" xfId="0" applyFont="1" applyFill="1" applyBorder="1" applyAlignment="1">
      <alignment horizontal="center" vertical="center" wrapText="1"/>
    </xf>
    <xf numFmtId="0" fontId="59" fillId="7" borderId="93" xfId="0" applyFont="1" applyFill="1" applyBorder="1" applyAlignment="1">
      <alignment horizontal="left" vertical="center" wrapText="1"/>
    </xf>
    <xf numFmtId="166" fontId="57" fillId="11" borderId="6" xfId="0" applyNumberFormat="1" applyFont="1" applyFill="1" applyBorder="1" applyAlignment="1">
      <alignment horizontal="center" vertical="center" wrapText="1"/>
    </xf>
    <xf numFmtId="166" fontId="57" fillId="19" borderId="6" xfId="0" applyNumberFormat="1" applyFont="1" applyFill="1" applyBorder="1" applyAlignment="1">
      <alignment horizontal="center" vertical="center" wrapText="1"/>
    </xf>
    <xf numFmtId="166" fontId="57" fillId="10" borderId="6" xfId="0" applyNumberFormat="1" applyFont="1" applyFill="1" applyBorder="1" applyAlignment="1">
      <alignment horizontal="center" vertical="center" wrapText="1"/>
    </xf>
    <xf numFmtId="0" fontId="57" fillId="15" borderId="120" xfId="0" applyFont="1" applyFill="1" applyBorder="1" applyAlignment="1">
      <alignment horizontal="center" vertical="center" wrapText="1"/>
    </xf>
    <xf numFmtId="0" fontId="57" fillId="20" borderId="123" xfId="0" applyFont="1" applyFill="1" applyBorder="1" applyAlignment="1">
      <alignment horizontal="left" vertical="center"/>
    </xf>
    <xf numFmtId="0" fontId="57" fillId="20" borderId="120" xfId="0" quotePrefix="1" applyFont="1" applyFill="1" applyBorder="1" applyAlignment="1">
      <alignment horizontal="left" vertical="center"/>
    </xf>
    <xf numFmtId="0" fontId="57" fillId="20" borderId="125" xfId="0" applyFont="1" applyFill="1" applyBorder="1" applyAlignment="1">
      <alignment horizontal="left" vertical="center"/>
    </xf>
    <xf numFmtId="0" fontId="64" fillId="7" borderId="126" xfId="0" applyFont="1" applyFill="1" applyBorder="1" applyAlignment="1">
      <alignment horizontal="left" vertical="center"/>
    </xf>
    <xf numFmtId="11" fontId="57" fillId="20" borderId="120" xfId="0" applyNumberFormat="1" applyFont="1" applyFill="1" applyBorder="1" applyAlignment="1">
      <alignment horizontal="left" vertical="center"/>
    </xf>
    <xf numFmtId="0" fontId="57" fillId="20" borderId="115" xfId="0" applyFont="1" applyFill="1" applyBorder="1" applyAlignment="1">
      <alignment horizontal="left" vertical="center"/>
    </xf>
    <xf numFmtId="11" fontId="57" fillId="20" borderId="113" xfId="0" applyNumberFormat="1" applyFont="1" applyFill="1" applyBorder="1" applyAlignment="1">
      <alignment horizontal="left" vertical="center"/>
    </xf>
    <xf numFmtId="0" fontId="57" fillId="20" borderId="111" xfId="0" applyFont="1" applyFill="1" applyBorder="1" applyAlignment="1">
      <alignment horizontal="left" vertical="center"/>
    </xf>
    <xf numFmtId="11" fontId="57" fillId="20" borderId="86" xfId="0" applyNumberFormat="1" applyFont="1" applyFill="1" applyBorder="1" applyAlignment="1">
      <alignment horizontal="left" vertical="center"/>
    </xf>
    <xf numFmtId="0" fontId="57" fillId="20" borderId="86" xfId="0" quotePrefix="1" applyFont="1" applyFill="1" applyBorder="1" applyAlignment="1">
      <alignment horizontal="left" vertical="center"/>
    </xf>
    <xf numFmtId="2" fontId="57" fillId="0" borderId="124" xfId="0" applyNumberFormat="1" applyFont="1" applyBorder="1" applyAlignment="1">
      <alignment horizontal="center" vertical="center" wrapText="1"/>
    </xf>
    <xf numFmtId="0" fontId="57" fillId="0" borderId="124" xfId="0" applyFont="1" applyBorder="1" applyAlignment="1">
      <alignment horizontal="center" vertical="center" wrapText="1"/>
    </xf>
    <xf numFmtId="0" fontId="0" fillId="0" borderId="18" xfId="0" applyBorder="1" applyAlignment="1">
      <alignment horizontal="center"/>
    </xf>
    <xf numFmtId="0" fontId="57" fillId="0" borderId="113" xfId="0" applyFont="1" applyBorder="1" applyAlignment="1">
      <alignment horizontal="center" vertical="center" wrapText="1"/>
    </xf>
    <xf numFmtId="0" fontId="57" fillId="0" borderId="113" xfId="0" quotePrefix="1" applyFont="1" applyBorder="1" applyAlignment="1">
      <alignment horizontal="center" vertical="center" wrapText="1"/>
    </xf>
    <xf numFmtId="2" fontId="57" fillId="0" borderId="86" xfId="0" applyNumberFormat="1" applyFont="1" applyBorder="1" applyAlignment="1">
      <alignment horizontal="center" vertical="center" wrapText="1"/>
    </xf>
    <xf numFmtId="0" fontId="57" fillId="0" borderId="112" xfId="0" quotePrefix="1" applyFont="1" applyBorder="1" applyAlignment="1">
      <alignment horizontal="center" vertical="center" wrapText="1"/>
    </xf>
    <xf numFmtId="0" fontId="64" fillId="7" borderId="130" xfId="0" applyFont="1" applyFill="1" applyBorder="1" applyAlignment="1">
      <alignment horizontal="left" vertical="center"/>
    </xf>
    <xf numFmtId="0" fontId="57" fillId="12" borderId="98" xfId="0" quotePrefix="1" applyFont="1" applyFill="1" applyBorder="1" applyAlignment="1">
      <alignment horizontal="left" vertical="center"/>
    </xf>
    <xf numFmtId="0" fontId="57" fillId="12" borderId="120" xfId="0" quotePrefix="1" applyFont="1" applyFill="1" applyBorder="1" applyAlignment="1">
      <alignment horizontal="left" vertical="center"/>
    </xf>
    <xf numFmtId="0" fontId="57" fillId="12" borderId="120" xfId="0" applyFont="1" applyFill="1" applyBorder="1" applyAlignment="1">
      <alignment horizontal="left" vertical="center"/>
    </xf>
    <xf numFmtId="0" fontId="57" fillId="12" borderId="115" xfId="0" quotePrefix="1" applyFont="1" applyFill="1" applyBorder="1" applyAlignment="1">
      <alignment horizontal="left" vertical="center"/>
    </xf>
    <xf numFmtId="0" fontId="57" fillId="12" borderId="113" xfId="0" quotePrefix="1" applyFont="1" applyFill="1" applyBorder="1" applyAlignment="1">
      <alignment horizontal="left" vertical="center"/>
    </xf>
    <xf numFmtId="0" fontId="57" fillId="12" borderId="113" xfId="0" applyFont="1" applyFill="1" applyBorder="1" applyAlignment="1">
      <alignment horizontal="left" vertical="center"/>
    </xf>
    <xf numFmtId="0" fontId="57" fillId="12" borderId="112" xfId="0" quotePrefix="1" applyFont="1" applyFill="1" applyBorder="1" applyAlignment="1">
      <alignment horizontal="left" vertical="center"/>
    </xf>
    <xf numFmtId="0" fontId="57" fillId="12" borderId="112" xfId="0" applyFont="1" applyFill="1" applyBorder="1" applyAlignment="1">
      <alignment horizontal="left" vertical="center"/>
    </xf>
    <xf numFmtId="0" fontId="57" fillId="0" borderId="131" xfId="0" applyFont="1" applyBorder="1" applyAlignment="1">
      <alignment horizontal="left" vertical="center"/>
    </xf>
    <xf numFmtId="0" fontId="65" fillId="7" borderId="70" xfId="0" applyFont="1" applyFill="1" applyBorder="1" applyAlignment="1">
      <alignment horizontal="center" vertical="center"/>
    </xf>
    <xf numFmtId="0" fontId="65" fillId="7" borderId="71" xfId="0" applyFont="1" applyFill="1" applyBorder="1" applyAlignment="1">
      <alignment horizontal="center" vertical="center" wrapText="1"/>
    </xf>
    <xf numFmtId="0" fontId="65" fillId="7" borderId="72" xfId="0" applyFont="1" applyFill="1" applyBorder="1" applyAlignment="1">
      <alignment horizontal="center" vertical="center" wrapText="1"/>
    </xf>
    <xf numFmtId="0" fontId="57" fillId="11" borderId="75" xfId="0" quotePrefix="1" applyFont="1" applyFill="1" applyBorder="1" applyAlignment="1">
      <alignment horizontal="left" vertical="center"/>
    </xf>
    <xf numFmtId="0" fontId="57" fillId="11" borderId="120" xfId="0" quotePrefix="1" applyFont="1" applyFill="1" applyBorder="1" applyAlignment="1">
      <alignment horizontal="left" vertical="center"/>
    </xf>
    <xf numFmtId="0" fontId="57" fillId="11" borderId="120" xfId="0" applyFont="1" applyFill="1" applyBorder="1" applyAlignment="1">
      <alignment horizontal="left" vertical="center"/>
    </xf>
    <xf numFmtId="0" fontId="57" fillId="11" borderId="131" xfId="0" quotePrefix="1" applyFont="1" applyFill="1" applyBorder="1" applyAlignment="1">
      <alignment horizontal="left" vertical="center"/>
    </xf>
    <xf numFmtId="0" fontId="57" fillId="11" borderId="113" xfId="0" quotePrefix="1" applyFont="1" applyFill="1" applyBorder="1" applyAlignment="1">
      <alignment horizontal="left" vertical="center"/>
    </xf>
    <xf numFmtId="0" fontId="57" fillId="11" borderId="113" xfId="0" applyFont="1" applyFill="1" applyBorder="1" applyAlignment="1">
      <alignment horizontal="left" vertical="center"/>
    </xf>
    <xf numFmtId="0" fontId="57" fillId="11" borderId="131" xfId="0" applyFont="1" applyFill="1" applyBorder="1" applyAlignment="1">
      <alignment horizontal="left" vertical="center"/>
    </xf>
    <xf numFmtId="0" fontId="57" fillId="11" borderId="112" xfId="0" quotePrefix="1" applyFont="1" applyFill="1" applyBorder="1" applyAlignment="1">
      <alignment horizontal="left" vertical="center"/>
    </xf>
    <xf numFmtId="0" fontId="57" fillId="11" borderId="112" xfId="0" applyFont="1" applyFill="1" applyBorder="1" applyAlignment="1">
      <alignment horizontal="left" vertical="center"/>
    </xf>
    <xf numFmtId="0" fontId="57" fillId="0" borderId="132" xfId="0" applyFont="1" applyBorder="1" applyAlignment="1">
      <alignment horizontal="left" vertical="center"/>
    </xf>
    <xf numFmtId="164" fontId="57" fillId="0" borderId="132" xfId="0" applyNumberFormat="1" applyFont="1" applyBorder="1" applyAlignment="1">
      <alignment horizontal="left" vertical="center"/>
    </xf>
    <xf numFmtId="0" fontId="57" fillId="0" borderId="132" xfId="0" applyFont="1" applyBorder="1" applyAlignment="1">
      <alignment horizontal="left" vertical="center" wrapText="1"/>
    </xf>
    <xf numFmtId="0" fontId="57" fillId="0" borderId="133" xfId="0" applyFont="1" applyBorder="1" applyAlignment="1">
      <alignment horizontal="left" vertical="center" wrapText="1"/>
    </xf>
    <xf numFmtId="0" fontId="57" fillId="0" borderId="133" xfId="0" applyFont="1" applyBorder="1" applyAlignment="1">
      <alignment horizontal="center" vertical="center" wrapText="1"/>
    </xf>
    <xf numFmtId="0" fontId="57" fillId="0" borderId="132" xfId="0" applyFont="1" applyBorder="1" applyAlignment="1">
      <alignment horizontal="center" vertical="center" wrapText="1"/>
    </xf>
    <xf numFmtId="0" fontId="38" fillId="0" borderId="0" xfId="0" applyFont="1" applyAlignment="1">
      <alignment horizontal="right"/>
    </xf>
    <xf numFmtId="0" fontId="0" fillId="0" borderId="132" xfId="0" applyBorder="1"/>
    <xf numFmtId="0" fontId="0" fillId="0" borderId="137" xfId="0" applyBorder="1"/>
    <xf numFmtId="0" fontId="0" fillId="14" borderId="128" xfId="0" applyFill="1" applyBorder="1"/>
    <xf numFmtId="0" fontId="0" fillId="14" borderId="120" xfId="0" applyFill="1" applyBorder="1"/>
    <xf numFmtId="2" fontId="0" fillId="14" borderId="129" xfId="0" applyNumberFormat="1" applyFill="1" applyBorder="1"/>
    <xf numFmtId="0" fontId="0" fillId="0" borderId="138" xfId="0" applyBorder="1"/>
    <xf numFmtId="0" fontId="0" fillId="14" borderId="136" xfId="0" applyFill="1" applyBorder="1"/>
    <xf numFmtId="0" fontId="0" fillId="14" borderId="132" xfId="0" applyFill="1" applyBorder="1"/>
    <xf numFmtId="2" fontId="0" fillId="14" borderId="134" xfId="0" applyNumberFormat="1" applyFill="1" applyBorder="1"/>
    <xf numFmtId="0" fontId="0" fillId="14" borderId="135" xfId="0" applyFill="1" applyBorder="1"/>
    <xf numFmtId="0" fontId="0" fillId="0" borderId="88" xfId="0" applyBorder="1"/>
    <xf numFmtId="0" fontId="57" fillId="0" borderId="136" xfId="0" applyFont="1" applyBorder="1" applyAlignment="1">
      <alignment horizontal="left" vertical="center"/>
    </xf>
    <xf numFmtId="0" fontId="57" fillId="0" borderId="135" xfId="0" applyFont="1" applyBorder="1" applyAlignment="1">
      <alignment horizontal="left" vertical="center"/>
    </xf>
    <xf numFmtId="0" fontId="65" fillId="7" borderId="69" xfId="0" applyFont="1" applyFill="1" applyBorder="1" applyAlignment="1">
      <alignment vertical="center" wrapText="1"/>
    </xf>
    <xf numFmtId="0" fontId="57" fillId="0" borderId="128" xfId="0" applyFont="1" applyBorder="1" applyAlignment="1">
      <alignment vertical="center"/>
    </xf>
    <xf numFmtId="0" fontId="57" fillId="0" borderId="120" xfId="0" applyFont="1" applyBorder="1"/>
    <xf numFmtId="0" fontId="57" fillId="0" borderId="129" xfId="0" applyFont="1" applyBorder="1"/>
    <xf numFmtId="0" fontId="57" fillId="0" borderId="136" xfId="0" applyFont="1" applyBorder="1" applyAlignment="1">
      <alignment vertical="center"/>
    </xf>
    <xf numFmtId="0" fontId="57" fillId="0" borderId="132" xfId="0" applyFont="1" applyBorder="1"/>
    <xf numFmtId="0" fontId="57" fillId="0" borderId="134" xfId="0" applyFont="1" applyBorder="1"/>
    <xf numFmtId="0" fontId="57" fillId="0" borderId="132" xfId="0" applyFont="1" applyBorder="1" applyAlignment="1">
      <alignment vertical="center"/>
    </xf>
    <xf numFmtId="0" fontId="57" fillId="0" borderId="134" xfId="0" applyFont="1" applyBorder="1" applyAlignment="1">
      <alignment vertical="center"/>
    </xf>
    <xf numFmtId="0" fontId="57" fillId="0" borderId="135" xfId="0" applyFont="1" applyBorder="1" applyAlignment="1">
      <alignment vertical="center"/>
    </xf>
    <xf numFmtId="0" fontId="57" fillId="0" borderId="11" xfId="0" applyFont="1" applyBorder="1" applyAlignment="1">
      <alignment vertical="center"/>
    </xf>
    <xf numFmtId="0" fontId="57" fillId="0" borderId="149" xfId="0" applyFont="1" applyBorder="1" applyAlignment="1">
      <alignment horizontal="left" vertical="center"/>
    </xf>
    <xf numFmtId="0" fontId="57" fillId="0" borderId="149" xfId="0" applyFont="1" applyBorder="1" applyAlignment="1">
      <alignment horizontal="center" vertical="center"/>
    </xf>
    <xf numFmtId="0" fontId="57" fillId="11" borderId="149" xfId="0" applyFont="1" applyFill="1" applyBorder="1" applyAlignment="1">
      <alignment horizontal="left" vertical="center"/>
    </xf>
    <xf numFmtId="0" fontId="57" fillId="11" borderId="149" xfId="0" applyFont="1" applyFill="1" applyBorder="1" applyAlignment="1">
      <alignment horizontal="center" vertical="center"/>
    </xf>
    <xf numFmtId="0" fontId="57" fillId="11" borderId="149" xfId="0" applyFont="1" applyFill="1" applyBorder="1" applyAlignment="1">
      <alignment horizontal="center" vertical="center" wrapText="1"/>
    </xf>
    <xf numFmtId="166" fontId="57" fillId="0" borderId="88" xfId="0" applyNumberFormat="1" applyFont="1" applyBorder="1" applyAlignment="1">
      <alignment horizontal="center" vertical="center"/>
    </xf>
    <xf numFmtId="166" fontId="57" fillId="0" borderId="149" xfId="0" applyNumberFormat="1" applyFont="1" applyBorder="1" applyAlignment="1">
      <alignment horizontal="center" vertical="center"/>
    </xf>
    <xf numFmtId="166" fontId="57" fillId="0" borderId="86" xfId="0" applyNumberFormat="1" applyFont="1" applyBorder="1" applyAlignment="1">
      <alignment horizontal="center" vertical="center"/>
    </xf>
    <xf numFmtId="0" fontId="57" fillId="0" borderId="86" xfId="0" applyFont="1" applyBorder="1" applyAlignment="1">
      <alignment horizontal="center" vertical="center"/>
    </xf>
    <xf numFmtId="0" fontId="57" fillId="0" borderId="149" xfId="0" quotePrefix="1" applyFont="1" applyBorder="1" applyAlignment="1">
      <alignment horizontal="left" vertical="center"/>
    </xf>
    <xf numFmtId="0" fontId="57" fillId="0" borderId="150" xfId="0" applyFont="1" applyBorder="1" applyAlignment="1">
      <alignment horizontal="left" vertical="center"/>
    </xf>
    <xf numFmtId="0" fontId="57" fillId="5" borderId="149" xfId="0" applyFont="1" applyFill="1" applyBorder="1" applyAlignment="1">
      <alignment horizontal="left" vertical="center"/>
    </xf>
    <xf numFmtId="0" fontId="57" fillId="0" borderId="114" xfId="0" applyFont="1" applyBorder="1" applyAlignment="1">
      <alignment horizontal="left" vertical="center"/>
    </xf>
    <xf numFmtId="0" fontId="57" fillId="0" borderId="52" xfId="0" applyFont="1" applyBorder="1" applyAlignment="1">
      <alignment horizontal="left" vertical="center"/>
    </xf>
    <xf numFmtId="0" fontId="57" fillId="15" borderId="149" xfId="0" applyFont="1" applyFill="1" applyBorder="1" applyAlignment="1">
      <alignment horizontal="center" vertical="center" wrapText="1"/>
    </xf>
    <xf numFmtId="11" fontId="54" fillId="0" borderId="149" xfId="0" applyNumberFormat="1" applyFont="1" applyBorder="1" applyAlignment="1">
      <alignment horizontal="center" vertical="center"/>
    </xf>
    <xf numFmtId="0" fontId="61" fillId="0" borderId="0" xfId="6" applyFont="1" applyAlignment="1">
      <alignment horizontal="center" vertical="center"/>
    </xf>
    <xf numFmtId="0" fontId="64" fillId="0" borderId="0" xfId="6" applyFont="1" applyAlignment="1">
      <alignment horizontal="center" vertical="center"/>
    </xf>
    <xf numFmtId="11" fontId="57" fillId="15" borderId="87" xfId="0" applyNumberFormat="1" applyFont="1" applyFill="1" applyBorder="1" applyAlignment="1">
      <alignment horizontal="center" vertical="center" wrapText="1"/>
    </xf>
    <xf numFmtId="8" fontId="57" fillId="0" borderId="0" xfId="0" applyNumberFormat="1" applyFont="1" applyAlignment="1">
      <alignment horizontal="left" vertical="center"/>
    </xf>
    <xf numFmtId="0" fontId="65" fillId="7" borderId="156" xfId="0" applyFont="1" applyFill="1" applyBorder="1" applyAlignment="1">
      <alignment horizontal="left" vertical="center" wrapText="1"/>
    </xf>
    <xf numFmtId="0" fontId="65" fillId="7" borderId="156" xfId="0" applyFont="1" applyFill="1" applyBorder="1" applyAlignment="1">
      <alignment horizontal="center" vertical="center" wrapText="1"/>
    </xf>
    <xf numFmtId="2" fontId="57" fillId="9" borderId="149" xfId="0" applyNumberFormat="1" applyFont="1" applyFill="1" applyBorder="1" applyAlignment="1">
      <alignment horizontal="center" vertical="center" wrapText="1"/>
    </xf>
    <xf numFmtId="0" fontId="57" fillId="9" borderId="149" xfId="0" applyFont="1" applyFill="1" applyBorder="1" applyAlignment="1">
      <alignment horizontal="center" vertical="center" wrapText="1"/>
    </xf>
    <xf numFmtId="2" fontId="54" fillId="0" borderId="149" xfId="0" applyNumberFormat="1" applyFont="1" applyBorder="1" applyAlignment="1">
      <alignment horizontal="left" vertical="center"/>
    </xf>
    <xf numFmtId="2" fontId="54" fillId="0" borderId="149" xfId="0" applyNumberFormat="1" applyFont="1" applyBorder="1" applyAlignment="1">
      <alignment horizontal="center" vertical="center"/>
    </xf>
    <xf numFmtId="0" fontId="54" fillId="0" borderId="149" xfId="0" applyFont="1" applyBorder="1" applyAlignment="1">
      <alignment horizontal="center" vertical="center"/>
    </xf>
    <xf numFmtId="0" fontId="54" fillId="0" borderId="149" xfId="0" applyFont="1" applyBorder="1" applyAlignment="1">
      <alignment horizontal="left" vertical="center"/>
    </xf>
    <xf numFmtId="0" fontId="54" fillId="0" borderId="150" xfId="0" applyFont="1" applyBorder="1" applyAlignment="1">
      <alignment horizontal="left" vertical="center"/>
    </xf>
    <xf numFmtId="0" fontId="56" fillId="0" borderId="131" xfId="0" applyFont="1" applyBorder="1" applyAlignment="1">
      <alignment horizontal="left" vertical="center"/>
    </xf>
    <xf numFmtId="0" fontId="65" fillId="0" borderId="131" xfId="3" applyFont="1" applyBorder="1" applyAlignment="1">
      <alignment horizontal="left" vertical="center" wrapText="1"/>
    </xf>
    <xf numFmtId="0" fontId="57" fillId="5" borderId="149" xfId="0" applyFont="1" applyFill="1" applyBorder="1" applyAlignment="1">
      <alignment horizontal="center" vertical="center"/>
    </xf>
    <xf numFmtId="0" fontId="54" fillId="5" borderId="149" xfId="0" applyFont="1" applyFill="1" applyBorder="1" applyAlignment="1">
      <alignment horizontal="center" vertical="center"/>
    </xf>
    <xf numFmtId="0" fontId="57" fillId="5" borderId="158" xfId="0" applyFont="1" applyFill="1" applyBorder="1" applyAlignment="1">
      <alignment horizontal="left" vertical="center"/>
    </xf>
    <xf numFmtId="0" fontId="54" fillId="5" borderId="149" xfId="0" applyFont="1" applyFill="1" applyBorder="1" applyAlignment="1">
      <alignment horizontal="left" vertical="center"/>
    </xf>
    <xf numFmtId="0" fontId="57" fillId="8" borderId="149" xfId="0" applyFont="1" applyFill="1" applyBorder="1" applyAlignment="1">
      <alignment horizontal="left" vertical="center" wrapText="1"/>
    </xf>
    <xf numFmtId="164" fontId="57" fillId="8" borderId="149" xfId="0" applyNumberFormat="1" applyFont="1" applyFill="1" applyBorder="1" applyAlignment="1">
      <alignment horizontal="center" vertical="center" wrapText="1"/>
    </xf>
    <xf numFmtId="0" fontId="57" fillId="8" borderId="149" xfId="0" applyFont="1" applyFill="1" applyBorder="1" applyAlignment="1">
      <alignment horizontal="center" vertical="center" wrapText="1"/>
    </xf>
    <xf numFmtId="0" fontId="61" fillId="8" borderId="112" xfId="0" applyFont="1" applyFill="1" applyBorder="1" applyAlignment="1">
      <alignment horizontal="left" vertical="center" wrapText="1"/>
    </xf>
    <xf numFmtId="164" fontId="61" fillId="8" borderId="112" xfId="0" applyNumberFormat="1" applyFont="1" applyFill="1" applyBorder="1" applyAlignment="1">
      <alignment horizontal="center" vertical="center" wrapText="1"/>
    </xf>
    <xf numFmtId="0" fontId="57" fillId="8" borderId="112" xfId="0" applyFont="1" applyFill="1" applyBorder="1" applyAlignment="1">
      <alignment horizontal="center" vertical="center" wrapText="1"/>
    </xf>
    <xf numFmtId="0" fontId="61" fillId="8" borderId="112" xfId="0" applyFont="1" applyFill="1" applyBorder="1" applyAlignment="1">
      <alignment horizontal="center" vertical="center" wrapText="1"/>
    </xf>
    <xf numFmtId="2" fontId="57" fillId="11" borderId="88" xfId="0" applyNumberFormat="1" applyFont="1" applyFill="1" applyBorder="1" applyAlignment="1">
      <alignment horizontal="center" vertical="center" wrapText="1"/>
    </xf>
    <xf numFmtId="1" fontId="57" fillId="15" borderId="149" xfId="0" applyNumberFormat="1" applyFont="1" applyFill="1" applyBorder="1" applyAlignment="1">
      <alignment horizontal="center" vertical="center" wrapText="1"/>
    </xf>
    <xf numFmtId="0" fontId="57" fillId="9" borderId="158" xfId="0" applyFont="1" applyFill="1" applyBorder="1" applyAlignment="1">
      <alignment horizontal="center" vertical="center" wrapText="1"/>
    </xf>
    <xf numFmtId="0" fontId="61" fillId="9" borderId="158" xfId="0" applyFont="1" applyFill="1" applyBorder="1" applyAlignment="1">
      <alignment horizontal="center" vertical="center" wrapText="1"/>
    </xf>
    <xf numFmtId="0" fontId="57" fillId="9" borderId="161" xfId="0" applyFont="1" applyFill="1" applyBorder="1" applyAlignment="1">
      <alignment horizontal="left" vertical="center"/>
    </xf>
    <xf numFmtId="0" fontId="57" fillId="9" borderId="149" xfId="0" applyFont="1" applyFill="1" applyBorder="1" applyAlignment="1">
      <alignment horizontal="center" vertical="center"/>
    </xf>
    <xf numFmtId="0" fontId="61" fillId="9" borderId="149" xfId="0" applyFont="1" applyFill="1" applyBorder="1" applyAlignment="1">
      <alignment horizontal="center" vertical="center" wrapText="1"/>
    </xf>
    <xf numFmtId="0" fontId="57" fillId="9" borderId="150" xfId="0" applyFont="1" applyFill="1" applyBorder="1" applyAlignment="1">
      <alignment horizontal="left" vertical="center"/>
    </xf>
    <xf numFmtId="166" fontId="57" fillId="9" borderId="149" xfId="0" applyNumberFormat="1" applyFont="1" applyFill="1" applyBorder="1" applyAlignment="1">
      <alignment horizontal="center" vertical="center" wrapText="1"/>
    </xf>
    <xf numFmtId="166" fontId="57" fillId="9" borderId="112" xfId="0" applyNumberFormat="1" applyFont="1" applyFill="1" applyBorder="1" applyAlignment="1">
      <alignment horizontal="center" vertical="center" wrapText="1"/>
    </xf>
    <xf numFmtId="0" fontId="61" fillId="9" borderId="112" xfId="0" applyFont="1" applyFill="1" applyBorder="1" applyAlignment="1">
      <alignment horizontal="center" vertical="center" wrapText="1"/>
    </xf>
    <xf numFmtId="0" fontId="57" fillId="9" borderId="112" xfId="0" applyFont="1" applyFill="1" applyBorder="1" applyAlignment="1">
      <alignment horizontal="center" vertical="center"/>
    </xf>
    <xf numFmtId="0" fontId="57" fillId="9" borderId="11" xfId="0" applyFont="1" applyFill="1" applyBorder="1" applyAlignment="1">
      <alignment horizontal="left" vertical="center"/>
    </xf>
    <xf numFmtId="0" fontId="61" fillId="11" borderId="149" xfId="0" applyFont="1" applyFill="1" applyBorder="1" applyAlignment="1">
      <alignment horizontal="left" vertical="center" wrapText="1"/>
    </xf>
    <xf numFmtId="166" fontId="61" fillId="11" borderId="149" xfId="0" applyNumberFormat="1" applyFont="1" applyFill="1" applyBorder="1" applyAlignment="1">
      <alignment horizontal="center" vertical="center" wrapText="1"/>
    </xf>
    <xf numFmtId="0" fontId="61" fillId="11" borderId="149" xfId="0" quotePrefix="1" applyFont="1" applyFill="1" applyBorder="1" applyAlignment="1">
      <alignment horizontal="center" vertical="center" wrapText="1"/>
    </xf>
    <xf numFmtId="166" fontId="57" fillId="11" borderId="149" xfId="0" applyNumberFormat="1" applyFont="1" applyFill="1" applyBorder="1" applyAlignment="1">
      <alignment horizontal="center" vertical="center" wrapText="1"/>
    </xf>
    <xf numFmtId="0" fontId="57" fillId="0" borderId="159" xfId="0" applyFont="1" applyBorder="1" applyAlignment="1">
      <alignment horizontal="left" vertical="center"/>
    </xf>
    <xf numFmtId="0" fontId="57" fillId="9" borderId="163" xfId="0" applyFont="1" applyFill="1" applyBorder="1" applyAlignment="1">
      <alignment horizontal="left" vertical="center"/>
    </xf>
    <xf numFmtId="0" fontId="57" fillId="9" borderId="163" xfId="0" applyFont="1" applyFill="1" applyBorder="1" applyAlignment="1">
      <alignment horizontal="center" vertical="center"/>
    </xf>
    <xf numFmtId="0" fontId="57" fillId="9" borderId="149" xfId="0" applyFont="1" applyFill="1" applyBorder="1" applyAlignment="1">
      <alignment horizontal="left" vertical="center"/>
    </xf>
    <xf numFmtId="0" fontId="57" fillId="9" borderId="88" xfId="0" applyFont="1" applyFill="1" applyBorder="1" applyAlignment="1">
      <alignment horizontal="left" vertical="center"/>
    </xf>
    <xf numFmtId="0" fontId="57" fillId="9" borderId="88" xfId="0" applyFont="1" applyFill="1" applyBorder="1" applyAlignment="1">
      <alignment horizontal="center" vertical="center"/>
    </xf>
    <xf numFmtId="0" fontId="57" fillId="9" borderId="112" xfId="0" applyFont="1" applyFill="1" applyBorder="1" applyAlignment="1">
      <alignment horizontal="left" vertical="center"/>
    </xf>
    <xf numFmtId="165" fontId="64" fillId="2" borderId="0" xfId="0" applyNumberFormat="1" applyFont="1" applyFill="1" applyAlignment="1">
      <alignment horizontal="center" vertical="center"/>
    </xf>
    <xf numFmtId="0" fontId="57" fillId="20" borderId="163" xfId="0" applyFont="1" applyFill="1" applyBorder="1" applyAlignment="1">
      <alignment horizontal="left" vertical="center"/>
    </xf>
    <xf numFmtId="0" fontId="57" fillId="20" borderId="163" xfId="0" applyFont="1" applyFill="1" applyBorder="1" applyAlignment="1">
      <alignment horizontal="center" vertical="center"/>
    </xf>
    <xf numFmtId="166" fontId="57" fillId="20" borderId="163" xfId="0" applyNumberFormat="1" applyFont="1" applyFill="1" applyBorder="1" applyAlignment="1">
      <alignment horizontal="center" vertical="center"/>
    </xf>
    <xf numFmtId="0" fontId="57" fillId="20" borderId="163" xfId="0" quotePrefix="1" applyFont="1" applyFill="1" applyBorder="1" applyAlignment="1">
      <alignment horizontal="center" vertical="center"/>
    </xf>
    <xf numFmtId="0" fontId="57" fillId="20" borderId="164" xfId="0" applyFont="1" applyFill="1" applyBorder="1" applyAlignment="1">
      <alignment horizontal="left" vertical="center"/>
    </xf>
    <xf numFmtId="0" fontId="26" fillId="0" borderId="0" xfId="25" applyAlignment="1">
      <alignment horizontal="left" vertical="center" wrapText="1"/>
    </xf>
    <xf numFmtId="0" fontId="89" fillId="23" borderId="165" xfId="25" applyFont="1" applyFill="1" applyBorder="1" applyAlignment="1">
      <alignment horizontal="left" vertical="center"/>
    </xf>
    <xf numFmtId="0" fontId="89" fillId="23" borderId="166" xfId="25" applyFont="1" applyFill="1" applyBorder="1" applyAlignment="1">
      <alignment horizontal="left" vertical="center"/>
    </xf>
    <xf numFmtId="0" fontId="89" fillId="23" borderId="167" xfId="25" applyFont="1" applyFill="1" applyBorder="1" applyAlignment="1">
      <alignment horizontal="left" vertical="center" wrapText="1"/>
    </xf>
    <xf numFmtId="0" fontId="89" fillId="23" borderId="167" xfId="25" applyFont="1" applyFill="1" applyBorder="1" applyAlignment="1">
      <alignment horizontal="left" vertical="center"/>
    </xf>
    <xf numFmtId="0" fontId="54" fillId="0" borderId="168" xfId="0" applyFont="1" applyBorder="1" applyAlignment="1">
      <alignment horizontal="left" vertical="center"/>
    </xf>
    <xf numFmtId="0" fontId="57" fillId="0" borderId="168" xfId="0" applyFont="1" applyBorder="1" applyAlignment="1">
      <alignment horizontal="left" vertical="center"/>
    </xf>
    <xf numFmtId="0" fontId="57" fillId="0" borderId="168" xfId="0" applyFont="1" applyBorder="1" applyAlignment="1">
      <alignment horizontal="left" vertical="center" wrapText="1"/>
    </xf>
    <xf numFmtId="0" fontId="57" fillId="0" borderId="168" xfId="0" applyFont="1" applyBorder="1" applyAlignment="1">
      <alignment horizontal="left"/>
    </xf>
    <xf numFmtId="0" fontId="57" fillId="0" borderId="168" xfId="0" applyFont="1" applyBorder="1" applyAlignment="1">
      <alignment horizontal="center" vertical="center"/>
    </xf>
    <xf numFmtId="0" fontId="0" fillId="0" borderId="0" xfId="0" applyAlignment="1">
      <alignment wrapText="1"/>
    </xf>
    <xf numFmtId="0" fontId="57" fillId="0" borderId="170" xfId="0" applyFont="1" applyBorder="1" applyAlignment="1">
      <alignment horizontal="left" vertical="center" wrapText="1"/>
    </xf>
    <xf numFmtId="0" fontId="57" fillId="0" borderId="170" xfId="0" applyFont="1" applyBorder="1" applyAlignment="1">
      <alignment horizontal="left" vertical="center"/>
    </xf>
    <xf numFmtId="164" fontId="57" fillId="0" borderId="170" xfId="0" applyNumberFormat="1" applyFont="1" applyBorder="1" applyAlignment="1">
      <alignment horizontal="left" vertical="center"/>
    </xf>
    <xf numFmtId="0" fontId="54" fillId="0" borderId="136" xfId="0" applyFont="1" applyBorder="1" applyAlignment="1">
      <alignment horizontal="left" vertical="center"/>
    </xf>
    <xf numFmtId="0" fontId="54" fillId="0" borderId="170" xfId="0" applyFont="1" applyBorder="1" applyAlignment="1">
      <alignment horizontal="left" vertical="center"/>
    </xf>
    <xf numFmtId="164" fontId="54" fillId="0" borderId="170" xfId="0" applyNumberFormat="1" applyFont="1" applyBorder="1" applyAlignment="1">
      <alignment horizontal="left" vertical="center"/>
    </xf>
    <xf numFmtId="0" fontId="10" fillId="0" borderId="171" xfId="0" applyFont="1" applyBorder="1" applyAlignment="1">
      <alignment horizontal="left" vertical="center"/>
    </xf>
    <xf numFmtId="2" fontId="10" fillId="0" borderId="88" xfId="0" applyNumberFormat="1" applyFont="1" applyBorder="1" applyAlignment="1">
      <alignment horizontal="left" vertical="center" wrapText="1"/>
    </xf>
    <xf numFmtId="0" fontId="10" fillId="0" borderId="88" xfId="0" applyFont="1" applyBorder="1" applyAlignment="1">
      <alignment horizontal="left" vertical="center" wrapText="1"/>
    </xf>
    <xf numFmtId="0" fontId="10" fillId="0" borderId="136" xfId="0" applyFont="1" applyBorder="1" applyAlignment="1">
      <alignment horizontal="left" vertical="center"/>
    </xf>
    <xf numFmtId="0" fontId="10" fillId="0" borderId="170" xfId="0" applyFont="1" applyBorder="1" applyAlignment="1">
      <alignment horizontal="left" vertical="center" wrapText="1"/>
    </xf>
    <xf numFmtId="0" fontId="57" fillId="8" borderId="136" xfId="0" quotePrefix="1" applyFont="1" applyFill="1" applyBorder="1" applyAlignment="1">
      <alignment horizontal="left" vertical="center"/>
    </xf>
    <xf numFmtId="0" fontId="57" fillId="8" borderId="170" xfId="0" quotePrefix="1" applyFont="1" applyFill="1" applyBorder="1" applyAlignment="1">
      <alignment horizontal="left" vertical="center"/>
    </xf>
    <xf numFmtId="1" fontId="57" fillId="8" borderId="170" xfId="0" applyNumberFormat="1" applyFont="1" applyFill="1" applyBorder="1" applyAlignment="1">
      <alignment horizontal="left" vertical="center"/>
    </xf>
    <xf numFmtId="2" fontId="57" fillId="8" borderId="170" xfId="0" applyNumberFormat="1" applyFont="1" applyFill="1" applyBorder="1" applyAlignment="1">
      <alignment horizontal="left" vertical="center"/>
    </xf>
    <xf numFmtId="0" fontId="57" fillId="8" borderId="135" xfId="0" quotePrefix="1" applyFont="1" applyFill="1" applyBorder="1" applyAlignment="1">
      <alignment horizontal="left" vertical="center"/>
    </xf>
    <xf numFmtId="1" fontId="57" fillId="8" borderId="135" xfId="0" applyNumberFormat="1" applyFont="1" applyFill="1" applyBorder="1" applyAlignment="1">
      <alignment horizontal="left" vertical="center"/>
    </xf>
    <xf numFmtId="0" fontId="57" fillId="9" borderId="136" xfId="0" applyFont="1" applyFill="1" applyBorder="1" applyAlignment="1">
      <alignment horizontal="left" vertical="center"/>
    </xf>
    <xf numFmtId="0" fontId="57" fillId="9" borderId="170" xfId="0" applyFont="1" applyFill="1" applyBorder="1" applyAlignment="1">
      <alignment horizontal="left" vertical="center"/>
    </xf>
    <xf numFmtId="0" fontId="57" fillId="9" borderId="170" xfId="0" quotePrefix="1" applyFont="1" applyFill="1" applyBorder="1" applyAlignment="1">
      <alignment horizontal="left" vertical="center"/>
    </xf>
    <xf numFmtId="0" fontId="57" fillId="9" borderId="150" xfId="0" quotePrefix="1" applyFont="1" applyFill="1" applyBorder="1" applyAlignment="1">
      <alignment horizontal="left" vertical="center"/>
    </xf>
    <xf numFmtId="0" fontId="61" fillId="11" borderId="136" xfId="0" applyFont="1" applyFill="1" applyBorder="1" applyAlignment="1">
      <alignment horizontal="left" vertical="center"/>
    </xf>
    <xf numFmtId="0" fontId="61" fillId="11" borderId="170" xfId="0" applyFont="1" applyFill="1" applyBorder="1" applyAlignment="1">
      <alignment horizontal="left" vertical="center"/>
    </xf>
    <xf numFmtId="0" fontId="57" fillId="11" borderId="170" xfId="0" applyFont="1" applyFill="1" applyBorder="1" applyAlignment="1">
      <alignment horizontal="left" vertical="center"/>
    </xf>
    <xf numFmtId="0" fontId="61" fillId="11" borderId="150" xfId="0" applyFont="1" applyFill="1" applyBorder="1" applyAlignment="1">
      <alignment horizontal="left" vertical="center"/>
    </xf>
    <xf numFmtId="0" fontId="57" fillId="0" borderId="88" xfId="0" quotePrefix="1" applyFont="1" applyBorder="1" applyAlignment="1">
      <alignment horizontal="left" vertical="center" wrapText="1"/>
    </xf>
    <xf numFmtId="0" fontId="57" fillId="0" borderId="170" xfId="0" quotePrefix="1" applyFont="1" applyBorder="1" applyAlignment="1">
      <alignment horizontal="left" vertical="center" wrapText="1"/>
    </xf>
    <xf numFmtId="0" fontId="54" fillId="7" borderId="170" xfId="0" quotePrefix="1" applyFont="1" applyFill="1" applyBorder="1" applyAlignment="1">
      <alignment horizontal="left" vertical="center"/>
    </xf>
    <xf numFmtId="0" fontId="56" fillId="29" borderId="9" xfId="0" applyFont="1" applyFill="1" applyBorder="1" applyAlignment="1">
      <alignment horizontal="center" vertical="center"/>
    </xf>
    <xf numFmtId="0" fontId="0" fillId="6" borderId="0" xfId="0" applyFill="1" applyAlignment="1">
      <alignment vertical="center"/>
    </xf>
    <xf numFmtId="0" fontId="37" fillId="0" borderId="0" xfId="0" applyFont="1" applyAlignment="1">
      <alignment vertical="center" wrapText="1"/>
    </xf>
    <xf numFmtId="0" fontId="0" fillId="0" borderId="0" xfId="0" applyAlignment="1">
      <alignment vertical="center"/>
    </xf>
    <xf numFmtId="0" fontId="61" fillId="15" borderId="170" xfId="0" applyFont="1" applyFill="1" applyBorder="1" applyAlignment="1">
      <alignment horizontal="left" vertical="center" wrapText="1"/>
    </xf>
    <xf numFmtId="0" fontId="61" fillId="15" borderId="170" xfId="0" applyFont="1" applyFill="1" applyBorder="1" applyAlignment="1">
      <alignment horizontal="center" vertical="center" wrapText="1"/>
    </xf>
    <xf numFmtId="0" fontId="57" fillId="15" borderId="170" xfId="0" applyFont="1" applyFill="1" applyBorder="1" applyAlignment="1">
      <alignment horizontal="center" vertical="center"/>
    </xf>
    <xf numFmtId="0" fontId="61" fillId="15" borderId="150" xfId="0" applyFont="1" applyFill="1" applyBorder="1" applyAlignment="1">
      <alignment horizontal="left" vertical="center" wrapText="1"/>
    </xf>
    <xf numFmtId="164" fontId="57" fillId="0" borderId="163" xfId="0" quotePrefix="1" applyNumberFormat="1" applyFont="1" applyBorder="1" applyAlignment="1">
      <alignment horizontal="left" vertical="center"/>
    </xf>
    <xf numFmtId="0" fontId="57" fillId="0" borderId="173" xfId="0" applyFont="1" applyBorder="1" applyAlignment="1">
      <alignment horizontal="left" vertical="center"/>
    </xf>
    <xf numFmtId="0" fontId="57" fillId="0" borderId="164" xfId="0" quotePrefix="1" applyFont="1" applyBorder="1" applyAlignment="1">
      <alignment horizontal="left" vertical="center"/>
    </xf>
    <xf numFmtId="0" fontId="57" fillId="0" borderId="171" xfId="0" applyFont="1" applyBorder="1" applyAlignment="1">
      <alignment horizontal="left" vertical="center"/>
    </xf>
    <xf numFmtId="0" fontId="57" fillId="0" borderId="172" xfId="0" quotePrefix="1" applyFont="1" applyBorder="1" applyAlignment="1">
      <alignment horizontal="left" vertical="center"/>
    </xf>
    <xf numFmtId="0" fontId="57" fillId="0" borderId="150" xfId="0" quotePrefix="1" applyFont="1" applyBorder="1" applyAlignment="1">
      <alignment horizontal="left" vertical="center"/>
    </xf>
    <xf numFmtId="164" fontId="57" fillId="0" borderId="135" xfId="0" applyNumberFormat="1" applyFont="1" applyBorder="1" applyAlignment="1">
      <alignment horizontal="left" vertical="center"/>
    </xf>
    <xf numFmtId="0" fontId="57" fillId="0" borderId="11" xfId="0" quotePrefix="1" applyFont="1" applyBorder="1" applyAlignment="1">
      <alignment horizontal="left" vertical="center"/>
    </xf>
    <xf numFmtId="2" fontId="57" fillId="24" borderId="170" xfId="0" applyNumberFormat="1" applyFont="1" applyFill="1" applyBorder="1" applyAlignment="1">
      <alignment horizontal="center" vertical="center" wrapText="1"/>
    </xf>
    <xf numFmtId="0" fontId="57" fillId="24" borderId="170" xfId="0" applyFont="1" applyFill="1" applyBorder="1" applyAlignment="1">
      <alignment horizontal="center" vertical="center" wrapText="1"/>
    </xf>
    <xf numFmtId="0" fontId="57" fillId="11" borderId="170" xfId="0" applyFont="1" applyFill="1" applyBorder="1" applyAlignment="1">
      <alignment horizontal="left" vertical="center" wrapText="1"/>
    </xf>
    <xf numFmtId="0" fontId="57" fillId="11" borderId="170" xfId="0" applyFont="1" applyFill="1" applyBorder="1" applyAlignment="1">
      <alignment horizontal="center" vertical="center" wrapText="1"/>
    </xf>
    <xf numFmtId="0" fontId="57" fillId="11" borderId="136" xfId="0" applyFont="1" applyFill="1" applyBorder="1" applyAlignment="1">
      <alignment horizontal="left" vertical="center"/>
    </xf>
    <xf numFmtId="0" fontId="57" fillId="11" borderId="149" xfId="0" quotePrefix="1" applyFont="1" applyFill="1" applyBorder="1" applyAlignment="1">
      <alignment horizontal="left" vertical="center"/>
    </xf>
    <xf numFmtId="0" fontId="57" fillId="11" borderId="150" xfId="0" applyFont="1" applyFill="1" applyBorder="1" applyAlignment="1">
      <alignment horizontal="left" vertical="center"/>
    </xf>
    <xf numFmtId="0" fontId="57" fillId="0" borderId="149" xfId="0" applyFont="1" applyBorder="1" applyAlignment="1">
      <alignment horizontal="left" vertical="center" wrapText="1"/>
    </xf>
    <xf numFmtId="0" fontId="57" fillId="0" borderId="13" xfId="0" applyFont="1" applyBorder="1" applyAlignment="1">
      <alignment horizontal="left" vertical="center" wrapText="1"/>
    </xf>
    <xf numFmtId="0" fontId="57" fillId="0" borderId="13" xfId="0" applyFont="1" applyBorder="1" applyAlignment="1">
      <alignment horizontal="center" vertical="center" wrapText="1"/>
    </xf>
    <xf numFmtId="0" fontId="57" fillId="0" borderId="119" xfId="0" applyFont="1" applyBorder="1" applyAlignment="1">
      <alignment horizontal="center" vertical="center" wrapText="1"/>
    </xf>
    <xf numFmtId="0" fontId="82" fillId="0" borderId="136" xfId="3" applyFont="1" applyBorder="1" applyAlignment="1">
      <alignment horizontal="left" vertical="center" wrapText="1"/>
    </xf>
    <xf numFmtId="0" fontId="37" fillId="7" borderId="122" xfId="0" applyFont="1" applyFill="1" applyBorder="1" applyAlignment="1">
      <alignment horizontal="left" vertical="center" wrapText="1"/>
    </xf>
    <xf numFmtId="0" fontId="106" fillId="29" borderId="9" xfId="2" applyFont="1" applyFill="1" applyBorder="1" applyAlignment="1">
      <alignment horizontal="left" vertical="center" wrapText="1"/>
    </xf>
    <xf numFmtId="0" fontId="54" fillId="5" borderId="120" xfId="0" applyFont="1" applyFill="1" applyBorder="1" applyAlignment="1">
      <alignment horizontal="center" vertical="center"/>
    </xf>
    <xf numFmtId="0" fontId="54" fillId="5" borderId="135" xfId="0" applyFont="1" applyFill="1" applyBorder="1" applyAlignment="1">
      <alignment horizontal="center" vertical="center"/>
    </xf>
    <xf numFmtId="164" fontId="54" fillId="0" borderId="149" xfId="0" applyNumberFormat="1" applyFont="1" applyBorder="1" applyAlignment="1">
      <alignment horizontal="left" vertical="center"/>
    </xf>
    <xf numFmtId="2" fontId="57" fillId="11" borderId="170" xfId="0" applyNumberFormat="1" applyFont="1" applyFill="1" applyBorder="1" applyAlignment="1">
      <alignment horizontal="center" vertical="center" wrapText="1"/>
    </xf>
    <xf numFmtId="0" fontId="57" fillId="11" borderId="170" xfId="0" applyFont="1" applyFill="1" applyBorder="1" applyAlignment="1">
      <alignment horizontal="center" vertical="center"/>
    </xf>
    <xf numFmtId="164" fontId="57" fillId="11" borderId="170" xfId="0" applyNumberFormat="1" applyFont="1" applyFill="1" applyBorder="1" applyAlignment="1">
      <alignment horizontal="center" vertical="center"/>
    </xf>
    <xf numFmtId="2" fontId="57" fillId="11" borderId="170" xfId="0" applyNumberFormat="1" applyFont="1" applyFill="1" applyBorder="1" applyAlignment="1">
      <alignment horizontal="center" vertical="center"/>
    </xf>
    <xf numFmtId="1" fontId="57" fillId="19" borderId="13" xfId="0" applyNumberFormat="1" applyFont="1" applyFill="1" applyBorder="1" applyAlignment="1">
      <alignment horizontal="center" vertical="center"/>
    </xf>
    <xf numFmtId="0" fontId="57" fillId="19" borderId="170" xfId="0" quotePrefix="1" applyFont="1" applyFill="1" applyBorder="1" applyAlignment="1">
      <alignment horizontal="center" vertical="center" wrapText="1"/>
    </xf>
    <xf numFmtId="0" fontId="57" fillId="19" borderId="170" xfId="0" applyFont="1" applyFill="1" applyBorder="1" applyAlignment="1">
      <alignment horizontal="center" vertical="center" wrapText="1"/>
    </xf>
    <xf numFmtId="0" fontId="57" fillId="19" borderId="170" xfId="0" applyFont="1" applyFill="1" applyBorder="1" applyAlignment="1">
      <alignment horizontal="center" vertical="center"/>
    </xf>
    <xf numFmtId="166" fontId="57" fillId="19" borderId="135" xfId="0" applyNumberFormat="1" applyFont="1" applyFill="1" applyBorder="1" applyAlignment="1">
      <alignment horizontal="center" vertical="center"/>
    </xf>
    <xf numFmtId="0" fontId="57" fillId="19" borderId="135" xfId="0" applyFont="1" applyFill="1" applyBorder="1" applyAlignment="1">
      <alignment horizontal="center" vertical="center" wrapText="1"/>
    </xf>
    <xf numFmtId="0" fontId="57" fillId="19" borderId="135" xfId="0" applyFont="1" applyFill="1" applyBorder="1" applyAlignment="1">
      <alignment horizontal="center" vertical="center"/>
    </xf>
    <xf numFmtId="0" fontId="57" fillId="19" borderId="148" xfId="0" applyFont="1" applyFill="1" applyBorder="1" applyAlignment="1">
      <alignment horizontal="left" vertical="center"/>
    </xf>
    <xf numFmtId="0" fontId="57" fillId="11" borderId="176" xfId="0" applyFont="1" applyFill="1" applyBorder="1" applyAlignment="1">
      <alignment horizontal="left" vertical="center"/>
    </xf>
    <xf numFmtId="164" fontId="57" fillId="11" borderId="170" xfId="0" applyNumberFormat="1" applyFont="1" applyFill="1" applyBorder="1" applyAlignment="1">
      <alignment horizontal="center" vertical="center" wrapText="1"/>
    </xf>
    <xf numFmtId="0" fontId="57" fillId="19" borderId="170" xfId="0" applyFont="1" applyFill="1" applyBorder="1" applyAlignment="1">
      <alignment horizontal="left" vertical="center" wrapText="1"/>
    </xf>
    <xf numFmtId="2" fontId="54" fillId="0" borderId="170" xfId="0" applyNumberFormat="1" applyFont="1" applyBorder="1" applyAlignment="1">
      <alignment horizontal="left" vertical="center"/>
    </xf>
    <xf numFmtId="0" fontId="65" fillId="7" borderId="179" xfId="0" applyFont="1" applyFill="1" applyBorder="1" applyAlignment="1">
      <alignment horizontal="left" vertical="center"/>
    </xf>
    <xf numFmtId="0" fontId="65" fillId="7" borderId="180" xfId="0" applyFont="1" applyFill="1" applyBorder="1" applyAlignment="1">
      <alignment horizontal="left" vertical="center"/>
    </xf>
    <xf numFmtId="0" fontId="57" fillId="0" borderId="176" xfId="0" applyFont="1" applyBorder="1" applyAlignment="1">
      <alignment horizontal="left" vertical="center"/>
    </xf>
    <xf numFmtId="0" fontId="57" fillId="0" borderId="177" xfId="0" applyFont="1" applyBorder="1" applyAlignment="1">
      <alignment horizontal="left" vertical="center"/>
    </xf>
    <xf numFmtId="0" fontId="54" fillId="0" borderId="176" xfId="0" applyFont="1" applyBorder="1" applyAlignment="1">
      <alignment horizontal="left" vertical="center"/>
    </xf>
    <xf numFmtId="0" fontId="9" fillId="0" borderId="175" xfId="0" applyFont="1" applyBorder="1" applyAlignment="1">
      <alignment horizontal="left" vertical="center" wrapText="1"/>
    </xf>
    <xf numFmtId="0" fontId="57" fillId="0" borderId="176" xfId="0" applyFont="1" applyBorder="1" applyAlignment="1">
      <alignment horizontal="left" vertical="center" wrapText="1"/>
    </xf>
    <xf numFmtId="0" fontId="57" fillId="0" borderId="9" xfId="0" applyFont="1" applyBorder="1" applyAlignment="1">
      <alignment horizontal="left" vertical="center" wrapText="1"/>
    </xf>
    <xf numFmtId="0" fontId="57" fillId="0" borderId="181" xfId="0" applyFont="1" applyBorder="1" applyAlignment="1">
      <alignment horizontal="left" vertical="center" wrapText="1"/>
    </xf>
    <xf numFmtId="0" fontId="57" fillId="0" borderId="181" xfId="0" applyFont="1" applyBorder="1" applyAlignment="1">
      <alignment horizontal="left" vertical="center"/>
    </xf>
    <xf numFmtId="0" fontId="54" fillId="0" borderId="181" xfId="0" applyFont="1" applyBorder="1" applyAlignment="1">
      <alignment horizontal="left" vertical="center"/>
    </xf>
    <xf numFmtId="0" fontId="54" fillId="0" borderId="0" xfId="0" quotePrefix="1" applyFont="1" applyAlignment="1">
      <alignment horizontal="left" vertical="center"/>
    </xf>
    <xf numFmtId="2" fontId="54" fillId="0" borderId="0" xfId="0" applyNumberFormat="1" applyFont="1" applyAlignment="1">
      <alignment horizontal="left" vertical="center"/>
    </xf>
    <xf numFmtId="164" fontId="57" fillId="0" borderId="175" xfId="0" quotePrefix="1" applyNumberFormat="1" applyFont="1" applyBorder="1" applyAlignment="1">
      <alignment horizontal="left" vertical="center"/>
    </xf>
    <xf numFmtId="0" fontId="57" fillId="0" borderId="175" xfId="0" applyFont="1" applyBorder="1" applyAlignment="1">
      <alignment horizontal="left" vertical="center"/>
    </xf>
    <xf numFmtId="0" fontId="54" fillId="0" borderId="170" xfId="0" quotePrefix="1" applyFont="1" applyBorder="1" applyAlignment="1">
      <alignment horizontal="left" vertical="center"/>
    </xf>
    <xf numFmtId="0" fontId="57" fillId="11" borderId="170" xfId="0" quotePrefix="1" applyFont="1" applyFill="1" applyBorder="1" applyAlignment="1">
      <alignment horizontal="left" vertical="center"/>
    </xf>
    <xf numFmtId="0" fontId="57" fillId="11" borderId="177" xfId="0" applyFont="1" applyFill="1" applyBorder="1" applyAlignment="1">
      <alignment horizontal="left" vertical="center"/>
    </xf>
    <xf numFmtId="0" fontId="57" fillId="19" borderId="170" xfId="0" quotePrefix="1" applyFont="1" applyFill="1" applyBorder="1" applyAlignment="1">
      <alignment horizontal="left" vertical="center"/>
    </xf>
    <xf numFmtId="0" fontId="57" fillId="0" borderId="163" xfId="0" quotePrefix="1" applyFont="1" applyBorder="1" applyAlignment="1">
      <alignment horizontal="left" vertical="center" wrapText="1"/>
    </xf>
    <xf numFmtId="0" fontId="57" fillId="0" borderId="135" xfId="0" quotePrefix="1" applyFont="1" applyBorder="1" applyAlignment="1">
      <alignment horizontal="left" vertical="center" wrapText="1"/>
    </xf>
    <xf numFmtId="166" fontId="15" fillId="0" borderId="149" xfId="223" applyNumberFormat="1" applyBorder="1" applyAlignment="1">
      <alignment horizontal="center" vertical="center"/>
    </xf>
    <xf numFmtId="166" fontId="15" fillId="0" borderId="149" xfId="224" applyNumberFormat="1" applyBorder="1" applyAlignment="1">
      <alignment horizontal="center" vertical="center"/>
    </xf>
    <xf numFmtId="166" fontId="15" fillId="0" borderId="149" xfId="225" applyNumberFormat="1" applyBorder="1" applyAlignment="1">
      <alignment horizontal="center" vertical="center"/>
    </xf>
    <xf numFmtId="0" fontId="15" fillId="0" borderId="113" xfId="219" applyFont="1" applyBorder="1" applyAlignment="1">
      <alignment horizontal="center" vertical="center"/>
    </xf>
    <xf numFmtId="0" fontId="0" fillId="0" borderId="113" xfId="0" applyBorder="1" applyAlignment="1">
      <alignment horizontal="center" vertical="center"/>
    </xf>
    <xf numFmtId="0" fontId="15" fillId="0" borderId="113" xfId="220" applyFont="1" applyBorder="1" applyAlignment="1">
      <alignment horizontal="center" vertical="center"/>
    </xf>
    <xf numFmtId="0" fontId="15" fillId="0" borderId="113" xfId="221" applyFont="1" applyBorder="1" applyAlignment="1">
      <alignment horizontal="center" vertical="center"/>
    </xf>
    <xf numFmtId="166" fontId="15" fillId="0" borderId="149" xfId="226" applyNumberFormat="1" applyBorder="1" applyAlignment="1">
      <alignment horizontal="center" vertical="center"/>
    </xf>
    <xf numFmtId="0" fontId="15" fillId="0" borderId="113" xfId="222" applyFont="1" applyBorder="1" applyAlignment="1">
      <alignment horizontal="center" vertical="center"/>
    </xf>
    <xf numFmtId="0" fontId="76" fillId="0" borderId="115" xfId="0" applyFont="1" applyBorder="1" applyAlignment="1">
      <alignment horizontal="left" vertical="center"/>
    </xf>
    <xf numFmtId="0" fontId="54" fillId="0" borderId="38" xfId="0" applyFont="1" applyBorder="1" applyAlignment="1">
      <alignment horizontal="left" vertical="center"/>
    </xf>
    <xf numFmtId="2" fontId="57" fillId="0" borderId="170" xfId="0" applyNumberFormat="1" applyFont="1" applyBorder="1" applyAlignment="1">
      <alignment horizontal="left" vertical="center"/>
    </xf>
    <xf numFmtId="2" fontId="57" fillId="0" borderId="181" xfId="0" applyNumberFormat="1" applyFont="1" applyBorder="1" applyAlignment="1">
      <alignment horizontal="left" vertical="center"/>
    </xf>
    <xf numFmtId="0" fontId="65" fillId="7" borderId="178" xfId="0" applyFont="1" applyFill="1" applyBorder="1" applyAlignment="1">
      <alignment horizontal="left" vertical="center"/>
    </xf>
    <xf numFmtId="0" fontId="19" fillId="0" borderId="98" xfId="0" applyFont="1" applyBorder="1" applyAlignment="1">
      <alignment horizontal="left" vertical="center"/>
    </xf>
    <xf numFmtId="2" fontId="22" fillId="0" borderId="63" xfId="0" applyNumberFormat="1" applyFont="1" applyBorder="1" applyAlignment="1">
      <alignment horizontal="left" vertical="center"/>
    </xf>
    <xf numFmtId="0" fontId="18" fillId="0" borderId="37" xfId="0" applyFont="1" applyBorder="1" applyAlignment="1">
      <alignment horizontal="left" vertical="center"/>
    </xf>
    <xf numFmtId="2" fontId="18" fillId="0" borderId="88" xfId="0" applyNumberFormat="1" applyFont="1" applyBorder="1" applyAlignment="1">
      <alignment horizontal="left" vertical="center"/>
    </xf>
    <xf numFmtId="2" fontId="20" fillId="0" borderId="88" xfId="0" applyNumberFormat="1" applyFont="1" applyBorder="1" applyAlignment="1">
      <alignment horizontal="left" vertical="center"/>
    </xf>
    <xf numFmtId="0" fontId="57" fillId="0" borderId="75" xfId="0" applyFont="1" applyBorder="1" applyAlignment="1">
      <alignment horizontal="left" vertical="center"/>
    </xf>
    <xf numFmtId="0" fontId="57" fillId="10" borderId="7" xfId="0" applyFont="1" applyFill="1" applyBorder="1" applyAlignment="1">
      <alignment vertical="center"/>
    </xf>
    <xf numFmtId="0" fontId="57" fillId="10" borderId="92" xfId="0" applyFont="1" applyFill="1" applyBorder="1" applyAlignment="1">
      <alignment vertical="center"/>
    </xf>
    <xf numFmtId="0" fontId="57" fillId="10" borderId="88" xfId="0" applyFont="1" applyFill="1" applyBorder="1" applyAlignment="1">
      <alignment horizontal="left" vertical="center"/>
    </xf>
    <xf numFmtId="0" fontId="57" fillId="10" borderId="96" xfId="0" applyFont="1" applyFill="1" applyBorder="1" applyAlignment="1">
      <alignment horizontal="left" vertical="center"/>
    </xf>
    <xf numFmtId="0" fontId="57" fillId="10" borderId="9" xfId="0" applyFont="1" applyFill="1" applyBorder="1" applyAlignment="1">
      <alignment horizontal="left" vertical="center"/>
    </xf>
    <xf numFmtId="2" fontId="57" fillId="25" borderId="15" xfId="0" applyNumberFormat="1" applyFont="1" applyFill="1" applyBorder="1" applyAlignment="1">
      <alignment horizontal="left" vertical="center"/>
    </xf>
    <xf numFmtId="165" fontId="57" fillId="25" borderId="10" xfId="0" applyNumberFormat="1" applyFont="1" applyFill="1" applyBorder="1" applyAlignment="1">
      <alignment horizontal="left" vertical="center"/>
    </xf>
    <xf numFmtId="164" fontId="57" fillId="11" borderId="113" xfId="0" applyNumberFormat="1" applyFont="1" applyFill="1" applyBorder="1" applyAlignment="1">
      <alignment horizontal="left" vertical="center"/>
    </xf>
    <xf numFmtId="2" fontId="57" fillId="11" borderId="113" xfId="0" applyNumberFormat="1" applyFont="1" applyFill="1" applyBorder="1" applyAlignment="1">
      <alignment horizontal="left" vertical="center"/>
    </xf>
    <xf numFmtId="166" fontId="57" fillId="11" borderId="113" xfId="0" applyNumberFormat="1" applyFont="1" applyFill="1" applyBorder="1" applyAlignment="1">
      <alignment horizontal="left" vertical="center"/>
    </xf>
    <xf numFmtId="164" fontId="57" fillId="12" borderId="120" xfId="0" applyNumberFormat="1" applyFont="1" applyFill="1" applyBorder="1" applyAlignment="1">
      <alignment horizontal="left" vertical="center"/>
    </xf>
    <xf numFmtId="164" fontId="57" fillId="12" borderId="113" xfId="0" applyNumberFormat="1" applyFont="1" applyFill="1" applyBorder="1" applyAlignment="1">
      <alignment horizontal="left" vertical="center"/>
    </xf>
    <xf numFmtId="2" fontId="57" fillId="12" borderId="15" xfId="0" applyNumberFormat="1" applyFont="1" applyFill="1" applyBorder="1" applyAlignment="1">
      <alignment horizontal="left" vertical="center"/>
    </xf>
    <xf numFmtId="165" fontId="57" fillId="12" borderId="10" xfId="0" applyNumberFormat="1" applyFont="1" applyFill="1" applyBorder="1" applyAlignment="1">
      <alignment horizontal="left" vertical="center"/>
    </xf>
    <xf numFmtId="2" fontId="57" fillId="28" borderId="105" xfId="0" applyNumberFormat="1" applyFont="1" applyFill="1" applyBorder="1" applyAlignment="1">
      <alignment horizontal="left" vertical="center"/>
    </xf>
    <xf numFmtId="0" fontId="57" fillId="0" borderId="79" xfId="0" applyFont="1" applyBorder="1" applyAlignment="1">
      <alignment horizontal="left" vertical="center"/>
    </xf>
    <xf numFmtId="0" fontId="57" fillId="22" borderId="96" xfId="0" applyFont="1" applyFill="1" applyBorder="1" applyAlignment="1">
      <alignment horizontal="left" vertical="center"/>
    </xf>
    <xf numFmtId="0" fontId="57" fillId="20" borderId="181" xfId="0" applyFont="1" applyFill="1" applyBorder="1" applyAlignment="1">
      <alignment horizontal="left" vertical="center"/>
    </xf>
    <xf numFmtId="0" fontId="54" fillId="10" borderId="7" xfId="0" applyFont="1" applyFill="1" applyBorder="1" applyAlignment="1">
      <alignment horizontal="left" vertical="center"/>
    </xf>
    <xf numFmtId="0" fontId="54" fillId="22" borderId="7" xfId="0" applyFont="1" applyFill="1" applyBorder="1" applyAlignment="1">
      <alignment horizontal="left" vertical="center"/>
    </xf>
    <xf numFmtId="0" fontId="54" fillId="20" borderId="7" xfId="0" applyFont="1" applyFill="1" applyBorder="1" applyAlignment="1">
      <alignment horizontal="left" vertical="center"/>
    </xf>
    <xf numFmtId="0" fontId="54" fillId="11" borderId="7" xfId="0" applyFont="1" applyFill="1" applyBorder="1" applyAlignment="1">
      <alignment horizontal="left" vertical="center"/>
    </xf>
    <xf numFmtId="0" fontId="54" fillId="8" borderId="7" xfId="0" applyFont="1" applyFill="1" applyBorder="1" applyAlignment="1">
      <alignment horizontal="left" vertical="center"/>
    </xf>
    <xf numFmtId="0" fontId="54" fillId="21" borderId="7" xfId="0" applyFont="1" applyFill="1" applyBorder="1" applyAlignment="1">
      <alignment horizontal="left" vertical="center"/>
    </xf>
    <xf numFmtId="0" fontId="54" fillId="9" borderId="7" xfId="0" applyFont="1" applyFill="1" applyBorder="1" applyAlignment="1">
      <alignment horizontal="left" vertical="center"/>
    </xf>
    <xf numFmtId="0" fontId="0" fillId="10" borderId="94" xfId="0" applyFill="1" applyBorder="1" applyAlignment="1">
      <alignment horizontal="left" vertical="center"/>
    </xf>
    <xf numFmtId="0" fontId="0" fillId="10" borderId="6" xfId="0" applyFill="1" applyBorder="1" applyAlignment="1">
      <alignment horizontal="left" vertical="center"/>
    </xf>
    <xf numFmtId="0" fontId="0" fillId="20" borderId="94" xfId="0" applyFill="1" applyBorder="1" applyAlignment="1">
      <alignment horizontal="left" vertical="center"/>
    </xf>
    <xf numFmtId="0" fontId="0" fillId="20" borderId="6" xfId="0" applyFill="1" applyBorder="1" applyAlignment="1">
      <alignment horizontal="left" vertical="center"/>
    </xf>
    <xf numFmtId="0" fontId="57" fillId="20" borderId="176" xfId="0" applyFont="1" applyFill="1" applyBorder="1" applyAlignment="1">
      <alignment horizontal="left" vertical="center" wrapText="1"/>
    </xf>
    <xf numFmtId="0" fontId="57" fillId="20" borderId="182" xfId="0" applyFont="1" applyFill="1" applyBorder="1" applyAlignment="1">
      <alignment horizontal="left" vertical="center"/>
    </xf>
    <xf numFmtId="166" fontId="57" fillId="20" borderId="182" xfId="0" applyNumberFormat="1" applyFont="1" applyFill="1" applyBorder="1" applyAlignment="1">
      <alignment horizontal="left" vertical="center"/>
    </xf>
    <xf numFmtId="0" fontId="57" fillId="20" borderId="182" xfId="0" quotePrefix="1" applyFont="1" applyFill="1" applyBorder="1" applyAlignment="1">
      <alignment horizontal="left" vertical="center"/>
    </xf>
    <xf numFmtId="0" fontId="57" fillId="20" borderId="177" xfId="0" applyFont="1" applyFill="1" applyBorder="1" applyAlignment="1">
      <alignment horizontal="left" vertical="center"/>
    </xf>
    <xf numFmtId="0" fontId="57" fillId="20" borderId="176" xfId="25" applyFont="1" applyFill="1" applyBorder="1" applyAlignment="1">
      <alignment horizontal="left" vertical="center"/>
    </xf>
    <xf numFmtId="167" fontId="57" fillId="20" borderId="182" xfId="0" applyNumberFormat="1" applyFont="1" applyFill="1" applyBorder="1" applyAlignment="1">
      <alignment horizontal="left" vertical="center"/>
    </xf>
    <xf numFmtId="167" fontId="57" fillId="20" borderId="181" xfId="0" applyNumberFormat="1" applyFont="1" applyFill="1" applyBorder="1" applyAlignment="1">
      <alignment horizontal="left" vertical="center"/>
    </xf>
    <xf numFmtId="0" fontId="57" fillId="20" borderId="181" xfId="0" quotePrefix="1" applyFont="1" applyFill="1" applyBorder="1" applyAlignment="1">
      <alignment horizontal="left" vertical="center"/>
    </xf>
    <xf numFmtId="164" fontId="57" fillId="20" borderId="112" xfId="0" applyNumberFormat="1" applyFont="1" applyFill="1" applyBorder="1" applyAlignment="1">
      <alignment horizontal="left" vertical="center"/>
    </xf>
    <xf numFmtId="0" fontId="57" fillId="7" borderId="170" xfId="0" applyFont="1" applyFill="1" applyBorder="1" applyAlignment="1">
      <alignment horizontal="left" vertical="center"/>
    </xf>
    <xf numFmtId="0" fontId="54" fillId="4" borderId="182" xfId="0" applyFont="1" applyFill="1" applyBorder="1" applyAlignment="1">
      <alignment horizontal="left" vertical="center"/>
    </xf>
    <xf numFmtId="0" fontId="54" fillId="18" borderId="182" xfId="0" applyFont="1" applyFill="1" applyBorder="1" applyAlignment="1">
      <alignment horizontal="left" vertical="center"/>
    </xf>
    <xf numFmtId="0" fontId="54" fillId="18" borderId="182" xfId="0" quotePrefix="1" applyFont="1" applyFill="1" applyBorder="1" applyAlignment="1">
      <alignment horizontal="left" vertical="center"/>
    </xf>
    <xf numFmtId="0" fontId="54" fillId="29" borderId="182" xfId="0" quotePrefix="1" applyFont="1" applyFill="1" applyBorder="1" applyAlignment="1">
      <alignment horizontal="left" vertical="center"/>
    </xf>
    <xf numFmtId="0" fontId="37" fillId="7" borderId="1" xfId="0" applyFont="1" applyFill="1" applyBorder="1" applyAlignment="1">
      <alignment horizontal="left" vertical="center" wrapText="1"/>
    </xf>
    <xf numFmtId="0" fontId="57" fillId="0" borderId="99" xfId="0" applyFont="1" applyBorder="1" applyAlignment="1">
      <alignment horizontal="left" vertical="center" wrapText="1"/>
    </xf>
    <xf numFmtId="0" fontId="54" fillId="0" borderId="95" xfId="0" applyFont="1" applyBorder="1" applyAlignment="1">
      <alignment horizontal="left" vertical="center" wrapText="1"/>
    </xf>
    <xf numFmtId="0" fontId="54" fillId="0" borderId="87" xfId="0" applyFont="1" applyBorder="1" applyAlignment="1">
      <alignment horizontal="left" vertical="center" wrapText="1"/>
    </xf>
    <xf numFmtId="0" fontId="57" fillId="0" borderId="95" xfId="0" applyFont="1" applyBorder="1" applyAlignment="1">
      <alignment horizontal="left" vertical="center" wrapText="1"/>
    </xf>
    <xf numFmtId="0" fontId="54" fillId="0" borderId="149" xfId="0" applyFont="1" applyBorder="1" applyAlignment="1">
      <alignment horizontal="left" vertical="center" wrapText="1"/>
    </xf>
    <xf numFmtId="8" fontId="57" fillId="0" borderId="170" xfId="0" applyNumberFormat="1" applyFont="1" applyBorder="1" applyAlignment="1">
      <alignment horizontal="left" vertical="center" wrapText="1"/>
    </xf>
    <xf numFmtId="2" fontId="54" fillId="0" borderId="182" xfId="0" applyNumberFormat="1" applyFont="1" applyBorder="1" applyAlignment="1">
      <alignment horizontal="center" vertical="center"/>
    </xf>
    <xf numFmtId="164" fontId="15" fillId="0" borderId="170" xfId="223" applyNumberFormat="1" applyBorder="1" applyAlignment="1">
      <alignment horizontal="center" vertical="center"/>
    </xf>
    <xf numFmtId="164" fontId="54" fillId="0" borderId="182" xfId="0" applyNumberFormat="1" applyFont="1" applyBorder="1" applyAlignment="1">
      <alignment horizontal="center" vertical="center"/>
    </xf>
    <xf numFmtId="164" fontId="54" fillId="0" borderId="6" xfId="0" applyNumberFormat="1" applyFont="1" applyBorder="1" applyAlignment="1">
      <alignment horizontal="center" vertical="center"/>
    </xf>
    <xf numFmtId="164" fontId="54" fillId="0" borderId="88" xfId="0" applyNumberFormat="1" applyFont="1" applyBorder="1" applyAlignment="1">
      <alignment horizontal="center" vertical="center"/>
    </xf>
    <xf numFmtId="168" fontId="54" fillId="0" borderId="6" xfId="0" applyNumberFormat="1" applyFont="1" applyBorder="1" applyAlignment="1">
      <alignment horizontal="center" vertical="center"/>
    </xf>
    <xf numFmtId="164" fontId="54" fillId="0" borderId="170" xfId="0" applyNumberFormat="1" applyFont="1" applyBorder="1" applyAlignment="1">
      <alignment horizontal="center" vertical="center"/>
    </xf>
    <xf numFmtId="166" fontId="15" fillId="0" borderId="170" xfId="223" applyNumberFormat="1" applyBorder="1" applyAlignment="1">
      <alignment horizontal="center" vertical="center"/>
    </xf>
    <xf numFmtId="11" fontId="54" fillId="0" borderId="182" xfId="0" applyNumberFormat="1" applyFont="1" applyBorder="1" applyAlignment="1">
      <alignment horizontal="center" vertical="center"/>
    </xf>
    <xf numFmtId="166" fontId="15" fillId="0" borderId="182" xfId="223" applyNumberFormat="1" applyBorder="1" applyAlignment="1">
      <alignment horizontal="center" vertical="center"/>
    </xf>
    <xf numFmtId="0" fontId="57" fillId="20" borderId="163" xfId="0" quotePrefix="1" applyFont="1" applyFill="1" applyBorder="1" applyAlignment="1">
      <alignment horizontal="left" vertical="center"/>
    </xf>
    <xf numFmtId="0" fontId="60" fillId="0" borderId="0" xfId="4" applyAlignment="1" applyProtection="1">
      <alignment horizontal="left"/>
    </xf>
    <xf numFmtId="0" fontId="56" fillId="7" borderId="179" xfId="0" applyFont="1" applyFill="1" applyBorder="1" applyAlignment="1">
      <alignment horizontal="center" vertical="center" wrapText="1"/>
    </xf>
    <xf numFmtId="0" fontId="54" fillId="0" borderId="175" xfId="0" applyFont="1" applyBorder="1" applyAlignment="1">
      <alignment horizontal="center" vertical="center"/>
    </xf>
    <xf numFmtId="0" fontId="54" fillId="0" borderId="182" xfId="0" applyFont="1" applyBorder="1" applyAlignment="1">
      <alignment horizontal="center" vertical="center"/>
    </xf>
    <xf numFmtId="0" fontId="54" fillId="0" borderId="182" xfId="0" applyFont="1" applyBorder="1" applyAlignment="1">
      <alignment horizontal="center" vertical="center" wrapText="1"/>
    </xf>
    <xf numFmtId="0" fontId="54" fillId="0" borderId="181" xfId="0" applyFont="1" applyBorder="1" applyAlignment="1">
      <alignment horizontal="center" vertical="center"/>
    </xf>
    <xf numFmtId="0" fontId="54" fillId="0" borderId="163" xfId="0" applyFont="1" applyBorder="1" applyAlignment="1">
      <alignment horizontal="center" vertical="center"/>
    </xf>
    <xf numFmtId="0" fontId="76" fillId="0" borderId="114" xfId="0" applyFont="1" applyBorder="1" applyAlignment="1">
      <alignment horizontal="left" vertical="center"/>
    </xf>
    <xf numFmtId="0" fontId="54" fillId="0" borderId="13" xfId="0" applyFont="1" applyBorder="1" applyAlignment="1">
      <alignment horizontal="left" vertical="center" wrapText="1"/>
    </xf>
    <xf numFmtId="166" fontId="15" fillId="0" borderId="13" xfId="226" applyNumberFormat="1" applyBorder="1" applyAlignment="1">
      <alignment horizontal="center" vertical="center"/>
    </xf>
    <xf numFmtId="0" fontId="54" fillId="0" borderId="13" xfId="0" applyFont="1" applyBorder="1" applyAlignment="1">
      <alignment horizontal="center" vertical="center"/>
    </xf>
    <xf numFmtId="0" fontId="15" fillId="0" borderId="13" xfId="222" applyFont="1" applyBorder="1" applyAlignment="1">
      <alignment horizontal="center" vertical="center"/>
    </xf>
    <xf numFmtId="0" fontId="54" fillId="0" borderId="13" xfId="0" applyFont="1" applyBorder="1" applyAlignment="1">
      <alignment horizontal="center" vertical="center" wrapText="1"/>
    </xf>
    <xf numFmtId="0" fontId="54" fillId="0" borderId="13" xfId="0" applyFont="1" applyBorder="1" applyAlignment="1">
      <alignment horizontal="left" vertical="center"/>
    </xf>
    <xf numFmtId="0" fontId="54" fillId="0" borderId="52" xfId="0" applyFont="1" applyBorder="1" applyAlignment="1">
      <alignment horizontal="left" vertical="center"/>
    </xf>
    <xf numFmtId="0" fontId="76" fillId="0" borderId="159" xfId="0" applyFont="1" applyBorder="1" applyAlignment="1">
      <alignment horizontal="left" vertical="center"/>
    </xf>
    <xf numFmtId="0" fontId="54" fillId="0" borderId="163" xfId="0" applyFont="1" applyBorder="1" applyAlignment="1">
      <alignment horizontal="left" vertical="center" wrapText="1"/>
    </xf>
    <xf numFmtId="166" fontId="15" fillId="0" borderId="163" xfId="226" applyNumberFormat="1" applyBorder="1" applyAlignment="1">
      <alignment horizontal="center" vertical="center"/>
    </xf>
    <xf numFmtId="0" fontId="15" fillId="0" borderId="163" xfId="222" applyFont="1" applyBorder="1" applyAlignment="1">
      <alignment horizontal="center" vertical="center"/>
    </xf>
    <xf numFmtId="0" fontId="54" fillId="0" borderId="163" xfId="0" applyFont="1" applyBorder="1" applyAlignment="1">
      <alignment horizontal="center" vertical="center" wrapText="1"/>
    </xf>
    <xf numFmtId="0" fontId="54" fillId="0" borderId="163" xfId="0" applyFont="1" applyBorder="1" applyAlignment="1">
      <alignment horizontal="left" vertical="center"/>
    </xf>
    <xf numFmtId="0" fontId="54" fillId="0" borderId="164" xfId="0" applyFont="1" applyBorder="1" applyAlignment="1">
      <alignment horizontal="left" vertical="center"/>
    </xf>
    <xf numFmtId="0" fontId="76" fillId="0" borderId="183" xfId="0" applyFont="1" applyBorder="1" applyAlignment="1">
      <alignment horizontal="left" vertical="center"/>
    </xf>
    <xf numFmtId="0" fontId="54" fillId="0" borderId="182" xfId="0" applyFont="1" applyBorder="1" applyAlignment="1">
      <alignment horizontal="left" vertical="center" wrapText="1"/>
    </xf>
    <xf numFmtId="166" fontId="15" fillId="0" borderId="182" xfId="226" applyNumberFormat="1" applyBorder="1" applyAlignment="1">
      <alignment horizontal="center" vertical="center"/>
    </xf>
    <xf numFmtId="0" fontId="15" fillId="0" borderId="182" xfId="222" applyFont="1" applyBorder="1" applyAlignment="1">
      <alignment horizontal="center" vertical="center"/>
    </xf>
    <xf numFmtId="0" fontId="54" fillId="0" borderId="182" xfId="0" applyFont="1" applyBorder="1" applyAlignment="1">
      <alignment horizontal="left" vertical="center"/>
    </xf>
    <xf numFmtId="0" fontId="54" fillId="0" borderId="184" xfId="0" applyFont="1" applyBorder="1" applyAlignment="1">
      <alignment horizontal="left" vertical="center"/>
    </xf>
    <xf numFmtId="0" fontId="76" fillId="0" borderId="9" xfId="0" applyFont="1" applyBorder="1" applyAlignment="1">
      <alignment horizontal="left" vertical="center"/>
    </xf>
    <xf numFmtId="0" fontId="54" fillId="0" borderId="181" xfId="0" applyFont="1" applyBorder="1" applyAlignment="1">
      <alignment horizontal="left" vertical="center" wrapText="1"/>
    </xf>
    <xf numFmtId="166" fontId="15" fillId="0" borderId="181" xfId="226" applyNumberFormat="1" applyBorder="1" applyAlignment="1">
      <alignment horizontal="center" vertical="center"/>
    </xf>
    <xf numFmtId="0" fontId="15" fillId="0" borderId="181" xfId="222" applyFont="1" applyBorder="1" applyAlignment="1">
      <alignment horizontal="center" vertical="center"/>
    </xf>
    <xf numFmtId="0" fontId="54" fillId="0" borderId="181" xfId="0" applyFont="1" applyBorder="1" applyAlignment="1">
      <alignment horizontal="center" vertical="center" wrapText="1"/>
    </xf>
    <xf numFmtId="0" fontId="54" fillId="0" borderId="11" xfId="0" applyFont="1" applyBorder="1" applyAlignment="1">
      <alignment horizontal="left" vertical="center"/>
    </xf>
    <xf numFmtId="0" fontId="76" fillId="0" borderId="83" xfId="0" applyFont="1" applyBorder="1" applyAlignment="1">
      <alignment horizontal="left" vertical="center"/>
    </xf>
    <xf numFmtId="0" fontId="0" fillId="0" borderId="179" xfId="0" applyBorder="1" applyAlignment="1">
      <alignment horizontal="left" vertical="center"/>
    </xf>
    <xf numFmtId="0" fontId="0" fillId="0" borderId="179" xfId="0" applyBorder="1" applyAlignment="1">
      <alignment horizontal="center" vertical="center"/>
    </xf>
    <xf numFmtId="0" fontId="54" fillId="0" borderId="179" xfId="0" applyFont="1" applyBorder="1" applyAlignment="1">
      <alignment horizontal="center" vertical="center" wrapText="1"/>
    </xf>
    <xf numFmtId="0" fontId="54" fillId="0" borderId="179" xfId="0" applyFont="1" applyBorder="1" applyAlignment="1">
      <alignment horizontal="center" vertical="center"/>
    </xf>
    <xf numFmtId="0" fontId="0" fillId="0" borderId="84" xfId="0" applyBorder="1" applyAlignment="1">
      <alignment horizontal="left" vertical="center"/>
    </xf>
    <xf numFmtId="0" fontId="61" fillId="6" borderId="0" xfId="0" applyFont="1" applyFill="1" applyAlignment="1">
      <alignment vertical="center"/>
    </xf>
    <xf numFmtId="0" fontId="57" fillId="0" borderId="0" xfId="0" applyFont="1" applyAlignment="1">
      <alignment vertical="center" wrapText="1"/>
    </xf>
    <xf numFmtId="0" fontId="65" fillId="7" borderId="73" xfId="0" applyFont="1" applyFill="1" applyBorder="1"/>
    <xf numFmtId="0" fontId="57" fillId="7" borderId="73" xfId="0" applyFont="1" applyFill="1" applyBorder="1" applyAlignment="1">
      <alignment vertical="center" wrapText="1"/>
    </xf>
    <xf numFmtId="0" fontId="61" fillId="0" borderId="0" xfId="0" applyFont="1" applyAlignment="1">
      <alignment vertical="center" wrapText="1"/>
    </xf>
    <xf numFmtId="0" fontId="65" fillId="7" borderId="53" xfId="0" applyFont="1" applyFill="1" applyBorder="1" applyAlignment="1">
      <alignment vertical="center"/>
    </xf>
    <xf numFmtId="0" fontId="65" fillId="7" borderId="54" xfId="0" applyFont="1" applyFill="1" applyBorder="1" applyAlignment="1">
      <alignment vertical="center" wrapText="1"/>
    </xf>
    <xf numFmtId="0" fontId="57" fillId="8" borderId="87" xfId="0" applyFont="1" applyFill="1" applyBorder="1" applyAlignment="1">
      <alignment vertical="center" wrapText="1"/>
    </xf>
    <xf numFmtId="0" fontId="57" fillId="8" borderId="131" xfId="0" applyFont="1" applyFill="1" applyBorder="1" applyAlignment="1">
      <alignment vertical="center"/>
    </xf>
    <xf numFmtId="0" fontId="57" fillId="8" borderId="149" xfId="0" applyFont="1" applyFill="1" applyBorder="1" applyAlignment="1">
      <alignment vertical="center" wrapText="1"/>
    </xf>
    <xf numFmtId="0" fontId="61" fillId="8" borderId="9" xfId="0" applyFont="1" applyFill="1" applyBorder="1"/>
    <xf numFmtId="0" fontId="61" fillId="8" borderId="112" xfId="0" applyFont="1" applyFill="1" applyBorder="1" applyAlignment="1">
      <alignment vertical="center" wrapText="1"/>
    </xf>
    <xf numFmtId="0" fontId="57" fillId="21" borderId="98" xfId="0" applyFont="1" applyFill="1" applyBorder="1" applyAlignment="1">
      <alignment vertical="center"/>
    </xf>
    <xf numFmtId="0" fontId="57" fillId="21" borderId="99" xfId="0" applyFont="1" applyFill="1" applyBorder="1" applyAlignment="1">
      <alignment vertical="center" wrapText="1"/>
    </xf>
    <xf numFmtId="0" fontId="57" fillId="21" borderId="96" xfId="0" applyFont="1" applyFill="1" applyBorder="1" applyAlignment="1">
      <alignment vertical="center"/>
    </xf>
    <xf numFmtId="0" fontId="57" fillId="21" borderId="87" xfId="0" applyFont="1" applyFill="1" applyBorder="1" applyAlignment="1">
      <alignment vertical="center" wrapText="1"/>
    </xf>
    <xf numFmtId="0" fontId="61" fillId="21" borderId="96" xfId="0" applyFont="1" applyFill="1" applyBorder="1" applyAlignment="1">
      <alignment vertical="center"/>
    </xf>
    <xf numFmtId="0" fontId="61" fillId="21" borderId="87" xfId="0" applyFont="1" applyFill="1" applyBorder="1" applyAlignment="1">
      <alignment vertical="center"/>
    </xf>
    <xf numFmtId="0" fontId="57" fillId="21" borderId="92" xfId="0" applyFont="1" applyFill="1" applyBorder="1" applyAlignment="1">
      <alignment vertical="center"/>
    </xf>
    <xf numFmtId="0" fontId="64" fillId="0" borderId="0" xfId="0" applyFont="1" applyAlignment="1">
      <alignment vertical="center"/>
    </xf>
    <xf numFmtId="0" fontId="64" fillId="7" borderId="122" xfId="0" applyFont="1" applyFill="1" applyBorder="1" applyAlignment="1">
      <alignment vertical="center" wrapText="1"/>
    </xf>
    <xf numFmtId="0" fontId="65" fillId="7" borderId="174" xfId="0" applyFont="1" applyFill="1" applyBorder="1" applyAlignment="1">
      <alignment vertical="center" wrapText="1"/>
    </xf>
    <xf numFmtId="0" fontId="57" fillId="11" borderId="7" xfId="0" applyFont="1" applyFill="1" applyBorder="1" applyAlignment="1">
      <alignment vertical="center"/>
    </xf>
    <xf numFmtId="0" fontId="57" fillId="11" borderId="175" xfId="0" applyFont="1" applyFill="1" applyBorder="1" applyAlignment="1">
      <alignment vertical="center" wrapText="1"/>
    </xf>
    <xf numFmtId="0" fontId="57" fillId="11" borderId="92" xfId="0" applyFont="1" applyFill="1" applyBorder="1" applyAlignment="1">
      <alignment vertical="center"/>
    </xf>
    <xf numFmtId="0" fontId="57" fillId="11" borderId="170" xfId="0" applyFont="1" applyFill="1" applyBorder="1" applyAlignment="1">
      <alignment vertical="center" wrapText="1"/>
    </xf>
    <xf numFmtId="2" fontId="57" fillId="11" borderId="170" xfId="0" applyNumberFormat="1" applyFont="1" applyFill="1" applyBorder="1" applyAlignment="1">
      <alignment vertical="center"/>
    </xf>
    <xf numFmtId="2" fontId="57" fillId="11" borderId="170" xfId="0" applyNumberFormat="1" applyFont="1" applyFill="1" applyBorder="1" applyAlignment="1">
      <alignment vertical="center" wrapText="1"/>
    </xf>
    <xf numFmtId="0" fontId="57" fillId="11" borderId="87" xfId="0" applyFont="1" applyFill="1" applyBorder="1" applyAlignment="1">
      <alignment vertical="center" wrapText="1"/>
    </xf>
    <xf numFmtId="0" fontId="57" fillId="11" borderId="136" xfId="0" applyFont="1" applyFill="1" applyBorder="1" applyAlignment="1">
      <alignment vertical="center"/>
    </xf>
    <xf numFmtId="0" fontId="0" fillId="11" borderId="170" xfId="0" applyFill="1" applyBorder="1"/>
    <xf numFmtId="2" fontId="57" fillId="11" borderId="87" xfId="0" applyNumberFormat="1" applyFont="1" applyFill="1" applyBorder="1" applyAlignment="1">
      <alignment vertical="center" wrapText="1"/>
    </xf>
    <xf numFmtId="0" fontId="57" fillId="11" borderId="183" xfId="0" applyFont="1" applyFill="1" applyBorder="1" applyAlignment="1">
      <alignment vertical="center"/>
    </xf>
    <xf numFmtId="0" fontId="57" fillId="11" borderId="170" xfId="0" applyFont="1" applyFill="1" applyBorder="1" applyAlignment="1">
      <alignment vertical="center"/>
    </xf>
    <xf numFmtId="0" fontId="61" fillId="11" borderId="7" xfId="0" applyFont="1" applyFill="1" applyBorder="1" applyAlignment="1">
      <alignment vertical="center"/>
    </xf>
    <xf numFmtId="0" fontId="61" fillId="11" borderId="170" xfId="0" applyFont="1" applyFill="1" applyBorder="1" applyAlignment="1">
      <alignment vertical="center" wrapText="1"/>
    </xf>
    <xf numFmtId="164" fontId="57" fillId="11" borderId="170" xfId="0" applyNumberFormat="1" applyFont="1" applyFill="1" applyBorder="1" applyAlignment="1">
      <alignment vertical="center"/>
    </xf>
    <xf numFmtId="0" fontId="0" fillId="11" borderId="87" xfId="0" applyFill="1" applyBorder="1"/>
    <xf numFmtId="0" fontId="57" fillId="11" borderId="87" xfId="0" applyFont="1" applyFill="1" applyBorder="1" applyAlignment="1">
      <alignment vertical="center"/>
    </xf>
    <xf numFmtId="0" fontId="57" fillId="11" borderId="88" xfId="0" applyFont="1" applyFill="1" applyBorder="1" applyAlignment="1">
      <alignment vertical="center"/>
    </xf>
    <xf numFmtId="0" fontId="57" fillId="11" borderId="9" xfId="0" applyFont="1" applyFill="1" applyBorder="1" applyAlignment="1">
      <alignment vertical="center"/>
    </xf>
    <xf numFmtId="0" fontId="57" fillId="11" borderId="10" xfId="0" applyFont="1" applyFill="1" applyBorder="1" applyAlignment="1">
      <alignment vertical="center"/>
    </xf>
    <xf numFmtId="0" fontId="101" fillId="19" borderId="136" xfId="0" applyFont="1" applyFill="1" applyBorder="1" applyAlignment="1">
      <alignment vertical="center"/>
    </xf>
    <xf numFmtId="0" fontId="57" fillId="19" borderId="9" xfId="0" applyFont="1" applyFill="1" applyBorder="1" applyAlignment="1">
      <alignment vertical="center"/>
    </xf>
    <xf numFmtId="0" fontId="0" fillId="19" borderId="135" xfId="0" applyFill="1" applyBorder="1"/>
    <xf numFmtId="0" fontId="64" fillId="7" borderId="70" xfId="0" applyFont="1" applyFill="1" applyBorder="1" applyAlignment="1">
      <alignment vertical="center"/>
    </xf>
    <xf numFmtId="0" fontId="64" fillId="7" borderId="71" xfId="0" applyFont="1" applyFill="1" applyBorder="1" applyAlignment="1">
      <alignment vertical="center" wrapText="1"/>
    </xf>
    <xf numFmtId="0" fontId="61" fillId="10" borderId="75" xfId="0" applyFont="1" applyFill="1" applyBorder="1"/>
    <xf numFmtId="0" fontId="61" fillId="10" borderId="99" xfId="0" applyFont="1" applyFill="1" applyBorder="1" applyAlignment="1">
      <alignment vertical="center" wrapText="1"/>
    </xf>
    <xf numFmtId="0" fontId="61" fillId="10" borderId="92" xfId="0" applyFont="1" applyFill="1" applyBorder="1"/>
    <xf numFmtId="0" fontId="61" fillId="10" borderId="88" xfId="0" applyFont="1" applyFill="1" applyBorder="1" applyAlignment="1">
      <alignment vertical="center" wrapText="1"/>
    </xf>
    <xf numFmtId="0" fontId="61" fillId="10" borderId="7" xfId="0" applyFont="1" applyFill="1" applyBorder="1"/>
    <xf numFmtId="164" fontId="61" fillId="10" borderId="87" xfId="0" applyNumberFormat="1" applyFont="1" applyFill="1" applyBorder="1" applyAlignment="1">
      <alignment vertical="center" wrapText="1"/>
    </xf>
    <xf numFmtId="0" fontId="61" fillId="10" borderId="7" xfId="0" applyFont="1" applyFill="1" applyBorder="1" applyAlignment="1">
      <alignment vertical="center"/>
    </xf>
    <xf numFmtId="165" fontId="61" fillId="10" borderId="87" xfId="0" applyNumberFormat="1" applyFont="1" applyFill="1" applyBorder="1" applyAlignment="1">
      <alignment vertical="center" wrapText="1"/>
    </xf>
    <xf numFmtId="2" fontId="61" fillId="10" borderId="87" xfId="0" applyNumberFormat="1" applyFont="1" applyFill="1" applyBorder="1" applyAlignment="1">
      <alignment vertical="center" wrapText="1"/>
    </xf>
    <xf numFmtId="0" fontId="61" fillId="10" borderId="9" xfId="0" applyFont="1" applyFill="1" applyBorder="1"/>
    <xf numFmtId="2" fontId="61" fillId="10" borderId="10" xfId="0" applyNumberFormat="1" applyFont="1" applyFill="1" applyBorder="1" applyAlignment="1">
      <alignment vertical="center" wrapText="1"/>
    </xf>
    <xf numFmtId="0" fontId="61" fillId="22" borderId="75" xfId="0" applyFont="1" applyFill="1" applyBorder="1"/>
    <xf numFmtId="2" fontId="61" fillId="22" borderId="99" xfId="0" applyNumberFormat="1" applyFont="1" applyFill="1" applyBorder="1" applyAlignment="1">
      <alignment vertical="center" wrapText="1"/>
    </xf>
    <xf numFmtId="0" fontId="61" fillId="22" borderId="7" xfId="0" applyFont="1" applyFill="1" applyBorder="1"/>
    <xf numFmtId="2" fontId="61" fillId="22" borderId="87" xfId="0" applyNumberFormat="1" applyFont="1" applyFill="1" applyBorder="1" applyAlignment="1">
      <alignment vertical="center" wrapText="1"/>
    </xf>
    <xf numFmtId="11" fontId="61" fillId="22" borderId="87" xfId="0" applyNumberFormat="1" applyFont="1" applyFill="1" applyBorder="1" applyAlignment="1">
      <alignment vertical="center" wrapText="1"/>
    </xf>
    <xf numFmtId="0" fontId="61" fillId="22" borderId="9" xfId="0" applyFont="1" applyFill="1" applyBorder="1"/>
    <xf numFmtId="168" fontId="61" fillId="22" borderId="10" xfId="0" applyNumberFormat="1" applyFont="1" applyFill="1" applyBorder="1" applyAlignment="1">
      <alignment vertical="center" wrapText="1"/>
    </xf>
    <xf numFmtId="0" fontId="61" fillId="20" borderId="75" xfId="0" applyFont="1" applyFill="1" applyBorder="1"/>
    <xf numFmtId="0" fontId="61" fillId="20" borderId="99" xfId="0" applyFont="1" applyFill="1" applyBorder="1" applyAlignment="1">
      <alignment vertical="center" wrapText="1"/>
    </xf>
    <xf numFmtId="0" fontId="61" fillId="20" borderId="7" xfId="0" applyFont="1" applyFill="1" applyBorder="1"/>
    <xf numFmtId="0" fontId="61" fillId="20" borderId="87" xfId="0" applyFont="1" applyFill="1" applyBorder="1" applyAlignment="1">
      <alignment vertical="center" wrapText="1"/>
    </xf>
    <xf numFmtId="0" fontId="61" fillId="20" borderId="7" xfId="0" applyFont="1" applyFill="1" applyBorder="1" applyAlignment="1">
      <alignment vertical="center"/>
    </xf>
    <xf numFmtId="0" fontId="61" fillId="20" borderId="9" xfId="0" applyFont="1" applyFill="1" applyBorder="1"/>
    <xf numFmtId="0" fontId="61" fillId="20" borderId="10" xfId="0" applyFont="1" applyFill="1" applyBorder="1" applyAlignment="1">
      <alignment vertical="center" wrapText="1"/>
    </xf>
    <xf numFmtId="0" fontId="57" fillId="12" borderId="62" xfId="0" applyFont="1" applyFill="1" applyBorder="1" applyAlignment="1">
      <alignment vertical="center"/>
    </xf>
    <xf numFmtId="0" fontId="57" fillId="12" borderId="99" xfId="0" applyFont="1" applyFill="1" applyBorder="1" applyAlignment="1">
      <alignment vertical="center"/>
    </xf>
    <xf numFmtId="0" fontId="57" fillId="12" borderId="7" xfId="0" applyFont="1" applyFill="1" applyBorder="1" applyAlignment="1">
      <alignment vertical="center"/>
    </xf>
    <xf numFmtId="0" fontId="57" fillId="12" borderId="87" xfId="0" applyFont="1" applyFill="1" applyBorder="1" applyAlignment="1">
      <alignment vertical="center"/>
    </xf>
    <xf numFmtId="0" fontId="57" fillId="12" borderId="96" xfId="0" applyFont="1" applyFill="1" applyBorder="1" applyAlignment="1">
      <alignment vertical="center"/>
    </xf>
    <xf numFmtId="0" fontId="57" fillId="12" borderId="9" xfId="0" applyFont="1" applyFill="1" applyBorder="1" applyAlignment="1">
      <alignment vertical="center"/>
    </xf>
    <xf numFmtId="0" fontId="57" fillId="12" borderId="10" xfId="0" applyFont="1" applyFill="1" applyBorder="1" applyAlignment="1">
      <alignment vertical="center"/>
    </xf>
    <xf numFmtId="0" fontId="64" fillId="7" borderId="46" xfId="0" applyFont="1" applyFill="1" applyBorder="1" applyAlignment="1">
      <alignment vertical="center"/>
    </xf>
    <xf numFmtId="0" fontId="64" fillId="7" borderId="47" xfId="0" applyFont="1" applyFill="1" applyBorder="1" applyAlignment="1">
      <alignment vertical="center" wrapText="1"/>
    </xf>
    <xf numFmtId="0" fontId="61" fillId="18" borderId="37" xfId="0" applyFont="1" applyFill="1" applyBorder="1" applyAlignment="1">
      <alignment vertical="center"/>
    </xf>
    <xf numFmtId="0" fontId="61" fillId="18" borderId="88" xfId="0" applyFont="1" applyFill="1" applyBorder="1" applyAlignment="1">
      <alignment vertical="center"/>
    </xf>
    <xf numFmtId="0" fontId="61" fillId="18" borderId="7" xfId="0" applyFont="1" applyFill="1" applyBorder="1" applyAlignment="1">
      <alignment vertical="center"/>
    </xf>
    <xf numFmtId="0" fontId="61" fillId="18" borderId="87" xfId="0" applyFont="1" applyFill="1" applyBorder="1" applyAlignment="1">
      <alignment vertical="center"/>
    </xf>
    <xf numFmtId="0" fontId="57" fillId="18" borderId="9" xfId="0" applyFont="1" applyFill="1" applyBorder="1" applyAlignment="1">
      <alignment vertical="center"/>
    </xf>
    <xf numFmtId="0" fontId="57" fillId="18" borderId="10" xfId="0" applyFont="1" applyFill="1" applyBorder="1" applyAlignment="1">
      <alignment vertical="center"/>
    </xf>
    <xf numFmtId="0" fontId="64" fillId="7" borderId="103" xfId="0" applyFont="1" applyFill="1" applyBorder="1" applyAlignment="1">
      <alignment vertical="center" wrapText="1"/>
    </xf>
    <xf numFmtId="0" fontId="57" fillId="28" borderId="104" xfId="0" applyFont="1" applyFill="1" applyBorder="1" applyAlignment="1">
      <alignment vertical="center"/>
    </xf>
    <xf numFmtId="0" fontId="57" fillId="28" borderId="105" xfId="0" applyFont="1" applyFill="1" applyBorder="1" applyAlignment="1">
      <alignment vertical="center"/>
    </xf>
    <xf numFmtId="0" fontId="57" fillId="28" borderId="30" xfId="0" applyFont="1" applyFill="1" applyBorder="1" applyAlignment="1">
      <alignment vertical="center"/>
    </xf>
    <xf numFmtId="0" fontId="57" fillId="28" borderId="36" xfId="0" applyFont="1" applyFill="1" applyBorder="1" applyAlignment="1">
      <alignment vertical="center"/>
    </xf>
    <xf numFmtId="0" fontId="57" fillId="28" borderId="115" xfId="0" applyFont="1" applyFill="1" applyBorder="1" applyAlignment="1">
      <alignment vertical="center"/>
    </xf>
    <xf numFmtId="0" fontId="57" fillId="28" borderId="87" xfId="0" applyFont="1" applyFill="1" applyBorder="1" applyAlignment="1">
      <alignment vertical="center"/>
    </xf>
    <xf numFmtId="0" fontId="57" fillId="28" borderId="9" xfId="0" applyFont="1" applyFill="1" applyBorder="1" applyAlignment="1">
      <alignment vertical="center"/>
    </xf>
    <xf numFmtId="0" fontId="57" fillId="28" borderId="112" xfId="0" applyFont="1" applyFill="1" applyBorder="1" applyAlignment="1">
      <alignment vertical="center"/>
    </xf>
    <xf numFmtId="0" fontId="57" fillId="26" borderId="104" xfId="0" applyFont="1" applyFill="1" applyBorder="1" applyAlignment="1">
      <alignment vertical="center"/>
    </xf>
    <xf numFmtId="0" fontId="57" fillId="26" borderId="87" xfId="0" applyFont="1" applyFill="1" applyBorder="1" applyAlignment="1">
      <alignment vertical="center"/>
    </xf>
    <xf numFmtId="0" fontId="57" fillId="26" borderId="115" xfId="0" applyFont="1" applyFill="1" applyBorder="1" applyAlignment="1">
      <alignment vertical="center"/>
    </xf>
    <xf numFmtId="0" fontId="57" fillId="26" borderId="9" xfId="0" applyFont="1" applyFill="1" applyBorder="1" applyAlignment="1">
      <alignment vertical="center"/>
    </xf>
    <xf numFmtId="0" fontId="57" fillId="26" borderId="112" xfId="0" applyFont="1" applyFill="1" applyBorder="1" applyAlignment="1">
      <alignment vertical="center"/>
    </xf>
    <xf numFmtId="0" fontId="65" fillId="7" borderId="107" xfId="0" applyFont="1" applyFill="1" applyBorder="1" applyAlignment="1">
      <alignment vertical="center"/>
    </xf>
    <xf numFmtId="0" fontId="65" fillId="7" borderId="108" xfId="0" applyFont="1" applyFill="1" applyBorder="1" applyAlignment="1">
      <alignment vertical="center" wrapText="1"/>
    </xf>
    <xf numFmtId="0" fontId="57" fillId="27" borderId="104" xfId="0" applyFont="1" applyFill="1" applyBorder="1" applyAlignment="1">
      <alignment vertical="center"/>
    </xf>
    <xf numFmtId="0" fontId="57" fillId="27" borderId="105" xfId="0" applyFont="1" applyFill="1" applyBorder="1" applyAlignment="1">
      <alignment vertical="center"/>
    </xf>
    <xf numFmtId="0" fontId="57" fillId="27" borderId="115" xfId="0" applyFont="1" applyFill="1" applyBorder="1" applyAlignment="1">
      <alignment vertical="center"/>
    </xf>
    <xf numFmtId="0" fontId="57" fillId="27" borderId="87" xfId="0" applyFont="1" applyFill="1" applyBorder="1" applyAlignment="1">
      <alignment vertical="center"/>
    </xf>
    <xf numFmtId="0" fontId="57" fillId="27" borderId="9" xfId="0" applyFont="1" applyFill="1" applyBorder="1" applyAlignment="1">
      <alignment vertical="center"/>
    </xf>
    <xf numFmtId="0" fontId="57" fillId="27" borderId="112" xfId="0" applyFont="1" applyFill="1" applyBorder="1" applyAlignment="1">
      <alignment vertical="center"/>
    </xf>
    <xf numFmtId="0" fontId="64" fillId="7" borderId="34" xfId="0" applyFont="1" applyFill="1" applyBorder="1" applyAlignment="1">
      <alignment vertical="center" wrapText="1"/>
    </xf>
    <xf numFmtId="0" fontId="57" fillId="15" borderId="62" xfId="0" applyFont="1" applyFill="1" applyBorder="1" applyAlignment="1">
      <alignment vertical="center"/>
    </xf>
    <xf numFmtId="0" fontId="57" fillId="15" borderId="99" xfId="0" applyFont="1" applyFill="1" applyBorder="1" applyAlignment="1">
      <alignment vertical="center" wrapText="1"/>
    </xf>
    <xf numFmtId="0" fontId="57" fillId="15" borderId="87" xfId="0" applyFont="1" applyFill="1" applyBorder="1" applyAlignment="1">
      <alignment vertical="center" wrapText="1"/>
    </xf>
    <xf numFmtId="0" fontId="57" fillId="15" borderId="131" xfId="0" applyFont="1" applyFill="1" applyBorder="1" applyAlignment="1">
      <alignment vertical="center"/>
    </xf>
    <xf numFmtId="0" fontId="57" fillId="15" borderId="149" xfId="0" applyFont="1" applyFill="1" applyBorder="1" applyAlignment="1">
      <alignment vertical="center" wrapText="1"/>
    </xf>
    <xf numFmtId="0" fontId="57" fillId="15" borderId="115" xfId="0" applyFont="1" applyFill="1" applyBorder="1" applyAlignment="1">
      <alignment vertical="center"/>
    </xf>
    <xf numFmtId="0" fontId="57" fillId="15" borderId="87" xfId="0" applyFont="1" applyFill="1" applyBorder="1" applyAlignment="1">
      <alignment vertical="center"/>
    </xf>
    <xf numFmtId="0" fontId="61" fillId="15" borderId="96" xfId="0" applyFont="1" applyFill="1" applyBorder="1" applyAlignment="1">
      <alignment vertical="center" wrapText="1"/>
    </xf>
    <xf numFmtId="0" fontId="61" fillId="15" borderId="87" xfId="0" applyFont="1" applyFill="1" applyBorder="1" applyAlignment="1">
      <alignment vertical="center" wrapText="1"/>
    </xf>
    <xf numFmtId="0" fontId="61" fillId="15" borderId="136" xfId="0" applyFont="1" applyFill="1" applyBorder="1" applyAlignment="1">
      <alignment vertical="center" wrapText="1"/>
    </xf>
    <xf numFmtId="0" fontId="61" fillId="15" borderId="170" xfId="0" applyFont="1" applyFill="1" applyBorder="1" applyAlignment="1">
      <alignment vertical="center" wrapText="1"/>
    </xf>
    <xf numFmtId="0" fontId="61" fillId="15" borderId="9" xfId="0" applyFont="1" applyFill="1" applyBorder="1" applyAlignment="1">
      <alignment vertical="center" wrapText="1"/>
    </xf>
    <xf numFmtId="0" fontId="61" fillId="15" borderId="10" xfId="0" applyFont="1" applyFill="1" applyBorder="1" applyAlignment="1">
      <alignment vertical="center" wrapText="1"/>
    </xf>
    <xf numFmtId="0" fontId="57" fillId="7" borderId="104" xfId="0" applyFont="1" applyFill="1" applyBorder="1" applyAlignment="1">
      <alignment vertical="center"/>
    </xf>
    <xf numFmtId="0" fontId="57" fillId="7" borderId="120" xfId="0" applyFont="1" applyFill="1" applyBorder="1" applyAlignment="1">
      <alignment vertical="center" wrapText="1"/>
    </xf>
    <xf numFmtId="0" fontId="57" fillId="7" borderId="115" xfId="0" applyFont="1" applyFill="1" applyBorder="1" applyAlignment="1">
      <alignment vertical="center"/>
    </xf>
    <xf numFmtId="2" fontId="57" fillId="7" borderId="113" xfId="0" applyNumberFormat="1" applyFont="1" applyFill="1" applyBorder="1" applyAlignment="1">
      <alignment vertical="center" wrapText="1"/>
    </xf>
    <xf numFmtId="0" fontId="57" fillId="7" borderId="131" xfId="0" applyFont="1" applyFill="1" applyBorder="1" applyAlignment="1">
      <alignment vertical="center"/>
    </xf>
    <xf numFmtId="0" fontId="57" fillId="7" borderId="113" xfId="0" applyFont="1" applyFill="1" applyBorder="1" applyAlignment="1">
      <alignment vertical="center" wrapText="1"/>
    </xf>
    <xf numFmtId="0" fontId="59" fillId="7" borderId="115" xfId="0" applyFont="1" applyFill="1" applyBorder="1" applyAlignment="1">
      <alignment vertical="center" wrapText="1"/>
    </xf>
    <xf numFmtId="164" fontId="61" fillId="7" borderId="113" xfId="0" applyNumberFormat="1" applyFont="1" applyFill="1" applyBorder="1" applyAlignment="1">
      <alignment vertical="center" wrapText="1"/>
    </xf>
    <xf numFmtId="166" fontId="57" fillId="7" borderId="113" xfId="0" applyNumberFormat="1" applyFont="1" applyFill="1" applyBorder="1" applyAlignment="1">
      <alignment vertical="center" wrapText="1"/>
    </xf>
    <xf numFmtId="0" fontId="61" fillId="7" borderId="92" xfId="0" applyFont="1" applyFill="1" applyBorder="1" applyAlignment="1">
      <alignment vertical="center"/>
    </xf>
    <xf numFmtId="0" fontId="57" fillId="7" borderId="88" xfId="0" applyFont="1" applyFill="1" applyBorder="1" applyAlignment="1">
      <alignment vertical="center"/>
    </xf>
    <xf numFmtId="0" fontId="61" fillId="7" borderId="96" xfId="0" applyFont="1" applyFill="1" applyBorder="1" applyAlignment="1">
      <alignment vertical="center" wrapText="1"/>
    </xf>
    <xf numFmtId="164" fontId="61" fillId="7" borderId="87" xfId="0" applyNumberFormat="1" applyFont="1" applyFill="1" applyBorder="1" applyAlignment="1">
      <alignment vertical="center" wrapText="1"/>
    </xf>
    <xf numFmtId="0" fontId="61" fillId="7" borderId="115" xfId="0" applyFont="1" applyFill="1" applyBorder="1" applyAlignment="1">
      <alignment vertical="center" wrapText="1"/>
    </xf>
    <xf numFmtId="0" fontId="57" fillId="7" borderId="87" xfId="0" applyFont="1" applyFill="1" applyBorder="1" applyAlignment="1">
      <alignment vertical="center"/>
    </xf>
    <xf numFmtId="0" fontId="57" fillId="7" borderId="9" xfId="0" applyFont="1" applyFill="1" applyBorder="1" applyAlignment="1">
      <alignment vertical="center"/>
    </xf>
    <xf numFmtId="2" fontId="57" fillId="7" borderId="10" xfId="0" applyNumberFormat="1" applyFont="1" applyFill="1" applyBorder="1" applyAlignment="1">
      <alignment vertical="center" wrapText="1"/>
    </xf>
    <xf numFmtId="0" fontId="64" fillId="7" borderId="160" xfId="0" applyFont="1" applyFill="1" applyBorder="1" applyAlignment="1">
      <alignment vertical="center" wrapText="1"/>
    </xf>
    <xf numFmtId="0" fontId="57" fillId="9" borderId="159" xfId="0" applyFont="1" applyFill="1" applyBorder="1" applyAlignment="1">
      <alignment vertical="center"/>
    </xf>
    <xf numFmtId="0" fontId="57" fillId="9" borderId="158" xfId="0" applyFont="1" applyFill="1" applyBorder="1" applyAlignment="1">
      <alignment vertical="center" wrapText="1"/>
    </xf>
    <xf numFmtId="0" fontId="57" fillId="9" borderId="131" xfId="0" applyFont="1" applyFill="1" applyBorder="1" applyAlignment="1">
      <alignment vertical="center"/>
    </xf>
    <xf numFmtId="2" fontId="57" fillId="9" borderId="149" xfId="0" applyNumberFormat="1" applyFont="1" applyFill="1" applyBorder="1" applyAlignment="1">
      <alignment vertical="center" wrapText="1"/>
    </xf>
    <xf numFmtId="0" fontId="57" fillId="9" borderId="149" xfId="0" applyFont="1" applyFill="1" applyBorder="1" applyAlignment="1">
      <alignment vertical="center" wrapText="1"/>
    </xf>
    <xf numFmtId="166" fontId="57" fillId="9" borderId="149" xfId="0" applyNumberFormat="1" applyFont="1" applyFill="1" applyBorder="1" applyAlignment="1">
      <alignment vertical="center" wrapText="1"/>
    </xf>
    <xf numFmtId="0" fontId="57" fillId="9" borderId="9" xfId="0" applyFont="1" applyFill="1" applyBorder="1" applyAlignment="1">
      <alignment vertical="center"/>
    </xf>
    <xf numFmtId="166" fontId="57" fillId="9" borderId="112" xfId="0" applyNumberFormat="1" applyFont="1" applyFill="1" applyBorder="1" applyAlignment="1">
      <alignment vertical="center" wrapText="1"/>
    </xf>
    <xf numFmtId="0" fontId="57" fillId="29" borderId="98" xfId="0" applyFont="1" applyFill="1" applyBorder="1" applyAlignment="1">
      <alignment vertical="center"/>
    </xf>
    <xf numFmtId="0" fontId="57" fillId="29" borderId="105" xfId="0" applyFont="1" applyFill="1" applyBorder="1" applyAlignment="1">
      <alignment vertical="center" wrapText="1"/>
    </xf>
    <xf numFmtId="0" fontId="57" fillId="29" borderId="115" xfId="0" applyFont="1" applyFill="1" applyBorder="1" applyAlignment="1">
      <alignment vertical="center"/>
    </xf>
    <xf numFmtId="0" fontId="57" fillId="29" borderId="87" xfId="0" applyFont="1" applyFill="1" applyBorder="1" applyAlignment="1">
      <alignment vertical="center" wrapText="1"/>
    </xf>
    <xf numFmtId="0" fontId="57" fillId="29" borderId="9" xfId="0" applyFont="1" applyFill="1" applyBorder="1" applyAlignment="1">
      <alignment vertical="center"/>
    </xf>
    <xf numFmtId="0" fontId="57" fillId="29" borderId="112" xfId="0" applyFont="1" applyFill="1" applyBorder="1" applyAlignment="1">
      <alignment vertical="center" wrapText="1"/>
    </xf>
    <xf numFmtId="0" fontId="57" fillId="0" borderId="62" xfId="0" applyFont="1" applyBorder="1" applyAlignment="1">
      <alignment vertical="center"/>
    </xf>
    <xf numFmtId="166" fontId="57" fillId="0" borderId="99" xfId="0" applyNumberFormat="1" applyFont="1" applyBorder="1" applyAlignment="1">
      <alignment vertical="center" wrapText="1"/>
    </xf>
    <xf numFmtId="166" fontId="57" fillId="0" borderId="87" xfId="0" applyNumberFormat="1" applyFont="1" applyBorder="1" applyAlignment="1">
      <alignment vertical="center" wrapText="1"/>
    </xf>
    <xf numFmtId="0" fontId="57" fillId="17" borderId="115" xfId="0" applyFont="1" applyFill="1" applyBorder="1" applyAlignment="1">
      <alignment vertical="center"/>
    </xf>
    <xf numFmtId="0" fontId="61" fillId="0" borderId="7" xfId="0" applyFont="1" applyBorder="1" applyAlignment="1">
      <alignment vertical="center"/>
    </xf>
    <xf numFmtId="164" fontId="61" fillId="0" borderId="87" xfId="0" applyNumberFormat="1" applyFont="1" applyBorder="1" applyAlignment="1">
      <alignment vertical="center"/>
    </xf>
    <xf numFmtId="0" fontId="57" fillId="11" borderId="131" xfId="0" applyFont="1" applyFill="1" applyBorder="1" applyAlignment="1">
      <alignment vertical="center"/>
    </xf>
    <xf numFmtId="0" fontId="57" fillId="11" borderId="149" xfId="0" applyFont="1" applyFill="1" applyBorder="1" applyAlignment="1">
      <alignment vertical="center"/>
    </xf>
    <xf numFmtId="2" fontId="57" fillId="0" borderId="87" xfId="0" applyNumberFormat="1" applyFont="1" applyBorder="1" applyAlignment="1">
      <alignment vertical="center" wrapText="1"/>
    </xf>
    <xf numFmtId="0" fontId="57" fillId="0" borderId="10" xfId="0" applyFont="1" applyBorder="1" applyAlignment="1">
      <alignment vertical="center"/>
    </xf>
    <xf numFmtId="0" fontId="61" fillId="9" borderId="37" xfId="0" applyFont="1" applyFill="1" applyBorder="1" applyAlignment="1">
      <alignment vertical="center" wrapText="1"/>
    </xf>
    <xf numFmtId="164" fontId="61" fillId="9" borderId="87" xfId="0" applyNumberFormat="1" applyFont="1" applyFill="1" applyBorder="1" applyAlignment="1">
      <alignment vertical="center" wrapText="1"/>
    </xf>
    <xf numFmtId="0" fontId="61" fillId="9" borderId="7" xfId="0" applyFont="1" applyFill="1" applyBorder="1" applyAlignment="1">
      <alignment vertical="center" wrapText="1"/>
    </xf>
    <xf numFmtId="165" fontId="61" fillId="9" borderId="87" xfId="0" applyNumberFormat="1" applyFont="1" applyFill="1" applyBorder="1" applyAlignment="1">
      <alignment vertical="center" wrapText="1"/>
    </xf>
    <xf numFmtId="2" fontId="61" fillId="9" borderId="87" xfId="0" applyNumberFormat="1" applyFont="1" applyFill="1" applyBorder="1" applyAlignment="1">
      <alignment vertical="center" wrapText="1"/>
    </xf>
    <xf numFmtId="166" fontId="61" fillId="9" borderId="87" xfId="0" applyNumberFormat="1" applyFont="1" applyFill="1" applyBorder="1" applyAlignment="1">
      <alignment vertical="center" wrapText="1"/>
    </xf>
    <xf numFmtId="0" fontId="64" fillId="7" borderId="5" xfId="0" applyFont="1" applyFill="1" applyBorder="1" applyAlignment="1">
      <alignment vertical="center" wrapText="1"/>
    </xf>
    <xf numFmtId="0" fontId="66" fillId="0" borderId="30" xfId="0" applyFont="1" applyBorder="1" applyAlignment="1">
      <alignment vertical="center"/>
    </xf>
    <xf numFmtId="0" fontId="59" fillId="8" borderId="62" xfId="0" applyFont="1" applyFill="1" applyBorder="1" applyAlignment="1">
      <alignment vertical="center"/>
    </xf>
    <xf numFmtId="0" fontId="61" fillId="8" borderId="63" xfId="0" applyFont="1" applyFill="1" applyBorder="1" applyAlignment="1">
      <alignment vertical="center" wrapText="1"/>
    </xf>
    <xf numFmtId="0" fontId="61" fillId="8" borderId="7" xfId="0" applyFont="1" applyFill="1" applyBorder="1" applyAlignment="1">
      <alignment vertical="center"/>
    </xf>
    <xf numFmtId="0" fontId="61" fillId="8" borderId="6" xfId="0" applyFont="1" applyFill="1" applyBorder="1" applyAlignment="1">
      <alignment vertical="center" wrapText="1"/>
    </xf>
    <xf numFmtId="0" fontId="61" fillId="11" borderId="6" xfId="0" applyFont="1" applyFill="1" applyBorder="1" applyAlignment="1">
      <alignment vertical="center" wrapText="1"/>
    </xf>
    <xf numFmtId="0" fontId="61" fillId="11" borderId="96" xfId="0" applyFont="1" applyFill="1" applyBorder="1" applyAlignment="1">
      <alignment vertical="center"/>
    </xf>
    <xf numFmtId="0" fontId="61" fillId="11" borderId="87" xfId="0" applyFont="1" applyFill="1" applyBorder="1" applyAlignment="1">
      <alignment vertical="center" wrapText="1"/>
    </xf>
    <xf numFmtId="0" fontId="61" fillId="11" borderId="131" xfId="0" applyFont="1" applyFill="1" applyBorder="1" applyAlignment="1">
      <alignment vertical="center"/>
    </xf>
    <xf numFmtId="0" fontId="61" fillId="11" borderId="149" xfId="0" applyFont="1" applyFill="1" applyBorder="1" applyAlignment="1">
      <alignment vertical="center" wrapText="1"/>
    </xf>
    <xf numFmtId="0" fontId="61" fillId="10" borderId="6" xfId="0" applyFont="1" applyFill="1" applyBorder="1" applyAlignment="1">
      <alignment vertical="center" wrapText="1"/>
    </xf>
    <xf numFmtId="0" fontId="61" fillId="20" borderId="6" xfId="0" applyFont="1" applyFill="1" applyBorder="1" applyAlignment="1">
      <alignment vertical="center" wrapText="1"/>
    </xf>
    <xf numFmtId="0" fontId="61" fillId="12" borderId="7" xfId="0" applyFont="1" applyFill="1" applyBorder="1" applyAlignment="1">
      <alignment vertical="center"/>
    </xf>
    <xf numFmtId="0" fontId="61" fillId="12" borderId="6" xfId="0" applyFont="1" applyFill="1" applyBorder="1" applyAlignment="1">
      <alignment vertical="center" wrapText="1"/>
    </xf>
    <xf numFmtId="0" fontId="61" fillId="18" borderId="6" xfId="0" applyFont="1" applyFill="1" applyBorder="1" applyAlignment="1">
      <alignment vertical="center" wrapText="1"/>
    </xf>
    <xf numFmtId="0" fontId="61" fillId="9" borderId="7" xfId="0" applyFont="1" applyFill="1" applyBorder="1" applyAlignment="1">
      <alignment vertical="center"/>
    </xf>
    <xf numFmtId="0" fontId="61" fillId="9" borderId="6" xfId="0" applyFont="1" applyFill="1" applyBorder="1" applyAlignment="1">
      <alignment vertical="center" wrapText="1"/>
    </xf>
    <xf numFmtId="0" fontId="61" fillId="16" borderId="7" xfId="0" applyFont="1" applyFill="1" applyBorder="1" applyAlignment="1">
      <alignment vertical="center"/>
    </xf>
    <xf numFmtId="0" fontId="61" fillId="16" borderId="6" xfId="0" applyFont="1" applyFill="1" applyBorder="1" applyAlignment="1">
      <alignment vertical="center" wrapText="1"/>
    </xf>
    <xf numFmtId="0" fontId="61" fillId="16" borderId="96" xfId="0" applyFont="1" applyFill="1" applyBorder="1" applyAlignment="1">
      <alignment vertical="center"/>
    </xf>
    <xf numFmtId="0" fontId="61" fillId="16" borderId="87" xfId="0" applyFont="1" applyFill="1" applyBorder="1" applyAlignment="1">
      <alignment vertical="center" wrapText="1"/>
    </xf>
    <xf numFmtId="0" fontId="57" fillId="0" borderId="30" xfId="0" applyFont="1" applyBorder="1" applyAlignment="1">
      <alignment vertical="center"/>
    </xf>
    <xf numFmtId="0" fontId="57" fillId="8" borderId="75" xfId="0" applyFont="1" applyFill="1" applyBorder="1" applyAlignment="1">
      <alignment vertical="center"/>
    </xf>
    <xf numFmtId="0" fontId="57" fillId="8" borderId="99" xfId="0" applyFont="1" applyFill="1" applyBorder="1" applyAlignment="1">
      <alignment vertical="center" wrapText="1"/>
    </xf>
    <xf numFmtId="0" fontId="57" fillId="11" borderId="176" xfId="0" applyFont="1" applyFill="1" applyBorder="1" applyAlignment="1">
      <alignment vertical="center" wrapText="1"/>
    </xf>
    <xf numFmtId="0" fontId="57" fillId="11" borderId="176" xfId="0" applyFont="1" applyFill="1" applyBorder="1" applyAlignment="1">
      <alignment vertical="center"/>
    </xf>
    <xf numFmtId="0" fontId="57" fillId="10" borderId="87" xfId="0" applyFont="1" applyFill="1" applyBorder="1" applyAlignment="1">
      <alignment vertical="center" wrapText="1"/>
    </xf>
    <xf numFmtId="0" fontId="57" fillId="20" borderId="7" xfId="0" applyFont="1" applyFill="1" applyBorder="1" applyAlignment="1">
      <alignment vertical="center" wrapText="1"/>
    </xf>
    <xf numFmtId="0" fontId="57" fillId="20" borderId="87" xfId="0" applyFont="1" applyFill="1" applyBorder="1" applyAlignment="1">
      <alignment vertical="center" wrapText="1"/>
    </xf>
    <xf numFmtId="0" fontId="57" fillId="12" borderId="87" xfId="0" applyFont="1" applyFill="1" applyBorder="1" applyAlignment="1">
      <alignment vertical="center" wrapText="1"/>
    </xf>
    <xf numFmtId="0" fontId="57" fillId="18" borderId="96" xfId="0" applyFont="1" applyFill="1" applyBorder="1" applyAlignment="1">
      <alignment vertical="center"/>
    </xf>
    <xf numFmtId="0" fontId="57" fillId="18" borderId="87" xfId="0" applyFont="1" applyFill="1" applyBorder="1" applyAlignment="1">
      <alignment vertical="center" wrapText="1"/>
    </xf>
    <xf numFmtId="0" fontId="57" fillId="27" borderId="37" xfId="0" applyFont="1" applyFill="1" applyBorder="1" applyAlignment="1">
      <alignment vertical="center"/>
    </xf>
    <xf numFmtId="0" fontId="57" fillId="27" borderId="88" xfId="0" applyFont="1" applyFill="1" applyBorder="1" applyAlignment="1">
      <alignment vertical="center" wrapText="1"/>
    </xf>
    <xf numFmtId="0" fontId="57" fillId="27" borderId="87" xfId="0" applyFont="1" applyFill="1" applyBorder="1" applyAlignment="1">
      <alignment vertical="center" wrapText="1"/>
    </xf>
    <xf numFmtId="0" fontId="57" fillId="26" borderId="87" xfId="0" applyFont="1" applyFill="1" applyBorder="1" applyAlignment="1">
      <alignment vertical="center" wrapText="1"/>
    </xf>
    <xf numFmtId="0" fontId="57" fillId="26" borderId="112" xfId="0" applyFont="1" applyFill="1" applyBorder="1" applyAlignment="1">
      <alignment vertical="center" wrapText="1"/>
    </xf>
    <xf numFmtId="0" fontId="64" fillId="7" borderId="43" xfId="0" applyFont="1" applyFill="1" applyBorder="1" applyAlignment="1">
      <alignment vertical="center" wrapText="1"/>
    </xf>
    <xf numFmtId="0" fontId="65" fillId="7" borderId="49" xfId="0" applyFont="1" applyFill="1" applyBorder="1" applyAlignment="1">
      <alignment vertical="center"/>
    </xf>
    <xf numFmtId="0" fontId="65" fillId="7" borderId="50" xfId="0" applyFont="1" applyFill="1" applyBorder="1" applyAlignment="1">
      <alignment vertical="center" wrapText="1"/>
    </xf>
    <xf numFmtId="0" fontId="57" fillId="0" borderId="37" xfId="0" applyFont="1" applyBorder="1" applyAlignment="1">
      <alignment vertical="center"/>
    </xf>
    <xf numFmtId="0" fontId="57" fillId="0" borderId="88" xfId="0" applyFont="1" applyBorder="1" applyAlignment="1">
      <alignment vertical="center" wrapText="1"/>
    </xf>
    <xf numFmtId="0" fontId="57" fillId="9" borderId="96" xfId="0" applyFont="1" applyFill="1" applyBorder="1" applyAlignment="1">
      <alignment vertical="center"/>
    </xf>
    <xf numFmtId="166" fontId="57" fillId="9" borderId="87" xfId="0" applyNumberFormat="1" applyFont="1" applyFill="1" applyBorder="1" applyAlignment="1">
      <alignment vertical="center" wrapText="1"/>
    </xf>
    <xf numFmtId="2" fontId="57" fillId="9" borderId="87" xfId="0" applyNumberFormat="1" applyFont="1" applyFill="1" applyBorder="1" applyAlignment="1">
      <alignment vertical="center" wrapText="1"/>
    </xf>
    <xf numFmtId="0" fontId="57" fillId="24" borderId="96" xfId="0" applyFont="1" applyFill="1" applyBorder="1" applyAlignment="1">
      <alignment vertical="center"/>
    </xf>
    <xf numFmtId="166" fontId="57" fillId="24" borderId="87" xfId="0" applyNumberFormat="1" applyFont="1" applyFill="1" applyBorder="1" applyAlignment="1">
      <alignment vertical="center" wrapText="1"/>
    </xf>
    <xf numFmtId="2" fontId="57" fillId="24" borderId="87" xfId="0" applyNumberFormat="1" applyFont="1" applyFill="1" applyBorder="1" applyAlignment="1">
      <alignment vertical="center" wrapText="1"/>
    </xf>
    <xf numFmtId="0" fontId="57" fillId="24" borderId="136" xfId="0" applyFont="1" applyFill="1" applyBorder="1" applyAlignment="1">
      <alignment vertical="center"/>
    </xf>
    <xf numFmtId="2" fontId="57" fillId="24" borderId="170" xfId="0" applyNumberFormat="1" applyFont="1" applyFill="1" applyBorder="1" applyAlignment="1">
      <alignment vertical="center" wrapText="1"/>
    </xf>
    <xf numFmtId="0" fontId="57" fillId="15" borderId="96" xfId="0" applyFont="1" applyFill="1" applyBorder="1" applyAlignment="1">
      <alignment vertical="center"/>
    </xf>
    <xf numFmtId="166" fontId="57" fillId="15" borderId="87" xfId="0" applyNumberFormat="1" applyFont="1" applyFill="1" applyBorder="1" applyAlignment="1">
      <alignment vertical="center" wrapText="1"/>
    </xf>
    <xf numFmtId="0" fontId="57" fillId="9" borderId="96" xfId="0" applyFont="1" applyFill="1" applyBorder="1" applyAlignment="1">
      <alignment vertical="center" wrapText="1"/>
    </xf>
    <xf numFmtId="0" fontId="57" fillId="24" borderId="96" xfId="0" applyFont="1" applyFill="1" applyBorder="1" applyAlignment="1">
      <alignment vertical="center" wrapText="1"/>
    </xf>
    <xf numFmtId="166" fontId="57" fillId="24" borderId="87" xfId="0" applyNumberFormat="1" applyFont="1" applyFill="1" applyBorder="1" applyAlignment="1">
      <alignment vertical="center"/>
    </xf>
    <xf numFmtId="0" fontId="57" fillId="0" borderId="131" xfId="0" applyFont="1" applyBorder="1" applyAlignment="1">
      <alignment vertical="center"/>
    </xf>
    <xf numFmtId="166" fontId="57" fillId="0" borderId="149" xfId="0" applyNumberFormat="1" applyFont="1" applyBorder="1" applyAlignment="1">
      <alignment vertical="center"/>
    </xf>
    <xf numFmtId="0" fontId="57" fillId="0" borderId="92" xfId="0" applyFont="1" applyBorder="1" applyAlignment="1">
      <alignment vertical="center"/>
    </xf>
    <xf numFmtId="166" fontId="57" fillId="0" borderId="88" xfId="0" applyNumberFormat="1" applyFont="1" applyBorder="1" applyAlignment="1">
      <alignment vertical="center"/>
    </xf>
    <xf numFmtId="0" fontId="57" fillId="0" borderId="111" xfId="0" applyFont="1" applyBorder="1" applyAlignment="1">
      <alignment vertical="center"/>
    </xf>
    <xf numFmtId="166" fontId="57" fillId="0" borderId="86" xfId="0" applyNumberFormat="1" applyFont="1" applyBorder="1" applyAlignment="1">
      <alignment vertical="center"/>
    </xf>
    <xf numFmtId="0" fontId="64" fillId="7" borderId="127" xfId="0" applyFont="1" applyFill="1" applyBorder="1" applyAlignment="1">
      <alignment vertical="center" wrapText="1"/>
    </xf>
    <xf numFmtId="0" fontId="57" fillId="0" borderId="128" xfId="0" applyFont="1" applyBorder="1" applyAlignment="1">
      <alignment vertical="center" wrapText="1"/>
    </xf>
    <xf numFmtId="2" fontId="57" fillId="0" borderId="124" xfId="0" applyNumberFormat="1" applyFont="1" applyBorder="1" applyAlignment="1">
      <alignment vertical="center" wrapText="1"/>
    </xf>
    <xf numFmtId="0" fontId="57" fillId="0" borderId="92" xfId="0" applyFont="1" applyBorder="1" applyAlignment="1">
      <alignment vertical="center" wrapText="1"/>
    </xf>
    <xf numFmtId="0" fontId="57" fillId="0" borderId="111" xfId="0" applyFont="1" applyBorder="1" applyAlignment="1">
      <alignment vertical="center" wrapText="1"/>
    </xf>
    <xf numFmtId="0" fontId="57" fillId="0" borderId="86" xfId="0" applyFont="1" applyBorder="1" applyAlignment="1">
      <alignment vertical="center" wrapText="1"/>
    </xf>
    <xf numFmtId="0" fontId="64" fillId="7" borderId="45" xfId="0" applyFont="1" applyFill="1" applyBorder="1" applyAlignment="1">
      <alignment vertical="center" wrapText="1"/>
    </xf>
    <xf numFmtId="0" fontId="57" fillId="0" borderId="159" xfId="0" applyFont="1" applyBorder="1" applyAlignment="1">
      <alignment vertical="center"/>
    </xf>
    <xf numFmtId="0" fontId="57" fillId="0" borderId="63" xfId="0" applyFont="1" applyBorder="1" applyAlignment="1">
      <alignment vertical="center"/>
    </xf>
    <xf numFmtId="0" fontId="57" fillId="0" borderId="95" xfId="0" applyFont="1" applyBorder="1" applyAlignment="1">
      <alignment vertical="center"/>
    </xf>
    <xf numFmtId="0" fontId="57" fillId="0" borderId="88" xfId="0" applyFont="1" applyBorder="1" applyAlignment="1">
      <alignment vertical="center"/>
    </xf>
    <xf numFmtId="0" fontId="57" fillId="0" borderId="102" xfId="0" applyFont="1" applyBorder="1" applyAlignment="1">
      <alignment vertical="center"/>
    </xf>
    <xf numFmtId="0" fontId="64" fillId="7" borderId="162" xfId="0" applyFont="1" applyFill="1" applyBorder="1" applyAlignment="1">
      <alignment vertical="center" wrapText="1"/>
    </xf>
    <xf numFmtId="0" fontId="57" fillId="9" borderId="163" xfId="0" applyFont="1" applyFill="1" applyBorder="1" applyAlignment="1">
      <alignment vertical="center"/>
    </xf>
    <xf numFmtId="0" fontId="57" fillId="9" borderId="149" xfId="0" applyFont="1" applyFill="1" applyBorder="1" applyAlignment="1">
      <alignment vertical="center"/>
    </xf>
    <xf numFmtId="0" fontId="57" fillId="9" borderId="92" xfId="0" applyFont="1" applyFill="1" applyBorder="1" applyAlignment="1">
      <alignment vertical="center"/>
    </xf>
    <xf numFmtId="0" fontId="57" fillId="9" borderId="88" xfId="0" applyFont="1" applyFill="1" applyBorder="1" applyAlignment="1">
      <alignment vertical="center"/>
    </xf>
    <xf numFmtId="0" fontId="57" fillId="9" borderId="112" xfId="0" applyFont="1" applyFill="1" applyBorder="1" applyAlignment="1">
      <alignment vertical="center"/>
    </xf>
    <xf numFmtId="0" fontId="64" fillId="7" borderId="116" xfId="0" applyFont="1" applyFill="1" applyBorder="1" applyAlignment="1">
      <alignment vertical="center" wrapText="1"/>
    </xf>
    <xf numFmtId="0" fontId="65" fillId="7" borderId="117" xfId="0" applyFont="1" applyFill="1" applyBorder="1" applyAlignment="1">
      <alignment vertical="center"/>
    </xf>
    <xf numFmtId="0" fontId="54" fillId="0" borderId="128" xfId="0" applyFont="1" applyBorder="1"/>
    <xf numFmtId="0" fontId="57" fillId="0" borderId="133" xfId="0" applyFont="1" applyBorder="1" applyAlignment="1">
      <alignment vertical="center" wrapText="1"/>
    </xf>
    <xf numFmtId="0" fontId="54" fillId="0" borderId="131" xfId="0" applyFont="1" applyBorder="1"/>
    <xf numFmtId="0" fontId="57" fillId="0" borderId="132" xfId="0" applyFont="1" applyBorder="1" applyAlignment="1">
      <alignment vertical="center" wrapText="1"/>
    </xf>
    <xf numFmtId="0" fontId="57" fillId="0" borderId="37" xfId="2" applyFont="1" applyBorder="1" applyAlignment="1">
      <alignment vertical="center" wrapText="1"/>
    </xf>
    <xf numFmtId="0" fontId="57" fillId="0" borderId="115" xfId="2" applyFont="1" applyBorder="1" applyAlignment="1">
      <alignment vertical="center" wrapText="1"/>
    </xf>
    <xf numFmtId="0" fontId="57" fillId="0" borderId="87" xfId="0" applyFont="1" applyBorder="1" applyAlignment="1">
      <alignment vertical="center" wrapText="1"/>
    </xf>
    <xf numFmtId="0" fontId="57" fillId="0" borderId="114" xfId="2" applyFont="1" applyBorder="1" applyAlignment="1">
      <alignment vertical="center" wrapText="1"/>
    </xf>
    <xf numFmtId="0" fontId="57" fillId="0" borderId="13" xfId="0" applyFont="1" applyBorder="1" applyAlignment="1">
      <alignment vertical="center" wrapText="1"/>
    </xf>
    <xf numFmtId="0" fontId="57" fillId="0" borderId="79" xfId="0" applyFont="1" applyBorder="1" applyAlignment="1">
      <alignment vertical="center"/>
    </xf>
    <xf numFmtId="0" fontId="57" fillId="0" borderId="80" xfId="0" applyFont="1" applyBorder="1" applyAlignment="1">
      <alignment vertical="center"/>
    </xf>
    <xf numFmtId="0" fontId="57" fillId="0" borderId="181" xfId="0" applyFont="1" applyBorder="1" applyAlignment="1">
      <alignment vertical="center"/>
    </xf>
    <xf numFmtId="0" fontId="57" fillId="20" borderId="9" xfId="0" applyFont="1" applyFill="1" applyBorder="1" applyAlignment="1">
      <alignment vertical="center" wrapText="1"/>
    </xf>
    <xf numFmtId="0" fontId="57" fillId="20" borderId="112" xfId="0" applyFont="1" applyFill="1" applyBorder="1" applyAlignment="1">
      <alignment vertical="center"/>
    </xf>
    <xf numFmtId="0" fontId="57" fillId="20" borderId="159" xfId="0" applyFont="1" applyFill="1" applyBorder="1" applyAlignment="1">
      <alignment vertical="center" wrapText="1"/>
    </xf>
    <xf numFmtId="0" fontId="64" fillId="7" borderId="154" xfId="0" applyFont="1" applyFill="1" applyBorder="1" applyAlignment="1">
      <alignment vertical="center" wrapText="1"/>
    </xf>
    <xf numFmtId="0" fontId="65" fillId="7" borderId="155" xfId="0" applyFont="1" applyFill="1" applyBorder="1" applyAlignment="1">
      <alignment vertical="center"/>
    </xf>
    <xf numFmtId="0" fontId="65" fillId="7" borderId="156" xfId="0" applyFont="1" applyFill="1" applyBorder="1" applyAlignment="1">
      <alignment vertical="center" wrapText="1"/>
    </xf>
    <xf numFmtId="0" fontId="57" fillId="8" borderId="6" xfId="0" applyFont="1" applyFill="1" applyBorder="1" applyAlignment="1">
      <alignment horizontal="left" vertical="center" wrapText="1"/>
    </xf>
    <xf numFmtId="0" fontId="57" fillId="21" borderId="88" xfId="0" applyFont="1" applyFill="1" applyBorder="1" applyAlignment="1">
      <alignment horizontal="left" vertical="center" wrapText="1"/>
    </xf>
    <xf numFmtId="0" fontId="57" fillId="11" borderId="6" xfId="0" applyFont="1" applyFill="1" applyBorder="1" applyAlignment="1">
      <alignment horizontal="left" vertical="center" wrapText="1"/>
    </xf>
    <xf numFmtId="0" fontId="57" fillId="11" borderId="88" xfId="0" applyFont="1" applyFill="1" applyBorder="1" applyAlignment="1">
      <alignment horizontal="left" vertical="center" wrapText="1"/>
    </xf>
    <xf numFmtId="0" fontId="57" fillId="11" borderId="10" xfId="0" applyFont="1" applyFill="1" applyBorder="1" applyAlignment="1">
      <alignment horizontal="left" vertical="center" wrapText="1"/>
    </xf>
    <xf numFmtId="0" fontId="57" fillId="19" borderId="87" xfId="0" applyFont="1" applyFill="1" applyBorder="1" applyAlignment="1">
      <alignment horizontal="left" vertical="center" wrapText="1"/>
    </xf>
    <xf numFmtId="0" fontId="57" fillId="19" borderId="135" xfId="0" applyFont="1" applyFill="1" applyBorder="1" applyAlignment="1">
      <alignment horizontal="left" vertical="center" wrapText="1"/>
    </xf>
    <xf numFmtId="0" fontId="61" fillId="10" borderId="76" xfId="0" applyFont="1" applyFill="1" applyBorder="1" applyAlignment="1">
      <alignment horizontal="left" vertical="center" wrapText="1"/>
    </xf>
    <xf numFmtId="0" fontId="61" fillId="10" borderId="10" xfId="0" applyFont="1" applyFill="1" applyBorder="1" applyAlignment="1">
      <alignment horizontal="left" vertical="center" wrapText="1"/>
    </xf>
    <xf numFmtId="0" fontId="61" fillId="22" borderId="76" xfId="0" applyFont="1" applyFill="1" applyBorder="1" applyAlignment="1">
      <alignment horizontal="left" vertical="center" wrapText="1"/>
    </xf>
    <xf numFmtId="0" fontId="61" fillId="22" borderId="6" xfId="0" applyFont="1" applyFill="1" applyBorder="1" applyAlignment="1">
      <alignment horizontal="left" vertical="center" wrapText="1"/>
    </xf>
    <xf numFmtId="0" fontId="61" fillId="22" borderId="10" xfId="0" applyFont="1" applyFill="1" applyBorder="1" applyAlignment="1">
      <alignment horizontal="left" vertical="center" wrapText="1"/>
    </xf>
    <xf numFmtId="0" fontId="61" fillId="20" borderId="76" xfId="0" applyFont="1" applyFill="1" applyBorder="1" applyAlignment="1">
      <alignment horizontal="left" vertical="center" wrapText="1"/>
    </xf>
    <xf numFmtId="0" fontId="57" fillId="12" borderId="63" xfId="0" applyFont="1" applyFill="1" applyBorder="1" applyAlignment="1">
      <alignment horizontal="left" vertical="center"/>
    </xf>
    <xf numFmtId="0" fontId="61" fillId="18" borderId="15" xfId="0" applyFont="1" applyFill="1" applyBorder="1" applyAlignment="1">
      <alignment horizontal="left" vertical="center"/>
    </xf>
    <xf numFmtId="0" fontId="61" fillId="18" borderId="6" xfId="0" applyFont="1" applyFill="1" applyBorder="1" applyAlignment="1">
      <alignment horizontal="left" vertical="center"/>
    </xf>
    <xf numFmtId="0" fontId="61" fillId="15" borderId="6" xfId="0" applyFont="1" applyFill="1" applyBorder="1" applyAlignment="1">
      <alignment horizontal="left" vertical="center" wrapText="1"/>
    </xf>
    <xf numFmtId="0" fontId="57" fillId="15" borderId="6" xfId="0" applyFont="1" applyFill="1" applyBorder="1" applyAlignment="1">
      <alignment horizontal="left" vertical="center"/>
    </xf>
    <xf numFmtId="0" fontId="57" fillId="7" borderId="113" xfId="0" applyFont="1" applyFill="1" applyBorder="1" applyAlignment="1">
      <alignment horizontal="left" vertical="center"/>
    </xf>
    <xf numFmtId="0" fontId="61" fillId="7" borderId="113" xfId="0" applyFont="1" applyFill="1" applyBorder="1" applyAlignment="1">
      <alignment horizontal="left" vertical="center" wrapText="1"/>
    </xf>
    <xf numFmtId="0" fontId="61" fillId="7" borderId="88" xfId="0" applyFont="1" applyFill="1" applyBorder="1" applyAlignment="1">
      <alignment horizontal="left" vertical="center" wrapText="1"/>
    </xf>
    <xf numFmtId="0" fontId="61" fillId="7" borderId="6" xfId="0" applyFont="1" applyFill="1" applyBorder="1" applyAlignment="1">
      <alignment horizontal="left" vertical="center" wrapText="1"/>
    </xf>
    <xf numFmtId="0" fontId="61" fillId="7" borderId="87" xfId="0" applyFont="1" applyFill="1" applyBorder="1" applyAlignment="1">
      <alignment horizontal="left" vertical="center" wrapText="1"/>
    </xf>
    <xf numFmtId="0" fontId="57" fillId="7" borderId="10" xfId="0" applyFont="1" applyFill="1" applyBorder="1" applyAlignment="1">
      <alignment horizontal="left" vertical="center"/>
    </xf>
    <xf numFmtId="0" fontId="65" fillId="29" borderId="105" xfId="0" applyFont="1" applyFill="1" applyBorder="1" applyAlignment="1">
      <alignment horizontal="left" vertical="center" wrapText="1"/>
    </xf>
    <xf numFmtId="0" fontId="65" fillId="29" borderId="87" xfId="0" applyFont="1" applyFill="1" applyBorder="1" applyAlignment="1">
      <alignment horizontal="left" vertical="center" wrapText="1"/>
    </xf>
    <xf numFmtId="0" fontId="65" fillId="29" borderId="112" xfId="0" applyFont="1" applyFill="1" applyBorder="1" applyAlignment="1">
      <alignment horizontal="left" vertical="center" wrapText="1"/>
    </xf>
    <xf numFmtId="0" fontId="57" fillId="0" borderId="63" xfId="0" applyFont="1" applyBorder="1" applyAlignment="1">
      <alignment horizontal="left" vertical="center" wrapText="1"/>
    </xf>
    <xf numFmtId="0" fontId="57" fillId="0" borderId="6" xfId="0" applyFont="1" applyBorder="1" applyAlignment="1">
      <alignment horizontal="left" vertical="center" wrapText="1"/>
    </xf>
    <xf numFmtId="0" fontId="57" fillId="17" borderId="87" xfId="0" applyFont="1" applyFill="1" applyBorder="1" applyAlignment="1">
      <alignment horizontal="left" vertical="center" wrapText="1"/>
    </xf>
    <xf numFmtId="0" fontId="61" fillId="0" borderId="6" xfId="0" applyFont="1" applyBorder="1" applyAlignment="1">
      <alignment horizontal="left" vertical="center"/>
    </xf>
    <xf numFmtId="0" fontId="61" fillId="9" borderId="80" xfId="0" applyFont="1" applyFill="1" applyBorder="1" applyAlignment="1">
      <alignment horizontal="left" vertical="center" wrapText="1"/>
    </xf>
    <xf numFmtId="0" fontId="61" fillId="9" borderId="15" xfId="0" applyFont="1" applyFill="1" applyBorder="1" applyAlignment="1">
      <alignment horizontal="left" vertical="center" wrapText="1"/>
    </xf>
    <xf numFmtId="0" fontId="61" fillId="26" borderId="87" xfId="0" applyFont="1" applyFill="1" applyBorder="1" applyAlignment="1">
      <alignment horizontal="left" vertical="center" wrapText="1"/>
    </xf>
    <xf numFmtId="0" fontId="61" fillId="27" borderId="87" xfId="0" applyFont="1" applyFill="1" applyBorder="1" applyAlignment="1">
      <alignment horizontal="left" vertical="center" wrapText="1"/>
    </xf>
    <xf numFmtId="0" fontId="57" fillId="8" borderId="76" xfId="0" applyFont="1" applyFill="1" applyBorder="1" applyAlignment="1">
      <alignment horizontal="left" vertical="center" wrapText="1"/>
    </xf>
    <xf numFmtId="0" fontId="57" fillId="10" borderId="88" xfId="0" applyFont="1" applyFill="1" applyBorder="1" applyAlignment="1">
      <alignment horizontal="left" vertical="center" wrapText="1"/>
    </xf>
    <xf numFmtId="0" fontId="57" fillId="10" borderId="6" xfId="0" applyFont="1" applyFill="1" applyBorder="1" applyAlignment="1">
      <alignment horizontal="left" vertical="center" wrapText="1"/>
    </xf>
    <xf numFmtId="0" fontId="57" fillId="12" borderId="6" xfId="0" applyFont="1" applyFill="1" applyBorder="1" applyAlignment="1">
      <alignment horizontal="left" vertical="center" wrapText="1"/>
    </xf>
    <xf numFmtId="0" fontId="57" fillId="0" borderId="15" xfId="0" applyFont="1" applyBorder="1" applyAlignment="1">
      <alignment horizontal="left" vertical="center" wrapText="1"/>
    </xf>
    <xf numFmtId="0" fontId="57" fillId="9" borderId="87" xfId="0" applyFont="1" applyFill="1" applyBorder="1" applyAlignment="1">
      <alignment horizontal="left" vertical="center" wrapText="1"/>
    </xf>
    <xf numFmtId="0" fontId="57" fillId="24" borderId="87" xfId="0" applyFont="1" applyFill="1" applyBorder="1" applyAlignment="1">
      <alignment horizontal="left" vertical="center" wrapText="1"/>
    </xf>
    <xf numFmtId="0" fontId="57" fillId="24" borderId="170" xfId="0" applyFont="1" applyFill="1" applyBorder="1" applyAlignment="1">
      <alignment horizontal="left" vertical="center" wrapText="1"/>
    </xf>
    <xf numFmtId="0" fontId="57" fillId="0" borderId="86" xfId="0" applyFont="1" applyBorder="1" applyAlignment="1">
      <alignment horizontal="left" vertical="center"/>
    </xf>
    <xf numFmtId="0" fontId="57" fillId="0" borderId="124" xfId="0" applyFont="1" applyBorder="1" applyAlignment="1">
      <alignment horizontal="left" vertical="center" wrapText="1"/>
    </xf>
    <xf numFmtId="0" fontId="57" fillId="0" borderId="113" xfId="0" applyFont="1" applyBorder="1" applyAlignment="1">
      <alignment horizontal="left" vertical="center" wrapText="1"/>
    </xf>
    <xf numFmtId="0" fontId="57" fillId="0" borderId="112" xfId="0" applyFont="1" applyBorder="1" applyAlignment="1">
      <alignment horizontal="left" vertical="center" wrapText="1"/>
    </xf>
    <xf numFmtId="0" fontId="57" fillId="8" borderId="8" xfId="0" applyFont="1" applyFill="1" applyBorder="1" applyAlignment="1">
      <alignment horizontal="left" vertical="center" wrapText="1"/>
    </xf>
    <xf numFmtId="0" fontId="57" fillId="8" borderId="66" xfId="0" applyFont="1" applyFill="1" applyBorder="1" applyAlignment="1">
      <alignment horizontal="left" vertical="center" wrapText="1"/>
    </xf>
    <xf numFmtId="0" fontId="57" fillId="8" borderId="150" xfId="0" applyFont="1" applyFill="1" applyBorder="1" applyAlignment="1">
      <alignment horizontal="left" vertical="center" wrapText="1"/>
    </xf>
    <xf numFmtId="0" fontId="61" fillId="8" borderId="148" xfId="0" applyFont="1" applyFill="1" applyBorder="1" applyAlignment="1">
      <alignment horizontal="left"/>
    </xf>
    <xf numFmtId="0" fontId="65" fillId="7" borderId="55" xfId="0" applyFont="1" applyFill="1" applyBorder="1" applyAlignment="1">
      <alignment horizontal="left" vertical="center" wrapText="1"/>
    </xf>
    <xf numFmtId="0" fontId="57" fillId="21" borderId="100" xfId="0" applyFont="1" applyFill="1" applyBorder="1" applyAlignment="1">
      <alignment horizontal="left" vertical="center" wrapText="1"/>
    </xf>
    <xf numFmtId="0" fontId="57" fillId="21" borderId="97" xfId="0" applyFont="1" applyFill="1" applyBorder="1" applyAlignment="1">
      <alignment horizontal="left" vertical="center" wrapText="1"/>
    </xf>
    <xf numFmtId="0" fontId="61" fillId="21" borderId="87" xfId="0" applyFont="1" applyFill="1" applyBorder="1" applyAlignment="1">
      <alignment horizontal="left" vertical="center" wrapText="1"/>
    </xf>
    <xf numFmtId="0" fontId="61" fillId="21" borderId="97" xfId="0" applyFont="1" applyFill="1" applyBorder="1" applyAlignment="1">
      <alignment horizontal="left" vertical="center" wrapText="1"/>
    </xf>
    <xf numFmtId="0" fontId="57" fillId="21" borderId="93" xfId="0" applyFont="1" applyFill="1" applyBorder="1" applyAlignment="1">
      <alignment horizontal="left" vertical="center" wrapText="1"/>
    </xf>
    <xf numFmtId="0" fontId="57" fillId="11" borderId="8" xfId="0" applyFont="1" applyFill="1" applyBorder="1" applyAlignment="1">
      <alignment horizontal="left" vertical="center" wrapText="1"/>
    </xf>
    <xf numFmtId="0" fontId="57" fillId="11" borderId="93" xfId="0" applyFont="1" applyFill="1" applyBorder="1" applyAlignment="1">
      <alignment horizontal="left" vertical="center" wrapText="1"/>
    </xf>
    <xf numFmtId="0" fontId="57" fillId="11" borderId="97" xfId="0" applyFont="1" applyFill="1" applyBorder="1" applyAlignment="1">
      <alignment horizontal="left" vertical="center" wrapText="1"/>
    </xf>
    <xf numFmtId="0" fontId="57" fillId="11" borderId="150" xfId="0" applyFont="1" applyFill="1" applyBorder="1" applyAlignment="1">
      <alignment horizontal="left" vertical="center" wrapText="1"/>
    </xf>
    <xf numFmtId="0" fontId="57" fillId="11" borderId="184" xfId="0" applyFont="1" applyFill="1" applyBorder="1" applyAlignment="1">
      <alignment horizontal="left" vertical="center"/>
    </xf>
    <xf numFmtId="0" fontId="57" fillId="11" borderId="97" xfId="0" applyFont="1" applyFill="1" applyBorder="1" applyAlignment="1">
      <alignment horizontal="left" vertical="center"/>
    </xf>
    <xf numFmtId="0" fontId="57" fillId="19" borderId="89" xfId="0" applyFont="1" applyFill="1" applyBorder="1" applyAlignment="1">
      <alignment horizontal="left" vertical="center" wrapText="1"/>
    </xf>
    <xf numFmtId="0" fontId="57" fillId="19" borderId="13" xfId="0" applyFont="1" applyFill="1" applyBorder="1" applyAlignment="1">
      <alignment horizontal="left" vertical="center" wrapText="1"/>
    </xf>
    <xf numFmtId="0" fontId="57" fillId="19" borderId="91" xfId="0" applyFont="1" applyFill="1" applyBorder="1" applyAlignment="1">
      <alignment horizontal="left" vertical="center" wrapText="1"/>
    </xf>
    <xf numFmtId="0" fontId="43" fillId="7" borderId="71" xfId="0" applyFont="1" applyFill="1" applyBorder="1" applyAlignment="1">
      <alignment horizontal="left" vertical="center" wrapText="1"/>
    </xf>
    <xf numFmtId="0" fontId="61" fillId="10" borderId="77" xfId="0" applyFont="1" applyFill="1" applyBorder="1" applyAlignment="1">
      <alignment horizontal="left" vertical="center" wrapText="1"/>
    </xf>
    <xf numFmtId="0" fontId="61" fillId="10" borderId="93" xfId="0" applyFont="1" applyFill="1" applyBorder="1" applyAlignment="1">
      <alignment horizontal="left" vertical="center" wrapText="1"/>
    </xf>
    <xf numFmtId="0" fontId="61" fillId="10" borderId="8" xfId="0" applyFont="1" applyFill="1" applyBorder="1" applyAlignment="1">
      <alignment horizontal="left" vertical="center" wrapText="1"/>
    </xf>
    <xf numFmtId="0" fontId="57" fillId="10" borderId="97" xfId="0" applyFont="1" applyFill="1" applyBorder="1" applyAlignment="1">
      <alignment horizontal="left" vertical="center" wrapText="1"/>
    </xf>
    <xf numFmtId="0" fontId="57" fillId="10" borderId="95" xfId="0" applyFont="1" applyFill="1" applyBorder="1" applyAlignment="1">
      <alignment horizontal="left" vertical="center" wrapText="1"/>
    </xf>
    <xf numFmtId="0" fontId="61" fillId="10" borderId="11" xfId="0" applyFont="1" applyFill="1" applyBorder="1" applyAlignment="1">
      <alignment horizontal="left" vertical="center" wrapText="1"/>
    </xf>
    <xf numFmtId="0" fontId="61" fillId="22" borderId="77" xfId="0" applyFont="1" applyFill="1" applyBorder="1" applyAlignment="1">
      <alignment horizontal="left" vertical="center" wrapText="1"/>
    </xf>
    <xf numFmtId="0" fontId="61" fillId="22" borderId="8" xfId="0" applyFont="1" applyFill="1" applyBorder="1" applyAlignment="1">
      <alignment horizontal="left" vertical="center" wrapText="1"/>
    </xf>
    <xf numFmtId="0" fontId="61" fillId="22" borderId="95" xfId="0" applyFont="1" applyFill="1" applyBorder="1" applyAlignment="1">
      <alignment horizontal="left" vertical="center" wrapText="1"/>
    </xf>
    <xf numFmtId="0" fontId="61" fillId="22" borderId="11" xfId="0" applyFont="1" applyFill="1" applyBorder="1" applyAlignment="1">
      <alignment horizontal="left" vertical="center" wrapText="1"/>
    </xf>
    <xf numFmtId="0" fontId="43" fillId="7" borderId="72" xfId="0" applyFont="1" applyFill="1" applyBorder="1" applyAlignment="1">
      <alignment horizontal="left" vertical="center" wrapText="1"/>
    </xf>
    <xf numFmtId="0" fontId="64" fillId="20" borderId="77" xfId="0" applyFont="1" applyFill="1" applyBorder="1" applyAlignment="1">
      <alignment horizontal="left" vertical="center"/>
    </xf>
    <xf numFmtId="0" fontId="64" fillId="20" borderId="8" xfId="0" applyFont="1" applyFill="1" applyBorder="1" applyAlignment="1">
      <alignment horizontal="left" vertical="center"/>
    </xf>
    <xf numFmtId="0" fontId="64" fillId="20" borderId="11" xfId="0" applyFont="1" applyFill="1" applyBorder="1" applyAlignment="1">
      <alignment horizontal="left" vertical="center"/>
    </xf>
    <xf numFmtId="0" fontId="57" fillId="12" borderId="64" xfId="0" applyFont="1" applyFill="1" applyBorder="1" applyAlignment="1">
      <alignment horizontal="left" vertical="center"/>
    </xf>
    <xf numFmtId="0" fontId="43" fillId="7" borderId="47" xfId="0" applyFont="1" applyFill="1" applyBorder="1" applyAlignment="1">
      <alignment horizontal="left" vertical="center" wrapText="1"/>
    </xf>
    <xf numFmtId="0" fontId="43" fillId="7" borderId="48" xfId="0" applyFont="1" applyFill="1" applyBorder="1" applyAlignment="1">
      <alignment horizontal="left" vertical="center" wrapText="1"/>
    </xf>
    <xf numFmtId="0" fontId="61" fillId="18" borderId="38" xfId="0" applyFont="1" applyFill="1" applyBorder="1" applyAlignment="1">
      <alignment horizontal="left" vertical="center"/>
    </xf>
    <xf numFmtId="0" fontId="61" fillId="18" borderId="8" xfId="0" applyFont="1" applyFill="1" applyBorder="1" applyAlignment="1">
      <alignment horizontal="left" vertical="center"/>
    </xf>
    <xf numFmtId="0" fontId="57" fillId="18" borderId="11" xfId="0" applyFont="1" applyFill="1" applyBorder="1" applyAlignment="1">
      <alignment horizontal="left" vertical="center"/>
    </xf>
    <xf numFmtId="0" fontId="57" fillId="28" borderId="97" xfId="0" applyFont="1" applyFill="1" applyBorder="1" applyAlignment="1">
      <alignment horizontal="left" vertical="center"/>
    </xf>
    <xf numFmtId="0" fontId="57" fillId="26" borderId="106" xfId="0" applyFont="1" applyFill="1" applyBorder="1" applyAlignment="1">
      <alignment horizontal="left" vertical="center"/>
    </xf>
    <xf numFmtId="0" fontId="57" fillId="26" borderId="97" xfId="0" applyFont="1" applyFill="1" applyBorder="1" applyAlignment="1">
      <alignment horizontal="left" vertical="center"/>
    </xf>
    <xf numFmtId="0" fontId="57" fillId="26" borderId="11" xfId="0" applyFont="1" applyFill="1" applyBorder="1" applyAlignment="1">
      <alignment horizontal="left" vertical="center"/>
    </xf>
    <xf numFmtId="0" fontId="65" fillId="7" borderId="109" xfId="0" applyFont="1" applyFill="1" applyBorder="1" applyAlignment="1">
      <alignment horizontal="left" vertical="center" wrapText="1"/>
    </xf>
    <xf numFmtId="0" fontId="57" fillId="27" borderId="106" xfId="0" applyFont="1" applyFill="1" applyBorder="1" applyAlignment="1">
      <alignment horizontal="left" vertical="center"/>
    </xf>
    <xf numFmtId="0" fontId="57" fillId="27" borderId="97" xfId="0" applyFont="1" applyFill="1" applyBorder="1" applyAlignment="1">
      <alignment horizontal="left" vertical="center"/>
    </xf>
    <xf numFmtId="0" fontId="57" fillId="27" borderId="11" xfId="0" applyFont="1" applyFill="1" applyBorder="1" applyAlignment="1">
      <alignment horizontal="left" vertical="center"/>
    </xf>
    <xf numFmtId="0" fontId="57" fillId="15" borderId="63" xfId="0" applyFont="1" applyFill="1" applyBorder="1" applyAlignment="1">
      <alignment horizontal="left" vertical="center"/>
    </xf>
    <xf numFmtId="0" fontId="57" fillId="15" borderId="6" xfId="0" applyFont="1" applyFill="1" applyBorder="1" applyAlignment="1">
      <alignment horizontal="left"/>
    </xf>
    <xf numFmtId="0" fontId="57" fillId="15" borderId="149" xfId="0" applyFont="1" applyFill="1" applyBorder="1" applyAlignment="1">
      <alignment horizontal="left"/>
    </xf>
    <xf numFmtId="0" fontId="57" fillId="15" borderId="150" xfId="0" applyFont="1" applyFill="1" applyBorder="1" applyAlignment="1">
      <alignment horizontal="left" vertical="center"/>
    </xf>
    <xf numFmtId="0" fontId="57" fillId="7" borderId="120" xfId="0" applyFont="1" applyFill="1" applyBorder="1" applyAlignment="1">
      <alignment horizontal="left" vertical="center"/>
    </xf>
    <xf numFmtId="0" fontId="57" fillId="9" borderId="158" xfId="0" applyFont="1" applyFill="1" applyBorder="1" applyAlignment="1">
      <alignment horizontal="left" vertical="center"/>
    </xf>
    <xf numFmtId="0" fontId="65" fillId="29" borderId="106" xfId="0" applyFont="1" applyFill="1" applyBorder="1" applyAlignment="1">
      <alignment horizontal="left" vertical="center" wrapText="1"/>
    </xf>
    <xf numFmtId="0" fontId="65" fillId="29" borderId="97" xfId="0" applyFont="1" applyFill="1" applyBorder="1" applyAlignment="1">
      <alignment horizontal="left" vertical="center" wrapText="1"/>
    </xf>
    <xf numFmtId="0" fontId="65" fillId="29" borderId="11" xfId="0" applyFont="1" applyFill="1" applyBorder="1" applyAlignment="1">
      <alignment horizontal="left" vertical="center" wrapText="1"/>
    </xf>
    <xf numFmtId="0" fontId="57" fillId="0" borderId="64" xfId="0" applyFont="1" applyBorder="1" applyAlignment="1">
      <alignment horizontal="left" vertical="center" wrapText="1"/>
    </xf>
    <xf numFmtId="0" fontId="57" fillId="0" borderId="8" xfId="0" applyFont="1" applyBorder="1" applyAlignment="1">
      <alignment horizontal="left" vertical="center" wrapText="1"/>
    </xf>
    <xf numFmtId="0" fontId="57" fillId="17" borderId="97" xfId="0" applyFont="1" applyFill="1" applyBorder="1" applyAlignment="1">
      <alignment horizontal="left" vertical="center" wrapText="1"/>
    </xf>
    <xf numFmtId="0" fontId="61" fillId="0" borderId="8" xfId="0" applyFont="1" applyBorder="1" applyAlignment="1">
      <alignment horizontal="left" vertical="center"/>
    </xf>
    <xf numFmtId="0" fontId="57" fillId="0" borderId="11" xfId="0" applyFont="1" applyBorder="1" applyAlignment="1">
      <alignment horizontal="left" vertical="center"/>
    </xf>
    <xf numFmtId="0" fontId="61" fillId="9" borderId="81" xfId="0" applyFont="1" applyFill="1" applyBorder="1" applyAlignment="1">
      <alignment horizontal="left" vertical="center" wrapText="1"/>
    </xf>
    <xf numFmtId="0" fontId="61" fillId="9" borderId="38" xfId="0" applyFont="1" applyFill="1" applyBorder="1" applyAlignment="1">
      <alignment horizontal="left" vertical="center" wrapText="1"/>
    </xf>
    <xf numFmtId="0" fontId="61" fillId="9" borderId="8" xfId="0" applyFont="1" applyFill="1" applyBorder="1" applyAlignment="1">
      <alignment horizontal="left" vertical="center" wrapText="1"/>
    </xf>
    <xf numFmtId="0" fontId="65" fillId="0" borderId="42" xfId="0" applyFont="1" applyBorder="1" applyAlignment="1">
      <alignment horizontal="left" vertical="center"/>
    </xf>
    <xf numFmtId="0" fontId="64" fillId="8" borderId="64" xfId="0" applyFont="1" applyFill="1" applyBorder="1" applyAlignment="1">
      <alignment horizontal="left" vertical="center"/>
    </xf>
    <xf numFmtId="0" fontId="64" fillId="8" borderId="8" xfId="0" applyFont="1" applyFill="1" applyBorder="1" applyAlignment="1">
      <alignment horizontal="left" vertical="center"/>
    </xf>
    <xf numFmtId="0" fontId="64" fillId="11" borderId="8" xfId="0" applyFont="1" applyFill="1" applyBorder="1" applyAlignment="1">
      <alignment horizontal="left" vertical="center"/>
    </xf>
    <xf numFmtId="0" fontId="64" fillId="11" borderId="97" xfId="0" applyFont="1" applyFill="1" applyBorder="1" applyAlignment="1">
      <alignment horizontal="left" vertical="center"/>
    </xf>
    <xf numFmtId="0" fontId="64" fillId="11" borderId="150" xfId="0" applyFont="1" applyFill="1" applyBorder="1" applyAlignment="1">
      <alignment horizontal="left" vertical="center"/>
    </xf>
    <xf numFmtId="0" fontId="64" fillId="19" borderId="8" xfId="0" applyFont="1" applyFill="1" applyBorder="1" applyAlignment="1">
      <alignment horizontal="left" vertical="center"/>
    </xf>
    <xf numFmtId="0" fontId="64" fillId="10" borderId="8" xfId="0" applyFont="1" applyFill="1" applyBorder="1" applyAlignment="1">
      <alignment horizontal="left" vertical="center"/>
    </xf>
    <xf numFmtId="0" fontId="64" fillId="26" borderId="97" xfId="0" applyFont="1" applyFill="1" applyBorder="1" applyAlignment="1">
      <alignment horizontal="left" vertical="center"/>
    </xf>
    <xf numFmtId="0" fontId="64" fillId="27" borderId="97" xfId="0" applyFont="1" applyFill="1" applyBorder="1" applyAlignment="1">
      <alignment horizontal="left" vertical="center"/>
    </xf>
    <xf numFmtId="0" fontId="64" fillId="12" borderId="8" xfId="0" applyFont="1" applyFill="1" applyBorder="1" applyAlignment="1">
      <alignment horizontal="left" vertical="center"/>
    </xf>
    <xf numFmtId="0" fontId="64" fillId="18" borderId="8" xfId="0" applyFont="1" applyFill="1" applyBorder="1" applyAlignment="1">
      <alignment horizontal="left" vertical="center"/>
    </xf>
    <xf numFmtId="0" fontId="64" fillId="9" borderId="8" xfId="0" applyFont="1" applyFill="1" applyBorder="1" applyAlignment="1">
      <alignment horizontal="left" vertical="center"/>
    </xf>
    <xf numFmtId="0" fontId="64" fillId="16" borderId="8" xfId="0" applyFont="1" applyFill="1" applyBorder="1" applyAlignment="1">
      <alignment horizontal="left" vertical="center"/>
    </xf>
    <xf numFmtId="0" fontId="64" fillId="16" borderId="97" xfId="0" applyFont="1" applyFill="1" applyBorder="1" applyAlignment="1">
      <alignment horizontal="left" vertical="center"/>
    </xf>
    <xf numFmtId="0" fontId="57" fillId="0" borderId="42" xfId="0" applyFont="1" applyBorder="1" applyAlignment="1">
      <alignment horizontal="left" vertical="center" wrapText="1"/>
    </xf>
    <xf numFmtId="0" fontId="57" fillId="8" borderId="77" xfId="0" applyFont="1" applyFill="1" applyBorder="1" applyAlignment="1">
      <alignment horizontal="left" vertical="center" wrapText="1"/>
    </xf>
    <xf numFmtId="0" fontId="57" fillId="11" borderId="177" xfId="0" applyFont="1" applyFill="1" applyBorder="1" applyAlignment="1">
      <alignment horizontal="left" vertical="center" wrapText="1"/>
    </xf>
    <xf numFmtId="0" fontId="57" fillId="19" borderId="177" xfId="0" applyFont="1" applyFill="1" applyBorder="1" applyAlignment="1">
      <alignment horizontal="left" vertical="center" wrapText="1"/>
    </xf>
    <xf numFmtId="0" fontId="57" fillId="10" borderId="93" xfId="0" applyFont="1" applyFill="1" applyBorder="1" applyAlignment="1">
      <alignment horizontal="left" vertical="center" wrapText="1"/>
    </xf>
    <xf numFmtId="0" fontId="57" fillId="10" borderId="8" xfId="0" applyFont="1" applyFill="1" applyBorder="1" applyAlignment="1">
      <alignment horizontal="left" vertical="center" wrapText="1"/>
    </xf>
    <xf numFmtId="0" fontId="65" fillId="20" borderId="6" xfId="0" applyFont="1" applyFill="1" applyBorder="1" applyAlignment="1">
      <alignment horizontal="left" vertical="center"/>
    </xf>
    <xf numFmtId="0" fontId="65" fillId="20" borderId="8" xfId="0" applyFont="1" applyFill="1" applyBorder="1" applyAlignment="1">
      <alignment horizontal="left" vertical="center"/>
    </xf>
    <xf numFmtId="0" fontId="57" fillId="12" borderId="8" xfId="0" applyFont="1" applyFill="1" applyBorder="1" applyAlignment="1">
      <alignment horizontal="left" vertical="center" wrapText="1"/>
    </xf>
    <xf numFmtId="0" fontId="57" fillId="18" borderId="97" xfId="0" applyFont="1" applyFill="1" applyBorder="1" applyAlignment="1">
      <alignment horizontal="left" vertical="center" wrapText="1"/>
    </xf>
    <xf numFmtId="0" fontId="57" fillId="27" borderId="38" xfId="0" applyFont="1" applyFill="1" applyBorder="1" applyAlignment="1">
      <alignment horizontal="left" vertical="center" wrapText="1"/>
    </xf>
    <xf numFmtId="0" fontId="0" fillId="27" borderId="21" xfId="0" applyFill="1" applyBorder="1" applyAlignment="1">
      <alignment horizontal="left"/>
    </xf>
    <xf numFmtId="0" fontId="57" fillId="27" borderId="97" xfId="0" applyFont="1" applyFill="1" applyBorder="1" applyAlignment="1">
      <alignment horizontal="left" vertical="center" wrapText="1"/>
    </xf>
    <xf numFmtId="0" fontId="57" fillId="26" borderId="97" xfId="0" applyFont="1" applyFill="1" applyBorder="1" applyAlignment="1">
      <alignment horizontal="left" vertical="center" wrapText="1"/>
    </xf>
    <xf numFmtId="0" fontId="57" fillId="26" borderId="11" xfId="0" applyFont="1" applyFill="1" applyBorder="1" applyAlignment="1">
      <alignment horizontal="left" vertical="center" wrapText="1"/>
    </xf>
    <xf numFmtId="0" fontId="65" fillId="7" borderId="51" xfId="0" applyFont="1" applyFill="1" applyBorder="1" applyAlignment="1">
      <alignment horizontal="left" vertical="center" wrapText="1"/>
    </xf>
    <xf numFmtId="0" fontId="57" fillId="0" borderId="38" xfId="0" applyFont="1" applyBorder="1" applyAlignment="1">
      <alignment horizontal="left" vertical="center" wrapText="1"/>
    </xf>
    <xf numFmtId="0" fontId="57" fillId="9" borderId="97" xfId="0" applyFont="1" applyFill="1" applyBorder="1" applyAlignment="1">
      <alignment horizontal="left" vertical="center" wrapText="1"/>
    </xf>
    <xf numFmtId="0" fontId="57" fillId="24" borderId="97" xfId="0" applyFont="1" applyFill="1" applyBorder="1" applyAlignment="1">
      <alignment horizontal="left" vertical="center" wrapText="1"/>
    </xf>
    <xf numFmtId="0" fontId="57" fillId="15" borderId="97" xfId="0" applyFont="1" applyFill="1" applyBorder="1" applyAlignment="1">
      <alignment horizontal="left" vertical="center" wrapText="1"/>
    </xf>
    <xf numFmtId="0" fontId="57" fillId="9" borderId="113" xfId="0" applyFont="1" applyFill="1" applyBorder="1" applyAlignment="1">
      <alignment horizontal="left" vertical="center" wrapText="1"/>
    </xf>
    <xf numFmtId="0" fontId="85" fillId="24" borderId="87" xfId="0" applyFont="1" applyFill="1" applyBorder="1" applyAlignment="1">
      <alignment horizontal="left" vertical="center" wrapText="1"/>
    </xf>
    <xf numFmtId="0" fontId="57" fillId="0" borderId="150" xfId="0" applyFont="1" applyBorder="1" applyAlignment="1">
      <alignment horizontal="left" vertical="center" wrapText="1"/>
    </xf>
    <xf numFmtId="0" fontId="57" fillId="0" borderId="110" xfId="0" applyFont="1" applyBorder="1" applyAlignment="1">
      <alignment horizontal="left" vertical="center"/>
    </xf>
    <xf numFmtId="0" fontId="57" fillId="0" borderId="129" xfId="0" applyFont="1" applyBorder="1" applyAlignment="1">
      <alignment horizontal="left" vertical="center" wrapText="1"/>
    </xf>
    <xf numFmtId="0" fontId="57" fillId="0" borderId="97" xfId="0" applyFont="1" applyBorder="1" applyAlignment="1">
      <alignment horizontal="left" vertical="center" wrapText="1"/>
    </xf>
    <xf numFmtId="0" fontId="57" fillId="0" borderId="11" xfId="0" applyFont="1" applyBorder="1" applyAlignment="1">
      <alignment horizontal="left" vertical="center" wrapText="1"/>
    </xf>
    <xf numFmtId="0" fontId="57" fillId="0" borderId="64" xfId="0" applyFont="1" applyBorder="1" applyAlignment="1">
      <alignment horizontal="left" vertical="center"/>
    </xf>
    <xf numFmtId="0" fontId="57" fillId="9" borderId="164" xfId="0" applyFont="1" applyFill="1" applyBorder="1" applyAlignment="1">
      <alignment horizontal="left" vertical="center"/>
    </xf>
    <xf numFmtId="0" fontId="57" fillId="9" borderId="93" xfId="0" applyFont="1" applyFill="1" applyBorder="1" applyAlignment="1">
      <alignment horizontal="left" vertical="center"/>
    </xf>
    <xf numFmtId="0" fontId="65" fillId="7" borderId="118" xfId="0" applyFont="1" applyFill="1" applyBorder="1" applyAlignment="1">
      <alignment horizontal="left" vertical="center" wrapText="1"/>
    </xf>
    <xf numFmtId="0" fontId="57" fillId="0" borderId="134" xfId="0" applyFont="1" applyBorder="1" applyAlignment="1">
      <alignment horizontal="left" vertical="center" wrapText="1"/>
    </xf>
    <xf numFmtId="0" fontId="57" fillId="0" borderId="93" xfId="0" applyFont="1" applyBorder="1" applyAlignment="1">
      <alignment horizontal="left" vertical="center" wrapText="1"/>
    </xf>
    <xf numFmtId="0" fontId="57" fillId="0" borderId="89" xfId="0" applyFont="1" applyBorder="1" applyAlignment="1">
      <alignment horizontal="left" vertical="center" wrapText="1"/>
    </xf>
    <xf numFmtId="0" fontId="57" fillId="0" borderId="52" xfId="0" applyFont="1" applyBorder="1" applyAlignment="1">
      <alignment horizontal="left" vertical="center" wrapText="1"/>
    </xf>
    <xf numFmtId="0" fontId="57" fillId="0" borderId="81" xfId="0" applyFont="1" applyBorder="1" applyAlignment="1">
      <alignment horizontal="left" vertical="center"/>
    </xf>
    <xf numFmtId="0" fontId="65" fillId="7" borderId="157" xfId="0" applyFont="1" applyFill="1" applyBorder="1" applyAlignment="1">
      <alignment horizontal="left" vertical="center" wrapText="1"/>
    </xf>
    <xf numFmtId="0" fontId="57" fillId="9" borderId="159" xfId="0" applyFont="1" applyFill="1" applyBorder="1" applyAlignment="1">
      <alignment vertical="center" wrapText="1"/>
    </xf>
    <xf numFmtId="2" fontId="57" fillId="9" borderId="163" xfId="0" applyNumberFormat="1" applyFont="1" applyFill="1" applyBorder="1" applyAlignment="1">
      <alignment vertical="center" wrapText="1"/>
    </xf>
    <xf numFmtId="2" fontId="57" fillId="9" borderId="163" xfId="0" applyNumberFormat="1" applyFont="1" applyFill="1" applyBorder="1" applyAlignment="1">
      <alignment horizontal="center" vertical="center" wrapText="1"/>
    </xf>
    <xf numFmtId="0" fontId="57" fillId="9" borderId="163" xfId="0" applyFont="1" applyFill="1" applyBorder="1" applyAlignment="1">
      <alignment horizontal="center" vertical="center" wrapText="1"/>
    </xf>
    <xf numFmtId="0" fontId="57" fillId="9" borderId="163" xfId="0" applyFont="1" applyFill="1" applyBorder="1" applyAlignment="1">
      <alignment horizontal="left" vertical="center" wrapText="1"/>
    </xf>
    <xf numFmtId="0" fontId="57" fillId="9" borderId="164" xfId="0" applyFont="1" applyFill="1" applyBorder="1" applyAlignment="1">
      <alignment horizontal="left" vertical="center" wrapText="1"/>
    </xf>
    <xf numFmtId="0" fontId="57" fillId="9" borderId="183" xfId="0" applyFont="1" applyFill="1" applyBorder="1" applyAlignment="1">
      <alignment vertical="center" wrapText="1"/>
    </xf>
    <xf numFmtId="2" fontId="57" fillId="9" borderId="182" xfId="0" applyNumberFormat="1" applyFont="1" applyFill="1" applyBorder="1" applyAlignment="1">
      <alignment vertical="center" wrapText="1"/>
    </xf>
    <xf numFmtId="2" fontId="57" fillId="9" borderId="182" xfId="0" applyNumberFormat="1" applyFont="1" applyFill="1" applyBorder="1" applyAlignment="1">
      <alignment horizontal="center" vertical="center" wrapText="1"/>
    </xf>
    <xf numFmtId="0" fontId="57" fillId="9" borderId="182" xfId="0" applyFont="1" applyFill="1" applyBorder="1" applyAlignment="1">
      <alignment horizontal="center" vertical="center" wrapText="1"/>
    </xf>
    <xf numFmtId="0" fontId="57" fillId="9" borderId="182" xfId="0" applyFont="1" applyFill="1" applyBorder="1" applyAlignment="1">
      <alignment horizontal="left" vertical="center" wrapText="1"/>
    </xf>
    <xf numFmtId="0" fontId="57" fillId="9" borderId="184" xfId="0" applyFont="1" applyFill="1" applyBorder="1" applyAlignment="1">
      <alignment horizontal="left" vertical="center" wrapText="1"/>
    </xf>
    <xf numFmtId="0" fontId="57" fillId="9" borderId="9" xfId="0" applyFont="1" applyFill="1" applyBorder="1" applyAlignment="1">
      <alignment vertical="center" wrapText="1"/>
    </xf>
    <xf numFmtId="2" fontId="57" fillId="9" borderId="181" xfId="0" applyNumberFormat="1" applyFont="1" applyFill="1" applyBorder="1" applyAlignment="1">
      <alignment vertical="center" wrapText="1"/>
    </xf>
    <xf numFmtId="2" fontId="57" fillId="9" borderId="181" xfId="0" applyNumberFormat="1" applyFont="1" applyFill="1" applyBorder="1" applyAlignment="1">
      <alignment horizontal="center" vertical="center" wrapText="1"/>
    </xf>
    <xf numFmtId="0" fontId="57" fillId="9" borderId="181" xfId="0" applyFont="1" applyFill="1" applyBorder="1" applyAlignment="1">
      <alignment horizontal="center" vertical="center" wrapText="1"/>
    </xf>
    <xf numFmtId="0" fontId="57" fillId="9" borderId="181" xfId="0" applyFont="1" applyFill="1" applyBorder="1" applyAlignment="1">
      <alignment horizontal="left" vertical="center" wrapText="1"/>
    </xf>
    <xf numFmtId="0" fontId="57" fillId="9" borderId="11" xfId="0" applyFont="1" applyFill="1" applyBorder="1" applyAlignment="1">
      <alignment horizontal="left" vertical="center" wrapText="1"/>
    </xf>
    <xf numFmtId="0" fontId="64" fillId="7" borderId="185" xfId="0" applyFont="1" applyFill="1" applyBorder="1" applyAlignment="1">
      <alignment horizontal="left" vertical="center"/>
    </xf>
    <xf numFmtId="0" fontId="65" fillId="7" borderId="185" xfId="0" applyFont="1" applyFill="1" applyBorder="1" applyAlignment="1">
      <alignment horizontal="left" vertical="center" wrapText="1"/>
    </xf>
    <xf numFmtId="2" fontId="57" fillId="20" borderId="181" xfId="0" applyNumberFormat="1" applyFont="1" applyFill="1" applyBorder="1" applyAlignment="1">
      <alignment horizontal="left" vertical="center"/>
    </xf>
    <xf numFmtId="0" fontId="57" fillId="20" borderId="171" xfId="0" applyFont="1" applyFill="1" applyBorder="1" applyAlignment="1">
      <alignment horizontal="left" vertical="center"/>
    </xf>
    <xf numFmtId="0" fontId="57" fillId="20" borderId="175" xfId="0" applyFont="1" applyFill="1" applyBorder="1" applyAlignment="1">
      <alignment horizontal="left" vertical="center"/>
    </xf>
    <xf numFmtId="0" fontId="57" fillId="20" borderId="172" xfId="0" applyFont="1" applyFill="1" applyBorder="1" applyAlignment="1">
      <alignment horizontal="left" vertical="center"/>
    </xf>
    <xf numFmtId="0" fontId="65" fillId="7" borderId="178" xfId="0" applyFont="1" applyFill="1" applyBorder="1" applyAlignment="1">
      <alignment horizontal="left" vertical="center" wrapText="1"/>
    </xf>
    <xf numFmtId="0" fontId="65" fillId="7" borderId="179" xfId="0" applyFont="1" applyFill="1" applyBorder="1" applyAlignment="1">
      <alignment horizontal="left" vertical="center" wrapText="1"/>
    </xf>
    <xf numFmtId="0" fontId="57" fillId="20" borderId="159" xfId="0" applyFont="1" applyFill="1" applyBorder="1" applyAlignment="1">
      <alignment horizontal="left" vertical="center"/>
    </xf>
    <xf numFmtId="2" fontId="57" fillId="20" borderId="163" xfId="0" quotePrefix="1" applyNumberFormat="1" applyFont="1" applyFill="1" applyBorder="1" applyAlignment="1">
      <alignment horizontal="left" vertical="center"/>
    </xf>
    <xf numFmtId="0" fontId="57" fillId="20" borderId="183" xfId="0" applyFont="1" applyFill="1" applyBorder="1" applyAlignment="1">
      <alignment horizontal="left" vertical="center"/>
    </xf>
    <xf numFmtId="2" fontId="57" fillId="20" borderId="182" xfId="0" quotePrefix="1" applyNumberFormat="1" applyFont="1" applyFill="1" applyBorder="1" applyAlignment="1">
      <alignment horizontal="left" vertical="center"/>
    </xf>
    <xf numFmtId="0" fontId="57" fillId="20" borderId="184" xfId="0" applyFont="1" applyFill="1" applyBorder="1" applyAlignment="1">
      <alignment horizontal="left" vertical="center"/>
    </xf>
    <xf numFmtId="2" fontId="57" fillId="20" borderId="181" xfId="0" quotePrefix="1" applyNumberFormat="1" applyFont="1" applyFill="1" applyBorder="1" applyAlignment="1">
      <alignment horizontal="left" vertical="center"/>
    </xf>
    <xf numFmtId="0" fontId="57" fillId="14" borderId="9" xfId="0" applyFont="1" applyFill="1" applyBorder="1" applyAlignment="1">
      <alignment horizontal="left" vertical="center" wrapText="1"/>
    </xf>
    <xf numFmtId="0" fontId="57" fillId="14" borderId="11" xfId="0" applyFont="1" applyFill="1" applyBorder="1" applyAlignment="1">
      <alignment horizontal="left" vertical="center"/>
    </xf>
    <xf numFmtId="2" fontId="57" fillId="20" borderId="182" xfId="0" applyNumberFormat="1" applyFont="1" applyFill="1" applyBorder="1" applyAlignment="1">
      <alignment horizontal="left" vertical="center"/>
    </xf>
    <xf numFmtId="0" fontId="37" fillId="7" borderId="154" xfId="0" applyFont="1" applyFill="1" applyBorder="1" applyAlignment="1">
      <alignment horizontal="left" vertical="center" wrapText="1"/>
    </xf>
    <xf numFmtId="0" fontId="65" fillId="13" borderId="178" xfId="0" applyFont="1" applyFill="1" applyBorder="1" applyAlignment="1">
      <alignment horizontal="left" vertical="center"/>
    </xf>
    <xf numFmtId="0" fontId="65" fillId="13" borderId="179" xfId="0" applyFont="1" applyFill="1" applyBorder="1" applyAlignment="1">
      <alignment horizontal="left" vertical="center"/>
    </xf>
    <xf numFmtId="0" fontId="65" fillId="13" borderId="180" xfId="0" applyFont="1" applyFill="1" applyBorder="1" applyAlignment="1">
      <alignment horizontal="left" vertical="center"/>
    </xf>
    <xf numFmtId="0" fontId="57" fillId="14" borderId="182" xfId="0" applyFont="1" applyFill="1" applyBorder="1" applyAlignment="1">
      <alignment horizontal="left" vertical="center"/>
    </xf>
    <xf numFmtId="0" fontId="57" fillId="14" borderId="182" xfId="0" applyFont="1" applyFill="1" applyBorder="1" applyAlignment="1">
      <alignment horizontal="center" vertical="center"/>
    </xf>
    <xf numFmtId="166" fontId="57" fillId="14" borderId="182" xfId="0" applyNumberFormat="1" applyFont="1" applyFill="1" applyBorder="1" applyAlignment="1">
      <alignment horizontal="center" vertical="center"/>
    </xf>
    <xf numFmtId="0" fontId="57" fillId="14" borderId="182" xfId="0" quotePrefix="1" applyFont="1" applyFill="1" applyBorder="1" applyAlignment="1">
      <alignment horizontal="center" vertical="center"/>
    </xf>
    <xf numFmtId="166" fontId="57" fillId="24" borderId="170" xfId="0" applyNumberFormat="1" applyFont="1" applyFill="1" applyBorder="1" applyAlignment="1">
      <alignment horizontal="center" vertical="center" wrapText="1"/>
    </xf>
    <xf numFmtId="0" fontId="57" fillId="24" borderId="184" xfId="0" applyFont="1" applyFill="1" applyBorder="1" applyAlignment="1">
      <alignment horizontal="left" vertical="center" wrapText="1"/>
    </xf>
    <xf numFmtId="0" fontId="57" fillId="0" borderId="183" xfId="0" applyFont="1" applyBorder="1" applyAlignment="1">
      <alignment horizontal="left" vertical="center"/>
    </xf>
    <xf numFmtId="0" fontId="57" fillId="0" borderId="184" xfId="0" applyFont="1" applyBorder="1" applyAlignment="1">
      <alignment horizontal="left" vertical="center"/>
    </xf>
    <xf numFmtId="0" fontId="57" fillId="8" borderId="170" xfId="0" applyFont="1" applyFill="1" applyBorder="1" applyAlignment="1">
      <alignment horizontal="center" vertical="center" wrapText="1"/>
    </xf>
    <xf numFmtId="0" fontId="57" fillId="8" borderId="170" xfId="0" applyFont="1" applyFill="1" applyBorder="1" applyAlignment="1">
      <alignment horizontal="left" vertical="center" wrapText="1"/>
    </xf>
    <xf numFmtId="0" fontId="57" fillId="8" borderId="184" xfId="0" applyFont="1" applyFill="1" applyBorder="1" applyAlignment="1">
      <alignment horizontal="left" vertical="center" wrapText="1"/>
    </xf>
    <xf numFmtId="0" fontId="57" fillId="8" borderId="183" xfId="0" applyFont="1" applyFill="1" applyBorder="1" applyAlignment="1">
      <alignment horizontal="left" vertical="center"/>
    </xf>
    <xf numFmtId="0" fontId="57" fillId="11" borderId="183" xfId="0" applyFont="1" applyFill="1" applyBorder="1" applyAlignment="1">
      <alignment horizontal="left" vertical="center"/>
    </xf>
    <xf numFmtId="0" fontId="57" fillId="11" borderId="184" xfId="0" applyFont="1" applyFill="1" applyBorder="1" applyAlignment="1">
      <alignment horizontal="left" vertical="center" wrapText="1"/>
    </xf>
    <xf numFmtId="2" fontId="57" fillId="19" borderId="13" xfId="0" applyNumberFormat="1" applyFont="1" applyFill="1" applyBorder="1" applyAlignment="1">
      <alignment horizontal="center" vertical="center"/>
    </xf>
    <xf numFmtId="0" fontId="57" fillId="10" borderId="184" xfId="0" applyFont="1" applyFill="1" applyBorder="1" applyAlignment="1">
      <alignment horizontal="left" vertical="center" wrapText="1"/>
    </xf>
    <xf numFmtId="0" fontId="57" fillId="10" borderId="183" xfId="0" applyFont="1" applyFill="1" applyBorder="1" applyAlignment="1">
      <alignment horizontal="left" vertical="center"/>
    </xf>
    <xf numFmtId="1" fontId="57" fillId="10" borderId="170" xfId="0" applyNumberFormat="1" applyFont="1" applyFill="1" applyBorder="1" applyAlignment="1">
      <alignment horizontal="left" vertical="center" wrapText="1"/>
    </xf>
    <xf numFmtId="0" fontId="57" fillId="10" borderId="170" xfId="0" applyFont="1" applyFill="1" applyBorder="1" applyAlignment="1">
      <alignment horizontal="left" vertical="center" wrapText="1"/>
    </xf>
    <xf numFmtId="0" fontId="61" fillId="22" borderId="170" xfId="0" applyFont="1" applyFill="1" applyBorder="1" applyAlignment="1">
      <alignment horizontal="center" vertical="center" wrapText="1"/>
    </xf>
    <xf numFmtId="0" fontId="61" fillId="22" borderId="170" xfId="0" applyFont="1" applyFill="1" applyBorder="1" applyAlignment="1">
      <alignment horizontal="left" vertical="center" wrapText="1"/>
    </xf>
    <xf numFmtId="0" fontId="61" fillId="22" borderId="184" xfId="0" applyFont="1" applyFill="1" applyBorder="1" applyAlignment="1">
      <alignment horizontal="left" vertical="center" wrapText="1"/>
    </xf>
    <xf numFmtId="0" fontId="61" fillId="22" borderId="183" xfId="0" applyFont="1" applyFill="1" applyBorder="1" applyAlignment="1">
      <alignment horizontal="left"/>
    </xf>
    <xf numFmtId="11" fontId="61" fillId="22" borderId="170" xfId="0" applyNumberFormat="1" applyFont="1" applyFill="1" applyBorder="1" applyAlignment="1">
      <alignment horizontal="left" vertical="center" wrapText="1"/>
    </xf>
    <xf numFmtId="0" fontId="61" fillId="20" borderId="170" xfId="0" applyFont="1" applyFill="1" applyBorder="1" applyAlignment="1">
      <alignment horizontal="center" vertical="center" wrapText="1"/>
    </xf>
    <xf numFmtId="0" fontId="61" fillId="20" borderId="170" xfId="0" applyFont="1" applyFill="1" applyBorder="1" applyAlignment="1">
      <alignment horizontal="left" vertical="center" wrapText="1"/>
    </xf>
    <xf numFmtId="0" fontId="61" fillId="20" borderId="183" xfId="0" applyFont="1" applyFill="1" applyBorder="1" applyAlignment="1">
      <alignment horizontal="left"/>
    </xf>
    <xf numFmtId="0" fontId="111" fillId="20" borderId="184" xfId="0" applyFont="1" applyFill="1" applyBorder="1" applyAlignment="1">
      <alignment horizontal="left" vertical="center"/>
    </xf>
    <xf numFmtId="0" fontId="57" fillId="7" borderId="170" xfId="0" applyFont="1" applyFill="1" applyBorder="1" applyAlignment="1">
      <alignment horizontal="center" vertical="center"/>
    </xf>
    <xf numFmtId="0" fontId="57" fillId="7" borderId="184" xfId="0" applyFont="1" applyFill="1" applyBorder="1" applyAlignment="1">
      <alignment horizontal="left" vertical="center"/>
    </xf>
    <xf numFmtId="0" fontId="57" fillId="7" borderId="183" xfId="0" applyFont="1" applyFill="1" applyBorder="1" applyAlignment="1">
      <alignment horizontal="left" vertical="center"/>
    </xf>
    <xf numFmtId="166" fontId="57" fillId="7" borderId="170" xfId="0" applyNumberFormat="1" applyFont="1" applyFill="1" applyBorder="1" applyAlignment="1">
      <alignment horizontal="left" vertical="center" wrapText="1"/>
    </xf>
    <xf numFmtId="0" fontId="57" fillId="9" borderId="114" xfId="0" applyFont="1" applyFill="1" applyBorder="1" applyAlignment="1">
      <alignment horizontal="left" vertical="center"/>
    </xf>
    <xf numFmtId="166" fontId="57" fillId="9" borderId="13" xfId="0" applyNumberFormat="1" applyFont="1" applyFill="1" applyBorder="1" applyAlignment="1">
      <alignment horizontal="left" vertical="center" wrapText="1"/>
    </xf>
    <xf numFmtId="0" fontId="57" fillId="9" borderId="170" xfId="0" applyFont="1" applyFill="1" applyBorder="1" applyAlignment="1">
      <alignment horizontal="center" vertical="center"/>
    </xf>
    <xf numFmtId="0" fontId="57" fillId="9" borderId="184" xfId="0" applyFont="1" applyFill="1" applyBorder="1" applyAlignment="1">
      <alignment horizontal="left" vertical="center"/>
    </xf>
    <xf numFmtId="2" fontId="57" fillId="24" borderId="184" xfId="0" quotePrefix="1" applyNumberFormat="1" applyFont="1" applyFill="1" applyBorder="1" applyAlignment="1">
      <alignment horizontal="left" vertical="center" wrapText="1"/>
    </xf>
    <xf numFmtId="0" fontId="57" fillId="10" borderId="183" xfId="0" quotePrefix="1" applyFont="1" applyFill="1" applyBorder="1" applyAlignment="1">
      <alignment horizontal="left" vertical="center"/>
    </xf>
    <xf numFmtId="0" fontId="57" fillId="10" borderId="170" xfId="0" quotePrefix="1" applyFont="1" applyFill="1" applyBorder="1" applyAlignment="1">
      <alignment horizontal="left" vertical="center"/>
    </xf>
    <xf numFmtId="0" fontId="57" fillId="10" borderId="170" xfId="0" quotePrefix="1" applyFont="1" applyFill="1" applyBorder="1" applyAlignment="1">
      <alignment horizontal="left" vertical="center" wrapText="1"/>
    </xf>
    <xf numFmtId="0" fontId="54" fillId="7" borderId="170" xfId="0" quotePrefix="1" applyFont="1" applyFill="1" applyBorder="1" applyAlignment="1">
      <alignment horizontal="left" vertical="center" wrapText="1"/>
    </xf>
    <xf numFmtId="0" fontId="57" fillId="8" borderId="183" xfId="0" quotePrefix="1" applyFont="1" applyFill="1" applyBorder="1" applyAlignment="1">
      <alignment horizontal="left" vertical="center"/>
    </xf>
    <xf numFmtId="0" fontId="57" fillId="8" borderId="170" xfId="0" quotePrefix="1" applyFont="1" applyFill="1" applyBorder="1" applyAlignment="1">
      <alignment horizontal="left" vertical="center" wrapText="1"/>
    </xf>
    <xf numFmtId="164" fontId="57" fillId="8" borderId="170" xfId="0" applyNumberFormat="1" applyFont="1" applyFill="1" applyBorder="1" applyAlignment="1">
      <alignment horizontal="left" vertical="center"/>
    </xf>
    <xf numFmtId="0" fontId="57" fillId="11" borderId="183" xfId="0" applyFont="1" applyFill="1" applyBorder="1" applyAlignment="1">
      <alignment horizontal="left" vertical="center" wrapText="1"/>
    </xf>
    <xf numFmtId="164" fontId="57" fillId="11" borderId="170" xfId="0" applyNumberFormat="1" applyFont="1" applyFill="1" applyBorder="1" applyAlignment="1">
      <alignment horizontal="left" vertical="center" wrapText="1"/>
    </xf>
    <xf numFmtId="164" fontId="57" fillId="19" borderId="170" xfId="0" applyNumberFormat="1" applyFont="1" applyFill="1" applyBorder="1" applyAlignment="1">
      <alignment horizontal="left" vertical="center"/>
    </xf>
    <xf numFmtId="0" fontId="57" fillId="19" borderId="184" xfId="0" applyFont="1" applyFill="1" applyBorder="1" applyAlignment="1">
      <alignment horizontal="left" vertical="center" wrapText="1"/>
    </xf>
    <xf numFmtId="166" fontId="57" fillId="9" borderId="183" xfId="0" applyNumberFormat="1" applyFont="1" applyFill="1" applyBorder="1" applyAlignment="1">
      <alignment horizontal="left" vertical="center" wrapText="1"/>
    </xf>
    <xf numFmtId="166" fontId="57" fillId="9" borderId="170" xfId="0" applyNumberFormat="1" applyFont="1" applyFill="1" applyBorder="1" applyAlignment="1">
      <alignment horizontal="left" vertical="center" wrapText="1"/>
    </xf>
    <xf numFmtId="164" fontId="57" fillId="9" borderId="170" xfId="0" applyNumberFormat="1" applyFont="1" applyFill="1" applyBorder="1" applyAlignment="1">
      <alignment horizontal="left" vertical="center" wrapText="1"/>
    </xf>
    <xf numFmtId="1" fontId="57" fillId="9" borderId="170" xfId="0" applyNumberFormat="1" applyFont="1" applyFill="1" applyBorder="1" applyAlignment="1">
      <alignment horizontal="left" vertical="center" wrapText="1"/>
    </xf>
    <xf numFmtId="166" fontId="57" fillId="9" borderId="184" xfId="0" applyNumberFormat="1" applyFont="1" applyFill="1" applyBorder="1" applyAlignment="1">
      <alignment horizontal="left" vertical="center" wrapText="1"/>
    </xf>
    <xf numFmtId="166" fontId="57" fillId="9" borderId="9" xfId="0" applyNumberFormat="1" applyFont="1" applyFill="1" applyBorder="1" applyAlignment="1">
      <alignment horizontal="left" vertical="center" wrapText="1"/>
    </xf>
    <xf numFmtId="166" fontId="57" fillId="9" borderId="181" xfId="0" applyNumberFormat="1" applyFont="1" applyFill="1" applyBorder="1" applyAlignment="1">
      <alignment horizontal="left" vertical="center" wrapText="1"/>
    </xf>
    <xf numFmtId="164" fontId="57" fillId="9" borderId="181" xfId="0" applyNumberFormat="1" applyFont="1" applyFill="1" applyBorder="1" applyAlignment="1">
      <alignment horizontal="left" vertical="center" wrapText="1"/>
    </xf>
    <xf numFmtId="1" fontId="57" fillId="9" borderId="181" xfId="0" applyNumberFormat="1" applyFont="1" applyFill="1" applyBorder="1" applyAlignment="1">
      <alignment horizontal="left" vertical="center" wrapText="1"/>
    </xf>
    <xf numFmtId="166" fontId="57" fillId="9" borderId="11" xfId="0" applyNumberFormat="1" applyFont="1" applyFill="1" applyBorder="1" applyAlignment="1">
      <alignment horizontal="left" vertical="center" wrapText="1"/>
    </xf>
    <xf numFmtId="2" fontId="57" fillId="10" borderId="170" xfId="0" applyNumberFormat="1" applyFont="1" applyFill="1" applyBorder="1" applyAlignment="1">
      <alignment horizontal="left" vertical="center"/>
    </xf>
    <xf numFmtId="2" fontId="57" fillId="22" borderId="170" xfId="0" applyNumberFormat="1" applyFont="1" applyFill="1" applyBorder="1" applyAlignment="1">
      <alignment horizontal="left" vertical="center"/>
    </xf>
    <xf numFmtId="2" fontId="57" fillId="20" borderId="170" xfId="0" applyNumberFormat="1" applyFont="1" applyFill="1" applyBorder="1" applyAlignment="1">
      <alignment horizontal="left" vertical="center"/>
    </xf>
    <xf numFmtId="2" fontId="57" fillId="11" borderId="170" xfId="0" applyNumberFormat="1" applyFont="1" applyFill="1" applyBorder="1" applyAlignment="1">
      <alignment horizontal="left" vertical="center"/>
    </xf>
    <xf numFmtId="2" fontId="57" fillId="19" borderId="170" xfId="0" applyNumberFormat="1" applyFont="1" applyFill="1" applyBorder="1" applyAlignment="1">
      <alignment horizontal="left" vertical="center"/>
    </xf>
    <xf numFmtId="166" fontId="57" fillId="10" borderId="182" xfId="0" applyNumberFormat="1" applyFont="1" applyFill="1" applyBorder="1" applyAlignment="1">
      <alignment horizontal="center" vertical="center" wrapText="1"/>
    </xf>
    <xf numFmtId="0" fontId="57" fillId="10" borderId="182" xfId="0" applyFont="1" applyFill="1" applyBorder="1" applyAlignment="1">
      <alignment horizontal="center" vertical="center" wrapText="1"/>
    </xf>
    <xf numFmtId="0" fontId="61" fillId="10" borderId="182" xfId="0" applyFont="1" applyFill="1" applyBorder="1" applyAlignment="1">
      <alignment horizontal="center" vertical="center" wrapText="1"/>
    </xf>
    <xf numFmtId="2" fontId="57" fillId="10" borderId="182" xfId="0" applyNumberFormat="1" applyFont="1" applyFill="1" applyBorder="1" applyAlignment="1">
      <alignment horizontal="center" vertical="center" wrapText="1"/>
    </xf>
    <xf numFmtId="166" fontId="61" fillId="10" borderId="182" xfId="0" applyNumberFormat="1" applyFont="1" applyFill="1" applyBorder="1" applyAlignment="1">
      <alignment horizontal="center" vertical="center" wrapText="1"/>
    </xf>
    <xf numFmtId="0" fontId="57" fillId="8" borderId="182" xfId="0" applyFont="1" applyFill="1" applyBorder="1" applyAlignment="1">
      <alignment horizontal="center" vertical="center" wrapText="1"/>
    </xf>
    <xf numFmtId="0" fontId="57" fillId="11" borderId="182" xfId="0" applyFont="1" applyFill="1" applyBorder="1" applyAlignment="1">
      <alignment horizontal="center" vertical="center" wrapText="1"/>
    </xf>
    <xf numFmtId="2" fontId="57" fillId="11" borderId="182" xfId="0" applyNumberFormat="1" applyFont="1" applyFill="1" applyBorder="1" applyAlignment="1">
      <alignment horizontal="center" vertical="center" wrapText="1"/>
    </xf>
    <xf numFmtId="0" fontId="57" fillId="11" borderId="182" xfId="0" applyFont="1" applyFill="1" applyBorder="1" applyAlignment="1">
      <alignment horizontal="center" vertical="center"/>
    </xf>
    <xf numFmtId="0" fontId="61" fillId="22" borderId="182" xfId="0" applyFont="1" applyFill="1" applyBorder="1" applyAlignment="1">
      <alignment horizontal="center" vertical="center" wrapText="1"/>
    </xf>
    <xf numFmtId="11" fontId="61" fillId="22" borderId="182" xfId="0" applyNumberFormat="1" applyFont="1" applyFill="1" applyBorder="1" applyAlignment="1">
      <alignment horizontal="center" vertical="center" wrapText="1"/>
    </xf>
    <xf numFmtId="0" fontId="61" fillId="20" borderId="182" xfId="0" applyFont="1" applyFill="1" applyBorder="1" applyAlignment="1">
      <alignment horizontal="center" vertical="center" wrapText="1"/>
    </xf>
    <xf numFmtId="0" fontId="61" fillId="7" borderId="182" xfId="0" applyFont="1" applyFill="1" applyBorder="1" applyAlignment="1">
      <alignment horizontal="center" vertical="center" wrapText="1"/>
    </xf>
    <xf numFmtId="0" fontId="57" fillId="7" borderId="182" xfId="0" applyFont="1" applyFill="1" applyBorder="1" applyAlignment="1">
      <alignment horizontal="center" vertical="center"/>
    </xf>
    <xf numFmtId="0" fontId="61" fillId="9" borderId="182" xfId="0" applyFont="1" applyFill="1" applyBorder="1" applyAlignment="1">
      <alignment horizontal="center" vertical="center" wrapText="1"/>
    </xf>
    <xf numFmtId="0" fontId="57" fillId="9" borderId="182" xfId="0" applyFont="1" applyFill="1" applyBorder="1" applyAlignment="1">
      <alignment horizontal="center" vertical="center"/>
    </xf>
    <xf numFmtId="0" fontId="8" fillId="0" borderId="0" xfId="257" applyAlignment="1">
      <alignment horizontal="left" vertical="center"/>
    </xf>
    <xf numFmtId="0" fontId="54" fillId="0" borderId="168" xfId="258" applyFont="1" applyBorder="1" applyAlignment="1">
      <alignment horizontal="left" vertical="center"/>
    </xf>
    <xf numFmtId="0" fontId="57" fillId="0" borderId="168" xfId="258" applyFont="1" applyBorder="1" applyAlignment="1">
      <alignment horizontal="left" vertical="center"/>
    </xf>
    <xf numFmtId="0" fontId="57" fillId="0" borderId="168" xfId="258" applyFont="1" applyBorder="1" applyAlignment="1">
      <alignment horizontal="left" vertical="center" wrapText="1"/>
    </xf>
    <xf numFmtId="0" fontId="57" fillId="0" borderId="168" xfId="258" applyFont="1" applyBorder="1" applyAlignment="1">
      <alignment horizontal="left"/>
    </xf>
    <xf numFmtId="0" fontId="57" fillId="0" borderId="168" xfId="258" applyFont="1" applyBorder="1" applyAlignment="1">
      <alignment horizontal="center" vertical="center"/>
    </xf>
    <xf numFmtId="166" fontId="57" fillId="8" borderId="182" xfId="0" applyNumberFormat="1" applyFont="1" applyFill="1" applyBorder="1" applyAlignment="1">
      <alignment horizontal="center" vertical="center" wrapText="1"/>
    </xf>
    <xf numFmtId="2" fontId="57" fillId="11" borderId="182" xfId="0" applyNumberFormat="1" applyFont="1" applyFill="1" applyBorder="1" applyAlignment="1">
      <alignment horizontal="center" vertical="center"/>
    </xf>
    <xf numFmtId="2" fontId="57" fillId="7" borderId="182" xfId="0" applyNumberFormat="1" applyFont="1" applyFill="1" applyBorder="1" applyAlignment="1">
      <alignment horizontal="center" vertical="center" wrapText="1"/>
    </xf>
    <xf numFmtId="2" fontId="57" fillId="20" borderId="182" xfId="0" applyNumberFormat="1" applyFont="1" applyFill="1" applyBorder="1" applyAlignment="1">
      <alignment horizontal="center" vertical="center" wrapText="1"/>
    </xf>
    <xf numFmtId="2" fontId="57" fillId="22" borderId="182" xfId="0" applyNumberFormat="1" applyFont="1" applyFill="1" applyBorder="1" applyAlignment="1">
      <alignment horizontal="center" vertical="center" wrapText="1"/>
    </xf>
    <xf numFmtId="164" fontId="57" fillId="22" borderId="182" xfId="0" applyNumberFormat="1" applyFont="1" applyFill="1" applyBorder="1" applyAlignment="1">
      <alignment horizontal="left" vertical="center"/>
    </xf>
    <xf numFmtId="0" fontId="57" fillId="22" borderId="182" xfId="0" applyFont="1" applyFill="1" applyBorder="1" applyAlignment="1">
      <alignment horizontal="left" vertical="center"/>
    </xf>
    <xf numFmtId="0" fontId="54" fillId="7" borderId="184" xfId="0" applyFont="1" applyFill="1" applyBorder="1" applyAlignment="1">
      <alignment horizontal="left" vertical="center" wrapText="1"/>
    </xf>
    <xf numFmtId="0" fontId="57" fillId="8" borderId="184" xfId="0" applyFont="1" applyFill="1" applyBorder="1" applyAlignment="1">
      <alignment horizontal="left" vertical="center"/>
    </xf>
    <xf numFmtId="0" fontId="54" fillId="0" borderId="177" xfId="0" applyFont="1" applyBorder="1" applyAlignment="1">
      <alignment horizontal="left" vertical="center"/>
    </xf>
    <xf numFmtId="0" fontId="54" fillId="0" borderId="172" xfId="0" applyFont="1" applyBorder="1" applyAlignment="1">
      <alignment horizontal="left" vertical="center"/>
    </xf>
    <xf numFmtId="0" fontId="57" fillId="0" borderId="77" xfId="0" applyFont="1" applyBorder="1" applyAlignment="1">
      <alignment horizontal="left" vertical="center"/>
    </xf>
    <xf numFmtId="0" fontId="57" fillId="22" borderId="183" xfId="0" applyFont="1" applyFill="1" applyBorder="1" applyAlignment="1">
      <alignment horizontal="left" vertical="center"/>
    </xf>
    <xf numFmtId="0" fontId="57" fillId="22" borderId="184" xfId="0" applyFont="1" applyFill="1" applyBorder="1" applyAlignment="1">
      <alignment horizontal="left" vertical="center"/>
    </xf>
    <xf numFmtId="0" fontId="57" fillId="7" borderId="170" xfId="0" applyFont="1" applyFill="1" applyBorder="1" applyAlignment="1">
      <alignment horizontal="left" vertical="center" wrapText="1"/>
    </xf>
    <xf numFmtId="164" fontId="0" fillId="0" borderId="0" xfId="0" applyNumberFormat="1" applyAlignment="1">
      <alignment horizontal="left" vertical="center"/>
    </xf>
    <xf numFmtId="0" fontId="57" fillId="22" borderId="97" xfId="0" quotePrefix="1" applyFont="1" applyFill="1" applyBorder="1" applyAlignment="1">
      <alignment horizontal="left" vertical="center"/>
    </xf>
    <xf numFmtId="0" fontId="57" fillId="9" borderId="97" xfId="0" applyFont="1" applyFill="1" applyBorder="1" applyAlignment="1">
      <alignment horizontal="left" vertical="center"/>
    </xf>
    <xf numFmtId="0" fontId="57" fillId="30" borderId="110" xfId="0" quotePrefix="1" applyFont="1" applyFill="1" applyBorder="1" applyAlignment="1">
      <alignment horizontal="left" vertical="center"/>
    </xf>
    <xf numFmtId="0" fontId="61" fillId="26" borderId="97" xfId="0" applyFont="1" applyFill="1" applyBorder="1" applyAlignment="1">
      <alignment horizontal="left" vertical="center"/>
    </xf>
    <xf numFmtId="0" fontId="61" fillId="27" borderId="97" xfId="0" applyFont="1" applyFill="1" applyBorder="1" applyAlignment="1">
      <alignment horizontal="left" vertical="center"/>
    </xf>
    <xf numFmtId="0" fontId="61" fillId="16" borderId="110" xfId="0" applyFont="1" applyFill="1" applyBorder="1" applyAlignment="1">
      <alignment horizontal="left" vertical="center"/>
    </xf>
    <xf numFmtId="0" fontId="57" fillId="20" borderId="52" xfId="0" applyFont="1" applyFill="1" applyBorder="1" applyAlignment="1">
      <alignment horizontal="left" vertical="center"/>
    </xf>
    <xf numFmtId="0" fontId="85" fillId="0" borderId="0" xfId="0" applyFont="1" applyAlignment="1">
      <alignment horizontal="left" vertical="center"/>
    </xf>
    <xf numFmtId="0" fontId="21" fillId="0" borderId="63" xfId="0" applyFont="1" applyBorder="1" applyAlignment="1">
      <alignment horizontal="left" vertical="center"/>
    </xf>
    <xf numFmtId="0" fontId="22" fillId="0" borderId="64" xfId="0" applyFont="1" applyBorder="1" applyAlignment="1">
      <alignment horizontal="left" vertical="center"/>
    </xf>
    <xf numFmtId="0" fontId="21" fillId="0" borderId="6" xfId="0" applyFont="1" applyBorder="1" applyAlignment="1">
      <alignment horizontal="left" vertical="center"/>
    </xf>
    <xf numFmtId="0" fontId="22" fillId="0" borderId="8" xfId="0" applyFont="1" applyBorder="1" applyAlignment="1">
      <alignment horizontal="left" vertical="center"/>
    </xf>
    <xf numFmtId="0" fontId="22" fillId="0" borderId="38" xfId="0" applyFont="1" applyBorder="1" applyAlignment="1">
      <alignment horizontal="left" vertical="center"/>
    </xf>
    <xf numFmtId="0" fontId="10" fillId="0" borderId="170" xfId="0" applyFont="1" applyBorder="1" applyAlignment="1">
      <alignment horizontal="left" vertical="center"/>
    </xf>
    <xf numFmtId="0" fontId="10" fillId="0" borderId="172" xfId="0" applyFont="1" applyBorder="1" applyAlignment="1">
      <alignment horizontal="left" vertical="center"/>
    </xf>
    <xf numFmtId="0" fontId="10" fillId="0" borderId="150" xfId="0" applyFont="1" applyBorder="1" applyAlignment="1">
      <alignment horizontal="left" vertical="center"/>
    </xf>
    <xf numFmtId="0" fontId="18" fillId="0" borderId="38" xfId="0" applyFont="1" applyBorder="1" applyAlignment="1">
      <alignment horizontal="left" vertical="center"/>
    </xf>
    <xf numFmtId="0" fontId="18" fillId="0" borderId="97" xfId="0" applyFont="1" applyBorder="1" applyAlignment="1">
      <alignment horizontal="left" vertical="center"/>
    </xf>
    <xf numFmtId="0" fontId="22" fillId="0" borderId="11" xfId="0" applyFont="1" applyBorder="1" applyAlignment="1">
      <alignment horizontal="left" vertical="center"/>
    </xf>
    <xf numFmtId="0" fontId="54" fillId="10" borderId="93" xfId="0" applyFont="1" applyFill="1" applyBorder="1" applyAlignment="1">
      <alignment horizontal="left" vertical="center"/>
    </xf>
    <xf numFmtId="0" fontId="42" fillId="0" borderId="0" xfId="0" applyFont="1" applyAlignment="1">
      <alignment horizontal="left" vertical="center"/>
    </xf>
    <xf numFmtId="0" fontId="54" fillId="10" borderId="8" xfId="0" applyFont="1" applyFill="1" applyBorder="1" applyAlignment="1">
      <alignment horizontal="left" vertical="center"/>
    </xf>
    <xf numFmtId="0" fontId="54" fillId="10" borderId="11" xfId="0" applyFont="1" applyFill="1" applyBorder="1" applyAlignment="1">
      <alignment horizontal="left" vertical="center"/>
    </xf>
    <xf numFmtId="0" fontId="57" fillId="7" borderId="92" xfId="0" applyFont="1" applyFill="1" applyBorder="1" applyAlignment="1">
      <alignment horizontal="left" vertical="center"/>
    </xf>
    <xf numFmtId="0" fontId="57" fillId="7" borderId="88" xfId="0" applyFont="1" applyFill="1" applyBorder="1" applyAlignment="1">
      <alignment horizontal="left" vertical="center"/>
    </xf>
    <xf numFmtId="0" fontId="54" fillId="7" borderId="93" xfId="0" applyFont="1" applyFill="1" applyBorder="1" applyAlignment="1">
      <alignment horizontal="left" vertical="center"/>
    </xf>
    <xf numFmtId="0" fontId="54" fillId="7" borderId="8" xfId="0" applyFont="1" applyFill="1" applyBorder="1" applyAlignment="1">
      <alignment horizontal="left" vertical="center"/>
    </xf>
    <xf numFmtId="166" fontId="54" fillId="7" borderId="6" xfId="0" applyNumberFormat="1" applyFont="1" applyFill="1" applyBorder="1" applyAlignment="1">
      <alignment horizontal="left" vertical="center"/>
    </xf>
    <xf numFmtId="0" fontId="57" fillId="7" borderId="9" xfId="0" applyFont="1" applyFill="1" applyBorder="1" applyAlignment="1">
      <alignment horizontal="left" vertical="center"/>
    </xf>
    <xf numFmtId="166" fontId="54" fillId="7" borderId="10" xfId="0" applyNumberFormat="1" applyFont="1" applyFill="1" applyBorder="1" applyAlignment="1">
      <alignment horizontal="left" vertical="center"/>
    </xf>
    <xf numFmtId="0" fontId="54" fillId="7" borderId="11" xfId="0" applyFont="1" applyFill="1" applyBorder="1" applyAlignment="1">
      <alignment horizontal="left" vertical="center"/>
    </xf>
    <xf numFmtId="0" fontId="57" fillId="8" borderId="38" xfId="0" applyFont="1" applyFill="1" applyBorder="1" applyAlignment="1">
      <alignment horizontal="left" vertical="center"/>
    </xf>
    <xf numFmtId="0" fontId="57" fillId="8" borderId="150" xfId="0" applyFont="1" applyFill="1" applyBorder="1" applyAlignment="1">
      <alignment horizontal="left" vertical="center"/>
    </xf>
    <xf numFmtId="0" fontId="57" fillId="8" borderId="11" xfId="0" applyFont="1" applyFill="1" applyBorder="1" applyAlignment="1">
      <alignment horizontal="left" vertical="center"/>
    </xf>
    <xf numFmtId="0" fontId="57" fillId="25" borderId="38" xfId="0" applyFont="1" applyFill="1" applyBorder="1" applyAlignment="1">
      <alignment horizontal="left" vertical="center"/>
    </xf>
    <xf numFmtId="0" fontId="57" fillId="25" borderId="8" xfId="0" applyFont="1" applyFill="1" applyBorder="1" applyAlignment="1">
      <alignment horizontal="left" vertical="center"/>
    </xf>
    <xf numFmtId="0" fontId="57" fillId="25" borderId="11" xfId="0" applyFont="1" applyFill="1" applyBorder="1" applyAlignment="1">
      <alignment horizontal="left" vertical="center"/>
    </xf>
    <xf numFmtId="0" fontId="57" fillId="11" borderId="121" xfId="0" applyFont="1" applyFill="1" applyBorder="1" applyAlignment="1">
      <alignment horizontal="left" vertical="center"/>
    </xf>
    <xf numFmtId="0" fontId="57" fillId="12" borderId="100" xfId="0" applyFont="1" applyFill="1" applyBorder="1" applyAlignment="1">
      <alignment horizontal="left" vertical="center"/>
    </xf>
    <xf numFmtId="0" fontId="57" fillId="12" borderId="97" xfId="0" applyFont="1" applyFill="1" applyBorder="1" applyAlignment="1">
      <alignment horizontal="left" vertical="center"/>
    </xf>
    <xf numFmtId="0" fontId="57" fillId="12" borderId="38" xfId="0" applyFont="1" applyFill="1" applyBorder="1" applyAlignment="1">
      <alignment horizontal="left" vertical="center"/>
    </xf>
    <xf numFmtId="0" fontId="57" fillId="27" borderId="38" xfId="0" applyFont="1" applyFill="1" applyBorder="1" applyAlignment="1">
      <alignment horizontal="left" vertical="center"/>
    </xf>
    <xf numFmtId="164" fontId="57" fillId="10" borderId="170" xfId="0" applyNumberFormat="1" applyFont="1" applyFill="1" applyBorder="1" applyAlignment="1">
      <alignment horizontal="left" vertical="center"/>
    </xf>
    <xf numFmtId="0" fontId="57" fillId="10" borderId="97" xfId="0" applyFont="1" applyFill="1" applyBorder="1" applyAlignment="1">
      <alignment horizontal="left" vertical="center"/>
    </xf>
    <xf numFmtId="0" fontId="57" fillId="22" borderId="97" xfId="0" applyFont="1" applyFill="1" applyBorder="1" applyAlignment="1">
      <alignment horizontal="left" vertical="center"/>
    </xf>
    <xf numFmtId="0" fontId="54" fillId="8" borderId="8" xfId="0" applyFont="1" applyFill="1" applyBorder="1" applyAlignment="1">
      <alignment horizontal="left" vertical="center"/>
    </xf>
    <xf numFmtId="0" fontId="54" fillId="21" borderId="8" xfId="0" applyFont="1" applyFill="1" applyBorder="1" applyAlignment="1">
      <alignment horizontal="left" vertical="center"/>
    </xf>
    <xf numFmtId="0" fontId="54" fillId="22" borderId="8" xfId="0" applyFont="1" applyFill="1" applyBorder="1" applyAlignment="1">
      <alignment horizontal="left" vertical="center"/>
    </xf>
    <xf numFmtId="0" fontId="54" fillId="20" borderId="8" xfId="0" applyFont="1" applyFill="1" applyBorder="1" applyAlignment="1">
      <alignment horizontal="left" vertical="center"/>
    </xf>
    <xf numFmtId="0" fontId="54" fillId="11" borderId="8" xfId="0" applyFont="1" applyFill="1" applyBorder="1" applyAlignment="1">
      <alignment horizontal="left" vertical="center"/>
    </xf>
    <xf numFmtId="0" fontId="54" fillId="9" borderId="8" xfId="0" applyFont="1" applyFill="1" applyBorder="1" applyAlignment="1">
      <alignment horizontal="left" vertical="center"/>
    </xf>
    <xf numFmtId="2" fontId="57" fillId="20" borderId="175" xfId="0" applyNumberFormat="1" applyFont="1" applyFill="1" applyBorder="1" applyAlignment="1">
      <alignment horizontal="left" vertical="center"/>
    </xf>
    <xf numFmtId="0" fontId="54" fillId="0" borderId="170" xfId="0" applyFont="1" applyBorder="1" applyAlignment="1">
      <alignment horizontal="left" vertical="center" wrapText="1"/>
    </xf>
    <xf numFmtId="0" fontId="57" fillId="0" borderId="14" xfId="0" applyFont="1" applyBorder="1" applyAlignment="1">
      <alignment horizontal="left" vertical="center" wrapText="1"/>
    </xf>
    <xf numFmtId="0" fontId="0" fillId="0" borderId="87" xfId="0" applyBorder="1" applyAlignment="1">
      <alignment horizontal="left" vertical="center" wrapText="1"/>
    </xf>
    <xf numFmtId="0" fontId="0" fillId="0" borderId="0" xfId="0" applyAlignment="1">
      <alignment horizontal="left" vertical="center" wrapText="1"/>
    </xf>
    <xf numFmtId="0" fontId="57" fillId="0" borderId="182" xfId="0" applyFont="1" applyBorder="1" applyAlignment="1">
      <alignment horizontal="left" vertical="center" wrapText="1"/>
    </xf>
    <xf numFmtId="166" fontId="57" fillId="0" borderId="181" xfId="0" applyNumberFormat="1" applyFont="1" applyBorder="1" applyAlignment="1">
      <alignment horizontal="left" vertical="center" wrapText="1"/>
    </xf>
    <xf numFmtId="0" fontId="54" fillId="0" borderId="15" xfId="0" applyFont="1" applyBorder="1" applyAlignment="1">
      <alignment horizontal="left" vertical="center" wrapText="1"/>
    </xf>
    <xf numFmtId="0" fontId="54" fillId="0" borderId="6" xfId="0" applyFont="1" applyBorder="1" applyAlignment="1">
      <alignment horizontal="left" vertical="center" wrapText="1"/>
    </xf>
    <xf numFmtId="0" fontId="54" fillId="0" borderId="175" xfId="0" applyFont="1" applyBorder="1" applyAlignment="1">
      <alignment horizontal="left" vertical="center" wrapText="1"/>
    </xf>
    <xf numFmtId="0" fontId="54" fillId="0" borderId="10" xfId="0" applyFont="1" applyBorder="1" applyAlignment="1">
      <alignment horizontal="left" vertical="center" wrapText="1"/>
    </xf>
    <xf numFmtId="0" fontId="19" fillId="0" borderId="99" xfId="0" applyFont="1" applyBorder="1" applyAlignment="1">
      <alignment horizontal="left" vertical="center" wrapText="1"/>
    </xf>
    <xf numFmtId="0" fontId="19" fillId="0" borderId="87" xfId="0" applyFont="1" applyBorder="1" applyAlignment="1">
      <alignment horizontal="left" vertical="center" wrapText="1"/>
    </xf>
    <xf numFmtId="0" fontId="19" fillId="0" borderId="88" xfId="0" applyFont="1" applyBorder="1" applyAlignment="1">
      <alignment horizontal="left" vertical="center" wrapText="1"/>
    </xf>
    <xf numFmtId="0" fontId="18" fillId="0" borderId="87" xfId="0" applyFont="1" applyBorder="1" applyAlignment="1">
      <alignment horizontal="left" vertical="center" wrapText="1"/>
    </xf>
    <xf numFmtId="0" fontId="19" fillId="0" borderId="10" xfId="0" applyFont="1" applyBorder="1" applyAlignment="1">
      <alignment horizontal="left" vertical="center" wrapText="1"/>
    </xf>
    <xf numFmtId="0" fontId="57" fillId="0" borderId="163" xfId="0" applyFont="1" applyBorder="1" applyAlignment="1">
      <alignment horizontal="left" vertical="center" wrapText="1"/>
    </xf>
    <xf numFmtId="0" fontId="57" fillId="0" borderId="135" xfId="0" applyFont="1" applyBorder="1" applyAlignment="1">
      <alignment horizontal="left" vertical="center" wrapText="1"/>
    </xf>
    <xf numFmtId="0" fontId="57" fillId="0" borderId="10" xfId="0" applyFont="1" applyBorder="1" applyAlignment="1">
      <alignment horizontal="left" vertical="center" wrapText="1"/>
    </xf>
    <xf numFmtId="0" fontId="54" fillId="10" borderId="88" xfId="0" quotePrefix="1" applyFont="1" applyFill="1" applyBorder="1" applyAlignment="1">
      <alignment horizontal="left" vertical="center" wrapText="1"/>
    </xf>
    <xf numFmtId="0" fontId="54" fillId="10" borderId="87" xfId="0" quotePrefix="1" applyFont="1" applyFill="1" applyBorder="1" applyAlignment="1">
      <alignment horizontal="left" vertical="center" wrapText="1"/>
    </xf>
    <xf numFmtId="0" fontId="54" fillId="10" borderId="10" xfId="0" quotePrefix="1" applyFont="1" applyFill="1" applyBorder="1" applyAlignment="1">
      <alignment horizontal="left" vertical="center" wrapText="1"/>
    </xf>
    <xf numFmtId="0" fontId="54" fillId="7" borderId="88" xfId="0" applyFont="1" applyFill="1" applyBorder="1" applyAlignment="1">
      <alignment horizontal="left" vertical="center" wrapText="1"/>
    </xf>
    <xf numFmtId="0" fontId="54" fillId="7" borderId="87" xfId="0" applyFont="1" applyFill="1" applyBorder="1" applyAlignment="1">
      <alignment horizontal="left" vertical="center" wrapText="1"/>
    </xf>
    <xf numFmtId="0" fontId="57" fillId="7" borderId="87" xfId="0" applyFont="1" applyFill="1" applyBorder="1" applyAlignment="1">
      <alignment horizontal="left" vertical="center" wrapText="1"/>
    </xf>
    <xf numFmtId="0" fontId="54" fillId="7" borderId="87" xfId="0" quotePrefix="1" applyFont="1" applyFill="1" applyBorder="1" applyAlignment="1">
      <alignment horizontal="left" vertical="center" wrapText="1"/>
    </xf>
    <xf numFmtId="0" fontId="54" fillId="7" borderId="102" xfId="0" quotePrefix="1" applyFont="1" applyFill="1" applyBorder="1" applyAlignment="1">
      <alignment horizontal="left" vertical="center" wrapText="1"/>
    </xf>
    <xf numFmtId="0" fontId="57" fillId="8" borderId="87" xfId="0" quotePrefix="1" applyFont="1" applyFill="1" applyBorder="1" applyAlignment="1">
      <alignment horizontal="left" vertical="center" wrapText="1"/>
    </xf>
    <xf numFmtId="0" fontId="57" fillId="8" borderId="88" xfId="0" quotePrefix="1" applyFont="1" applyFill="1" applyBorder="1" applyAlignment="1">
      <alignment horizontal="left" vertical="center" wrapText="1"/>
    </xf>
    <xf numFmtId="0" fontId="57" fillId="8" borderId="87" xfId="0" applyFont="1" applyFill="1" applyBorder="1" applyAlignment="1">
      <alignment horizontal="left" vertical="center" wrapText="1"/>
    </xf>
    <xf numFmtId="0" fontId="57" fillId="8" borderId="135" xfId="0" quotePrefix="1" applyFont="1" applyFill="1" applyBorder="1" applyAlignment="1">
      <alignment horizontal="left" vertical="center" wrapText="1"/>
    </xf>
    <xf numFmtId="0" fontId="57" fillId="11" borderId="175" xfId="0" quotePrefix="1" applyFont="1" applyFill="1" applyBorder="1" applyAlignment="1">
      <alignment horizontal="left" vertical="center" wrapText="1"/>
    </xf>
    <xf numFmtId="0" fontId="57" fillId="11" borderId="170" xfId="0" quotePrefix="1" applyFont="1" applyFill="1" applyBorder="1" applyAlignment="1">
      <alignment horizontal="left" vertical="center" wrapText="1"/>
    </xf>
    <xf numFmtId="0" fontId="57" fillId="11" borderId="113" xfId="0" quotePrefix="1" applyFont="1" applyFill="1" applyBorder="1" applyAlignment="1">
      <alignment horizontal="left" vertical="center" wrapText="1"/>
    </xf>
    <xf numFmtId="0" fontId="57" fillId="11" borderId="113" xfId="0" applyFont="1" applyFill="1" applyBorder="1" applyAlignment="1">
      <alignment horizontal="left" vertical="center" wrapText="1"/>
    </xf>
    <xf numFmtId="0" fontId="57" fillId="11" borderId="112" xfId="0" quotePrefix="1" applyFont="1" applyFill="1" applyBorder="1" applyAlignment="1">
      <alignment horizontal="left" vertical="center" wrapText="1"/>
    </xf>
    <xf numFmtId="0" fontId="57" fillId="12" borderId="120" xfId="0" quotePrefix="1" applyFont="1" applyFill="1" applyBorder="1" applyAlignment="1">
      <alignment horizontal="left" vertical="center" wrapText="1"/>
    </xf>
    <xf numFmtId="0" fontId="57" fillId="12" borderId="113" xfId="0" quotePrefix="1" applyFont="1" applyFill="1" applyBorder="1" applyAlignment="1">
      <alignment horizontal="left" vertical="center" wrapText="1"/>
    </xf>
    <xf numFmtId="0" fontId="57" fillId="12" borderId="112" xfId="0" quotePrefix="1" applyFont="1" applyFill="1" applyBorder="1" applyAlignment="1">
      <alignment horizontal="left" vertical="center" wrapText="1"/>
    </xf>
    <xf numFmtId="0" fontId="57" fillId="12" borderId="88" xfId="0" quotePrefix="1" applyFont="1" applyFill="1" applyBorder="1" applyAlignment="1">
      <alignment horizontal="left" vertical="center" wrapText="1"/>
    </xf>
    <xf numFmtId="0" fontId="57" fillId="12" borderId="87" xfId="0" quotePrefix="1" applyFont="1" applyFill="1" applyBorder="1" applyAlignment="1">
      <alignment horizontal="left" vertical="center" wrapText="1"/>
    </xf>
    <xf numFmtId="0" fontId="57" fillId="12" borderId="10" xfId="0" quotePrefix="1" applyFont="1" applyFill="1" applyBorder="1" applyAlignment="1">
      <alignment horizontal="left" vertical="center" wrapText="1"/>
    </xf>
    <xf numFmtId="0" fontId="57" fillId="28" borderId="105" xfId="0" applyFont="1" applyFill="1" applyBorder="1" applyAlignment="1">
      <alignment horizontal="left" vertical="center" wrapText="1"/>
    </xf>
    <xf numFmtId="0" fontId="57" fillId="28" borderId="87" xfId="0" applyFont="1" applyFill="1" applyBorder="1" applyAlignment="1">
      <alignment horizontal="left" vertical="center" wrapText="1"/>
    </xf>
    <xf numFmtId="0" fontId="57" fillId="28" borderId="112" xfId="0" applyFont="1" applyFill="1" applyBorder="1" applyAlignment="1">
      <alignment horizontal="left" vertical="center" wrapText="1"/>
    </xf>
    <xf numFmtId="0" fontId="57" fillId="26" borderId="105" xfId="0" applyFont="1" applyFill="1" applyBorder="1" applyAlignment="1">
      <alignment horizontal="left" vertical="center" wrapText="1"/>
    </xf>
    <xf numFmtId="0" fontId="57" fillId="27" borderId="175" xfId="0" applyFont="1" applyFill="1" applyBorder="1" applyAlignment="1">
      <alignment horizontal="left" vertical="center" wrapText="1"/>
    </xf>
    <xf numFmtId="0" fontId="57" fillId="27" borderId="112" xfId="0" applyFont="1" applyFill="1" applyBorder="1" applyAlignment="1">
      <alignment horizontal="left" vertical="center" wrapText="1"/>
    </xf>
    <xf numFmtId="0" fontId="57" fillId="0" borderId="87" xfId="0" quotePrefix="1" applyFont="1" applyBorder="1" applyAlignment="1">
      <alignment horizontal="left" vertical="center" wrapText="1"/>
    </xf>
    <xf numFmtId="0" fontId="57" fillId="22" borderId="182" xfId="0" applyFont="1" applyFill="1" applyBorder="1" applyAlignment="1">
      <alignment horizontal="left" vertical="center" wrapText="1"/>
    </xf>
    <xf numFmtId="0" fontId="57" fillId="0" borderId="76" xfId="0" quotePrefix="1" applyFont="1" applyBorder="1" applyAlignment="1">
      <alignment horizontal="left" vertical="center" wrapText="1"/>
    </xf>
    <xf numFmtId="0" fontId="57" fillId="10" borderId="87" xfId="0" applyFont="1" applyFill="1" applyBorder="1" applyAlignment="1">
      <alignment horizontal="left" vertical="center" wrapText="1"/>
    </xf>
    <xf numFmtId="0" fontId="57" fillId="22" borderId="87" xfId="0" applyFont="1" applyFill="1" applyBorder="1" applyAlignment="1">
      <alignment horizontal="left" vertical="center" wrapText="1"/>
    </xf>
    <xf numFmtId="0" fontId="57" fillId="20" borderId="87" xfId="0" applyFont="1" applyFill="1" applyBorder="1" applyAlignment="1">
      <alignment horizontal="left" vertical="center" wrapText="1"/>
    </xf>
    <xf numFmtId="0" fontId="57" fillId="20" borderId="181" xfId="0" applyFont="1" applyFill="1" applyBorder="1" applyAlignment="1">
      <alignment horizontal="left" vertical="center" wrapText="1"/>
    </xf>
    <xf numFmtId="0" fontId="57" fillId="0" borderId="149" xfId="0" quotePrefix="1" applyFont="1" applyBorder="1" applyAlignment="1">
      <alignment horizontal="left" vertical="center" wrapText="1"/>
    </xf>
    <xf numFmtId="0" fontId="57" fillId="8" borderId="95" xfId="0" quotePrefix="1" applyFont="1" applyFill="1" applyBorder="1" applyAlignment="1">
      <alignment horizontal="left" vertical="center" wrapText="1"/>
    </xf>
    <xf numFmtId="0" fontId="57" fillId="21" borderId="87" xfId="0" quotePrefix="1" applyFont="1" applyFill="1" applyBorder="1" applyAlignment="1">
      <alignment horizontal="left" vertical="center" wrapText="1"/>
    </xf>
    <xf numFmtId="0" fontId="54" fillId="10" borderId="87" xfId="0" applyFont="1" applyFill="1" applyBorder="1" applyAlignment="1">
      <alignment horizontal="left" vertical="center" wrapText="1"/>
    </xf>
    <xf numFmtId="0" fontId="54" fillId="22" borderId="87" xfId="0" applyFont="1" applyFill="1" applyBorder="1" applyAlignment="1">
      <alignment horizontal="left" vertical="center" wrapText="1"/>
    </xf>
    <xf numFmtId="0" fontId="54" fillId="20" borderId="87" xfId="0" applyFont="1" applyFill="1" applyBorder="1" applyAlignment="1">
      <alignment horizontal="left" vertical="center" wrapText="1"/>
    </xf>
    <xf numFmtId="0" fontId="57" fillId="11" borderId="87" xfId="0" quotePrefix="1" applyFont="1" applyFill="1" applyBorder="1" applyAlignment="1">
      <alignment horizontal="left" vertical="center" wrapText="1"/>
    </xf>
    <xf numFmtId="0" fontId="57" fillId="18" borderId="87" xfId="0" quotePrefix="1" applyFont="1" applyFill="1" applyBorder="1" applyAlignment="1">
      <alignment horizontal="left" vertical="center" wrapText="1"/>
    </xf>
    <xf numFmtId="0" fontId="57" fillId="28" borderId="87" xfId="0" quotePrefix="1" applyFont="1" applyFill="1" applyBorder="1" applyAlignment="1">
      <alignment horizontal="left" vertical="center" wrapText="1"/>
    </xf>
    <xf numFmtId="0" fontId="57" fillId="7" borderId="87" xfId="0" quotePrefix="1" applyFont="1" applyFill="1" applyBorder="1" applyAlignment="1">
      <alignment horizontal="left" vertical="center" wrapText="1"/>
    </xf>
    <xf numFmtId="0" fontId="54" fillId="9" borderId="87" xfId="0" applyFont="1" applyFill="1" applyBorder="1" applyAlignment="1">
      <alignment horizontal="left" vertical="center" wrapText="1"/>
    </xf>
    <xf numFmtId="2" fontId="57" fillId="9" borderId="87" xfId="0" applyNumberFormat="1" applyFont="1" applyFill="1" applyBorder="1" applyAlignment="1">
      <alignment horizontal="left" vertical="center" wrapText="1"/>
    </xf>
    <xf numFmtId="0" fontId="57" fillId="9" borderId="170" xfId="0" applyFont="1" applyFill="1" applyBorder="1" applyAlignment="1">
      <alignment horizontal="left" vertical="center" wrapText="1"/>
    </xf>
    <xf numFmtId="0" fontId="57" fillId="9" borderId="170" xfId="0" quotePrefix="1" applyFont="1" applyFill="1" applyBorder="1" applyAlignment="1">
      <alignment horizontal="left" vertical="center" wrapText="1"/>
    </xf>
    <xf numFmtId="0" fontId="57" fillId="9" borderId="87" xfId="0" quotePrefix="1" applyFont="1" applyFill="1" applyBorder="1" applyAlignment="1">
      <alignment horizontal="left" vertical="center" wrapText="1"/>
    </xf>
    <xf numFmtId="2" fontId="57" fillId="24" borderId="87" xfId="0" applyNumberFormat="1" applyFont="1" applyFill="1" applyBorder="1" applyAlignment="1">
      <alignment horizontal="left" vertical="center" wrapText="1"/>
    </xf>
    <xf numFmtId="2" fontId="57" fillId="30" borderId="86" xfId="0" applyNumberFormat="1" applyFont="1" applyFill="1" applyBorder="1" applyAlignment="1">
      <alignment horizontal="left" vertical="center" wrapText="1"/>
    </xf>
    <xf numFmtId="0" fontId="61" fillId="8" borderId="76" xfId="0" applyFont="1" applyFill="1" applyBorder="1" applyAlignment="1">
      <alignment horizontal="left" vertical="center" wrapText="1"/>
    </xf>
    <xf numFmtId="0" fontId="61" fillId="8" borderId="87" xfId="0" applyFont="1" applyFill="1" applyBorder="1" applyAlignment="1">
      <alignment horizontal="left" vertical="center" wrapText="1"/>
    </xf>
    <xf numFmtId="0" fontId="61" fillId="11" borderId="170" xfId="0" applyFont="1" applyFill="1" applyBorder="1" applyAlignment="1">
      <alignment horizontal="left" vertical="center" wrapText="1"/>
    </xf>
    <xf numFmtId="0" fontId="61" fillId="10" borderId="87" xfId="0" applyFont="1" applyFill="1" applyBorder="1" applyAlignment="1">
      <alignment horizontal="left" vertical="center" wrapText="1"/>
    </xf>
    <xf numFmtId="0" fontId="61" fillId="20" borderId="87" xfId="0" applyFont="1" applyFill="1" applyBorder="1" applyAlignment="1">
      <alignment horizontal="left" vertical="center" wrapText="1"/>
    </xf>
    <xf numFmtId="0" fontId="61" fillId="12" borderId="87" xfId="0" applyFont="1" applyFill="1" applyBorder="1" applyAlignment="1">
      <alignment horizontal="left" vertical="center" wrapText="1"/>
    </xf>
    <xf numFmtId="0" fontId="61" fillId="9" borderId="87" xfId="0" applyFont="1" applyFill="1" applyBorder="1" applyAlignment="1">
      <alignment horizontal="left" vertical="center" wrapText="1"/>
    </xf>
    <xf numFmtId="0" fontId="61" fillId="16" borderId="87" xfId="0" applyFont="1" applyFill="1" applyBorder="1" applyAlignment="1">
      <alignment horizontal="left" vertical="center" wrapText="1"/>
    </xf>
    <xf numFmtId="0" fontId="61" fillId="16" borderId="86" xfId="0" applyFont="1" applyFill="1" applyBorder="1" applyAlignment="1">
      <alignment horizontal="left" vertical="center" wrapText="1"/>
    </xf>
    <xf numFmtId="0" fontId="57" fillId="20" borderId="88" xfId="0" applyFont="1" applyFill="1" applyBorder="1" applyAlignment="1">
      <alignment horizontal="left" vertical="center" wrapText="1"/>
    </xf>
    <xf numFmtId="0" fontId="57" fillId="20" borderId="113" xfId="0" applyFont="1" applyFill="1" applyBorder="1" applyAlignment="1">
      <alignment horizontal="left" vertical="center" wrapText="1"/>
    </xf>
    <xf numFmtId="0" fontId="57" fillId="20" borderId="182" xfId="0" applyFont="1" applyFill="1" applyBorder="1" applyAlignment="1">
      <alignment horizontal="left" vertical="center" wrapText="1"/>
    </xf>
    <xf numFmtId="0" fontId="57" fillId="20" borderId="112" xfId="0" applyFont="1" applyFill="1" applyBorder="1" applyAlignment="1">
      <alignment horizontal="left" vertical="center" wrapText="1"/>
    </xf>
    <xf numFmtId="0" fontId="57" fillId="20" borderId="76" xfId="0" applyFont="1" applyFill="1" applyBorder="1" applyAlignment="1">
      <alignment horizontal="left" vertical="center" wrapText="1"/>
    </xf>
    <xf numFmtId="0" fontId="57" fillId="20" borderId="10" xfId="0" applyFont="1" applyFill="1" applyBorder="1" applyAlignment="1">
      <alignment horizontal="left" vertical="center" wrapText="1"/>
    </xf>
    <xf numFmtId="0" fontId="57" fillId="20" borderId="60" xfId="25" applyFont="1" applyFill="1" applyBorder="1" applyAlignment="1">
      <alignment horizontal="left" vertical="center" wrapText="1"/>
    </xf>
    <xf numFmtId="0" fontId="57" fillId="20" borderId="6" xfId="25" applyFont="1" applyFill="1" applyBorder="1" applyAlignment="1">
      <alignment horizontal="left" vertical="center" wrapText="1"/>
    </xf>
    <xf numFmtId="0" fontId="57" fillId="20" borderId="87" xfId="63" applyFont="1" applyFill="1" applyBorder="1" applyAlignment="1">
      <alignment horizontal="left" vertical="center" wrapText="1"/>
    </xf>
    <xf numFmtId="0" fontId="57" fillId="20" borderId="182" xfId="25" applyFont="1" applyFill="1" applyBorder="1" applyAlignment="1">
      <alignment horizontal="left" vertical="center" wrapText="1"/>
    </xf>
    <xf numFmtId="0" fontId="57" fillId="20" borderId="181" xfId="25" applyFont="1" applyFill="1" applyBorder="1" applyAlignment="1">
      <alignment horizontal="left" vertical="center" wrapText="1"/>
    </xf>
    <xf numFmtId="0" fontId="57" fillId="20" borderId="15" xfId="0" applyFont="1" applyFill="1" applyBorder="1" applyAlignment="1">
      <alignment horizontal="left" vertical="center" wrapText="1"/>
    </xf>
    <xf numFmtId="0" fontId="57" fillId="20" borderId="6" xfId="0" applyFont="1" applyFill="1" applyBorder="1" applyAlignment="1">
      <alignment horizontal="left" vertical="center" wrapText="1"/>
    </xf>
    <xf numFmtId="0" fontId="57" fillId="20" borderId="13" xfId="0" applyFont="1" applyFill="1" applyBorder="1" applyAlignment="1">
      <alignment horizontal="left" vertical="center" wrapText="1"/>
    </xf>
    <xf numFmtId="0" fontId="57" fillId="20" borderId="175" xfId="0" applyFont="1" applyFill="1" applyBorder="1" applyAlignment="1">
      <alignment horizontal="left" vertical="center" wrapText="1"/>
    </xf>
    <xf numFmtId="0" fontId="57" fillId="20" borderId="163" xfId="0" applyFont="1" applyFill="1" applyBorder="1" applyAlignment="1">
      <alignment horizontal="left" vertical="center" wrapText="1"/>
    </xf>
    <xf numFmtId="0" fontId="57" fillId="20" borderId="120" xfId="0" applyFont="1" applyFill="1" applyBorder="1" applyAlignment="1">
      <alignment horizontal="left" vertical="center" wrapText="1"/>
    </xf>
    <xf numFmtId="0" fontId="57" fillId="20" borderId="86" xfId="0" applyFont="1" applyFill="1" applyBorder="1" applyAlignment="1">
      <alignment horizontal="left" vertical="center" wrapText="1"/>
    </xf>
    <xf numFmtId="0" fontId="57" fillId="4" borderId="86" xfId="0" applyFont="1" applyFill="1" applyBorder="1" applyAlignment="1">
      <alignment horizontal="left" vertical="center" wrapText="1"/>
    </xf>
    <xf numFmtId="0" fontId="57" fillId="20" borderId="120" xfId="0" quotePrefix="1" applyFont="1" applyFill="1" applyBorder="1" applyAlignment="1">
      <alignment horizontal="left" vertical="center" wrapText="1"/>
    </xf>
    <xf numFmtId="0" fontId="0" fillId="20" borderId="88" xfId="0" applyFill="1" applyBorder="1" applyAlignment="1">
      <alignment horizontal="left" vertical="center" wrapText="1"/>
    </xf>
    <xf numFmtId="0" fontId="0" fillId="20" borderId="113" xfId="0" applyFill="1" applyBorder="1" applyAlignment="1">
      <alignment horizontal="left" vertical="center" wrapText="1"/>
    </xf>
    <xf numFmtId="0" fontId="12" fillId="20" borderId="113" xfId="0" applyFont="1" applyFill="1" applyBorder="1" applyAlignment="1">
      <alignment horizontal="left" vertical="center" wrapText="1"/>
    </xf>
    <xf numFmtId="0" fontId="0" fillId="20" borderId="112" xfId="0" applyFill="1" applyBorder="1" applyAlignment="1">
      <alignment horizontal="left" vertical="center" wrapText="1"/>
    </xf>
    <xf numFmtId="167" fontId="57" fillId="20" borderId="87" xfId="0" applyNumberFormat="1" applyFont="1" applyFill="1" applyBorder="1" applyAlignment="1">
      <alignment horizontal="left" vertical="center" wrapText="1"/>
    </xf>
    <xf numFmtId="0" fontId="57" fillId="20" borderId="80" xfId="0" applyFont="1" applyFill="1" applyBorder="1" applyAlignment="1">
      <alignment horizontal="left" vertical="center" wrapText="1"/>
    </xf>
    <xf numFmtId="0" fontId="57" fillId="20" borderId="36" xfId="0" applyFont="1" applyFill="1" applyBorder="1" applyAlignment="1">
      <alignment horizontal="left" vertical="center" wrapText="1"/>
    </xf>
    <xf numFmtId="0" fontId="57" fillId="20" borderId="63" xfId="0" applyFont="1" applyFill="1" applyBorder="1" applyAlignment="1">
      <alignment horizontal="left" vertical="center" wrapText="1"/>
    </xf>
    <xf numFmtId="0" fontId="61" fillId="8" borderId="80" xfId="0" applyFont="1" applyFill="1" applyBorder="1" applyAlignment="1">
      <alignment horizontal="left" vertical="center" wrapText="1"/>
    </xf>
    <xf numFmtId="0" fontId="0" fillId="10" borderId="6" xfId="0" applyFill="1" applyBorder="1" applyAlignment="1">
      <alignment horizontal="left" vertical="center" wrapText="1"/>
    </xf>
    <xf numFmtId="0" fontId="0" fillId="20" borderId="6" xfId="0" applyFill="1" applyBorder="1" applyAlignment="1">
      <alignment horizontal="left" vertical="center" wrapText="1"/>
    </xf>
    <xf numFmtId="0" fontId="61" fillId="16" borderId="6" xfId="0" applyFont="1" applyFill="1" applyBorder="1" applyAlignment="1">
      <alignment horizontal="left" vertical="center" wrapText="1"/>
    </xf>
    <xf numFmtId="0" fontId="57" fillId="0" borderId="6" xfId="0" quotePrefix="1" applyFont="1" applyBorder="1" applyAlignment="1">
      <alignment horizontal="left" vertical="center" wrapText="1"/>
    </xf>
    <xf numFmtId="0" fontId="57" fillId="8" borderId="6" xfId="0" quotePrefix="1" applyFont="1" applyFill="1" applyBorder="1" applyAlignment="1">
      <alignment horizontal="left" vertical="center" wrapText="1"/>
    </xf>
    <xf numFmtId="0" fontId="54" fillId="8" borderId="6" xfId="0" quotePrefix="1" applyFont="1" applyFill="1" applyBorder="1" applyAlignment="1">
      <alignment horizontal="left" vertical="center" wrapText="1"/>
    </xf>
    <xf numFmtId="0" fontId="57" fillId="21" borderId="6" xfId="0" quotePrefix="1" applyFont="1" applyFill="1" applyBorder="1" applyAlignment="1">
      <alignment horizontal="left" vertical="center" wrapText="1"/>
    </xf>
    <xf numFmtId="0" fontId="54" fillId="21" borderId="6" xfId="0" quotePrefix="1" applyFont="1" applyFill="1" applyBorder="1" applyAlignment="1">
      <alignment horizontal="left" vertical="center" wrapText="1"/>
    </xf>
    <xf numFmtId="0" fontId="54" fillId="10" borderId="6" xfId="0" quotePrefix="1" applyFont="1" applyFill="1" applyBorder="1" applyAlignment="1">
      <alignment horizontal="left" vertical="center" wrapText="1"/>
    </xf>
    <xf numFmtId="0" fontId="54" fillId="22" borderId="6" xfId="0" quotePrefix="1" applyFont="1" applyFill="1" applyBorder="1" applyAlignment="1">
      <alignment horizontal="left" vertical="center" wrapText="1"/>
    </xf>
    <xf numFmtId="0" fontId="54" fillId="20" borderId="6" xfId="0" quotePrefix="1" applyFont="1" applyFill="1" applyBorder="1" applyAlignment="1">
      <alignment horizontal="left" vertical="center" wrapText="1"/>
    </xf>
    <xf numFmtId="0" fontId="57" fillId="11" borderId="6" xfId="0" quotePrefix="1" applyFont="1" applyFill="1" applyBorder="1" applyAlignment="1">
      <alignment horizontal="left" vertical="center" wrapText="1"/>
    </xf>
    <xf numFmtId="0" fontId="54" fillId="11" borderId="170" xfId="0" quotePrefix="1" applyFont="1" applyFill="1" applyBorder="1" applyAlignment="1">
      <alignment horizontal="left" vertical="center" wrapText="1"/>
    </xf>
    <xf numFmtId="0" fontId="57" fillId="12" borderId="6" xfId="0" quotePrefix="1" applyFont="1" applyFill="1" applyBorder="1" applyAlignment="1">
      <alignment horizontal="left" vertical="center" wrapText="1"/>
    </xf>
    <xf numFmtId="0" fontId="54" fillId="12" borderId="6" xfId="0" quotePrefix="1" applyFont="1" applyFill="1" applyBorder="1" applyAlignment="1">
      <alignment horizontal="left" vertical="center" wrapText="1"/>
    </xf>
    <xf numFmtId="0" fontId="57" fillId="18" borderId="6" xfId="0" quotePrefix="1" applyFont="1" applyFill="1" applyBorder="1" applyAlignment="1">
      <alignment horizontal="left" vertical="center" wrapText="1"/>
    </xf>
    <xf numFmtId="0" fontId="54" fillId="18" borderId="6" xfId="0" quotePrefix="1" applyFont="1" applyFill="1" applyBorder="1" applyAlignment="1">
      <alignment horizontal="left" vertical="center" wrapText="1"/>
    </xf>
    <xf numFmtId="0" fontId="57" fillId="26" borderId="87" xfId="0" quotePrefix="1" applyFont="1" applyFill="1" applyBorder="1" applyAlignment="1">
      <alignment horizontal="left" vertical="center" wrapText="1"/>
    </xf>
    <xf numFmtId="0" fontId="57" fillId="27" borderId="87" xfId="0" quotePrefix="1" applyFont="1" applyFill="1" applyBorder="1" applyAlignment="1">
      <alignment horizontal="left" vertical="center" wrapText="1"/>
    </xf>
    <xf numFmtId="0" fontId="57" fillId="7" borderId="6" xfId="0" quotePrefix="1" applyFont="1" applyFill="1" applyBorder="1" applyAlignment="1">
      <alignment horizontal="left" vertical="center" wrapText="1"/>
    </xf>
    <xf numFmtId="0" fontId="54" fillId="9" borderId="6" xfId="0" quotePrefix="1" applyFont="1" applyFill="1" applyBorder="1" applyAlignment="1">
      <alignment horizontal="left" vertical="center" wrapText="1"/>
    </xf>
    <xf numFmtId="0" fontId="57" fillId="9" borderId="6" xfId="0" quotePrefix="1" applyFont="1" applyFill="1" applyBorder="1" applyAlignment="1">
      <alignment horizontal="left" vertical="center" wrapText="1"/>
    </xf>
    <xf numFmtId="0" fontId="57" fillId="22" borderId="87" xfId="0" quotePrefix="1" applyFont="1" applyFill="1" applyBorder="1" applyAlignment="1">
      <alignment horizontal="left" vertical="center" wrapText="1"/>
    </xf>
    <xf numFmtId="0" fontId="57" fillId="22" borderId="170" xfId="0" quotePrefix="1" applyFont="1" applyFill="1" applyBorder="1" applyAlignment="1">
      <alignment horizontal="left" vertical="center" wrapText="1"/>
    </xf>
    <xf numFmtId="0" fontId="57" fillId="20" borderId="170" xfId="0" quotePrefix="1" applyFont="1" applyFill="1" applyBorder="1" applyAlignment="1">
      <alignment horizontal="left" vertical="center" wrapText="1"/>
    </xf>
    <xf numFmtId="0" fontId="54" fillId="20" borderId="87" xfId="0" quotePrefix="1" applyFont="1" applyFill="1" applyBorder="1" applyAlignment="1">
      <alignment horizontal="left" vertical="center" wrapText="1"/>
    </xf>
    <xf numFmtId="0" fontId="57" fillId="27" borderId="105" xfId="0" applyFont="1" applyFill="1" applyBorder="1" applyAlignment="1">
      <alignment horizontal="left" vertical="center" wrapText="1"/>
    </xf>
    <xf numFmtId="0" fontId="57" fillId="28" borderId="105" xfId="0" quotePrefix="1" applyFont="1" applyFill="1" applyBorder="1" applyAlignment="1">
      <alignment horizontal="left" vertical="center" wrapText="1"/>
    </xf>
    <xf numFmtId="0" fontId="57" fillId="12" borderId="15" xfId="0" quotePrefix="1" applyFont="1" applyFill="1" applyBorder="1" applyAlignment="1">
      <alignment horizontal="left" vertical="center" wrapText="1"/>
    </xf>
    <xf numFmtId="0" fontId="57" fillId="25" borderId="15" xfId="0" quotePrefix="1" applyFont="1" applyFill="1" applyBorder="1" applyAlignment="1">
      <alignment horizontal="left" vertical="center" wrapText="1"/>
    </xf>
    <xf numFmtId="0" fontId="57" fillId="25" borderId="6" xfId="0" quotePrefix="1" applyFont="1" applyFill="1" applyBorder="1" applyAlignment="1">
      <alignment horizontal="left" vertical="center" wrapText="1"/>
    </xf>
    <xf numFmtId="0" fontId="57" fillId="25" borderId="10" xfId="0" quotePrefix="1" applyFont="1" applyFill="1" applyBorder="1" applyAlignment="1">
      <alignment horizontal="left" vertical="center" wrapText="1"/>
    </xf>
    <xf numFmtId="0" fontId="57" fillId="8" borderId="15" xfId="0" quotePrefix="1" applyFont="1" applyFill="1" applyBorder="1" applyAlignment="1">
      <alignment horizontal="left" vertical="center" wrapText="1"/>
    </xf>
    <xf numFmtId="0" fontId="54" fillId="7" borderId="88" xfId="0" quotePrefix="1" applyFont="1" applyFill="1" applyBorder="1" applyAlignment="1">
      <alignment horizontal="left" vertical="center" wrapText="1"/>
    </xf>
    <xf numFmtId="0" fontId="54" fillId="7" borderId="6" xfId="0" quotePrefix="1" applyFont="1" applyFill="1" applyBorder="1" applyAlignment="1">
      <alignment horizontal="left" vertical="center" wrapText="1"/>
    </xf>
    <xf numFmtId="0" fontId="54" fillId="7" borderId="10" xfId="0" quotePrefix="1" applyFont="1" applyFill="1" applyBorder="1" applyAlignment="1">
      <alignment horizontal="left" vertical="center" wrapText="1"/>
    </xf>
    <xf numFmtId="0" fontId="13" fillId="0" borderId="87" xfId="0" applyFont="1" applyBorder="1" applyAlignment="1">
      <alignment horizontal="left" vertical="center" wrapText="1"/>
    </xf>
    <xf numFmtId="0" fontId="11" fillId="0" borderId="88" xfId="0" applyFont="1" applyBorder="1" applyAlignment="1">
      <alignment horizontal="left" vertical="center" wrapText="1"/>
    </xf>
    <xf numFmtId="0" fontId="13" fillId="0" borderId="10" xfId="0" applyFont="1" applyBorder="1" applyAlignment="1">
      <alignment horizontal="left" vertical="center" wrapText="1"/>
    </xf>
    <xf numFmtId="0" fontId="0" fillId="0" borderId="13" xfId="0" applyBorder="1" applyAlignment="1">
      <alignment horizontal="left" vertical="center" wrapText="1"/>
    </xf>
    <xf numFmtId="0" fontId="54" fillId="0" borderId="87" xfId="0" quotePrefix="1" applyFont="1" applyBorder="1" applyAlignment="1">
      <alignment horizontal="left" vertical="center" wrapText="1"/>
    </xf>
    <xf numFmtId="8" fontId="57" fillId="0" borderId="175" xfId="0" applyNumberFormat="1" applyFont="1" applyBorder="1" applyAlignment="1">
      <alignment horizontal="left" vertical="center" wrapText="1"/>
    </xf>
    <xf numFmtId="0" fontId="54" fillId="0" borderId="170" xfId="0" quotePrefix="1" applyFont="1" applyBorder="1" applyAlignment="1">
      <alignment horizontal="left" vertical="center" wrapText="1"/>
    </xf>
    <xf numFmtId="0" fontId="54" fillId="0" borderId="10" xfId="0" quotePrefix="1" applyFont="1" applyBorder="1" applyAlignment="1">
      <alignment horizontal="left" vertical="center" wrapText="1"/>
    </xf>
    <xf numFmtId="8" fontId="57" fillId="0" borderId="15" xfId="0" applyNumberFormat="1" applyFont="1" applyBorder="1" applyAlignment="1">
      <alignment horizontal="left" vertical="center" wrapText="1"/>
    </xf>
    <xf numFmtId="8" fontId="0" fillId="0" borderId="175" xfId="0" applyNumberFormat="1" applyBorder="1" applyAlignment="1">
      <alignment horizontal="left" vertical="center" wrapText="1"/>
    </xf>
    <xf numFmtId="0" fontId="82" fillId="7" borderId="179" xfId="7" applyFont="1" applyFill="1" applyBorder="1" applyAlignment="1">
      <alignment horizontal="left" vertical="center"/>
    </xf>
    <xf numFmtId="0" fontId="82" fillId="7" borderId="40" xfId="7" applyFont="1" applyFill="1" applyBorder="1" applyAlignment="1">
      <alignment horizontal="left" vertical="center"/>
    </xf>
    <xf numFmtId="0" fontId="82" fillId="7" borderId="71" xfId="7" applyFont="1" applyFill="1" applyBorder="1" applyAlignment="1">
      <alignment horizontal="left" vertical="center"/>
    </xf>
    <xf numFmtId="0" fontId="82" fillId="7" borderId="71" xfId="0" applyFont="1" applyFill="1" applyBorder="1" applyAlignment="1">
      <alignment horizontal="left" vertical="center"/>
    </xf>
    <xf numFmtId="0" fontId="82" fillId="7" borderId="54" xfId="0" applyFont="1" applyFill="1" applyBorder="1" applyAlignment="1">
      <alignment horizontal="left" vertical="center"/>
    </xf>
    <xf numFmtId="0" fontId="82" fillId="7" borderId="82" xfId="0" applyFont="1" applyFill="1" applyBorder="1" applyAlignment="1">
      <alignment horizontal="left" vertical="center"/>
    </xf>
    <xf numFmtId="0" fontId="82" fillId="13" borderId="179" xfId="0" applyFont="1" applyFill="1" applyBorder="1" applyAlignment="1">
      <alignment horizontal="left" vertical="center"/>
    </xf>
    <xf numFmtId="0" fontId="82" fillId="7" borderId="108" xfId="0" applyFont="1" applyFill="1" applyBorder="1" applyAlignment="1">
      <alignment horizontal="left" vertical="center"/>
    </xf>
    <xf numFmtId="0" fontId="82" fillId="7" borderId="57" xfId="0" applyFont="1" applyFill="1" applyBorder="1" applyAlignment="1">
      <alignment horizontal="left" vertical="center"/>
    </xf>
    <xf numFmtId="0" fontId="82" fillId="7" borderId="40" xfId="0" applyFont="1" applyFill="1" applyBorder="1" applyAlignment="1">
      <alignment horizontal="left" vertical="center"/>
    </xf>
    <xf numFmtId="0" fontId="82" fillId="7" borderId="179" xfId="0" applyFont="1" applyFill="1" applyBorder="1" applyAlignment="1">
      <alignment horizontal="left" vertical="center"/>
    </xf>
    <xf numFmtId="0" fontId="82" fillId="7" borderId="179" xfId="0" applyFont="1" applyFill="1" applyBorder="1" applyAlignment="1">
      <alignment horizontal="left" vertical="center" wrapText="1"/>
    </xf>
    <xf numFmtId="0" fontId="65" fillId="7" borderId="151" xfId="0" applyFont="1" applyFill="1" applyBorder="1" applyAlignment="1">
      <alignment horizontal="left" vertical="center"/>
    </xf>
    <xf numFmtId="0" fontId="82" fillId="7" borderId="152" xfId="0" applyFont="1" applyFill="1" applyBorder="1" applyAlignment="1">
      <alignment horizontal="left" vertical="center"/>
    </xf>
    <xf numFmtId="0" fontId="65" fillId="7" borderId="152" xfId="0" applyFont="1" applyFill="1" applyBorder="1" applyAlignment="1">
      <alignment horizontal="left" vertical="center"/>
    </xf>
    <xf numFmtId="0" fontId="65" fillId="7" borderId="153" xfId="0" applyFont="1" applyFill="1" applyBorder="1" applyAlignment="1">
      <alignment horizontal="left" vertical="center"/>
    </xf>
    <xf numFmtId="0" fontId="90" fillId="12" borderId="182" xfId="0" applyFont="1" applyFill="1" applyBorder="1" applyAlignment="1">
      <alignment horizontal="center" vertical="center"/>
    </xf>
    <xf numFmtId="0" fontId="57" fillId="12" borderId="182" xfId="0" applyFont="1" applyFill="1" applyBorder="1" applyAlignment="1">
      <alignment horizontal="center" vertical="center"/>
    </xf>
    <xf numFmtId="0" fontId="57" fillId="12" borderId="182" xfId="0" applyFont="1" applyFill="1" applyBorder="1" applyAlignment="1">
      <alignment horizontal="left" vertical="center"/>
    </xf>
    <xf numFmtId="0" fontId="57" fillId="12" borderId="184" xfId="0" applyFont="1" applyFill="1" applyBorder="1" applyAlignment="1">
      <alignment horizontal="left" vertical="center"/>
    </xf>
    <xf numFmtId="0" fontId="57" fillId="12" borderId="183" xfId="0" applyFont="1" applyFill="1" applyBorder="1" applyAlignment="1">
      <alignment horizontal="left" vertical="center"/>
    </xf>
    <xf numFmtId="0" fontId="57" fillId="12" borderId="183" xfId="0" quotePrefix="1" applyFont="1" applyFill="1" applyBorder="1" applyAlignment="1">
      <alignment horizontal="left" vertical="center"/>
    </xf>
    <xf numFmtId="0" fontId="57" fillId="12" borderId="182" xfId="0" quotePrefix="1" applyFont="1" applyFill="1" applyBorder="1" applyAlignment="1">
      <alignment horizontal="left" vertical="center" wrapText="1"/>
    </xf>
    <xf numFmtId="164" fontId="57" fillId="12" borderId="182" xfId="0" applyNumberFormat="1" applyFont="1" applyFill="1" applyBorder="1" applyAlignment="1">
      <alignment horizontal="left" vertical="center"/>
    </xf>
    <xf numFmtId="0" fontId="57" fillId="12" borderId="182" xfId="0" quotePrefix="1" applyFont="1" applyFill="1" applyBorder="1" applyAlignment="1">
      <alignment horizontal="left" vertical="center"/>
    </xf>
    <xf numFmtId="0" fontId="57" fillId="12" borderId="182" xfId="0" applyFont="1" applyFill="1" applyBorder="1" applyAlignment="1">
      <alignment horizontal="left" vertical="center" wrapText="1"/>
    </xf>
    <xf numFmtId="0" fontId="89" fillId="23" borderId="186" xfId="257" applyFont="1" applyFill="1" applyBorder="1" applyAlignment="1">
      <alignment horizontal="left" vertical="center"/>
    </xf>
    <xf numFmtId="0" fontId="89" fillId="23" borderId="187" xfId="257" applyFont="1" applyFill="1" applyBorder="1" applyAlignment="1">
      <alignment horizontal="left" vertical="center"/>
    </xf>
    <xf numFmtId="0" fontId="89" fillId="23" borderId="85" xfId="257" applyFont="1" applyFill="1" applyBorder="1" applyAlignment="1">
      <alignment horizontal="left" vertical="center"/>
    </xf>
    <xf numFmtId="0" fontId="89" fillId="23" borderId="188" xfId="257" applyFont="1" applyFill="1" applyBorder="1" applyAlignment="1">
      <alignment horizontal="left" vertical="center"/>
    </xf>
    <xf numFmtId="0" fontId="89" fillId="23" borderId="189" xfId="257" applyFont="1" applyFill="1" applyBorder="1" applyAlignment="1">
      <alignment horizontal="left" vertical="center"/>
    </xf>
    <xf numFmtId="0" fontId="8" fillId="2" borderId="0" xfId="257" applyFill="1" applyAlignment="1">
      <alignment horizontal="left" vertical="center"/>
    </xf>
    <xf numFmtId="0" fontId="17" fillId="0" borderId="0" xfId="120" applyAlignment="1">
      <alignment horizontal="left" vertical="center"/>
    </xf>
    <xf numFmtId="0" fontId="57" fillId="0" borderId="168" xfId="120" applyFont="1" applyBorder="1" applyAlignment="1">
      <alignment horizontal="center" vertical="center"/>
    </xf>
    <xf numFmtId="0" fontId="57" fillId="0" borderId="168" xfId="120" applyFont="1" applyBorder="1" applyAlignment="1">
      <alignment horizontal="left" vertical="center"/>
    </xf>
    <xf numFmtId="0" fontId="54" fillId="0" borderId="168" xfId="120" applyFont="1" applyBorder="1" applyAlignment="1">
      <alignment horizontal="left" vertical="center"/>
    </xf>
    <xf numFmtId="0" fontId="57" fillId="0" borderId="168" xfId="120" applyFont="1" applyBorder="1" applyAlignment="1">
      <alignment horizontal="left"/>
    </xf>
    <xf numFmtId="0" fontId="89" fillId="23" borderId="190" xfId="257" applyFont="1" applyFill="1" applyBorder="1" applyAlignment="1">
      <alignment horizontal="left" vertical="center"/>
    </xf>
    <xf numFmtId="0" fontId="89" fillId="23" borderId="169" xfId="257" applyFont="1" applyFill="1" applyBorder="1" applyAlignment="1">
      <alignment horizontal="left" vertical="center"/>
    </xf>
    <xf numFmtId="0" fontId="89" fillId="23" borderId="191" xfId="257" applyFont="1" applyFill="1" applyBorder="1" applyAlignment="1">
      <alignment horizontal="left" vertical="center"/>
    </xf>
    <xf numFmtId="0" fontId="89" fillId="23" borderId="192" xfId="257" applyFont="1" applyFill="1" applyBorder="1" applyAlignment="1">
      <alignment horizontal="left" vertical="center"/>
    </xf>
    <xf numFmtId="11" fontId="57" fillId="0" borderId="168" xfId="258" applyNumberFormat="1" applyFont="1" applyBorder="1" applyAlignment="1">
      <alignment horizontal="left" vertical="center"/>
    </xf>
    <xf numFmtId="0" fontId="8" fillId="0" borderId="0" xfId="258"/>
    <xf numFmtId="0" fontId="57" fillId="0" borderId="193" xfId="257" applyFont="1" applyBorder="1" applyAlignment="1">
      <alignment horizontal="left" vertical="center"/>
    </xf>
    <xf numFmtId="0" fontId="57" fillId="0" borderId="193" xfId="259" applyFont="1" applyBorder="1" applyAlignment="1">
      <alignment horizontal="left" vertical="center"/>
    </xf>
    <xf numFmtId="167" fontId="57" fillId="0" borderId="193" xfId="259" applyNumberFormat="1" applyFont="1" applyBorder="1" applyAlignment="1">
      <alignment horizontal="left" vertical="center"/>
    </xf>
    <xf numFmtId="0" fontId="57" fillId="0" borderId="168" xfId="259" applyFont="1" applyBorder="1" applyAlignment="1">
      <alignment horizontal="left" vertical="center"/>
    </xf>
    <xf numFmtId="0" fontId="57" fillId="0" borderId="193" xfId="259" quotePrefix="1" applyFont="1" applyBorder="1" applyAlignment="1">
      <alignment horizontal="center" vertical="center"/>
    </xf>
    <xf numFmtId="0" fontId="54" fillId="0" borderId="159" xfId="6" applyFont="1" applyBorder="1"/>
    <xf numFmtId="0" fontId="54" fillId="0" borderId="163" xfId="6" applyFont="1" applyBorder="1"/>
    <xf numFmtId="0" fontId="54" fillId="0" borderId="164" xfId="6" applyFont="1" applyBorder="1"/>
    <xf numFmtId="0" fontId="54" fillId="0" borderId="194" xfId="6" applyFont="1" applyBorder="1"/>
    <xf numFmtId="0" fontId="54" fillId="0" borderId="182" xfId="6" applyFont="1" applyBorder="1"/>
    <xf numFmtId="0" fontId="54" fillId="0" borderId="195" xfId="6" applyFont="1" applyBorder="1"/>
    <xf numFmtId="0" fontId="54" fillId="0" borderId="182" xfId="0" applyFont="1" applyBorder="1"/>
    <xf numFmtId="0" fontId="54" fillId="0" borderId="9" xfId="6" applyFont="1" applyBorder="1"/>
    <xf numFmtId="0" fontId="54" fillId="0" borderId="196" xfId="6" applyFont="1" applyBorder="1"/>
    <xf numFmtId="165" fontId="57" fillId="12" borderId="182" xfId="0" applyNumberFormat="1" applyFont="1" applyFill="1" applyBorder="1" applyAlignment="1">
      <alignment horizontal="left" vertical="center"/>
    </xf>
    <xf numFmtId="164" fontId="57" fillId="20" borderId="88" xfId="0" quotePrefix="1" applyNumberFormat="1" applyFont="1" applyFill="1" applyBorder="1" applyAlignment="1">
      <alignment horizontal="left" vertical="center"/>
    </xf>
    <xf numFmtId="164" fontId="57" fillId="20" borderId="113" xfId="0" quotePrefix="1" applyNumberFormat="1" applyFont="1" applyFill="1" applyBorder="1" applyAlignment="1">
      <alignment horizontal="left" vertical="center"/>
    </xf>
    <xf numFmtId="0" fontId="57" fillId="0" borderId="194" xfId="2" applyFont="1" applyBorder="1" applyAlignment="1">
      <alignment horizontal="left" vertical="center" wrapText="1"/>
    </xf>
    <xf numFmtId="0" fontId="57" fillId="0" borderId="182" xfId="0" applyFont="1" applyBorder="1" applyAlignment="1">
      <alignment horizontal="center" vertical="center" wrapText="1"/>
    </xf>
    <xf numFmtId="0" fontId="57" fillId="0" borderId="195" xfId="0" applyFont="1" applyBorder="1" applyAlignment="1">
      <alignment horizontal="center" vertical="center" wrapText="1"/>
    </xf>
    <xf numFmtId="0" fontId="57" fillId="0" borderId="182" xfId="0" applyFont="1" applyBorder="1" applyAlignment="1">
      <alignment horizontal="center" vertical="center"/>
    </xf>
    <xf numFmtId="0" fontId="57" fillId="0" borderId="182" xfId="0" quotePrefix="1" applyFont="1" applyBorder="1" applyAlignment="1">
      <alignment horizontal="center" vertical="center" wrapText="1"/>
    </xf>
    <xf numFmtId="0" fontId="61" fillId="0" borderId="9" xfId="0" applyFont="1" applyBorder="1" applyAlignment="1">
      <alignment horizontal="left" vertical="center"/>
    </xf>
    <xf numFmtId="0" fontId="57" fillId="0" borderId="196" xfId="0" applyFont="1" applyBorder="1" applyAlignment="1">
      <alignment horizontal="left" vertical="center" wrapText="1"/>
    </xf>
    <xf numFmtId="0" fontId="61" fillId="0" borderId="196" xfId="0" applyFont="1" applyBorder="1" applyAlignment="1">
      <alignment horizontal="center" vertical="center"/>
    </xf>
    <xf numFmtId="0" fontId="61" fillId="0" borderId="11" xfId="0" applyFont="1" applyBorder="1" applyAlignment="1">
      <alignment horizontal="center" vertical="center"/>
    </xf>
    <xf numFmtId="0" fontId="57" fillId="29" borderId="171" xfId="2" applyFont="1" applyFill="1" applyBorder="1" applyAlignment="1">
      <alignment horizontal="left" vertical="center" wrapText="1"/>
    </xf>
    <xf numFmtId="0" fontId="57" fillId="29" borderId="172" xfId="0" applyFont="1" applyFill="1" applyBorder="1" applyAlignment="1">
      <alignment horizontal="center" vertical="center"/>
    </xf>
    <xf numFmtId="0" fontId="57" fillId="29" borderId="11" xfId="0" applyFont="1" applyFill="1" applyBorder="1" applyAlignment="1">
      <alignment horizontal="center" vertical="center"/>
    </xf>
    <xf numFmtId="0" fontId="54" fillId="0" borderId="159" xfId="0" applyFont="1" applyBorder="1"/>
    <xf numFmtId="0" fontId="54" fillId="0" borderId="163" xfId="0" applyFont="1" applyBorder="1"/>
    <xf numFmtId="0" fontId="54" fillId="0" borderId="163" xfId="0" applyFont="1" applyBorder="1" applyAlignment="1">
      <alignment horizontal="center"/>
    </xf>
    <xf numFmtId="0" fontId="54" fillId="0" borderId="164" xfId="0" applyFont="1" applyBorder="1"/>
    <xf numFmtId="0" fontId="54" fillId="0" borderId="171" xfId="0" applyFont="1" applyBorder="1"/>
    <xf numFmtId="0" fontId="54" fillId="0" borderId="175" xfId="0" applyFont="1" applyBorder="1"/>
    <xf numFmtId="0" fontId="54" fillId="0" borderId="175" xfId="0" applyFont="1" applyBorder="1" applyAlignment="1">
      <alignment horizontal="center"/>
    </xf>
    <xf numFmtId="0" fontId="54" fillId="0" borderId="172" xfId="0" applyFont="1" applyBorder="1"/>
    <xf numFmtId="0" fontId="57" fillId="49" borderId="159" xfId="0" applyFont="1" applyFill="1" applyBorder="1" applyAlignment="1">
      <alignment horizontal="left" vertical="center"/>
    </xf>
    <xf numFmtId="0" fontId="0" fillId="49" borderId="163" xfId="0" applyFill="1" applyBorder="1" applyAlignment="1">
      <alignment horizontal="left"/>
    </xf>
    <xf numFmtId="164" fontId="57" fillId="49" borderId="163" xfId="0" applyNumberFormat="1" applyFont="1" applyFill="1" applyBorder="1" applyAlignment="1">
      <alignment horizontal="center" vertical="center"/>
    </xf>
    <xf numFmtId="0" fontId="57" fillId="49" borderId="163" xfId="0" applyFont="1" applyFill="1" applyBorder="1" applyAlignment="1">
      <alignment horizontal="center" vertical="center" wrapText="1"/>
    </xf>
    <xf numFmtId="0" fontId="61" fillId="49" borderId="163" xfId="0" applyFont="1" applyFill="1" applyBorder="1" applyAlignment="1">
      <alignment horizontal="center" vertical="center" wrapText="1"/>
    </xf>
    <xf numFmtId="0" fontId="57" fillId="49" borderId="163" xfId="0" applyFont="1" applyFill="1" applyBorder="1" applyAlignment="1">
      <alignment horizontal="left" vertical="center" wrapText="1"/>
    </xf>
    <xf numFmtId="0" fontId="57" fillId="49" borderId="164" xfId="0" applyFont="1" applyFill="1" applyBorder="1" applyAlignment="1">
      <alignment horizontal="left" vertical="center"/>
    </xf>
    <xf numFmtId="0" fontId="57" fillId="49" borderId="9" xfId="0" applyFont="1" applyFill="1" applyBorder="1" applyAlignment="1">
      <alignment horizontal="left" vertical="center"/>
    </xf>
    <xf numFmtId="0" fontId="0" fillId="49" borderId="196" xfId="0" applyFill="1" applyBorder="1" applyAlignment="1">
      <alignment horizontal="left"/>
    </xf>
    <xf numFmtId="1" fontId="57" fillId="49" borderId="196" xfId="0" applyNumberFormat="1" applyFont="1" applyFill="1" applyBorder="1" applyAlignment="1">
      <alignment horizontal="center" vertical="center"/>
    </xf>
    <xf numFmtId="0" fontId="57" fillId="49" borderId="196" xfId="0" applyFont="1" applyFill="1" applyBorder="1" applyAlignment="1">
      <alignment horizontal="center" vertical="center" wrapText="1"/>
    </xf>
    <xf numFmtId="0" fontId="61" fillId="49" borderId="196" xfId="0" applyFont="1" applyFill="1" applyBorder="1" applyAlignment="1">
      <alignment horizontal="center" vertical="center" wrapText="1"/>
    </xf>
    <xf numFmtId="0" fontId="57" fillId="49" borderId="196" xfId="0" applyFont="1" applyFill="1" applyBorder="1" applyAlignment="1">
      <alignment horizontal="left" vertical="center" wrapText="1"/>
    </xf>
    <xf numFmtId="0" fontId="57" fillId="49" borderId="11" xfId="0" applyFont="1" applyFill="1" applyBorder="1" applyAlignment="1">
      <alignment horizontal="left" vertical="center"/>
    </xf>
    <xf numFmtId="0" fontId="54" fillId="0" borderId="197" xfId="0" applyFont="1" applyBorder="1" applyAlignment="1">
      <alignment horizontal="center" vertical="center"/>
    </xf>
    <xf numFmtId="0" fontId="54" fillId="5" borderId="197" xfId="0" applyFont="1" applyFill="1" applyBorder="1" applyAlignment="1">
      <alignment horizontal="center" vertical="center"/>
    </xf>
    <xf numFmtId="0" fontId="54" fillId="0" borderId="197" xfId="0" quotePrefix="1" applyFont="1" applyBorder="1" applyAlignment="1">
      <alignment horizontal="left" vertical="center" wrapText="1"/>
    </xf>
    <xf numFmtId="0" fontId="54" fillId="5" borderId="163" xfId="0" applyFont="1" applyFill="1" applyBorder="1" applyAlignment="1">
      <alignment horizontal="center" vertical="center"/>
    </xf>
    <xf numFmtId="0" fontId="57" fillId="5" borderId="197" xfId="0" applyFont="1" applyFill="1" applyBorder="1" applyAlignment="1">
      <alignment horizontal="center" vertical="center"/>
    </xf>
    <xf numFmtId="0" fontId="54" fillId="5" borderId="196" xfId="0" applyFont="1" applyFill="1" applyBorder="1" applyAlignment="1">
      <alignment horizontal="center" vertical="center"/>
    </xf>
    <xf numFmtId="0" fontId="82" fillId="0" borderId="194" xfId="3" applyFont="1" applyBorder="1" applyAlignment="1">
      <alignment horizontal="left" vertical="center" wrapText="1"/>
    </xf>
    <xf numFmtId="2" fontId="54" fillId="0" borderId="197" xfId="0" applyNumberFormat="1" applyFont="1" applyBorder="1" applyAlignment="1">
      <alignment horizontal="left" vertical="center"/>
    </xf>
    <xf numFmtId="1" fontId="54" fillId="0" borderId="197" xfId="0" applyNumberFormat="1" applyFont="1" applyBorder="1" applyAlignment="1">
      <alignment horizontal="center" vertical="center"/>
    </xf>
    <xf numFmtId="0" fontId="54" fillId="0" borderId="197" xfId="0" applyFont="1" applyBorder="1" applyAlignment="1">
      <alignment horizontal="left" vertical="center"/>
    </xf>
    <xf numFmtId="0" fontId="54" fillId="0" borderId="195" xfId="0" applyFont="1" applyBorder="1" applyAlignment="1">
      <alignment horizontal="left" vertical="center"/>
    </xf>
    <xf numFmtId="165" fontId="57" fillId="9" borderId="175" xfId="0" applyNumberFormat="1" applyFont="1" applyFill="1" applyBorder="1" applyAlignment="1">
      <alignment horizontal="center" vertical="center"/>
    </xf>
    <xf numFmtId="165" fontId="57" fillId="9" borderId="196" xfId="0" applyNumberFormat="1" applyFont="1" applyFill="1" applyBorder="1" applyAlignment="1">
      <alignment horizontal="center" vertical="center"/>
    </xf>
    <xf numFmtId="0" fontId="57" fillId="0" borderId="175" xfId="0" applyFont="1" applyBorder="1" applyAlignment="1">
      <alignment horizontal="center" vertical="center"/>
    </xf>
    <xf numFmtId="165" fontId="57" fillId="0" borderId="196" xfId="0" applyNumberFormat="1" applyFont="1" applyBorder="1" applyAlignment="1">
      <alignment horizontal="center" vertical="center"/>
    </xf>
    <xf numFmtId="0" fontId="61" fillId="0" borderId="197" xfId="0" applyFont="1" applyBorder="1" applyAlignment="1">
      <alignment horizontal="center" vertical="center" wrapText="1"/>
    </xf>
    <xf numFmtId="165" fontId="61" fillId="0" borderId="197" xfId="0" applyNumberFormat="1" applyFont="1" applyBorder="1" applyAlignment="1">
      <alignment horizontal="center" vertical="center"/>
    </xf>
    <xf numFmtId="0" fontId="64" fillId="0" borderId="0" xfId="0" applyFont="1" applyAlignment="1">
      <alignment horizontal="left" vertical="center" wrapText="1"/>
    </xf>
    <xf numFmtId="0" fontId="64" fillId="0" borderId="197" xfId="0" applyFont="1" applyBorder="1" applyAlignment="1">
      <alignment horizontal="center" vertical="center"/>
    </xf>
    <xf numFmtId="165" fontId="64" fillId="0" borderId="197" xfId="0" applyNumberFormat="1" applyFont="1" applyBorder="1" applyAlignment="1">
      <alignment horizontal="center" vertical="center"/>
    </xf>
    <xf numFmtId="0" fontId="64" fillId="2" borderId="0" xfId="0" applyFont="1" applyFill="1" applyAlignment="1">
      <alignment horizontal="left" vertical="center"/>
    </xf>
    <xf numFmtId="0" fontId="57" fillId="0" borderId="194" xfId="0" applyFont="1" applyBorder="1" applyAlignment="1">
      <alignment horizontal="left" vertical="center"/>
    </xf>
    <xf numFmtId="0" fontId="57" fillId="0" borderId="197" xfId="0" applyFont="1" applyBorder="1" applyAlignment="1">
      <alignment horizontal="left" vertical="center" wrapText="1"/>
    </xf>
    <xf numFmtId="164" fontId="57" fillId="0" borderId="197" xfId="0" applyNumberFormat="1" applyFont="1" applyBorder="1" applyAlignment="1">
      <alignment horizontal="left" vertical="center"/>
    </xf>
    <xf numFmtId="0" fontId="57" fillId="0" borderId="197" xfId="0" applyFont="1" applyBorder="1" applyAlignment="1">
      <alignment horizontal="left" vertical="center"/>
    </xf>
    <xf numFmtId="0" fontId="57" fillId="0" borderId="195" xfId="0" applyFont="1" applyBorder="1" applyAlignment="1">
      <alignment horizontal="left" vertical="center"/>
    </xf>
    <xf numFmtId="0" fontId="57" fillId="0" borderId="195" xfId="0" applyFont="1" applyBorder="1" applyAlignment="1">
      <alignment horizontal="center" vertical="center"/>
    </xf>
    <xf numFmtId="0" fontId="57" fillId="4" borderId="171" xfId="0" applyFont="1" applyFill="1" applyBorder="1" applyAlignment="1">
      <alignment horizontal="left" vertical="center"/>
    </xf>
    <xf numFmtId="0" fontId="57" fillId="4" borderId="175" xfId="0" applyFont="1" applyFill="1" applyBorder="1" applyAlignment="1">
      <alignment horizontal="left" vertical="center" wrapText="1"/>
    </xf>
    <xf numFmtId="11" fontId="57" fillId="4" borderId="175" xfId="0" applyNumberFormat="1" applyFont="1" applyFill="1" applyBorder="1" applyAlignment="1">
      <alignment horizontal="left" vertical="center"/>
    </xf>
    <xf numFmtId="0" fontId="57" fillId="4" borderId="175" xfId="0" applyFont="1" applyFill="1" applyBorder="1" applyAlignment="1">
      <alignment horizontal="left" vertical="center"/>
    </xf>
    <xf numFmtId="0" fontId="57" fillId="0" borderId="197" xfId="0" quotePrefix="1" applyFont="1" applyBorder="1" applyAlignment="1">
      <alignment horizontal="left" vertical="center" wrapText="1"/>
    </xf>
    <xf numFmtId="0" fontId="57" fillId="0" borderId="195" xfId="0" quotePrefix="1" applyFont="1" applyBorder="1" applyAlignment="1">
      <alignment horizontal="left" vertical="center"/>
    </xf>
    <xf numFmtId="2" fontId="57" fillId="8" borderId="163" xfId="0" applyNumberFormat="1" applyFont="1" applyFill="1" applyBorder="1" applyAlignment="1">
      <alignment horizontal="center" vertical="center" wrapText="1"/>
    </xf>
    <xf numFmtId="0" fontId="57" fillId="8" borderId="163" xfId="0" applyFont="1" applyFill="1" applyBorder="1" applyAlignment="1">
      <alignment horizontal="center" vertical="center" wrapText="1"/>
    </xf>
    <xf numFmtId="0" fontId="57" fillId="8" borderId="197" xfId="0" applyFont="1" applyFill="1" applyBorder="1" applyAlignment="1">
      <alignment horizontal="center" vertical="center" wrapText="1"/>
    </xf>
    <xf numFmtId="2" fontId="57" fillId="8" borderId="197" xfId="0" applyNumberFormat="1" applyFont="1" applyFill="1" applyBorder="1" applyAlignment="1">
      <alignment horizontal="center" vertical="center" wrapText="1"/>
    </xf>
    <xf numFmtId="0" fontId="57" fillId="11" borderId="197" xfId="0" applyFont="1" applyFill="1" applyBorder="1" applyAlignment="1">
      <alignment horizontal="center" vertical="center" wrapText="1"/>
    </xf>
    <xf numFmtId="2" fontId="57" fillId="11" borderId="197" xfId="0" applyNumberFormat="1" applyFont="1" applyFill="1" applyBorder="1" applyAlignment="1">
      <alignment horizontal="center" vertical="center" wrapText="1"/>
    </xf>
    <xf numFmtId="164" fontId="57" fillId="11" borderId="197" xfId="0" applyNumberFormat="1" applyFont="1" applyFill="1" applyBorder="1" applyAlignment="1">
      <alignment horizontal="center" vertical="center" wrapText="1"/>
    </xf>
    <xf numFmtId="0" fontId="57" fillId="19" borderId="197" xfId="0" applyFont="1" applyFill="1" applyBorder="1" applyAlignment="1">
      <alignment horizontal="center" vertical="center" wrapText="1"/>
    </xf>
    <xf numFmtId="0" fontId="57" fillId="10" borderId="197" xfId="0" applyFont="1" applyFill="1" applyBorder="1" applyAlignment="1">
      <alignment horizontal="center" vertical="center" wrapText="1"/>
    </xf>
    <xf numFmtId="0" fontId="57" fillId="20" borderId="197" xfId="0" applyFont="1" applyFill="1" applyBorder="1" applyAlignment="1">
      <alignment horizontal="center" vertical="center"/>
    </xf>
    <xf numFmtId="2" fontId="57" fillId="12" borderId="197" xfId="0" applyNumberFormat="1" applyFont="1" applyFill="1" applyBorder="1" applyAlignment="1">
      <alignment horizontal="center" vertical="center" wrapText="1"/>
    </xf>
    <xf numFmtId="0" fontId="57" fillId="12" borderId="197" xfId="0" applyFont="1" applyFill="1" applyBorder="1" applyAlignment="1">
      <alignment horizontal="center" vertical="center" wrapText="1"/>
    </xf>
    <xf numFmtId="2" fontId="15" fillId="0" borderId="170" xfId="223" applyNumberFormat="1" applyBorder="1" applyAlignment="1">
      <alignment horizontal="center" vertical="center"/>
    </xf>
    <xf numFmtId="166" fontId="61" fillId="9" borderId="197" xfId="0" applyNumberFormat="1" applyFont="1" applyFill="1" applyBorder="1" applyAlignment="1">
      <alignment vertical="center" wrapText="1"/>
    </xf>
    <xf numFmtId="0" fontId="61" fillId="9" borderId="197" xfId="0" applyFont="1" applyFill="1" applyBorder="1" applyAlignment="1">
      <alignment horizontal="center" vertical="center" wrapText="1"/>
    </xf>
    <xf numFmtId="0" fontId="61" fillId="9" borderId="197" xfId="0" applyFont="1" applyFill="1" applyBorder="1" applyAlignment="1">
      <alignment horizontal="left" vertical="center" wrapText="1"/>
    </xf>
    <xf numFmtId="0" fontId="61" fillId="9" borderId="195" xfId="0" applyFont="1" applyFill="1" applyBorder="1" applyAlignment="1">
      <alignment horizontal="left" vertical="center" wrapText="1"/>
    </xf>
    <xf numFmtId="0" fontId="61" fillId="9" borderId="194" xfId="0" applyFont="1" applyFill="1" applyBorder="1" applyAlignment="1">
      <alignment horizontal="left" vertical="center" wrapText="1"/>
    </xf>
    <xf numFmtId="170" fontId="61" fillId="9" borderId="197" xfId="0" applyNumberFormat="1" applyFont="1" applyFill="1" applyBorder="1" applyAlignment="1">
      <alignment horizontal="center" vertical="center" wrapText="1"/>
    </xf>
    <xf numFmtId="0" fontId="61" fillId="9" borderId="194" xfId="0" applyFont="1" applyFill="1" applyBorder="1" applyAlignment="1">
      <alignment vertical="center"/>
    </xf>
    <xf numFmtId="0" fontId="61" fillId="9" borderId="197" xfId="0" applyFont="1" applyFill="1" applyBorder="1" applyAlignment="1">
      <alignment vertical="center" wrapText="1"/>
    </xf>
    <xf numFmtId="166" fontId="61" fillId="9" borderId="197" xfId="0" applyNumberFormat="1" applyFont="1" applyFill="1" applyBorder="1" applyAlignment="1">
      <alignment horizontal="center" vertical="center"/>
    </xf>
    <xf numFmtId="0" fontId="61" fillId="9" borderId="197" xfId="0" quotePrefix="1" applyFont="1" applyFill="1" applyBorder="1" applyAlignment="1">
      <alignment horizontal="center" vertical="center" wrapText="1"/>
    </xf>
    <xf numFmtId="0" fontId="61" fillId="9" borderId="197" xfId="0" applyFont="1" applyFill="1" applyBorder="1" applyAlignment="1">
      <alignment horizontal="left" vertical="center"/>
    </xf>
    <xf numFmtId="0" fontId="64" fillId="9" borderId="195" xfId="0" applyFont="1" applyFill="1" applyBorder="1" applyAlignment="1">
      <alignment horizontal="left" vertical="center"/>
    </xf>
    <xf numFmtId="0" fontId="61" fillId="9" borderId="194" xfId="0" applyFont="1" applyFill="1" applyBorder="1" applyAlignment="1">
      <alignment horizontal="left" vertical="center"/>
    </xf>
    <xf numFmtId="0" fontId="61" fillId="9" borderId="195" xfId="0" applyFont="1" applyFill="1" applyBorder="1" applyAlignment="1">
      <alignment horizontal="left" vertical="center"/>
    </xf>
    <xf numFmtId="0" fontId="54" fillId="0" borderId="112" xfId="0" quotePrefix="1" applyFont="1" applyBorder="1" applyAlignment="1">
      <alignment horizontal="left" vertical="center" wrapText="1"/>
    </xf>
    <xf numFmtId="0" fontId="54" fillId="9" borderId="194" xfId="0" applyFont="1" applyFill="1" applyBorder="1" applyAlignment="1">
      <alignment horizontal="left" vertical="center" wrapText="1"/>
    </xf>
    <xf numFmtId="0" fontId="54" fillId="9" borderId="197" xfId="0" applyFont="1" applyFill="1" applyBorder="1" applyAlignment="1">
      <alignment horizontal="left" vertical="center" wrapText="1"/>
    </xf>
    <xf numFmtId="0" fontId="54" fillId="9" borderId="197" xfId="0" quotePrefix="1" applyFont="1" applyFill="1" applyBorder="1" applyAlignment="1">
      <alignment horizontal="left" vertical="center" wrapText="1"/>
    </xf>
    <xf numFmtId="164" fontId="54" fillId="9" borderId="197" xfId="0" applyNumberFormat="1" applyFont="1" applyFill="1" applyBorder="1" applyAlignment="1">
      <alignment horizontal="left" vertical="center" wrapText="1"/>
    </xf>
    <xf numFmtId="0" fontId="57" fillId="9" borderId="197" xfId="0" applyFont="1" applyFill="1" applyBorder="1" applyAlignment="1">
      <alignment horizontal="left" vertical="center" wrapText="1"/>
    </xf>
    <xf numFmtId="0" fontId="54" fillId="9" borderId="197" xfId="0" applyFont="1" applyFill="1" applyBorder="1" applyAlignment="1">
      <alignment vertical="center" wrapText="1"/>
    </xf>
    <xf numFmtId="0" fontId="54" fillId="9" borderId="195" xfId="0" applyFont="1" applyFill="1" applyBorder="1" applyAlignment="1">
      <alignment horizontal="left" vertical="center" wrapText="1"/>
    </xf>
    <xf numFmtId="1" fontId="61" fillId="9" borderId="197" xfId="0" applyNumberFormat="1" applyFont="1" applyFill="1" applyBorder="1" applyAlignment="1">
      <alignment horizontal="center" vertical="center" wrapText="1"/>
    </xf>
    <xf numFmtId="0" fontId="54" fillId="0" borderId="197" xfId="0" applyFont="1" applyBorder="1" applyAlignment="1">
      <alignment horizontal="left" vertical="center" wrapText="1"/>
    </xf>
    <xf numFmtId="0" fontId="57" fillId="20" borderId="198" xfId="0" applyFont="1" applyFill="1" applyBorder="1" applyAlignment="1">
      <alignment horizontal="left" vertical="center"/>
    </xf>
    <xf numFmtId="0" fontId="57" fillId="20" borderId="196" xfId="0" applyFont="1" applyFill="1" applyBorder="1" applyAlignment="1">
      <alignment horizontal="left" vertical="center"/>
    </xf>
    <xf numFmtId="0" fontId="64" fillId="7" borderId="199" xfId="0" applyFont="1" applyFill="1" applyBorder="1" applyAlignment="1">
      <alignment horizontal="left" vertical="center" wrapText="1"/>
    </xf>
    <xf numFmtId="0" fontId="65" fillId="7" borderId="200" xfId="0" applyFont="1" applyFill="1" applyBorder="1" applyAlignment="1">
      <alignment horizontal="center" vertical="center"/>
    </xf>
    <xf numFmtId="0" fontId="65" fillId="7" borderId="201" xfId="0" applyFont="1" applyFill="1" applyBorder="1" applyAlignment="1">
      <alignment horizontal="center" vertical="center" wrapText="1"/>
    </xf>
    <xf numFmtId="0" fontId="65" fillId="7" borderId="202" xfId="0" applyFont="1" applyFill="1" applyBorder="1" applyAlignment="1">
      <alignment horizontal="center" vertical="center" wrapText="1"/>
    </xf>
    <xf numFmtId="0" fontId="66" fillId="0" borderId="111" xfId="0" applyFont="1" applyBorder="1" applyAlignment="1">
      <alignment horizontal="left" vertical="center"/>
    </xf>
    <xf numFmtId="0" fontId="57" fillId="0" borderId="86" xfId="0" applyFont="1" applyBorder="1" applyAlignment="1">
      <alignment horizontal="left" vertical="center" wrapText="1"/>
    </xf>
    <xf numFmtId="0" fontId="57" fillId="0" borderId="86" xfId="0" applyFont="1" applyBorder="1" applyAlignment="1">
      <alignment horizontal="center" vertical="center" wrapText="1"/>
    </xf>
    <xf numFmtId="0" fontId="57" fillId="0" borderId="86" xfId="0" quotePrefix="1" applyFont="1" applyBorder="1" applyAlignment="1">
      <alignment horizontal="center" vertical="center" wrapText="1"/>
    </xf>
    <xf numFmtId="0" fontId="65" fillId="0" borderId="110" xfId="0" applyFont="1" applyBorder="1" applyAlignment="1">
      <alignment horizontal="center" vertical="center"/>
    </xf>
    <xf numFmtId="0" fontId="6" fillId="0" borderId="0" xfId="0" applyFont="1" applyAlignment="1">
      <alignment wrapText="1"/>
    </xf>
    <xf numFmtId="0" fontId="43" fillId="0" borderId="0" xfId="0" applyFont="1" applyAlignment="1">
      <alignment horizontal="left" vertical="center" wrapText="1"/>
    </xf>
    <xf numFmtId="0" fontId="89" fillId="50" borderId="203" xfId="0" applyFont="1" applyFill="1" applyBorder="1" applyAlignment="1">
      <alignment horizontal="left" vertical="center" wrapText="1"/>
    </xf>
    <xf numFmtId="0" fontId="89" fillId="50" borderId="204" xfId="0" applyFont="1" applyFill="1" applyBorder="1" applyAlignment="1">
      <alignment horizontal="left" vertical="center" wrapText="1"/>
    </xf>
    <xf numFmtId="0" fontId="89" fillId="50" borderId="85" xfId="0" applyFont="1" applyFill="1" applyBorder="1" applyAlignment="1">
      <alignment horizontal="left" vertical="center" wrapText="1"/>
    </xf>
    <xf numFmtId="0" fontId="57" fillId="0" borderId="0" xfId="0" applyFont="1" applyAlignment="1">
      <alignment wrapText="1"/>
    </xf>
    <xf numFmtId="0" fontId="114" fillId="0" borderId="205" xfId="0" applyFont="1" applyBorder="1"/>
    <xf numFmtId="0" fontId="57" fillId="0" borderId="168" xfId="0" quotePrefix="1" applyFont="1" applyBorder="1" applyAlignment="1">
      <alignment horizontal="left" vertical="center"/>
    </xf>
    <xf numFmtId="0" fontId="6" fillId="0" borderId="0" xfId="0" applyFont="1"/>
    <xf numFmtId="0" fontId="82" fillId="0" borderId="206" xfId="3" applyFont="1" applyBorder="1" applyAlignment="1">
      <alignment horizontal="left" vertical="center" wrapText="1"/>
    </xf>
    <xf numFmtId="2" fontId="54" fillId="0" borderId="182" xfId="0" applyNumberFormat="1" applyFont="1" applyBorder="1" applyAlignment="1">
      <alignment horizontal="left" vertical="center"/>
    </xf>
    <xf numFmtId="0" fontId="64" fillId="7" borderId="2" xfId="0" applyFont="1" applyFill="1" applyBorder="1" applyAlignment="1">
      <alignment horizontal="left" vertical="center" wrapText="1"/>
    </xf>
    <xf numFmtId="0" fontId="61" fillId="51" borderId="208" xfId="0" applyFont="1" applyFill="1" applyBorder="1" applyAlignment="1">
      <alignment horizontal="left"/>
    </xf>
    <xf numFmtId="0" fontId="61" fillId="51" borderId="209" xfId="0" applyFont="1" applyFill="1" applyBorder="1" applyAlignment="1">
      <alignment horizontal="left" vertical="center" wrapText="1"/>
    </xf>
    <xf numFmtId="2" fontId="61" fillId="51" borderId="209" xfId="0" applyNumberFormat="1" applyFont="1" applyFill="1" applyBorder="1" applyAlignment="1">
      <alignment horizontal="center" vertical="center" wrapText="1"/>
    </xf>
    <xf numFmtId="0" fontId="61" fillId="51" borderId="209" xfId="0" applyFont="1" applyFill="1" applyBorder="1" applyAlignment="1">
      <alignment horizontal="center" vertical="center" wrapText="1"/>
    </xf>
    <xf numFmtId="0" fontId="57" fillId="51" borderId="209" xfId="0" applyFont="1" applyFill="1" applyBorder="1" applyAlignment="1">
      <alignment horizontal="left" vertical="center" wrapText="1"/>
    </xf>
    <xf numFmtId="0" fontId="57" fillId="51" borderId="210" xfId="0" applyFont="1" applyFill="1" applyBorder="1" applyAlignment="1">
      <alignment horizontal="left" vertical="center" wrapText="1"/>
    </xf>
    <xf numFmtId="0" fontId="61" fillId="51" borderId="206" xfId="0" applyFont="1" applyFill="1" applyBorder="1" applyAlignment="1">
      <alignment horizontal="left"/>
    </xf>
    <xf numFmtId="0" fontId="61" fillId="51" borderId="182" xfId="0" applyFont="1" applyFill="1" applyBorder="1" applyAlignment="1">
      <alignment horizontal="left" vertical="center" wrapText="1"/>
    </xf>
    <xf numFmtId="2" fontId="61" fillId="51" borderId="182" xfId="0" applyNumberFormat="1" applyFont="1" applyFill="1" applyBorder="1" applyAlignment="1">
      <alignment horizontal="center" vertical="center" wrapText="1"/>
    </xf>
    <xf numFmtId="0" fontId="61" fillId="51" borderId="182" xfId="0" applyFont="1" applyFill="1" applyBorder="1" applyAlignment="1">
      <alignment horizontal="center" vertical="center" wrapText="1"/>
    </xf>
    <xf numFmtId="0" fontId="57" fillId="51" borderId="182" xfId="0" applyFont="1" applyFill="1" applyBorder="1" applyAlignment="1">
      <alignment horizontal="left" vertical="center" wrapText="1"/>
    </xf>
    <xf numFmtId="0" fontId="57" fillId="51" borderId="207" xfId="0" applyFont="1" applyFill="1" applyBorder="1" applyAlignment="1">
      <alignment horizontal="left" vertical="center" wrapText="1"/>
    </xf>
    <xf numFmtId="0" fontId="61" fillId="51" borderId="9" xfId="0" applyFont="1" applyFill="1" applyBorder="1" applyAlignment="1">
      <alignment horizontal="left"/>
    </xf>
    <xf numFmtId="0" fontId="61" fillId="51" borderId="211" xfId="0" applyFont="1" applyFill="1" applyBorder="1" applyAlignment="1">
      <alignment horizontal="left" vertical="center" wrapText="1"/>
    </xf>
    <xf numFmtId="2" fontId="61" fillId="51" borderId="211" xfId="0" applyNumberFormat="1" applyFont="1" applyFill="1" applyBorder="1" applyAlignment="1">
      <alignment horizontal="center" vertical="center" wrapText="1"/>
    </xf>
    <xf numFmtId="0" fontId="61" fillId="51" borderId="211" xfId="0" applyFont="1" applyFill="1" applyBorder="1" applyAlignment="1">
      <alignment horizontal="center" vertical="center" wrapText="1"/>
    </xf>
    <xf numFmtId="0" fontId="57" fillId="51" borderId="211" xfId="0" applyFont="1" applyFill="1" applyBorder="1" applyAlignment="1">
      <alignment horizontal="left" vertical="center" wrapText="1"/>
    </xf>
    <xf numFmtId="0" fontId="57" fillId="51" borderId="11" xfId="0" applyFont="1" applyFill="1" applyBorder="1" applyAlignment="1">
      <alignment horizontal="left" vertical="center" wrapText="1"/>
    </xf>
    <xf numFmtId="166" fontId="57" fillId="9" borderId="182" xfId="0" applyNumberFormat="1" applyFont="1" applyFill="1" applyBorder="1" applyAlignment="1">
      <alignment horizontal="center" vertical="center" wrapText="1"/>
    </xf>
    <xf numFmtId="0" fontId="57" fillId="9" borderId="206" xfId="0" applyFont="1" applyFill="1" applyBorder="1" applyAlignment="1">
      <alignment horizontal="left" vertical="center"/>
    </xf>
    <xf numFmtId="166" fontId="57" fillId="9" borderId="182" xfId="0" applyNumberFormat="1" applyFont="1" applyFill="1" applyBorder="1" applyAlignment="1">
      <alignment horizontal="left" vertical="center" wrapText="1"/>
    </xf>
    <xf numFmtId="0" fontId="57" fillId="9" borderId="207" xfId="0" applyFont="1" applyFill="1" applyBorder="1" applyAlignment="1">
      <alignment horizontal="left" vertical="center" wrapText="1"/>
    </xf>
    <xf numFmtId="166" fontId="57" fillId="24" borderId="182" xfId="0" applyNumberFormat="1" applyFont="1" applyFill="1" applyBorder="1" applyAlignment="1">
      <alignment horizontal="center" vertical="center" wrapText="1"/>
    </xf>
    <xf numFmtId="0" fontId="57" fillId="24" borderId="182" xfId="0" applyFont="1" applyFill="1" applyBorder="1" applyAlignment="1">
      <alignment horizontal="center" vertical="center" wrapText="1"/>
    </xf>
    <xf numFmtId="0" fontId="57" fillId="24" borderId="182" xfId="0" applyFont="1" applyFill="1" applyBorder="1" applyAlignment="1">
      <alignment horizontal="left" vertical="center" wrapText="1"/>
    </xf>
    <xf numFmtId="0" fontId="57" fillId="24" borderId="207" xfId="0" applyFont="1" applyFill="1" applyBorder="1" applyAlignment="1">
      <alignment horizontal="left" vertical="center" wrapText="1"/>
    </xf>
    <xf numFmtId="0" fontId="57" fillId="24" borderId="206" xfId="0" applyFont="1" applyFill="1" applyBorder="1" applyAlignment="1">
      <alignment horizontal="left" vertical="center"/>
    </xf>
    <xf numFmtId="166" fontId="57" fillId="24" borderId="182" xfId="0" applyNumberFormat="1" applyFont="1" applyFill="1" applyBorder="1" applyAlignment="1">
      <alignment horizontal="left" vertical="center" wrapText="1"/>
    </xf>
    <xf numFmtId="165" fontId="57" fillId="24" borderId="182" xfId="0" applyNumberFormat="1" applyFont="1" applyFill="1" applyBorder="1" applyAlignment="1">
      <alignment horizontal="center" vertical="center"/>
    </xf>
    <xf numFmtId="0" fontId="54" fillId="24" borderId="182" xfId="0" applyFont="1" applyFill="1" applyBorder="1" applyAlignment="1">
      <alignment horizontal="center"/>
    </xf>
    <xf numFmtId="0" fontId="85" fillId="24" borderId="182" xfId="0" applyFont="1" applyFill="1" applyBorder="1" applyAlignment="1">
      <alignment horizontal="left" vertical="center" wrapText="1"/>
    </xf>
    <xf numFmtId="0" fontId="57" fillId="24" borderId="206" xfId="0" applyFont="1" applyFill="1" applyBorder="1" applyAlignment="1">
      <alignment horizontal="left" vertical="center" wrapText="1"/>
    </xf>
    <xf numFmtId="166" fontId="57" fillId="24" borderId="182" xfId="0" applyNumberFormat="1" applyFont="1" applyFill="1" applyBorder="1" applyAlignment="1">
      <alignment horizontal="left" vertical="center"/>
    </xf>
    <xf numFmtId="0" fontId="54" fillId="0" borderId="206" xfId="0" applyFont="1" applyBorder="1" applyAlignment="1">
      <alignment horizontal="left"/>
    </xf>
    <xf numFmtId="0" fontId="57" fillId="51" borderId="206" xfId="0" applyFont="1" applyFill="1" applyBorder="1" applyAlignment="1">
      <alignment horizontal="left" vertical="center"/>
    </xf>
    <xf numFmtId="0" fontId="57" fillId="51" borderId="182" xfId="0" quotePrefix="1" applyFont="1" applyFill="1" applyBorder="1" applyAlignment="1">
      <alignment horizontal="left" vertical="center" wrapText="1"/>
    </xf>
    <xf numFmtId="0" fontId="57" fillId="51" borderId="182" xfId="0" quotePrefix="1" applyFont="1" applyFill="1" applyBorder="1" applyAlignment="1">
      <alignment horizontal="left" vertical="center"/>
    </xf>
    <xf numFmtId="0" fontId="57" fillId="51" borderId="182" xfId="0" applyFont="1" applyFill="1" applyBorder="1" applyAlignment="1">
      <alignment horizontal="left" vertical="center"/>
    </xf>
    <xf numFmtId="0" fontId="57" fillId="51" borderId="207" xfId="0" applyFont="1" applyFill="1" applyBorder="1" applyAlignment="1">
      <alignment horizontal="left" vertical="center"/>
    </xf>
    <xf numFmtId="0" fontId="54" fillId="8" borderId="182" xfId="0" applyFont="1" applyFill="1" applyBorder="1" applyAlignment="1">
      <alignment horizontal="center" vertical="center"/>
    </xf>
    <xf numFmtId="0" fontId="54" fillId="21" borderId="182" xfId="0" applyFont="1" applyFill="1" applyBorder="1" applyAlignment="1">
      <alignment horizontal="center" vertical="center"/>
    </xf>
    <xf numFmtId="0" fontId="54" fillId="11" borderId="182" xfId="0" applyFont="1" applyFill="1" applyBorder="1" applyAlignment="1">
      <alignment horizontal="center" vertical="center"/>
    </xf>
    <xf numFmtId="0" fontId="54" fillId="10" borderId="182" xfId="0" applyFont="1" applyFill="1" applyBorder="1" applyAlignment="1">
      <alignment horizontal="center" vertical="center"/>
    </xf>
    <xf numFmtId="0" fontId="54" fillId="22" borderId="182" xfId="0" applyFont="1" applyFill="1" applyBorder="1" applyAlignment="1">
      <alignment horizontal="center" vertical="center"/>
    </xf>
    <xf numFmtId="0" fontId="54" fillId="20" borderId="182" xfId="0" quotePrefix="1" applyFont="1" applyFill="1" applyBorder="1" applyAlignment="1">
      <alignment horizontal="center" vertical="center"/>
    </xf>
    <xf numFmtId="0" fontId="54" fillId="20" borderId="182" xfId="0" applyFont="1" applyFill="1" applyBorder="1" applyAlignment="1">
      <alignment horizontal="center" vertical="center"/>
    </xf>
    <xf numFmtId="0" fontId="54" fillId="12" borderId="182" xfId="0" applyFont="1" applyFill="1" applyBorder="1" applyAlignment="1">
      <alignment horizontal="center" vertical="center"/>
    </xf>
    <xf numFmtId="0" fontId="54" fillId="18" borderId="182" xfId="0" applyFont="1" applyFill="1" applyBorder="1" applyAlignment="1">
      <alignment horizontal="center" vertical="center"/>
    </xf>
    <xf numFmtId="0" fontId="54" fillId="28" borderId="182" xfId="0" applyFont="1" applyFill="1" applyBorder="1" applyAlignment="1">
      <alignment horizontal="center" vertical="center"/>
    </xf>
    <xf numFmtId="0" fontId="54" fillId="26" borderId="182" xfId="0" applyFont="1" applyFill="1" applyBorder="1" applyAlignment="1">
      <alignment horizontal="center" vertical="center"/>
    </xf>
    <xf numFmtId="0" fontId="54" fillId="26" borderId="182" xfId="0" quotePrefix="1" applyFont="1" applyFill="1" applyBorder="1" applyAlignment="1">
      <alignment horizontal="center" vertical="center"/>
    </xf>
    <xf numFmtId="0" fontId="54" fillId="27" borderId="182" xfId="0" quotePrefix="1" applyFont="1" applyFill="1" applyBorder="1" applyAlignment="1">
      <alignment horizontal="center" vertical="center"/>
    </xf>
    <xf numFmtId="0" fontId="54" fillId="9" borderId="182" xfId="0" applyFont="1" applyFill="1" applyBorder="1" applyAlignment="1">
      <alignment horizontal="center" vertical="center"/>
    </xf>
    <xf numFmtId="0" fontId="54" fillId="7" borderId="182" xfId="0" applyFont="1" applyFill="1" applyBorder="1" applyAlignment="1">
      <alignment horizontal="center" vertical="center"/>
    </xf>
    <xf numFmtId="0" fontId="0" fillId="9" borderId="182" xfId="0" applyFill="1" applyBorder="1" applyAlignment="1">
      <alignment horizontal="center" vertical="center"/>
    </xf>
    <xf numFmtId="0" fontId="54" fillId="16" borderId="182" xfId="0" applyFont="1" applyFill="1" applyBorder="1" applyAlignment="1">
      <alignment horizontal="center" vertical="center"/>
    </xf>
    <xf numFmtId="0" fontId="54" fillId="15" borderId="182" xfId="0" applyFont="1" applyFill="1" applyBorder="1" applyAlignment="1">
      <alignment horizontal="center" vertical="center"/>
    </xf>
    <xf numFmtId="0" fontId="54" fillId="48" borderId="182" xfId="0" applyFont="1" applyFill="1" applyBorder="1" applyAlignment="1">
      <alignment horizontal="center" vertical="center"/>
    </xf>
    <xf numFmtId="0" fontId="54" fillId="4" borderId="182" xfId="0" applyFont="1" applyFill="1" applyBorder="1" applyAlignment="1">
      <alignment horizontal="center" vertical="center"/>
    </xf>
    <xf numFmtId="0" fontId="54" fillId="29" borderId="182" xfId="0" applyFont="1" applyFill="1" applyBorder="1" applyAlignment="1">
      <alignment horizontal="center" vertical="center"/>
    </xf>
    <xf numFmtId="0" fontId="54" fillId="29" borderId="211" xfId="0" applyFont="1" applyFill="1" applyBorder="1" applyAlignment="1">
      <alignment horizontal="center" vertical="center"/>
    </xf>
    <xf numFmtId="0" fontId="57" fillId="5" borderId="163" xfId="0" applyFont="1" applyFill="1" applyBorder="1" applyAlignment="1">
      <alignment horizontal="center" vertical="center"/>
    </xf>
    <xf numFmtId="0" fontId="57" fillId="5" borderId="182" xfId="0" applyFont="1" applyFill="1" applyBorder="1" applyAlignment="1">
      <alignment horizontal="center" vertical="center"/>
    </xf>
    <xf numFmtId="0" fontId="57" fillId="5" borderId="211" xfId="0" applyFont="1" applyFill="1" applyBorder="1" applyAlignment="1">
      <alignment horizontal="center" vertical="center"/>
    </xf>
    <xf numFmtId="0" fontId="54" fillId="51" borderId="182" xfId="0" applyFont="1" applyFill="1" applyBorder="1" applyAlignment="1">
      <alignment horizontal="left" vertical="center"/>
    </xf>
    <xf numFmtId="0" fontId="56" fillId="51" borderId="206" xfId="0" applyFont="1" applyFill="1" applyBorder="1" applyAlignment="1">
      <alignment horizontal="center" vertical="center"/>
    </xf>
    <xf numFmtId="0" fontId="56" fillId="51" borderId="182" xfId="0" applyFont="1" applyFill="1" applyBorder="1" applyAlignment="1">
      <alignment horizontal="center" vertical="center"/>
    </xf>
    <xf numFmtId="0" fontId="54" fillId="51" borderId="182" xfId="0" applyFont="1" applyFill="1" applyBorder="1" applyAlignment="1">
      <alignment horizontal="center" vertical="center"/>
    </xf>
    <xf numFmtId="0" fontId="0" fillId="51" borderId="182" xfId="0" quotePrefix="1" applyFill="1" applyBorder="1" applyAlignment="1">
      <alignment horizontal="center" vertical="center"/>
    </xf>
    <xf numFmtId="0" fontId="57" fillId="51" borderId="182" xfId="0" quotePrefix="1" applyFont="1" applyFill="1" applyBorder="1" applyAlignment="1">
      <alignment horizontal="center" vertical="center"/>
    </xf>
    <xf numFmtId="0" fontId="54" fillId="51" borderId="182" xfId="0" quotePrefix="1" applyFont="1" applyFill="1" applyBorder="1" applyAlignment="1">
      <alignment horizontal="center" vertical="center"/>
    </xf>
    <xf numFmtId="0" fontId="61" fillId="51" borderId="206" xfId="0" applyFont="1" applyFill="1" applyBorder="1" applyAlignment="1">
      <alignment horizontal="left" vertical="center"/>
    </xf>
    <xf numFmtId="0" fontId="61" fillId="51" borderId="182" xfId="0" applyFont="1" applyFill="1" applyBorder="1" applyAlignment="1">
      <alignment horizontal="left" vertical="center"/>
    </xf>
    <xf numFmtId="0" fontId="61" fillId="51" borderId="207" xfId="0" applyFont="1" applyFill="1" applyBorder="1" applyAlignment="1">
      <alignment horizontal="left" vertical="center"/>
    </xf>
    <xf numFmtId="166" fontId="61" fillId="51" borderId="182" xfId="0" applyNumberFormat="1" applyFont="1" applyFill="1" applyBorder="1" applyAlignment="1">
      <alignment horizontal="center" vertical="center" wrapText="1"/>
    </xf>
    <xf numFmtId="0" fontId="61" fillId="51" borderId="182" xfId="0" quotePrefix="1" applyFont="1" applyFill="1" applyBorder="1" applyAlignment="1">
      <alignment horizontal="center" vertical="center" wrapText="1"/>
    </xf>
    <xf numFmtId="0" fontId="64" fillId="51" borderId="184" xfId="0" applyFont="1" applyFill="1" applyBorder="1" applyAlignment="1">
      <alignment horizontal="left" vertical="center"/>
    </xf>
    <xf numFmtId="0" fontId="56" fillId="27" borderId="206" xfId="0" applyFont="1" applyFill="1" applyBorder="1" applyAlignment="1">
      <alignment horizontal="center" vertical="center"/>
    </xf>
    <xf numFmtId="0" fontId="56" fillId="27" borderId="182" xfId="0" applyFont="1" applyFill="1" applyBorder="1" applyAlignment="1">
      <alignment horizontal="center" vertical="center"/>
    </xf>
    <xf numFmtId="0" fontId="54" fillId="27" borderId="182" xfId="0" applyFont="1" applyFill="1" applyBorder="1" applyAlignment="1">
      <alignment horizontal="left" vertical="center"/>
    </xf>
    <xf numFmtId="0" fontId="54" fillId="27" borderId="182" xfId="0" applyFont="1" applyFill="1" applyBorder="1" applyAlignment="1">
      <alignment horizontal="center" vertical="center"/>
    </xf>
    <xf numFmtId="0" fontId="54" fillId="27" borderId="182" xfId="0" quotePrefix="1" applyFont="1" applyFill="1" applyBorder="1" applyAlignment="1">
      <alignment horizontal="center"/>
    </xf>
    <xf numFmtId="0" fontId="54" fillId="27" borderId="182" xfId="0" quotePrefix="1" applyFont="1" applyFill="1" applyBorder="1"/>
    <xf numFmtId="0" fontId="54" fillId="27" borderId="182" xfId="0" applyFont="1" applyFill="1" applyBorder="1"/>
    <xf numFmtId="0" fontId="54" fillId="27" borderId="182" xfId="0" applyFont="1" applyFill="1" applyBorder="1" applyAlignment="1">
      <alignment horizontal="center"/>
    </xf>
    <xf numFmtId="0" fontId="54" fillId="27" borderId="184" xfId="0" applyFont="1" applyFill="1" applyBorder="1" applyAlignment="1">
      <alignment horizontal="left" vertical="center"/>
    </xf>
    <xf numFmtId="0" fontId="56" fillId="8" borderId="182" xfId="0" applyFont="1" applyFill="1" applyBorder="1" applyAlignment="1">
      <alignment horizontal="center" vertical="center"/>
    </xf>
    <xf numFmtId="0" fontId="54" fillId="8" borderId="182" xfId="0" applyFont="1" applyFill="1" applyBorder="1" applyAlignment="1">
      <alignment horizontal="left" vertical="center"/>
    </xf>
    <xf numFmtId="0" fontId="54" fillId="8" borderId="182" xfId="0" quotePrefix="1" applyFont="1" applyFill="1" applyBorder="1" applyAlignment="1">
      <alignment horizontal="center" vertical="center"/>
    </xf>
    <xf numFmtId="0" fontId="54" fillId="8" borderId="182" xfId="0" quotePrefix="1" applyFont="1" applyFill="1" applyBorder="1" applyAlignment="1">
      <alignment horizontal="left" vertical="center"/>
    </xf>
    <xf numFmtId="0" fontId="56" fillId="21" borderId="182" xfId="0" applyFont="1" applyFill="1" applyBorder="1" applyAlignment="1">
      <alignment horizontal="center" vertical="center"/>
    </xf>
    <xf numFmtId="0" fontId="54" fillId="21" borderId="182" xfId="0" applyFont="1" applyFill="1" applyBorder="1" applyAlignment="1">
      <alignment horizontal="left" vertical="center"/>
    </xf>
    <xf numFmtId="0" fontId="54" fillId="21" borderId="182" xfId="0" quotePrefix="1" applyFont="1" applyFill="1" applyBorder="1" applyAlignment="1">
      <alignment horizontal="center" vertical="center"/>
    </xf>
    <xf numFmtId="0" fontId="54" fillId="21" borderId="182" xfId="0" quotePrefix="1" applyFont="1" applyFill="1" applyBorder="1" applyAlignment="1">
      <alignment horizontal="left" vertical="center"/>
    </xf>
    <xf numFmtId="0" fontId="56" fillId="11" borderId="182" xfId="0" applyFont="1" applyFill="1" applyBorder="1" applyAlignment="1">
      <alignment horizontal="center" vertical="center"/>
    </xf>
    <xf numFmtId="0" fontId="54" fillId="11" borderId="182" xfId="0" applyFont="1" applyFill="1" applyBorder="1" applyAlignment="1">
      <alignment horizontal="left" vertical="center"/>
    </xf>
    <xf numFmtId="0" fontId="54" fillId="11" borderId="182" xfId="0" quotePrefix="1" applyFont="1" applyFill="1" applyBorder="1" applyAlignment="1">
      <alignment horizontal="center" vertical="center"/>
    </xf>
    <xf numFmtId="0" fontId="54" fillId="11" borderId="182" xfId="0" quotePrefix="1" applyFont="1" applyFill="1" applyBorder="1" applyAlignment="1">
      <alignment horizontal="left" vertical="center"/>
    </xf>
    <xf numFmtId="0" fontId="106" fillId="11" borderId="182" xfId="0" quotePrefix="1" applyFont="1" applyFill="1" applyBorder="1" applyAlignment="1">
      <alignment horizontal="left" vertical="center"/>
    </xf>
    <xf numFmtId="0" fontId="65" fillId="11" borderId="182" xfId="0" applyFont="1" applyFill="1" applyBorder="1" applyAlignment="1">
      <alignment horizontal="center" vertical="center"/>
    </xf>
    <xf numFmtId="0" fontId="0" fillId="11" borderId="182" xfId="0" applyFill="1" applyBorder="1" applyAlignment="1">
      <alignment horizontal="left" vertical="center"/>
    </xf>
    <xf numFmtId="0" fontId="0" fillId="11" borderId="182" xfId="0" applyFill="1" applyBorder="1" applyAlignment="1">
      <alignment horizontal="center" vertical="center"/>
    </xf>
    <xf numFmtId="0" fontId="56" fillId="10" borderId="182" xfId="0" applyFont="1" applyFill="1" applyBorder="1" applyAlignment="1">
      <alignment horizontal="center" vertical="center"/>
    </xf>
    <xf numFmtId="0" fontId="54" fillId="10" borderId="182" xfId="0" applyFont="1" applyFill="1" applyBorder="1" applyAlignment="1">
      <alignment horizontal="left" vertical="center"/>
    </xf>
    <xf numFmtId="0" fontId="54" fillId="10" borderId="182" xfId="0" quotePrefix="1" applyFont="1" applyFill="1" applyBorder="1" applyAlignment="1">
      <alignment horizontal="center" vertical="center"/>
    </xf>
    <xf numFmtId="0" fontId="54" fillId="10" borderId="182" xfId="0" quotePrefix="1" applyFont="1" applyFill="1" applyBorder="1" applyAlignment="1">
      <alignment horizontal="left" vertical="center"/>
    </xf>
    <xf numFmtId="0" fontId="56" fillId="22" borderId="182" xfId="0" applyFont="1" applyFill="1" applyBorder="1" applyAlignment="1">
      <alignment horizontal="center" vertical="center"/>
    </xf>
    <xf numFmtId="0" fontId="54" fillId="22" borderId="182" xfId="0" applyFont="1" applyFill="1" applyBorder="1" applyAlignment="1">
      <alignment horizontal="left" vertical="center"/>
    </xf>
    <xf numFmtId="0" fontId="56" fillId="20" borderId="182" xfId="0" applyFont="1" applyFill="1" applyBorder="1" applyAlignment="1">
      <alignment horizontal="center" vertical="center"/>
    </xf>
    <xf numFmtId="0" fontId="54" fillId="20" borderId="182" xfId="0" applyFont="1" applyFill="1" applyBorder="1" applyAlignment="1">
      <alignment horizontal="left" vertical="center"/>
    </xf>
    <xf numFmtId="0" fontId="54" fillId="20" borderId="182" xfId="0" quotePrefix="1" applyFont="1" applyFill="1" applyBorder="1" applyAlignment="1">
      <alignment horizontal="left" vertical="center"/>
    </xf>
    <xf numFmtId="0" fontId="56" fillId="12" borderId="182" xfId="0" applyFont="1" applyFill="1" applyBorder="1" applyAlignment="1">
      <alignment horizontal="center" vertical="center"/>
    </xf>
    <xf numFmtId="0" fontId="54" fillId="12" borderId="182" xfId="0" applyFont="1" applyFill="1" applyBorder="1" applyAlignment="1">
      <alignment horizontal="left" vertical="center"/>
    </xf>
    <xf numFmtId="0" fontId="54" fillId="12" borderId="182" xfId="0" quotePrefix="1" applyFont="1" applyFill="1" applyBorder="1" applyAlignment="1">
      <alignment horizontal="center" vertical="center"/>
    </xf>
    <xf numFmtId="0" fontId="54" fillId="12" borderId="182" xfId="0" quotePrefix="1" applyFont="1" applyFill="1" applyBorder="1" applyAlignment="1">
      <alignment horizontal="left" vertical="center"/>
    </xf>
    <xf numFmtId="0" fontId="56" fillId="18" borderId="182" xfId="0" applyFont="1" applyFill="1" applyBorder="1" applyAlignment="1">
      <alignment horizontal="center" vertical="center"/>
    </xf>
    <xf numFmtId="0" fontId="54" fillId="18" borderId="182" xfId="0" quotePrefix="1" applyFont="1" applyFill="1" applyBorder="1" applyAlignment="1">
      <alignment horizontal="center" vertical="center"/>
    </xf>
    <xf numFmtId="0" fontId="56" fillId="28" borderId="182" xfId="0" applyFont="1" applyFill="1" applyBorder="1" applyAlignment="1">
      <alignment horizontal="center" vertical="center"/>
    </xf>
    <xf numFmtId="0" fontId="54" fillId="28" borderId="182" xfId="0" applyFont="1" applyFill="1" applyBorder="1" applyAlignment="1">
      <alignment horizontal="left" vertical="center"/>
    </xf>
    <xf numFmtId="0" fontId="54" fillId="28" borderId="182" xfId="0" quotePrefix="1" applyFont="1" applyFill="1" applyBorder="1" applyAlignment="1">
      <alignment horizontal="center"/>
    </xf>
    <xf numFmtId="0" fontId="54" fillId="28" borderId="182" xfId="0" quotePrefix="1" applyFont="1" applyFill="1" applyBorder="1" applyAlignment="1">
      <alignment horizontal="center" vertical="center"/>
    </xf>
    <xf numFmtId="0" fontId="54" fillId="28" borderId="182" xfId="0" applyFont="1" applyFill="1" applyBorder="1"/>
    <xf numFmtId="0" fontId="54" fillId="28" borderId="182" xfId="0" applyFont="1" applyFill="1" applyBorder="1" applyAlignment="1">
      <alignment horizontal="center"/>
    </xf>
    <xf numFmtId="0" fontId="54" fillId="28" borderId="182" xfId="0" quotePrefix="1" applyFont="1" applyFill="1" applyBorder="1"/>
    <xf numFmtId="0" fontId="56" fillId="26" borderId="182" xfId="0" applyFont="1" applyFill="1" applyBorder="1" applyAlignment="1">
      <alignment horizontal="center" vertical="center"/>
    </xf>
    <xf numFmtId="0" fontId="54" fillId="26" borderId="182" xfId="0" applyFont="1" applyFill="1" applyBorder="1" applyAlignment="1">
      <alignment horizontal="left" vertical="center"/>
    </xf>
    <xf numFmtId="0" fontId="54" fillId="26" borderId="182" xfId="0" quotePrefix="1" applyFont="1" applyFill="1" applyBorder="1" applyAlignment="1">
      <alignment horizontal="center"/>
    </xf>
    <xf numFmtId="0" fontId="54" fillId="26" borderId="182" xfId="0" applyFont="1" applyFill="1" applyBorder="1"/>
    <xf numFmtId="0" fontId="54" fillId="26" borderId="182" xfId="0" applyFont="1" applyFill="1" applyBorder="1" applyAlignment="1">
      <alignment horizontal="center"/>
    </xf>
    <xf numFmtId="0" fontId="54" fillId="26" borderId="182" xfId="0" quotePrefix="1" applyFont="1" applyFill="1" applyBorder="1"/>
    <xf numFmtId="0" fontId="54" fillId="51" borderId="182" xfId="0" applyFont="1" applyFill="1" applyBorder="1" applyAlignment="1">
      <alignment horizontal="left"/>
    </xf>
    <xf numFmtId="0" fontId="0" fillId="51" borderId="182" xfId="0" applyFill="1" applyBorder="1" applyAlignment="1">
      <alignment horizontal="left"/>
    </xf>
    <xf numFmtId="0" fontId="56" fillId="9" borderId="182" xfId="0" applyFont="1" applyFill="1" applyBorder="1" applyAlignment="1">
      <alignment horizontal="center" vertical="center"/>
    </xf>
    <xf numFmtId="0" fontId="54" fillId="9" borderId="182" xfId="0" applyFont="1" applyFill="1" applyBorder="1" applyAlignment="1">
      <alignment horizontal="left" vertical="center"/>
    </xf>
    <xf numFmtId="0" fontId="54" fillId="9" borderId="182" xfId="0" quotePrefix="1" applyFont="1" applyFill="1" applyBorder="1" applyAlignment="1">
      <alignment horizontal="left" vertical="center"/>
    </xf>
    <xf numFmtId="0" fontId="54" fillId="9" borderId="182" xfId="0" quotePrefix="1" applyFont="1" applyFill="1" applyBorder="1" applyAlignment="1">
      <alignment horizontal="center" vertical="center"/>
    </xf>
    <xf numFmtId="16" fontId="54" fillId="9" borderId="182" xfId="0" quotePrefix="1" applyNumberFormat="1" applyFont="1" applyFill="1" applyBorder="1" applyAlignment="1">
      <alignment horizontal="center" vertical="center"/>
    </xf>
    <xf numFmtId="0" fontId="65" fillId="7" borderId="182" xfId="0" applyFont="1" applyFill="1" applyBorder="1" applyAlignment="1">
      <alignment horizontal="center" vertical="center"/>
    </xf>
    <xf numFmtId="0" fontId="57" fillId="7" borderId="182" xfId="0" applyFont="1" applyFill="1" applyBorder="1" applyAlignment="1">
      <alignment horizontal="left" vertical="center"/>
    </xf>
    <xf numFmtId="0" fontId="54" fillId="7" borderId="182" xfId="0" quotePrefix="1" applyFont="1" applyFill="1" applyBorder="1" applyAlignment="1">
      <alignment horizontal="center" vertical="center"/>
    </xf>
    <xf numFmtId="0" fontId="57" fillId="7" borderId="182" xfId="3" quotePrefix="1" applyFont="1" applyFill="1" applyBorder="1" applyAlignment="1">
      <alignment horizontal="left" vertical="center"/>
    </xf>
    <xf numFmtId="0" fontId="54" fillId="7" borderId="182" xfId="0" applyFont="1" applyFill="1" applyBorder="1" applyAlignment="1">
      <alignment horizontal="left" vertical="center"/>
    </xf>
    <xf numFmtId="0" fontId="57" fillId="7" borderId="182" xfId="3" quotePrefix="1" applyFont="1" applyFill="1" applyBorder="1" applyAlignment="1">
      <alignment horizontal="center" vertical="center"/>
    </xf>
    <xf numFmtId="0" fontId="54" fillId="7" borderId="182" xfId="0" quotePrefix="1" applyFont="1" applyFill="1" applyBorder="1" applyAlignment="1">
      <alignment horizontal="left" vertical="center"/>
    </xf>
    <xf numFmtId="0" fontId="37" fillId="9" borderId="182" xfId="0" applyFont="1" applyFill="1" applyBorder="1" applyAlignment="1">
      <alignment horizontal="center" vertical="center"/>
    </xf>
    <xf numFmtId="0" fontId="0" fillId="9" borderId="182" xfId="0" applyFill="1" applyBorder="1" applyAlignment="1">
      <alignment horizontal="left" vertical="center"/>
    </xf>
    <xf numFmtId="0" fontId="0" fillId="9" borderId="182" xfId="0" quotePrefix="1" applyFill="1" applyBorder="1" applyAlignment="1">
      <alignment horizontal="center" vertical="center"/>
    </xf>
    <xf numFmtId="0" fontId="57" fillId="9" borderId="182" xfId="3" quotePrefix="1" applyFont="1" applyFill="1" applyBorder="1" applyAlignment="1">
      <alignment horizontal="left" vertical="center"/>
    </xf>
    <xf numFmtId="0" fontId="56" fillId="16" borderId="182" xfId="0" applyFont="1" applyFill="1" applyBorder="1" applyAlignment="1">
      <alignment horizontal="center" vertical="center"/>
    </xf>
    <xf numFmtId="0" fontId="54" fillId="16" borderId="182" xfId="0" applyFont="1" applyFill="1" applyBorder="1" applyAlignment="1">
      <alignment horizontal="left" vertical="center"/>
    </xf>
    <xf numFmtId="0" fontId="54" fillId="16" borderId="182" xfId="0" quotePrefix="1" applyFont="1" applyFill="1" applyBorder="1" applyAlignment="1">
      <alignment horizontal="center" vertical="center"/>
    </xf>
    <xf numFmtId="0" fontId="57" fillId="16" borderId="182" xfId="3" quotePrefix="1" applyFont="1" applyFill="1" applyBorder="1" applyAlignment="1">
      <alignment horizontal="center" vertical="center"/>
    </xf>
    <xf numFmtId="0" fontId="54" fillId="16" borderId="182" xfId="0" quotePrefix="1" applyFont="1" applyFill="1" applyBorder="1" applyAlignment="1">
      <alignment horizontal="left" vertical="center"/>
    </xf>
    <xf numFmtId="0" fontId="57" fillId="16" borderId="182" xfId="46" quotePrefix="1" applyFont="1" applyFill="1" applyBorder="1" applyAlignment="1">
      <alignment horizontal="center" vertical="center"/>
    </xf>
    <xf numFmtId="0" fontId="65" fillId="16" borderId="182" xfId="0" applyFont="1" applyFill="1" applyBorder="1" applyAlignment="1">
      <alignment horizontal="center" vertical="center"/>
    </xf>
    <xf numFmtId="0" fontId="57" fillId="16" borderId="182" xfId="0" applyFont="1" applyFill="1" applyBorder="1" applyAlignment="1">
      <alignment horizontal="left" vertical="center"/>
    </xf>
    <xf numFmtId="0" fontId="65" fillId="15" borderId="182" xfId="0" applyFont="1" applyFill="1" applyBorder="1" applyAlignment="1">
      <alignment horizontal="center" vertical="center"/>
    </xf>
    <xf numFmtId="0" fontId="57" fillId="15" borderId="182" xfId="0" applyFont="1" applyFill="1" applyBorder="1" applyAlignment="1">
      <alignment horizontal="left" vertical="center"/>
    </xf>
    <xf numFmtId="0" fontId="54" fillId="15" borderId="182" xfId="0" quotePrefix="1" applyFont="1" applyFill="1" applyBorder="1" applyAlignment="1">
      <alignment horizontal="center" vertical="center"/>
    </xf>
    <xf numFmtId="0" fontId="54" fillId="15" borderId="182" xfId="0" quotePrefix="1" applyFont="1" applyFill="1" applyBorder="1" applyAlignment="1">
      <alignment horizontal="left" vertical="center"/>
    </xf>
    <xf numFmtId="0" fontId="54" fillId="15" borderId="182" xfId="0" applyFont="1" applyFill="1" applyBorder="1" applyAlignment="1">
      <alignment horizontal="left" vertical="center"/>
    </xf>
    <xf numFmtId="0" fontId="37" fillId="48" borderId="182" xfId="0" applyFont="1" applyFill="1" applyBorder="1" applyAlignment="1">
      <alignment horizontal="center" vertical="center"/>
    </xf>
    <xf numFmtId="0" fontId="0" fillId="48" borderId="182" xfId="0" applyFill="1" applyBorder="1" applyAlignment="1">
      <alignment horizontal="left" vertical="center"/>
    </xf>
    <xf numFmtId="0" fontId="54" fillId="48" borderId="182" xfId="0" quotePrefix="1" applyFont="1" applyFill="1" applyBorder="1" applyAlignment="1">
      <alignment horizontal="center" vertical="center"/>
    </xf>
    <xf numFmtId="0" fontId="54" fillId="48" borderId="182" xfId="0" applyFont="1" applyFill="1" applyBorder="1" applyAlignment="1">
      <alignment horizontal="left" vertical="center"/>
    </xf>
    <xf numFmtId="0" fontId="0" fillId="48" borderId="182" xfId="0" applyFill="1" applyBorder="1" applyAlignment="1">
      <alignment horizontal="center" vertical="center"/>
    </xf>
    <xf numFmtId="0" fontId="54" fillId="48" borderId="182" xfId="0" quotePrefix="1" applyFont="1" applyFill="1" applyBorder="1" applyAlignment="1">
      <alignment horizontal="left" vertical="center"/>
    </xf>
    <xf numFmtId="0" fontId="56" fillId="4" borderId="182" xfId="0" applyFont="1" applyFill="1" applyBorder="1" applyAlignment="1">
      <alignment horizontal="center" vertical="center"/>
    </xf>
    <xf numFmtId="0" fontId="54" fillId="4" borderId="182" xfId="0" quotePrefix="1" applyFont="1" applyFill="1" applyBorder="1" applyAlignment="1">
      <alignment horizontal="center" vertical="center"/>
    </xf>
    <xf numFmtId="0" fontId="56" fillId="29" borderId="182" xfId="0" applyFont="1" applyFill="1" applyBorder="1" applyAlignment="1">
      <alignment horizontal="center" vertical="center"/>
    </xf>
    <xf numFmtId="0" fontId="54" fillId="29" borderId="182" xfId="0" applyFont="1" applyFill="1" applyBorder="1" applyAlignment="1">
      <alignment horizontal="left" vertical="center"/>
    </xf>
    <xf numFmtId="0" fontId="54" fillId="29" borderId="182" xfId="0" quotePrefix="1" applyFont="1" applyFill="1" applyBorder="1" applyAlignment="1">
      <alignment horizontal="center" vertical="center"/>
    </xf>
    <xf numFmtId="0" fontId="56" fillId="8" borderId="206" xfId="0" applyFont="1" applyFill="1" applyBorder="1" applyAlignment="1">
      <alignment horizontal="center" vertical="center"/>
    </xf>
    <xf numFmtId="0" fontId="54" fillId="8" borderId="184" xfId="0" applyFont="1" applyFill="1" applyBorder="1" applyAlignment="1">
      <alignment horizontal="left" vertical="center"/>
    </xf>
    <xf numFmtId="0" fontId="54" fillId="8" borderId="184" xfId="0" quotePrefix="1" applyFont="1" applyFill="1" applyBorder="1" applyAlignment="1">
      <alignment horizontal="left" vertical="center"/>
    </xf>
    <xf numFmtId="0" fontId="56" fillId="21" borderId="206" xfId="0" applyFont="1" applyFill="1" applyBorder="1" applyAlignment="1">
      <alignment horizontal="center" vertical="center"/>
    </xf>
    <xf numFmtId="0" fontId="54" fillId="21" borderId="184" xfId="0" applyFont="1" applyFill="1" applyBorder="1" applyAlignment="1">
      <alignment horizontal="left" vertical="center"/>
    </xf>
    <xf numFmtId="0" fontId="56" fillId="11" borderId="206" xfId="0" applyFont="1" applyFill="1" applyBorder="1" applyAlignment="1">
      <alignment horizontal="center" vertical="center"/>
    </xf>
    <xf numFmtId="0" fontId="54" fillId="11" borderId="184" xfId="0" quotePrefix="1" applyFont="1" applyFill="1" applyBorder="1" applyAlignment="1">
      <alignment horizontal="left" vertical="center"/>
    </xf>
    <xf numFmtId="0" fontId="54" fillId="11" borderId="184" xfId="0" applyFont="1" applyFill="1" applyBorder="1" applyAlignment="1">
      <alignment horizontal="left" vertical="center"/>
    </xf>
    <xf numFmtId="0" fontId="65" fillId="11" borderId="206" xfId="0" applyFont="1" applyFill="1" applyBorder="1" applyAlignment="1">
      <alignment horizontal="center" vertical="center"/>
    </xf>
    <xf numFmtId="0" fontId="56" fillId="10" borderId="206" xfId="0" applyFont="1" applyFill="1" applyBorder="1" applyAlignment="1">
      <alignment horizontal="center" vertical="center"/>
    </xf>
    <xf numFmtId="0" fontId="54" fillId="10" borderId="184" xfId="0" quotePrefix="1" applyFont="1" applyFill="1" applyBorder="1" applyAlignment="1">
      <alignment horizontal="left" vertical="center"/>
    </xf>
    <xf numFmtId="0" fontId="54" fillId="10" borderId="184" xfId="0" applyFont="1" applyFill="1" applyBorder="1" applyAlignment="1">
      <alignment horizontal="left" vertical="center"/>
    </xf>
    <xf numFmtId="0" fontId="56" fillId="22" borderId="206" xfId="0" applyFont="1" applyFill="1" applyBorder="1" applyAlignment="1">
      <alignment horizontal="center" vertical="center"/>
    </xf>
    <xf numFmtId="0" fontId="54" fillId="22" borderId="184" xfId="0" applyFont="1" applyFill="1" applyBorder="1" applyAlignment="1">
      <alignment horizontal="left" vertical="center"/>
    </xf>
    <xf numFmtId="0" fontId="56" fillId="20" borderId="206" xfId="0" applyFont="1" applyFill="1" applyBorder="1" applyAlignment="1">
      <alignment horizontal="center" vertical="center"/>
    </xf>
    <xf numFmtId="0" fontId="54" fillId="20" borderId="184" xfId="0" quotePrefix="1" applyFont="1" applyFill="1" applyBorder="1" applyAlignment="1">
      <alignment horizontal="left" vertical="center"/>
    </xf>
    <xf numFmtId="0" fontId="54" fillId="20" borderId="184" xfId="0" applyFont="1" applyFill="1" applyBorder="1" applyAlignment="1">
      <alignment horizontal="left" vertical="center"/>
    </xf>
    <xf numFmtId="0" fontId="56" fillId="12" borderId="206" xfId="0" applyFont="1" applyFill="1" applyBorder="1" applyAlignment="1">
      <alignment horizontal="center" vertical="center"/>
    </xf>
    <xf numFmtId="0" fontId="54" fillId="12" borderId="184" xfId="0" applyFont="1" applyFill="1" applyBorder="1" applyAlignment="1">
      <alignment horizontal="left" vertical="center"/>
    </xf>
    <xf numFmtId="0" fontId="56" fillId="18" borderId="206" xfId="0" applyFont="1" applyFill="1" applyBorder="1" applyAlignment="1">
      <alignment horizontal="center" vertical="center"/>
    </xf>
    <xf numFmtId="0" fontId="54" fillId="18" borderId="184" xfId="0" applyFont="1" applyFill="1" applyBorder="1" applyAlignment="1">
      <alignment horizontal="left" vertical="center"/>
    </xf>
    <xf numFmtId="0" fontId="56" fillId="28" borderId="206" xfId="0" applyFont="1" applyFill="1" applyBorder="1" applyAlignment="1">
      <alignment horizontal="center" vertical="center"/>
    </xf>
    <xf numFmtId="0" fontId="54" fillId="28" borderId="184" xfId="0" applyFont="1" applyFill="1" applyBorder="1" applyAlignment="1">
      <alignment horizontal="left" vertical="center"/>
    </xf>
    <xf numFmtId="0" fontId="56" fillId="26" borderId="206" xfId="0" applyFont="1" applyFill="1" applyBorder="1" applyAlignment="1">
      <alignment horizontal="center" vertical="center"/>
    </xf>
    <xf numFmtId="0" fontId="54" fillId="26" borderId="184" xfId="0" applyFont="1" applyFill="1" applyBorder="1" applyAlignment="1">
      <alignment horizontal="left" vertical="center"/>
    </xf>
    <xf numFmtId="0" fontId="54" fillId="51" borderId="184" xfId="0" applyFont="1" applyFill="1" applyBorder="1" applyAlignment="1">
      <alignment horizontal="left" vertical="center"/>
    </xf>
    <xf numFmtId="0" fontId="56" fillId="9" borderId="206" xfId="0" applyFont="1" applyFill="1" applyBorder="1" applyAlignment="1">
      <alignment horizontal="center" vertical="center"/>
    </xf>
    <xf numFmtId="0" fontId="54" fillId="9" borderId="184" xfId="0" applyFont="1" applyFill="1" applyBorder="1" applyAlignment="1">
      <alignment horizontal="left" vertical="center"/>
    </xf>
    <xf numFmtId="0" fontId="65" fillId="7" borderId="206" xfId="0" applyFont="1" applyFill="1" applyBorder="1" applyAlignment="1">
      <alignment horizontal="center" vertical="center"/>
    </xf>
    <xf numFmtId="0" fontId="54" fillId="7" borderId="184" xfId="0" applyFont="1" applyFill="1" applyBorder="1" applyAlignment="1">
      <alignment horizontal="left" vertical="center"/>
    </xf>
    <xf numFmtId="0" fontId="37" fillId="9" borderId="206" xfId="0" applyFont="1" applyFill="1" applyBorder="1" applyAlignment="1">
      <alignment horizontal="center" vertical="center"/>
    </xf>
    <xf numFmtId="0" fontId="0" fillId="9" borderId="184" xfId="0" applyFill="1" applyBorder="1" applyAlignment="1">
      <alignment horizontal="left" vertical="center"/>
    </xf>
    <xf numFmtId="0" fontId="56" fillId="16" borderId="206" xfId="0" applyFont="1" applyFill="1" applyBorder="1" applyAlignment="1">
      <alignment horizontal="center" vertical="center"/>
    </xf>
    <xf numFmtId="0" fontId="54" fillId="16" borderId="184" xfId="0" applyFont="1" applyFill="1" applyBorder="1" applyAlignment="1">
      <alignment horizontal="left" vertical="center"/>
    </xf>
    <xf numFmtId="0" fontId="65" fillId="16" borderId="206" xfId="0" applyFont="1" applyFill="1" applyBorder="1" applyAlignment="1">
      <alignment horizontal="center" vertical="center"/>
    </xf>
    <xf numFmtId="0" fontId="65" fillId="15" borderId="206" xfId="0" applyFont="1" applyFill="1" applyBorder="1" applyAlignment="1">
      <alignment horizontal="center" vertical="center"/>
    </xf>
    <xf numFmtId="0" fontId="54" fillId="15" borderId="184" xfId="0" applyFont="1" applyFill="1" applyBorder="1" applyAlignment="1">
      <alignment horizontal="left" vertical="center"/>
    </xf>
    <xf numFmtId="0" fontId="37" fillId="48" borderId="206" xfId="0" applyFont="1" applyFill="1" applyBorder="1" applyAlignment="1">
      <alignment horizontal="center" vertical="center"/>
    </xf>
    <xf numFmtId="0" fontId="54" fillId="48" borderId="184" xfId="0" applyFont="1" applyFill="1" applyBorder="1" applyAlignment="1">
      <alignment horizontal="left" vertical="center"/>
    </xf>
    <xf numFmtId="0" fontId="56" fillId="4" borderId="206" xfId="0" applyFont="1" applyFill="1" applyBorder="1" applyAlignment="1">
      <alignment horizontal="center" vertical="center"/>
    </xf>
    <xf numFmtId="0" fontId="54" fillId="4" borderId="184" xfId="0" applyFont="1" applyFill="1" applyBorder="1" applyAlignment="1">
      <alignment horizontal="left" vertical="center"/>
    </xf>
    <xf numFmtId="0" fontId="56" fillId="29" borderId="206" xfId="0" applyFont="1" applyFill="1" applyBorder="1" applyAlignment="1">
      <alignment horizontal="center" vertical="center"/>
    </xf>
    <xf numFmtId="0" fontId="54" fillId="29" borderId="184" xfId="0" applyFont="1" applyFill="1" applyBorder="1" applyAlignment="1">
      <alignment horizontal="left" vertical="center"/>
    </xf>
    <xf numFmtId="0" fontId="56" fillId="29" borderId="211" xfId="0" applyFont="1" applyFill="1" applyBorder="1" applyAlignment="1">
      <alignment horizontal="center" vertical="center"/>
    </xf>
    <xf numFmtId="0" fontId="54" fillId="29" borderId="211" xfId="0" applyFont="1" applyFill="1" applyBorder="1" applyAlignment="1">
      <alignment horizontal="left" vertical="center"/>
    </xf>
    <xf numFmtId="0" fontId="54" fillId="29" borderId="211" xfId="0" quotePrefix="1" applyFont="1" applyFill="1" applyBorder="1" applyAlignment="1">
      <alignment horizontal="center" vertical="center"/>
    </xf>
    <xf numFmtId="0" fontId="54" fillId="29" borderId="211" xfId="0" quotePrefix="1" applyFont="1" applyFill="1" applyBorder="1" applyAlignment="1">
      <alignment horizontal="left" vertical="center"/>
    </xf>
    <xf numFmtId="0" fontId="57" fillId="0" borderId="206" xfId="0" applyFont="1" applyBorder="1" applyAlignment="1">
      <alignment horizontal="left" vertical="center"/>
    </xf>
    <xf numFmtId="164" fontId="57" fillId="0" borderId="182" xfId="0" applyNumberFormat="1" applyFont="1" applyBorder="1" applyAlignment="1">
      <alignment horizontal="left" vertical="center"/>
    </xf>
    <xf numFmtId="0" fontId="57" fillId="0" borderId="182" xfId="0" applyFont="1" applyBorder="1" applyAlignment="1">
      <alignment horizontal="left" vertical="center"/>
    </xf>
    <xf numFmtId="0" fontId="57" fillId="0" borderId="182" xfId="0" quotePrefix="1" applyFont="1" applyBorder="1" applyAlignment="1">
      <alignment horizontal="left" vertical="center" wrapText="1"/>
    </xf>
    <xf numFmtId="2" fontId="57" fillId="0" borderId="182" xfId="0" applyNumberFormat="1" applyFont="1" applyBorder="1" applyAlignment="1">
      <alignment horizontal="left" vertical="center"/>
    </xf>
    <xf numFmtId="0" fontId="57" fillId="0" borderId="182" xfId="0" quotePrefix="1" applyFont="1" applyBorder="1" applyAlignment="1">
      <alignment horizontal="left" vertical="center"/>
    </xf>
    <xf numFmtId="0" fontId="57" fillId="0" borderId="207" xfId="0" applyFont="1" applyBorder="1" applyAlignment="1">
      <alignment horizontal="left" vertical="center"/>
    </xf>
    <xf numFmtId="0" fontId="57" fillId="0" borderId="175" xfId="0" quotePrefix="1" applyFont="1" applyBorder="1" applyAlignment="1">
      <alignment horizontal="left" vertical="center" wrapText="1"/>
    </xf>
    <xf numFmtId="2" fontId="57" fillId="10" borderId="10" xfId="0" applyNumberFormat="1" applyFont="1" applyFill="1" applyBorder="1" applyAlignment="1">
      <alignment horizontal="center" vertical="center" wrapText="1"/>
    </xf>
    <xf numFmtId="2" fontId="57" fillId="22" borderId="10" xfId="0" applyNumberFormat="1" applyFont="1" applyFill="1" applyBorder="1" applyAlignment="1">
      <alignment horizontal="center" vertical="center" wrapText="1"/>
    </xf>
    <xf numFmtId="0" fontId="65" fillId="7" borderId="179" xfId="0" applyFont="1" applyFill="1" applyBorder="1" applyAlignment="1">
      <alignment vertical="center"/>
    </xf>
    <xf numFmtId="0" fontId="57" fillId="0" borderId="99" xfId="0" applyFont="1" applyBorder="1" applyAlignment="1">
      <alignment vertical="center"/>
    </xf>
    <xf numFmtId="0" fontId="57" fillId="0" borderId="182" xfId="0" applyFont="1" applyBorder="1" applyAlignment="1">
      <alignment vertical="center"/>
    </xf>
    <xf numFmtId="0" fontId="54" fillId="0" borderId="87" xfId="0" applyFont="1" applyBorder="1" applyAlignment="1">
      <alignment vertical="center"/>
    </xf>
    <xf numFmtId="0" fontId="57" fillId="0" borderId="197" xfId="0" applyFont="1" applyBorder="1" applyAlignment="1">
      <alignment vertical="center"/>
    </xf>
    <xf numFmtId="0" fontId="57" fillId="0" borderId="170" xfId="0" applyFont="1" applyBorder="1" applyAlignment="1">
      <alignment vertical="center"/>
    </xf>
    <xf numFmtId="0" fontId="54" fillId="0" borderId="6" xfId="0" applyFont="1" applyBorder="1" applyAlignment="1">
      <alignment vertical="center"/>
    </xf>
    <xf numFmtId="0" fontId="57" fillId="0" borderId="149" xfId="0" applyFont="1" applyBorder="1" applyAlignment="1">
      <alignment vertical="center"/>
    </xf>
    <xf numFmtId="0" fontId="54" fillId="0" borderId="170" xfId="0" applyFont="1" applyBorder="1" applyAlignment="1">
      <alignment vertical="center"/>
    </xf>
    <xf numFmtId="0" fontId="54" fillId="0" borderId="0" xfId="0" applyFont="1" applyAlignment="1">
      <alignment vertical="center"/>
    </xf>
    <xf numFmtId="0" fontId="65" fillId="7" borderId="82" xfId="0" applyFont="1" applyFill="1" applyBorder="1" applyAlignment="1">
      <alignment vertical="center"/>
    </xf>
    <xf numFmtId="0" fontId="57" fillId="0" borderId="15" xfId="0" applyFont="1" applyBorder="1" applyAlignment="1">
      <alignment vertical="center"/>
    </xf>
    <xf numFmtId="0" fontId="57" fillId="0" borderId="175" xfId="0" applyFont="1" applyBorder="1" applyAlignment="1">
      <alignment vertical="center"/>
    </xf>
    <xf numFmtId="0" fontId="18" fillId="0" borderId="87" xfId="0" applyFont="1" applyBorder="1" applyAlignment="1">
      <alignment vertical="center"/>
    </xf>
    <xf numFmtId="0" fontId="57" fillId="0" borderId="13" xfId="0" applyFont="1" applyBorder="1" applyAlignment="1">
      <alignment vertical="center"/>
    </xf>
    <xf numFmtId="0" fontId="65" fillId="7" borderId="57" xfId="0" applyFont="1" applyFill="1" applyBorder="1" applyAlignment="1">
      <alignment vertical="center"/>
    </xf>
    <xf numFmtId="0" fontId="22" fillId="0" borderId="10" xfId="0" applyFont="1" applyBorder="1" applyAlignment="1">
      <alignment vertical="center"/>
    </xf>
    <xf numFmtId="0" fontId="65" fillId="7" borderId="40" xfId="0" applyFont="1" applyFill="1" applyBorder="1" applyAlignment="1">
      <alignment vertical="center"/>
    </xf>
    <xf numFmtId="0" fontId="65" fillId="7" borderId="71" xfId="0" applyFont="1" applyFill="1" applyBorder="1" applyAlignment="1">
      <alignment vertical="center"/>
    </xf>
    <xf numFmtId="0" fontId="57" fillId="0" borderId="76" xfId="0" applyFont="1" applyBorder="1" applyAlignment="1">
      <alignment vertical="center"/>
    </xf>
    <xf numFmtId="0" fontId="57" fillId="7" borderId="6" xfId="0" applyFont="1" applyFill="1" applyBorder="1" applyAlignment="1">
      <alignment vertical="center"/>
    </xf>
    <xf numFmtId="0" fontId="65" fillId="7" borderId="54" xfId="0" applyFont="1" applyFill="1" applyBorder="1" applyAlignment="1">
      <alignment vertical="center"/>
    </xf>
    <xf numFmtId="0" fontId="57" fillId="25" borderId="15" xfId="0" applyFont="1" applyFill="1" applyBorder="1" applyAlignment="1">
      <alignment vertical="center"/>
    </xf>
    <xf numFmtId="0" fontId="57" fillId="25" borderId="6" xfId="0" applyFont="1" applyFill="1" applyBorder="1" applyAlignment="1">
      <alignment vertical="center"/>
    </xf>
    <xf numFmtId="0" fontId="57" fillId="25" borderId="10" xfId="0" applyFont="1" applyFill="1" applyBorder="1" applyAlignment="1">
      <alignment vertical="center"/>
    </xf>
    <xf numFmtId="0" fontId="57" fillId="11" borderId="120" xfId="0" applyFont="1" applyFill="1" applyBorder="1" applyAlignment="1">
      <alignment vertical="center"/>
    </xf>
    <xf numFmtId="0" fontId="57" fillId="11" borderId="113" xfId="0" applyFont="1" applyFill="1" applyBorder="1" applyAlignment="1">
      <alignment vertical="center"/>
    </xf>
    <xf numFmtId="0" fontId="57" fillId="11" borderId="112" xfId="0" applyFont="1" applyFill="1" applyBorder="1" applyAlignment="1">
      <alignment vertical="center"/>
    </xf>
    <xf numFmtId="0" fontId="57" fillId="12" borderId="120" xfId="0" applyFont="1" applyFill="1" applyBorder="1" applyAlignment="1">
      <alignment vertical="center"/>
    </xf>
    <xf numFmtId="0" fontId="57" fillId="12" borderId="113" xfId="0" applyFont="1" applyFill="1" applyBorder="1" applyAlignment="1">
      <alignment vertical="center"/>
    </xf>
    <xf numFmtId="0" fontId="57" fillId="12" borderId="182" xfId="0" applyFont="1" applyFill="1" applyBorder="1" applyAlignment="1">
      <alignment vertical="center"/>
    </xf>
    <xf numFmtId="0" fontId="57" fillId="12" borderId="112" xfId="0" applyFont="1" applyFill="1" applyBorder="1" applyAlignment="1">
      <alignment vertical="center"/>
    </xf>
    <xf numFmtId="0" fontId="57" fillId="12" borderId="15" xfId="0" applyFont="1" applyFill="1" applyBorder="1" applyAlignment="1">
      <alignment vertical="center"/>
    </xf>
    <xf numFmtId="0" fontId="57" fillId="12" borderId="6" xfId="0" applyFont="1" applyFill="1" applyBorder="1" applyAlignment="1">
      <alignment vertical="center"/>
    </xf>
    <xf numFmtId="0" fontId="57" fillId="26" borderId="105" xfId="0" applyFont="1" applyFill="1" applyBorder="1" applyAlignment="1">
      <alignment vertical="center"/>
    </xf>
    <xf numFmtId="0" fontId="57" fillId="27" borderId="88" xfId="0" applyFont="1" applyFill="1" applyBorder="1" applyAlignment="1">
      <alignment vertical="center"/>
    </xf>
    <xf numFmtId="0" fontId="65" fillId="13" borderId="179" xfId="0" applyFont="1" applyFill="1" applyBorder="1" applyAlignment="1">
      <alignment vertical="center"/>
    </xf>
    <xf numFmtId="0" fontId="57" fillId="10" borderId="170" xfId="0" applyFont="1" applyFill="1" applyBorder="1" applyAlignment="1">
      <alignment vertical="center" wrapText="1"/>
    </xf>
    <xf numFmtId="0" fontId="57" fillId="22" borderId="182" xfId="0" applyFont="1" applyFill="1" applyBorder="1" applyAlignment="1">
      <alignment vertical="center"/>
    </xf>
    <xf numFmtId="166" fontId="57" fillId="9" borderId="170" xfId="0" applyNumberFormat="1" applyFont="1" applyFill="1" applyBorder="1" applyAlignment="1">
      <alignment vertical="center" wrapText="1"/>
    </xf>
    <xf numFmtId="166" fontId="57" fillId="9" borderId="181" xfId="0" applyNumberFormat="1" applyFont="1" applyFill="1" applyBorder="1" applyAlignment="1">
      <alignment vertical="center" wrapText="1"/>
    </xf>
    <xf numFmtId="0" fontId="57" fillId="10" borderId="87" xfId="0" applyFont="1" applyFill="1" applyBorder="1" applyAlignment="1">
      <alignment vertical="center"/>
    </xf>
    <xf numFmtId="0" fontId="57" fillId="20" borderId="87" xfId="0" applyFont="1" applyFill="1" applyBorder="1" applyAlignment="1">
      <alignment vertical="center"/>
    </xf>
    <xf numFmtId="0" fontId="57" fillId="21" borderId="6" xfId="0" applyFont="1" applyFill="1" applyBorder="1" applyAlignment="1">
      <alignment vertical="center"/>
    </xf>
    <xf numFmtId="0" fontId="57" fillId="20" borderId="6" xfId="0" applyFont="1" applyFill="1" applyBorder="1" applyAlignment="1">
      <alignment vertical="center"/>
    </xf>
    <xf numFmtId="0" fontId="57" fillId="9" borderId="6" xfId="0" applyFont="1" applyFill="1" applyBorder="1" applyAlignment="1">
      <alignment vertical="center"/>
    </xf>
    <xf numFmtId="0" fontId="61" fillId="8" borderId="80" xfId="0" applyFont="1" applyFill="1" applyBorder="1" applyAlignment="1">
      <alignment vertical="center"/>
    </xf>
    <xf numFmtId="0" fontId="57" fillId="8" borderId="6" xfId="0" applyFont="1" applyFill="1" applyBorder="1" applyAlignment="1">
      <alignment vertical="center"/>
    </xf>
    <xf numFmtId="0" fontId="61" fillId="8" borderId="6" xfId="0" applyFont="1" applyFill="1" applyBorder="1" applyAlignment="1">
      <alignment vertical="center"/>
    </xf>
    <xf numFmtId="0" fontId="57" fillId="11" borderId="6" xfId="0" applyFont="1" applyFill="1" applyBorder="1" applyAlignment="1">
      <alignment vertical="center"/>
    </xf>
    <xf numFmtId="0" fontId="61" fillId="11" borderId="6" xfId="0" applyFont="1" applyFill="1" applyBorder="1" applyAlignment="1">
      <alignment vertical="center"/>
    </xf>
    <xf numFmtId="0" fontId="61" fillId="11" borderId="87" xfId="0" applyFont="1" applyFill="1" applyBorder="1" applyAlignment="1">
      <alignment vertical="center"/>
    </xf>
    <xf numFmtId="0" fontId="61" fillId="11" borderId="170" xfId="0" applyFont="1" applyFill="1" applyBorder="1" applyAlignment="1">
      <alignment vertical="center"/>
    </xf>
    <xf numFmtId="0" fontId="57" fillId="19" borderId="6" xfId="0" applyFont="1" applyFill="1" applyBorder="1" applyAlignment="1">
      <alignment vertical="center"/>
    </xf>
    <xf numFmtId="0" fontId="61" fillId="19" borderId="6" xfId="0" applyFont="1" applyFill="1" applyBorder="1" applyAlignment="1">
      <alignment vertical="center"/>
    </xf>
    <xf numFmtId="0" fontId="0" fillId="10" borderId="6" xfId="0" applyFill="1" applyBorder="1" applyAlignment="1">
      <alignment vertical="center"/>
    </xf>
    <xf numFmtId="0" fontId="0" fillId="20" borderId="6" xfId="0" applyFill="1" applyBorder="1" applyAlignment="1">
      <alignment vertical="center"/>
    </xf>
    <xf numFmtId="0" fontId="61" fillId="12" borderId="6" xfId="0" applyFont="1" applyFill="1" applyBorder="1" applyAlignment="1">
      <alignment vertical="center"/>
    </xf>
    <xf numFmtId="0" fontId="61" fillId="26" borderId="87" xfId="0" applyFont="1" applyFill="1" applyBorder="1" applyAlignment="1">
      <alignment vertical="center"/>
    </xf>
    <xf numFmtId="0" fontId="61" fillId="27" borderId="87" xfId="0" applyFont="1" applyFill="1" applyBorder="1" applyAlignment="1">
      <alignment vertical="center"/>
    </xf>
    <xf numFmtId="0" fontId="57" fillId="51" borderId="182" xfId="0" applyFont="1" applyFill="1" applyBorder="1" applyAlignment="1">
      <alignment vertical="center"/>
    </xf>
    <xf numFmtId="0" fontId="61" fillId="51" borderId="182" xfId="0" applyFont="1" applyFill="1" applyBorder="1" applyAlignment="1">
      <alignment vertical="center"/>
    </xf>
    <xf numFmtId="0" fontId="61" fillId="9" borderId="6" xfId="0" applyFont="1" applyFill="1" applyBorder="1" applyAlignment="1">
      <alignment vertical="center"/>
    </xf>
    <xf numFmtId="0" fontId="61" fillId="9" borderId="197" xfId="0" applyFont="1" applyFill="1" applyBorder="1" applyAlignment="1">
      <alignment vertical="center"/>
    </xf>
    <xf numFmtId="0" fontId="61" fillId="16" borderId="6" xfId="0" applyFont="1" applyFill="1" applyBorder="1" applyAlignment="1">
      <alignment vertical="center"/>
    </xf>
    <xf numFmtId="0" fontId="61" fillId="16" borderId="87" xfId="0" applyFont="1" applyFill="1" applyBorder="1" applyAlignment="1">
      <alignment vertical="center"/>
    </xf>
    <xf numFmtId="0" fontId="61" fillId="16" borderId="86" xfId="0" applyFont="1" applyFill="1" applyBorder="1" applyAlignment="1">
      <alignment vertical="center"/>
    </xf>
    <xf numFmtId="0" fontId="65" fillId="7" borderId="108" xfId="0" applyFont="1" applyFill="1" applyBorder="1" applyAlignment="1">
      <alignment vertical="center"/>
    </xf>
    <xf numFmtId="0" fontId="57" fillId="20" borderId="88" xfId="0" applyFont="1" applyFill="1" applyBorder="1" applyAlignment="1">
      <alignment vertical="center"/>
    </xf>
    <xf numFmtId="0" fontId="57" fillId="20" borderId="182" xfId="0" applyFont="1" applyFill="1" applyBorder="1" applyAlignment="1">
      <alignment vertical="center"/>
    </xf>
    <xf numFmtId="0" fontId="57" fillId="20" borderId="15" xfId="0" applyFont="1" applyFill="1" applyBorder="1" applyAlignment="1">
      <alignment vertical="center"/>
    </xf>
    <xf numFmtId="0" fontId="65" fillId="7" borderId="152" xfId="0" applyFont="1" applyFill="1" applyBorder="1" applyAlignment="1">
      <alignment vertical="center"/>
    </xf>
    <xf numFmtId="0" fontId="57" fillId="20" borderId="80" xfId="0" applyFont="1" applyFill="1" applyBorder="1" applyAlignment="1">
      <alignment vertical="center"/>
    </xf>
    <xf numFmtId="0" fontId="57" fillId="20" borderId="10" xfId="0" applyFont="1" applyFill="1" applyBorder="1" applyAlignment="1">
      <alignment vertical="center"/>
    </xf>
    <xf numFmtId="0" fontId="57" fillId="20" borderId="181" xfId="0" applyFont="1" applyFill="1" applyBorder="1" applyAlignment="1">
      <alignment vertical="center"/>
    </xf>
    <xf numFmtId="0" fontId="65" fillId="7" borderId="179" xfId="0" applyFont="1" applyFill="1" applyBorder="1" applyAlignment="1">
      <alignment vertical="center" wrapText="1"/>
    </xf>
    <xf numFmtId="0" fontId="57" fillId="20" borderId="113" xfId="0" applyFont="1" applyFill="1" applyBorder="1" applyAlignment="1">
      <alignment vertical="center"/>
    </xf>
    <xf numFmtId="0" fontId="57" fillId="9" borderId="197" xfId="0" applyFont="1" applyFill="1" applyBorder="1" applyAlignment="1">
      <alignment horizontal="left" vertical="center"/>
    </xf>
    <xf numFmtId="0" fontId="54" fillId="29" borderId="175" xfId="0" applyFont="1" applyFill="1" applyBorder="1" applyAlignment="1">
      <alignment horizontal="left" vertical="center" wrapText="1"/>
    </xf>
    <xf numFmtId="0" fontId="57" fillId="29" borderId="175" xfId="0" applyFont="1" applyFill="1" applyBorder="1" applyAlignment="1">
      <alignment horizontal="left" vertical="center" wrapText="1"/>
    </xf>
    <xf numFmtId="0" fontId="54" fillId="29" borderId="13" xfId="0" applyFont="1" applyFill="1" applyBorder="1" applyAlignment="1">
      <alignment horizontal="left" vertical="center" wrapText="1"/>
    </xf>
    <xf numFmtId="0" fontId="57" fillId="29" borderId="13" xfId="0" applyFont="1" applyFill="1" applyBorder="1" applyAlignment="1">
      <alignment horizontal="left" vertical="center" wrapText="1"/>
    </xf>
    <xf numFmtId="0" fontId="0" fillId="0" borderId="178" xfId="0" applyBorder="1" applyAlignment="1">
      <alignment horizontal="left" vertical="center"/>
    </xf>
    <xf numFmtId="0" fontId="0" fillId="0" borderId="201" xfId="0" applyBorder="1" applyAlignment="1">
      <alignment horizontal="left" vertical="center"/>
    </xf>
    <xf numFmtId="0" fontId="0" fillId="0" borderId="180" xfId="0" applyBorder="1" applyAlignment="1">
      <alignment horizontal="left" vertical="center"/>
    </xf>
    <xf numFmtId="0" fontId="57" fillId="29" borderId="175" xfId="0" applyFont="1" applyFill="1" applyBorder="1" applyAlignment="1">
      <alignment horizontal="left" vertical="center"/>
    </xf>
    <xf numFmtId="0" fontId="101" fillId="29" borderId="175" xfId="0" applyFont="1" applyFill="1" applyBorder="1" applyAlignment="1">
      <alignment horizontal="left" vertical="center"/>
    </xf>
    <xf numFmtId="165" fontId="57" fillId="29" borderId="175" xfId="0" applyNumberFormat="1" applyFont="1" applyFill="1" applyBorder="1" applyAlignment="1">
      <alignment horizontal="left" vertical="center"/>
    </xf>
    <xf numFmtId="0" fontId="57" fillId="29" borderId="182" xfId="0" applyFont="1" applyFill="1" applyBorder="1" applyAlignment="1">
      <alignment horizontal="left" vertical="center"/>
    </xf>
    <xf numFmtId="2" fontId="57" fillId="29" borderId="175" xfId="0" applyNumberFormat="1" applyFont="1" applyFill="1" applyBorder="1" applyAlignment="1">
      <alignment horizontal="left" vertical="center"/>
    </xf>
    <xf numFmtId="0" fontId="57" fillId="29" borderId="13" xfId="0" applyFont="1" applyFill="1" applyBorder="1" applyAlignment="1">
      <alignment horizontal="left" vertical="center"/>
    </xf>
    <xf numFmtId="0" fontId="101" fillId="29" borderId="13" xfId="0" applyFont="1" applyFill="1" applyBorder="1" applyAlignment="1">
      <alignment horizontal="left" vertical="center"/>
    </xf>
    <xf numFmtId="2" fontId="57" fillId="29" borderId="13" xfId="0" applyNumberFormat="1" applyFont="1" applyFill="1" applyBorder="1" applyAlignment="1">
      <alignment horizontal="left" vertical="center"/>
    </xf>
    <xf numFmtId="0" fontId="54" fillId="0" borderId="149" xfId="0" applyFont="1" applyBorder="1" applyAlignment="1">
      <alignment vertical="center"/>
    </xf>
    <xf numFmtId="0" fontId="54" fillId="0" borderId="10" xfId="0" applyFont="1" applyBorder="1" applyAlignment="1">
      <alignment vertical="center"/>
    </xf>
    <xf numFmtId="0" fontId="57" fillId="0" borderId="179" xfId="0" applyFont="1" applyBorder="1" applyAlignment="1">
      <alignment vertical="center"/>
    </xf>
    <xf numFmtId="0" fontId="54" fillId="10" borderId="88" xfId="0" applyFont="1" applyFill="1" applyBorder="1" applyAlignment="1">
      <alignment vertical="center"/>
    </xf>
    <xf numFmtId="0" fontId="54" fillId="10" borderId="6" xfId="0" applyFont="1" applyFill="1" applyBorder="1" applyAlignment="1">
      <alignment vertical="center"/>
    </xf>
    <xf numFmtId="0" fontId="54" fillId="10" borderId="10" xfId="0" applyFont="1" applyFill="1" applyBorder="1" applyAlignment="1">
      <alignment vertical="center"/>
    </xf>
    <xf numFmtId="0" fontId="54" fillId="7" borderId="88" xfId="0" applyFont="1" applyFill="1" applyBorder="1" applyAlignment="1">
      <alignment vertical="center"/>
    </xf>
    <xf numFmtId="0" fontId="54" fillId="7" borderId="6" xfId="0" applyFont="1" applyFill="1" applyBorder="1" applyAlignment="1">
      <alignment vertical="center"/>
    </xf>
    <xf numFmtId="0" fontId="54" fillId="7" borderId="10" xfId="0" applyFont="1" applyFill="1" applyBorder="1" applyAlignment="1">
      <alignment vertical="center"/>
    </xf>
    <xf numFmtId="0" fontId="57" fillId="8" borderId="170" xfId="0" applyFont="1" applyFill="1" applyBorder="1" applyAlignment="1">
      <alignment vertical="center"/>
    </xf>
    <xf numFmtId="0" fontId="57" fillId="8" borderId="135" xfId="0" applyFont="1" applyFill="1" applyBorder="1" applyAlignment="1">
      <alignment vertical="center"/>
    </xf>
    <xf numFmtId="0" fontId="54" fillId="7" borderId="170" xfId="0" applyFont="1" applyFill="1" applyBorder="1" applyAlignment="1">
      <alignment vertical="center"/>
    </xf>
    <xf numFmtId="0" fontId="57" fillId="19" borderId="170" xfId="0" applyFont="1" applyFill="1" applyBorder="1" applyAlignment="1">
      <alignment vertical="center"/>
    </xf>
    <xf numFmtId="0" fontId="57" fillId="22" borderId="87" xfId="0" applyFont="1" applyFill="1" applyBorder="1" applyAlignment="1">
      <alignment vertical="center"/>
    </xf>
    <xf numFmtId="0" fontId="57" fillId="8" borderId="87" xfId="0" applyFont="1" applyFill="1" applyBorder="1" applyAlignment="1">
      <alignment vertical="center"/>
    </xf>
    <xf numFmtId="0" fontId="57" fillId="8" borderId="88" xfId="0" applyFont="1" applyFill="1" applyBorder="1" applyAlignment="1">
      <alignment vertical="center"/>
    </xf>
    <xf numFmtId="0" fontId="54" fillId="8" borderId="6" xfId="0" applyFont="1" applyFill="1" applyBorder="1" applyAlignment="1">
      <alignment vertical="center"/>
    </xf>
    <xf numFmtId="0" fontId="54" fillId="21" borderId="6" xfId="0" applyFont="1" applyFill="1" applyBorder="1" applyAlignment="1">
      <alignment vertical="center"/>
    </xf>
    <xf numFmtId="0" fontId="54" fillId="22" borderId="6" xfId="0" applyFont="1" applyFill="1" applyBorder="1" applyAlignment="1">
      <alignment vertical="center"/>
    </xf>
    <xf numFmtId="0" fontId="54" fillId="20" borderId="6" xfId="0" applyFont="1" applyFill="1" applyBorder="1" applyAlignment="1">
      <alignment vertical="center"/>
    </xf>
    <xf numFmtId="0" fontId="54" fillId="11" borderId="6" xfId="0" applyFont="1" applyFill="1" applyBorder="1" applyAlignment="1">
      <alignment vertical="center"/>
    </xf>
    <xf numFmtId="0" fontId="57" fillId="18" borderId="6" xfId="0" applyFont="1" applyFill="1" applyBorder="1" applyAlignment="1">
      <alignment vertical="center"/>
    </xf>
    <xf numFmtId="0" fontId="54" fillId="9" borderId="6" xfId="0" applyFont="1" applyFill="1" applyBorder="1" applyAlignment="1">
      <alignment vertical="center"/>
    </xf>
    <xf numFmtId="0" fontId="57" fillId="9" borderId="87" xfId="0" applyFont="1" applyFill="1" applyBorder="1" applyAlignment="1">
      <alignment vertical="center"/>
    </xf>
    <xf numFmtId="0" fontId="57" fillId="9" borderId="170" xfId="0" applyFont="1" applyFill="1" applyBorder="1" applyAlignment="1">
      <alignment vertical="center"/>
    </xf>
    <xf numFmtId="0" fontId="57" fillId="24" borderId="87" xfId="0" applyFont="1" applyFill="1" applyBorder="1" applyAlignment="1">
      <alignment vertical="center"/>
    </xf>
    <xf numFmtId="0" fontId="57" fillId="30" borderId="86" xfId="0" applyFont="1" applyFill="1" applyBorder="1" applyAlignment="1">
      <alignment vertical="center"/>
    </xf>
    <xf numFmtId="0" fontId="57" fillId="20" borderId="63" xfId="0" applyFont="1" applyFill="1" applyBorder="1" applyAlignment="1">
      <alignment vertical="center"/>
    </xf>
    <xf numFmtId="0" fontId="57" fillId="20" borderId="60" xfId="0" applyFont="1" applyFill="1" applyBorder="1" applyAlignment="1">
      <alignment vertical="center"/>
    </xf>
    <xf numFmtId="0" fontId="57" fillId="20" borderId="175" xfId="0" applyFont="1" applyFill="1" applyBorder="1" applyAlignment="1">
      <alignment vertical="center"/>
    </xf>
    <xf numFmtId="0" fontId="57" fillId="20" borderId="163" xfId="0" applyFont="1" applyFill="1" applyBorder="1" applyAlignment="1">
      <alignment vertical="center"/>
    </xf>
    <xf numFmtId="0" fontId="57" fillId="20" borderId="120" xfId="0" applyFont="1" applyFill="1" applyBorder="1" applyAlignment="1">
      <alignment vertical="center"/>
    </xf>
    <xf numFmtId="0" fontId="0" fillId="0" borderId="179" xfId="0" quotePrefix="1" applyBorder="1" applyAlignment="1">
      <alignment horizontal="left" vertical="center"/>
    </xf>
    <xf numFmtId="2" fontId="61" fillId="9" borderId="182" xfId="0" applyNumberFormat="1" applyFont="1" applyFill="1" applyBorder="1" applyAlignment="1">
      <alignment horizontal="center" vertical="center" wrapText="1"/>
    </xf>
    <xf numFmtId="0" fontId="61" fillId="9" borderId="182" xfId="0" applyFont="1" applyFill="1" applyBorder="1" applyAlignment="1">
      <alignment horizontal="left" vertical="center" wrapText="1"/>
    </xf>
    <xf numFmtId="0" fontId="61" fillId="9" borderId="207" xfId="0" applyFont="1" applyFill="1" applyBorder="1" applyAlignment="1">
      <alignment horizontal="left" vertical="center" wrapText="1"/>
    </xf>
    <xf numFmtId="0" fontId="61" fillId="9" borderId="206" xfId="0" applyFont="1" applyFill="1" applyBorder="1" applyAlignment="1">
      <alignment horizontal="left" vertical="center" wrapText="1"/>
    </xf>
    <xf numFmtId="2" fontId="61" fillId="9" borderId="182" xfId="0" applyNumberFormat="1" applyFont="1" applyFill="1" applyBorder="1" applyAlignment="1">
      <alignment horizontal="left" vertical="center" wrapText="1"/>
    </xf>
    <xf numFmtId="165" fontId="61" fillId="9" borderId="182" xfId="0" applyNumberFormat="1" applyFont="1" applyFill="1" applyBorder="1" applyAlignment="1">
      <alignment horizontal="left" vertical="center" wrapText="1"/>
    </xf>
    <xf numFmtId="0" fontId="64" fillId="7" borderId="215" xfId="0" applyFont="1" applyFill="1" applyBorder="1" applyAlignment="1">
      <alignment horizontal="left" vertical="center" wrapText="1"/>
    </xf>
    <xf numFmtId="0" fontId="65" fillId="7" borderId="216" xfId="0" applyFont="1" applyFill="1" applyBorder="1" applyAlignment="1">
      <alignment horizontal="left" vertical="center"/>
    </xf>
    <xf numFmtId="0" fontId="65" fillId="7" borderId="217" xfId="0" applyFont="1" applyFill="1" applyBorder="1" applyAlignment="1">
      <alignment horizontal="left" vertical="center" wrapText="1"/>
    </xf>
    <xf numFmtId="0" fontId="65" fillId="7" borderId="217" xfId="0" applyFont="1" applyFill="1" applyBorder="1" applyAlignment="1">
      <alignment horizontal="center" vertical="center" wrapText="1"/>
    </xf>
    <xf numFmtId="0" fontId="65" fillId="7" borderId="218" xfId="0" applyFont="1" applyFill="1" applyBorder="1" applyAlignment="1">
      <alignment horizontal="left" vertical="center" wrapText="1"/>
    </xf>
    <xf numFmtId="0" fontId="57" fillId="14" borderId="219" xfId="0" applyFont="1" applyFill="1" applyBorder="1" applyAlignment="1">
      <alignment horizontal="left" vertical="center" wrapText="1"/>
    </xf>
    <xf numFmtId="0" fontId="57" fillId="14" borderId="220" xfId="0" applyFont="1" applyFill="1" applyBorder="1" applyAlignment="1">
      <alignment horizontal="left" vertical="center"/>
    </xf>
    <xf numFmtId="0" fontId="57" fillId="14" borderId="220" xfId="0" applyFont="1" applyFill="1" applyBorder="1" applyAlignment="1">
      <alignment horizontal="center" vertical="center"/>
    </xf>
    <xf numFmtId="166" fontId="57" fillId="14" borderId="220" xfId="0" applyNumberFormat="1" applyFont="1" applyFill="1" applyBorder="1" applyAlignment="1">
      <alignment horizontal="center" vertical="center"/>
    </xf>
    <xf numFmtId="0" fontId="57" fillId="14" borderId="220" xfId="0" quotePrefix="1" applyFont="1" applyFill="1" applyBorder="1" applyAlignment="1">
      <alignment horizontal="center" vertical="center"/>
    </xf>
    <xf numFmtId="0" fontId="57" fillId="14" borderId="221" xfId="0" applyFont="1" applyFill="1" applyBorder="1" applyAlignment="1">
      <alignment horizontal="left" vertical="center"/>
    </xf>
    <xf numFmtId="0" fontId="57" fillId="14" borderId="206" xfId="0" applyFont="1" applyFill="1" applyBorder="1" applyAlignment="1">
      <alignment horizontal="left" vertical="center" wrapText="1"/>
    </xf>
    <xf numFmtId="0" fontId="57" fillId="14" borderId="207" xfId="0" applyFont="1" applyFill="1" applyBorder="1" applyAlignment="1">
      <alignment horizontal="left" vertical="center"/>
    </xf>
    <xf numFmtId="0" fontId="57" fillId="14" borderId="211" xfId="0" applyFont="1" applyFill="1" applyBorder="1" applyAlignment="1">
      <alignment horizontal="left" vertical="center"/>
    </xf>
    <xf numFmtId="0" fontId="57" fillId="14" borderId="211" xfId="0" applyFont="1" applyFill="1" applyBorder="1" applyAlignment="1">
      <alignment horizontal="center" vertical="center"/>
    </xf>
    <xf numFmtId="166" fontId="57" fillId="14" borderId="211" xfId="0" applyNumberFormat="1" applyFont="1" applyFill="1" applyBorder="1" applyAlignment="1">
      <alignment horizontal="center" vertical="center"/>
    </xf>
    <xf numFmtId="0" fontId="57" fillId="14" borderId="211" xfId="0" quotePrefix="1" applyFont="1" applyFill="1" applyBorder="1" applyAlignment="1">
      <alignment horizontal="center" vertical="center"/>
    </xf>
    <xf numFmtId="0" fontId="57" fillId="20" borderId="219" xfId="0" applyFont="1" applyFill="1" applyBorder="1" applyAlignment="1">
      <alignment horizontal="left" vertical="center" wrapText="1"/>
    </xf>
    <xf numFmtId="0" fontId="57" fillId="20" borderId="220" xfId="0" applyFont="1" applyFill="1" applyBorder="1" applyAlignment="1">
      <alignment horizontal="left" vertical="center"/>
    </xf>
    <xf numFmtId="0" fontId="57" fillId="20" borderId="220" xfId="0" applyFont="1" applyFill="1" applyBorder="1" applyAlignment="1">
      <alignment horizontal="center" vertical="center"/>
    </xf>
    <xf numFmtId="166" fontId="57" fillId="20" borderId="220" xfId="0" applyNumberFormat="1" applyFont="1" applyFill="1" applyBorder="1" applyAlignment="1">
      <alignment horizontal="center" vertical="center"/>
    </xf>
    <xf numFmtId="0" fontId="57" fillId="20" borderId="220" xfId="0" quotePrefix="1" applyFont="1" applyFill="1" applyBorder="1" applyAlignment="1">
      <alignment horizontal="center" vertical="center"/>
    </xf>
    <xf numFmtId="0" fontId="57" fillId="20" borderId="221" xfId="0" applyFont="1" applyFill="1" applyBorder="1" applyAlignment="1">
      <alignment horizontal="left" vertical="center"/>
    </xf>
    <xf numFmtId="0" fontId="57" fillId="20" borderId="211" xfId="0" applyFont="1" applyFill="1" applyBorder="1" applyAlignment="1">
      <alignment horizontal="left" vertical="center"/>
    </xf>
    <xf numFmtId="0" fontId="57" fillId="20" borderId="211" xfId="0" applyFont="1" applyFill="1" applyBorder="1" applyAlignment="1">
      <alignment horizontal="center" vertical="center"/>
    </xf>
    <xf numFmtId="166" fontId="57" fillId="20" borderId="211" xfId="0" applyNumberFormat="1" applyFont="1" applyFill="1" applyBorder="1" applyAlignment="1">
      <alignment horizontal="center" vertical="center"/>
    </xf>
    <xf numFmtId="0" fontId="57" fillId="20" borderId="211" xfId="0" quotePrefix="1" applyFont="1" applyFill="1" applyBorder="1" applyAlignment="1">
      <alignment horizontal="center" vertical="center"/>
    </xf>
    <xf numFmtId="0" fontId="5" fillId="0" borderId="220" xfId="0" applyFont="1" applyBorder="1" applyAlignment="1">
      <alignment horizontal="left" vertical="center"/>
    </xf>
    <xf numFmtId="0" fontId="5" fillId="0" borderId="182" xfId="0" applyFont="1" applyBorder="1" applyAlignment="1">
      <alignment horizontal="left" vertical="center"/>
    </xf>
    <xf numFmtId="0" fontId="5" fillId="0" borderId="175" xfId="0" applyFont="1" applyBorder="1" applyAlignment="1">
      <alignment horizontal="left" vertical="center"/>
    </xf>
    <xf numFmtId="0" fontId="57" fillId="7" borderId="206" xfId="0" applyFont="1" applyFill="1" applyBorder="1" applyAlignment="1">
      <alignment horizontal="left" vertical="center"/>
    </xf>
    <xf numFmtId="0" fontId="57" fillId="7" borderId="182" xfId="0" quotePrefix="1" applyFont="1" applyFill="1" applyBorder="1" applyAlignment="1">
      <alignment horizontal="left" vertical="center" wrapText="1"/>
    </xf>
    <xf numFmtId="0" fontId="57" fillId="7" borderId="182" xfId="0" quotePrefix="1" applyFont="1" applyFill="1" applyBorder="1" applyAlignment="1">
      <alignment horizontal="left" vertical="center"/>
    </xf>
    <xf numFmtId="0" fontId="57" fillId="7" borderId="207" xfId="0" applyFont="1" applyFill="1" applyBorder="1" applyAlignment="1">
      <alignment horizontal="left" vertical="center"/>
    </xf>
    <xf numFmtId="0" fontId="37" fillId="7" borderId="215" xfId="0" applyFont="1" applyFill="1" applyBorder="1" applyAlignment="1">
      <alignment horizontal="left" vertical="center" wrapText="1"/>
    </xf>
    <xf numFmtId="0" fontId="65" fillId="13" borderId="216" xfId="0" applyFont="1" applyFill="1" applyBorder="1" applyAlignment="1">
      <alignment horizontal="left" vertical="center"/>
    </xf>
    <xf numFmtId="0" fontId="82" fillId="13" borderId="217" xfId="0" applyFont="1" applyFill="1" applyBorder="1" applyAlignment="1">
      <alignment horizontal="left" vertical="center"/>
    </xf>
    <xf numFmtId="0" fontId="65" fillId="13" borderId="217" xfId="0" applyFont="1" applyFill="1" applyBorder="1" applyAlignment="1">
      <alignment horizontal="left" vertical="center"/>
    </xf>
    <xf numFmtId="0" fontId="65" fillId="13" borderId="218" xfId="0" applyFont="1" applyFill="1" applyBorder="1" applyAlignment="1">
      <alignment horizontal="left" vertical="center"/>
    </xf>
    <xf numFmtId="0" fontId="57" fillId="4" borderId="219" xfId="0" applyFont="1" applyFill="1" applyBorder="1" applyAlignment="1">
      <alignment horizontal="left" vertical="center"/>
    </xf>
    <xf numFmtId="0" fontId="57" fillId="4" borderId="220" xfId="0" applyFont="1" applyFill="1" applyBorder="1" applyAlignment="1">
      <alignment horizontal="left" vertical="center" wrapText="1"/>
    </xf>
    <xf numFmtId="11" fontId="57" fillId="4" borderId="220" xfId="0" applyNumberFormat="1" applyFont="1" applyFill="1" applyBorder="1" applyAlignment="1">
      <alignment horizontal="left" vertical="center"/>
    </xf>
    <xf numFmtId="0" fontId="57" fillId="4" borderId="220" xfId="0" applyFont="1" applyFill="1" applyBorder="1" applyAlignment="1">
      <alignment horizontal="left" vertical="center"/>
    </xf>
    <xf numFmtId="0" fontId="57" fillId="4" borderId="221" xfId="0" applyFont="1" applyFill="1" applyBorder="1" applyAlignment="1">
      <alignment horizontal="left" vertical="center"/>
    </xf>
    <xf numFmtId="0" fontId="57" fillId="4" borderId="182" xfId="0" applyFont="1" applyFill="1" applyBorder="1" applyAlignment="1">
      <alignment horizontal="left" vertical="center"/>
    </xf>
    <xf numFmtId="0" fontId="57" fillId="4" borderId="207" xfId="0" applyFont="1" applyFill="1" applyBorder="1" applyAlignment="1">
      <alignment horizontal="left" vertical="center"/>
    </xf>
    <xf numFmtId="0" fontId="57" fillId="4" borderId="211" xfId="0" applyFont="1" applyFill="1" applyBorder="1" applyAlignment="1">
      <alignment horizontal="left" vertical="center"/>
    </xf>
    <xf numFmtId="0" fontId="64" fillId="7" borderId="222" xfId="0" applyFont="1" applyFill="1" applyBorder="1" applyAlignment="1">
      <alignment horizontal="center" vertical="center" wrapText="1"/>
    </xf>
    <xf numFmtId="0" fontId="65" fillId="13" borderId="212" xfId="0" applyFont="1" applyFill="1" applyBorder="1" applyAlignment="1">
      <alignment horizontal="left" vertical="center"/>
    </xf>
    <xf numFmtId="0" fontId="82" fillId="13" borderId="213" xfId="0" applyFont="1" applyFill="1" applyBorder="1" applyAlignment="1">
      <alignment horizontal="left" vertical="center"/>
    </xf>
    <xf numFmtId="0" fontId="65" fillId="13" borderId="213" xfId="0" applyFont="1" applyFill="1" applyBorder="1" applyAlignment="1">
      <alignment horizontal="left" vertical="center"/>
    </xf>
    <xf numFmtId="0" fontId="65" fillId="13" borderId="214" xfId="0" applyFont="1" applyFill="1" applyBorder="1" applyAlignment="1">
      <alignment horizontal="left" vertical="center"/>
    </xf>
    <xf numFmtId="0" fontId="54" fillId="4" borderId="220" xfId="0" quotePrefix="1" applyFont="1" applyFill="1" applyBorder="1" applyAlignment="1">
      <alignment horizontal="left" vertical="center" wrapText="1"/>
    </xf>
    <xf numFmtId="164" fontId="57" fillId="4" borderId="220" xfId="0" applyNumberFormat="1" applyFont="1" applyFill="1" applyBorder="1" applyAlignment="1">
      <alignment horizontal="left" vertical="center"/>
    </xf>
    <xf numFmtId="0" fontId="57" fillId="4" borderId="206" xfId="0" applyFont="1" applyFill="1" applyBorder="1" applyAlignment="1">
      <alignment horizontal="left" vertical="center"/>
    </xf>
    <xf numFmtId="0" fontId="57" fillId="4" borderId="182" xfId="0" applyFont="1" applyFill="1" applyBorder="1" applyAlignment="1">
      <alignment horizontal="left" vertical="center" wrapText="1"/>
    </xf>
    <xf numFmtId="0" fontId="54" fillId="4" borderId="182" xfId="0" quotePrefix="1" applyFont="1" applyFill="1" applyBorder="1" applyAlignment="1">
      <alignment horizontal="left" vertical="center" wrapText="1"/>
    </xf>
    <xf numFmtId="164" fontId="57" fillId="4" borderId="182" xfId="0" applyNumberFormat="1" applyFont="1" applyFill="1" applyBorder="1" applyAlignment="1">
      <alignment horizontal="left" vertical="center"/>
    </xf>
    <xf numFmtId="0" fontId="57" fillId="4" borderId="211" xfId="0" applyFont="1" applyFill="1" applyBorder="1" applyAlignment="1">
      <alignment horizontal="left" vertical="center" wrapText="1"/>
    </xf>
    <xf numFmtId="164" fontId="57" fillId="4" borderId="211" xfId="0" applyNumberFormat="1" applyFont="1" applyFill="1" applyBorder="1" applyAlignment="1">
      <alignment horizontal="left" vertical="center"/>
    </xf>
    <xf numFmtId="0" fontId="57" fillId="20" borderId="206" xfId="2" applyFont="1" applyFill="1" applyBorder="1" applyAlignment="1">
      <alignment horizontal="left" vertical="center" wrapText="1"/>
    </xf>
    <xf numFmtId="0" fontId="57" fillId="20" borderId="207" xfId="0" applyFont="1" applyFill="1" applyBorder="1" applyAlignment="1">
      <alignment horizontal="left" vertical="center"/>
    </xf>
    <xf numFmtId="0" fontId="57" fillId="20" borderId="171" xfId="2" applyFont="1" applyFill="1" applyBorder="1" applyAlignment="1">
      <alignment horizontal="left" vertical="center" wrapText="1"/>
    </xf>
    <xf numFmtId="0" fontId="57" fillId="20" borderId="111" xfId="2" applyFont="1" applyFill="1" applyBorder="1" applyAlignment="1">
      <alignment horizontal="left" vertical="center" wrapText="1"/>
    </xf>
    <xf numFmtId="0" fontId="57" fillId="20" borderId="211" xfId="0" applyFont="1" applyFill="1" applyBorder="1" applyAlignment="1">
      <alignment horizontal="left" vertical="center" wrapText="1"/>
    </xf>
    <xf numFmtId="0" fontId="106" fillId="29" borderId="114" xfId="2" applyFont="1" applyFill="1" applyBorder="1" applyAlignment="1">
      <alignment horizontal="left" vertical="center" wrapText="1"/>
    </xf>
    <xf numFmtId="0" fontId="57" fillId="29" borderId="119" xfId="0" applyFont="1" applyFill="1" applyBorder="1" applyAlignment="1">
      <alignment horizontal="left" vertical="center"/>
    </xf>
    <xf numFmtId="0" fontId="57" fillId="29" borderId="52" xfId="0" applyFont="1" applyFill="1" applyBorder="1" applyAlignment="1">
      <alignment horizontal="center" vertical="center"/>
    </xf>
    <xf numFmtId="0" fontId="57" fillId="29" borderId="211" xfId="0" applyFont="1" applyFill="1" applyBorder="1" applyAlignment="1">
      <alignment horizontal="left" vertical="center"/>
    </xf>
    <xf numFmtId="0" fontId="101" fillId="29" borderId="211" xfId="0" applyFont="1" applyFill="1" applyBorder="1" applyAlignment="1">
      <alignment horizontal="left" vertical="center"/>
    </xf>
    <xf numFmtId="2" fontId="57" fillId="29" borderId="211" xfId="0" applyNumberFormat="1" applyFont="1" applyFill="1" applyBorder="1" applyAlignment="1">
      <alignment horizontal="left" vertical="center"/>
    </xf>
    <xf numFmtId="0" fontId="54" fillId="29" borderId="211" xfId="0" applyFont="1" applyFill="1" applyBorder="1" applyAlignment="1">
      <alignment horizontal="left" vertical="center" wrapText="1"/>
    </xf>
    <xf numFmtId="0" fontId="57" fillId="29" borderId="211" xfId="0" applyFont="1" applyFill="1" applyBorder="1" applyAlignment="1">
      <alignment horizontal="left" vertical="center" wrapText="1"/>
    </xf>
    <xf numFmtId="0" fontId="106" fillId="0" borderId="0" xfId="2" applyFont="1" applyAlignment="1">
      <alignment horizontal="left" vertical="center" wrapText="1"/>
    </xf>
    <xf numFmtId="0" fontId="101" fillId="0" borderId="0" xfId="0" applyFont="1" applyAlignment="1">
      <alignment horizontal="left" vertical="center"/>
    </xf>
    <xf numFmtId="2" fontId="57" fillId="0" borderId="0" xfId="0" applyNumberFormat="1" applyFont="1" applyAlignment="1">
      <alignment horizontal="left" vertical="center"/>
    </xf>
    <xf numFmtId="0" fontId="54" fillId="0" borderId="0" xfId="0" applyFont="1" applyAlignment="1">
      <alignment horizontal="left" vertical="center" wrapText="1"/>
    </xf>
    <xf numFmtId="0" fontId="57" fillId="0" borderId="0" xfId="0" applyFont="1" applyAlignment="1">
      <alignment horizontal="center" vertical="center"/>
    </xf>
    <xf numFmtId="0" fontId="82" fillId="7" borderId="217" xfId="0" applyFont="1" applyFill="1" applyBorder="1" applyAlignment="1">
      <alignment horizontal="left" vertical="center"/>
    </xf>
    <xf numFmtId="0" fontId="65" fillId="7" borderId="217" xfId="0" applyFont="1" applyFill="1" applyBorder="1" applyAlignment="1">
      <alignment horizontal="left" vertical="center"/>
    </xf>
    <xf numFmtId="0" fontId="65" fillId="7" borderId="218" xfId="0" applyFont="1" applyFill="1" applyBorder="1" applyAlignment="1">
      <alignment horizontal="left" vertical="center"/>
    </xf>
    <xf numFmtId="164" fontId="57" fillId="20" borderId="175" xfId="0" applyNumberFormat="1" applyFont="1" applyFill="1" applyBorder="1" applyAlignment="1">
      <alignment horizontal="left" vertical="center"/>
    </xf>
    <xf numFmtId="164" fontId="57" fillId="20" borderId="211" xfId="0" applyNumberFormat="1" applyFont="1" applyFill="1" applyBorder="1" applyAlignment="1">
      <alignment horizontal="left" vertical="center"/>
    </xf>
    <xf numFmtId="164" fontId="57" fillId="4" borderId="175" xfId="0" applyNumberFormat="1" applyFont="1" applyFill="1" applyBorder="1" applyAlignment="1">
      <alignment horizontal="left" vertical="center"/>
    </xf>
    <xf numFmtId="0" fontId="57" fillId="4" borderId="175" xfId="0" applyFont="1" applyFill="1" applyBorder="1" applyAlignment="1">
      <alignment vertical="center"/>
    </xf>
    <xf numFmtId="0" fontId="57" fillId="4" borderId="172" xfId="0" applyFont="1" applyFill="1" applyBorder="1" applyAlignment="1">
      <alignment horizontal="left" vertical="center"/>
    </xf>
    <xf numFmtId="0" fontId="57" fillId="20" borderId="206" xfId="2" applyFont="1" applyFill="1" applyBorder="1" applyAlignment="1">
      <alignment horizontal="left" vertical="center"/>
    </xf>
    <xf numFmtId="0" fontId="57" fillId="4" borderId="211" xfId="0" applyFont="1" applyFill="1" applyBorder="1" applyAlignment="1">
      <alignment vertical="center"/>
    </xf>
    <xf numFmtId="0" fontId="4" fillId="0" borderId="182" xfId="0" applyFont="1" applyBorder="1" applyAlignment="1">
      <alignment horizontal="left" vertical="center"/>
    </xf>
    <xf numFmtId="0" fontId="54" fillId="0" borderId="223" xfId="0" applyFont="1" applyBorder="1" applyAlignment="1">
      <alignment horizontal="left" vertical="center" wrapText="1"/>
    </xf>
    <xf numFmtId="0" fontId="54" fillId="0" borderId="224" xfId="0" applyFont="1" applyBorder="1" applyAlignment="1">
      <alignment horizontal="left" vertical="center" wrapText="1"/>
    </xf>
    <xf numFmtId="8" fontId="57" fillId="0" borderId="224" xfId="0" applyNumberFormat="1" applyFont="1" applyBorder="1" applyAlignment="1">
      <alignment horizontal="left" vertical="center" wrapText="1"/>
    </xf>
    <xf numFmtId="164" fontId="54" fillId="0" borderId="224" xfId="0" applyNumberFormat="1" applyFont="1" applyBorder="1" applyAlignment="1">
      <alignment horizontal="left" vertical="center" wrapText="1"/>
    </xf>
    <xf numFmtId="0" fontId="57" fillId="0" borderId="224" xfId="0" applyFont="1" applyBorder="1" applyAlignment="1">
      <alignment horizontal="left" vertical="center"/>
    </xf>
    <xf numFmtId="0" fontId="54" fillId="0" borderId="225" xfId="0" applyFont="1" applyBorder="1" applyAlignment="1">
      <alignment horizontal="left" vertical="center" wrapText="1"/>
    </xf>
    <xf numFmtId="0" fontId="54" fillId="0" borderId="9" xfId="0" applyFont="1" applyBorder="1" applyAlignment="1">
      <alignment horizontal="left" vertical="center" wrapText="1"/>
    </xf>
    <xf numFmtId="0" fontId="54" fillId="0" borderId="211" xfId="0" applyFont="1" applyBorder="1" applyAlignment="1">
      <alignment horizontal="left" vertical="center" wrapText="1"/>
    </xf>
    <xf numFmtId="8" fontId="57" fillId="0" borderId="211" xfId="0" applyNumberFormat="1" applyFont="1" applyBorder="1" applyAlignment="1">
      <alignment horizontal="left" vertical="center" wrapText="1"/>
    </xf>
    <xf numFmtId="164" fontId="54" fillId="0" borderId="211" xfId="0" applyNumberFormat="1" applyFont="1" applyBorder="1" applyAlignment="1">
      <alignment horizontal="left" vertical="center" wrapText="1"/>
    </xf>
    <xf numFmtId="0" fontId="57" fillId="0" borderId="211" xfId="0" applyFont="1" applyBorder="1" applyAlignment="1">
      <alignment horizontal="left" vertical="center"/>
    </xf>
    <xf numFmtId="0" fontId="54" fillId="0" borderId="11" xfId="0" applyFont="1" applyBorder="1" applyAlignment="1">
      <alignment horizontal="left" vertical="center" wrapText="1"/>
    </xf>
    <xf numFmtId="0" fontId="54" fillId="0" borderId="223" xfId="0" applyFont="1" applyBorder="1" applyAlignment="1">
      <alignment horizontal="left" vertical="center"/>
    </xf>
    <xf numFmtId="164" fontId="54" fillId="0" borderId="224" xfId="0" applyNumberFormat="1" applyFont="1" applyBorder="1" applyAlignment="1">
      <alignment horizontal="left" vertical="center"/>
    </xf>
    <xf numFmtId="0" fontId="54" fillId="0" borderId="224" xfId="0" applyFont="1" applyBorder="1" applyAlignment="1">
      <alignment horizontal="left" vertical="center"/>
    </xf>
    <xf numFmtId="0" fontId="54" fillId="0" borderId="225" xfId="0" applyFont="1" applyBorder="1" applyAlignment="1">
      <alignment horizontal="left" vertical="center"/>
    </xf>
    <xf numFmtId="0" fontId="76" fillId="0" borderId="223" xfId="0" applyFont="1" applyBorder="1" applyAlignment="1">
      <alignment horizontal="left"/>
    </xf>
    <xf numFmtId="0" fontId="0" fillId="0" borderId="224" xfId="0" applyBorder="1" applyAlignment="1">
      <alignment horizontal="left"/>
    </xf>
    <xf numFmtId="11" fontId="15" fillId="0" borderId="224" xfId="223" applyNumberFormat="1" applyBorder="1" applyAlignment="1">
      <alignment horizontal="center"/>
    </xf>
    <xf numFmtId="0" fontId="54" fillId="0" borderId="224" xfId="0" applyFont="1" applyBorder="1" applyAlignment="1">
      <alignment horizontal="center" vertical="center"/>
    </xf>
    <xf numFmtId="0" fontId="4" fillId="0" borderId="224" xfId="219" applyFont="1" applyBorder="1" applyAlignment="1">
      <alignment horizontal="center"/>
    </xf>
    <xf numFmtId="0" fontId="54" fillId="0" borderId="224" xfId="0" applyFont="1" applyBorder="1" applyAlignment="1">
      <alignment horizontal="center"/>
    </xf>
    <xf numFmtId="0" fontId="0" fillId="0" borderId="224" xfId="0" applyBorder="1" applyAlignment="1">
      <alignment horizontal="center"/>
    </xf>
    <xf numFmtId="0" fontId="0" fillId="0" borderId="225" xfId="0" applyBorder="1"/>
    <xf numFmtId="0" fontId="54" fillId="8" borderId="224" xfId="0" quotePrefix="1" applyFont="1" applyFill="1" applyBorder="1" applyAlignment="1">
      <alignment horizontal="center" vertical="center"/>
    </xf>
    <xf numFmtId="0" fontId="54" fillId="21" borderId="224" xfId="0" quotePrefix="1" applyFont="1" applyFill="1" applyBorder="1" applyAlignment="1">
      <alignment horizontal="center" vertical="center"/>
    </xf>
    <xf numFmtId="0" fontId="54" fillId="11" borderId="224" xfId="0" quotePrefix="1" applyFont="1" applyFill="1" applyBorder="1" applyAlignment="1">
      <alignment horizontal="center" vertical="center"/>
    </xf>
    <xf numFmtId="0" fontId="54" fillId="11" borderId="224" xfId="0" applyFont="1" applyFill="1" applyBorder="1" applyAlignment="1">
      <alignment horizontal="center" vertical="center"/>
    </xf>
    <xf numFmtId="0" fontId="54" fillId="10" borderId="224" xfId="0" applyFont="1" applyFill="1" applyBorder="1" applyAlignment="1">
      <alignment horizontal="center" vertical="center"/>
    </xf>
    <xf numFmtId="0" fontId="54" fillId="22" borderId="224" xfId="0" applyFont="1" applyFill="1" applyBorder="1" applyAlignment="1">
      <alignment horizontal="center" vertical="center"/>
    </xf>
    <xf numFmtId="0" fontId="54" fillId="20" borderId="224" xfId="0" quotePrefix="1" applyFont="1" applyFill="1" applyBorder="1" applyAlignment="1">
      <alignment horizontal="center" vertical="center"/>
    </xf>
    <xf numFmtId="0" fontId="54" fillId="20" borderId="224" xfId="0" applyFont="1" applyFill="1" applyBorder="1" applyAlignment="1">
      <alignment horizontal="center" vertical="center"/>
    </xf>
    <xf numFmtId="0" fontId="54" fillId="12" borderId="224" xfId="0" quotePrefix="1" applyFont="1" applyFill="1" applyBorder="1" applyAlignment="1">
      <alignment horizontal="center" vertical="center"/>
    </xf>
    <xf numFmtId="0" fontId="54" fillId="12" borderId="224" xfId="0" applyFont="1" applyFill="1" applyBorder="1" applyAlignment="1">
      <alignment horizontal="center" vertical="center"/>
    </xf>
    <xf numFmtId="0" fontId="54" fillId="18" borderId="224" xfId="0" quotePrefix="1" applyFont="1" applyFill="1" applyBorder="1" applyAlignment="1">
      <alignment horizontal="center" vertical="center"/>
    </xf>
    <xf numFmtId="0" fontId="54" fillId="18" borderId="224" xfId="0" applyFont="1" applyFill="1" applyBorder="1" applyAlignment="1">
      <alignment horizontal="center" vertical="center"/>
    </xf>
    <xf numFmtId="0" fontId="54" fillId="28" borderId="224" xfId="0" applyFont="1" applyFill="1" applyBorder="1" applyAlignment="1">
      <alignment horizontal="center" vertical="center"/>
    </xf>
    <xf numFmtId="0" fontId="54" fillId="26" borderId="224" xfId="0" applyFont="1" applyFill="1" applyBorder="1" applyAlignment="1">
      <alignment horizontal="center" vertical="center"/>
    </xf>
    <xf numFmtId="0" fontId="54" fillId="27" borderId="224" xfId="0" applyFont="1" applyFill="1" applyBorder="1" applyAlignment="1">
      <alignment horizontal="center" vertical="center"/>
    </xf>
    <xf numFmtId="0" fontId="54" fillId="51" borderId="224" xfId="0" applyFont="1" applyFill="1" applyBorder="1" applyAlignment="1">
      <alignment horizontal="center" vertical="center"/>
    </xf>
    <xf numFmtId="0" fontId="54" fillId="9" borderId="224" xfId="0" applyFont="1" applyFill="1" applyBorder="1" applyAlignment="1">
      <alignment horizontal="center" vertical="center"/>
    </xf>
    <xf numFmtId="0" fontId="54" fillId="7" borderId="224" xfId="0" applyFont="1" applyFill="1" applyBorder="1" applyAlignment="1">
      <alignment horizontal="center" vertical="center"/>
    </xf>
    <xf numFmtId="0" fontId="54" fillId="7" borderId="224" xfId="0" quotePrefix="1" applyFont="1" applyFill="1" applyBorder="1" applyAlignment="1">
      <alignment horizontal="center" vertical="center"/>
    </xf>
    <xf numFmtId="0" fontId="0" fillId="9" borderId="224" xfId="0" applyFill="1" applyBorder="1" applyAlignment="1">
      <alignment horizontal="center" vertical="center"/>
    </xf>
    <xf numFmtId="0" fontId="54" fillId="16" borderId="224" xfId="0" quotePrefix="1" applyFont="1" applyFill="1" applyBorder="1" applyAlignment="1">
      <alignment horizontal="center" vertical="center"/>
    </xf>
    <xf numFmtId="0" fontId="54" fillId="15" borderId="224" xfId="0" quotePrefix="1" applyFont="1" applyFill="1" applyBorder="1" applyAlignment="1">
      <alignment horizontal="center" vertical="center"/>
    </xf>
    <xf numFmtId="0" fontId="54" fillId="48" borderId="224" xfId="0" quotePrefix="1" applyFont="1" applyFill="1" applyBorder="1" applyAlignment="1">
      <alignment horizontal="center" vertical="center"/>
    </xf>
    <xf numFmtId="0" fontId="54" fillId="4" borderId="224" xfId="0" quotePrefix="1" applyFont="1" applyFill="1" applyBorder="1" applyAlignment="1">
      <alignment horizontal="center" vertical="center"/>
    </xf>
    <xf numFmtId="0" fontId="54" fillId="29" borderId="224" xfId="0" quotePrefix="1" applyFont="1" applyFill="1" applyBorder="1" applyAlignment="1">
      <alignment horizontal="center" vertical="center"/>
    </xf>
    <xf numFmtId="0" fontId="54" fillId="5" borderId="220" xfId="0" applyFont="1" applyFill="1" applyBorder="1" applyAlignment="1">
      <alignment horizontal="center" vertical="center"/>
    </xf>
    <xf numFmtId="0" fontId="0" fillId="5" borderId="224" xfId="0" applyFill="1" applyBorder="1"/>
    <xf numFmtId="0" fontId="57" fillId="5" borderId="224" xfId="0" applyFont="1" applyFill="1" applyBorder="1" applyAlignment="1">
      <alignment horizontal="center" vertical="center"/>
    </xf>
    <xf numFmtId="0" fontId="54" fillId="5" borderId="224" xfId="0" applyFont="1" applyFill="1" applyBorder="1" applyAlignment="1">
      <alignment horizontal="center" vertical="center"/>
    </xf>
    <xf numFmtId="0" fontId="54" fillId="5" borderId="211" xfId="0" applyFont="1" applyFill="1" applyBorder="1" applyAlignment="1">
      <alignment horizontal="center" vertical="center"/>
    </xf>
    <xf numFmtId="0" fontId="37" fillId="28" borderId="223" xfId="0" applyFont="1" applyFill="1" applyBorder="1" applyAlignment="1">
      <alignment horizontal="center" vertical="center"/>
    </xf>
    <xf numFmtId="0" fontId="37" fillId="28" borderId="224" xfId="0" applyFont="1" applyFill="1" applyBorder="1" applyAlignment="1">
      <alignment horizontal="center" vertical="center"/>
    </xf>
    <xf numFmtId="0" fontId="0" fillId="28" borderId="224" xfId="0" applyFill="1" applyBorder="1" applyAlignment="1">
      <alignment horizontal="left" vertical="center"/>
    </xf>
    <xf numFmtId="0" fontId="0" fillId="28" borderId="224" xfId="0" applyFill="1" applyBorder="1" applyAlignment="1">
      <alignment horizontal="center" vertical="center"/>
    </xf>
    <xf numFmtId="0" fontId="0" fillId="28" borderId="224" xfId="0" quotePrefix="1" applyFill="1" applyBorder="1" applyAlignment="1">
      <alignment horizontal="center" vertical="center"/>
    </xf>
    <xf numFmtId="0" fontId="54" fillId="28" borderId="224" xfId="0" applyFont="1" applyFill="1" applyBorder="1" applyAlignment="1">
      <alignment horizontal="left" vertical="center"/>
    </xf>
    <xf numFmtId="0" fontId="0" fillId="28" borderId="225" xfId="0" applyFill="1" applyBorder="1"/>
    <xf numFmtId="0" fontId="57" fillId="28" borderId="223" xfId="0" applyFont="1" applyFill="1" applyBorder="1" applyAlignment="1">
      <alignment horizontal="left" vertical="center" wrapText="1"/>
    </xf>
    <xf numFmtId="2" fontId="57" fillId="28" borderId="224" xfId="0" applyNumberFormat="1" applyFont="1" applyFill="1" applyBorder="1" applyAlignment="1">
      <alignment horizontal="left" vertical="center" wrapText="1"/>
    </xf>
    <xf numFmtId="2" fontId="57" fillId="28" borderId="224" xfId="0" applyNumberFormat="1" applyFont="1" applyFill="1" applyBorder="1" applyAlignment="1">
      <alignment horizontal="center" vertical="center" wrapText="1"/>
    </xf>
    <xf numFmtId="0" fontId="57" fillId="28" borderId="224" xfId="0" applyFont="1" applyFill="1" applyBorder="1" applyAlignment="1">
      <alignment horizontal="center" vertical="center" wrapText="1"/>
    </xf>
    <xf numFmtId="0" fontId="57" fillId="28" borderId="225" xfId="0" applyFont="1" applyFill="1" applyBorder="1" applyAlignment="1">
      <alignment horizontal="left" vertical="center"/>
    </xf>
    <xf numFmtId="0" fontId="57" fillId="28" borderId="9" xfId="0" applyFont="1" applyFill="1" applyBorder="1" applyAlignment="1">
      <alignment horizontal="left" vertical="center" wrapText="1"/>
    </xf>
    <xf numFmtId="2" fontId="57" fillId="28" borderId="211" xfId="0" applyNumberFormat="1" applyFont="1" applyFill="1" applyBorder="1" applyAlignment="1">
      <alignment horizontal="left" vertical="center" wrapText="1"/>
    </xf>
    <xf numFmtId="2" fontId="57" fillId="28" borderId="211" xfId="0" applyNumberFormat="1" applyFont="1" applyFill="1" applyBorder="1" applyAlignment="1">
      <alignment horizontal="center" vertical="center" wrapText="1"/>
    </xf>
    <xf numFmtId="0" fontId="57" fillId="28" borderId="211" xfId="0" applyFont="1" applyFill="1" applyBorder="1" applyAlignment="1">
      <alignment horizontal="center" vertical="center" wrapText="1"/>
    </xf>
    <xf numFmtId="0" fontId="61" fillId="9" borderId="223" xfId="0" applyFont="1" applyFill="1" applyBorder="1" applyAlignment="1">
      <alignment horizontal="left" vertical="center" wrapText="1"/>
    </xf>
    <xf numFmtId="166" fontId="61" fillId="9" borderId="224" xfId="0" applyNumberFormat="1" applyFont="1" applyFill="1" applyBorder="1" applyAlignment="1">
      <alignment horizontal="left" vertical="center" wrapText="1"/>
    </xf>
    <xf numFmtId="166" fontId="61" fillId="9" borderId="224" xfId="0" applyNumberFormat="1" applyFont="1" applyFill="1" applyBorder="1" applyAlignment="1">
      <alignment horizontal="center" vertical="center" wrapText="1"/>
    </xf>
    <xf numFmtId="0" fontId="61" fillId="9" borderId="224" xfId="0" applyFont="1" applyFill="1" applyBorder="1" applyAlignment="1">
      <alignment horizontal="center" vertical="center" wrapText="1"/>
    </xf>
    <xf numFmtId="0" fontId="61" fillId="9" borderId="224" xfId="0" applyFont="1" applyFill="1" applyBorder="1" applyAlignment="1">
      <alignment horizontal="left" vertical="center" wrapText="1"/>
    </xf>
    <xf numFmtId="0" fontId="61" fillId="9" borderId="225" xfId="0" applyFont="1" applyFill="1" applyBorder="1" applyAlignment="1">
      <alignment horizontal="left" vertical="center" wrapText="1"/>
    </xf>
    <xf numFmtId="0" fontId="0" fillId="47" borderId="224" xfId="0" applyFill="1" applyBorder="1" applyAlignment="1">
      <alignment horizontal="left" vertical="center"/>
    </xf>
    <xf numFmtId="0" fontId="54" fillId="47" borderId="224" xfId="0" applyFont="1" applyFill="1" applyBorder="1"/>
    <xf numFmtId="0" fontId="0" fillId="47" borderId="224" xfId="0" applyFill="1" applyBorder="1"/>
    <xf numFmtId="164" fontId="61" fillId="9" borderId="175" xfId="0" applyNumberFormat="1" applyFont="1" applyFill="1" applyBorder="1" applyAlignment="1">
      <alignment horizontal="center" vertical="center" wrapText="1"/>
    </xf>
    <xf numFmtId="0" fontId="61" fillId="9" borderId="175" xfId="0" applyFont="1" applyFill="1" applyBorder="1" applyAlignment="1">
      <alignment horizontal="center" vertical="center" wrapText="1"/>
    </xf>
    <xf numFmtId="0" fontId="61" fillId="9" borderId="175" xfId="0" applyFont="1" applyFill="1" applyBorder="1" applyAlignment="1">
      <alignment horizontal="left" vertical="center" wrapText="1"/>
    </xf>
    <xf numFmtId="0" fontId="61" fillId="9" borderId="172" xfId="0" applyFont="1" applyFill="1" applyBorder="1" applyAlignment="1">
      <alignment horizontal="left" vertical="center" wrapText="1"/>
    </xf>
    <xf numFmtId="0" fontId="61" fillId="9" borderId="171" xfId="0" applyFont="1" applyFill="1" applyBorder="1" applyAlignment="1">
      <alignment horizontal="left" vertical="center" wrapText="1"/>
    </xf>
    <xf numFmtId="164" fontId="61" fillId="9" borderId="175" xfId="0" applyNumberFormat="1" applyFont="1" applyFill="1" applyBorder="1" applyAlignment="1">
      <alignment horizontal="left" vertical="center" wrapText="1"/>
    </xf>
    <xf numFmtId="165" fontId="61" fillId="9" borderId="224" xfId="0" applyNumberFormat="1" applyFont="1" applyFill="1" applyBorder="1" applyAlignment="1">
      <alignment horizontal="left" vertical="center" wrapText="1"/>
    </xf>
    <xf numFmtId="166" fontId="61" fillId="9" borderId="224" xfId="0" applyNumberFormat="1" applyFont="1" applyFill="1" applyBorder="1" applyAlignment="1">
      <alignment horizontal="center" vertical="center"/>
    </xf>
    <xf numFmtId="0" fontId="61" fillId="9" borderId="224" xfId="0" quotePrefix="1" applyFont="1" applyFill="1" applyBorder="1" applyAlignment="1">
      <alignment horizontal="center" vertical="center" wrapText="1"/>
    </xf>
    <xf numFmtId="0" fontId="61" fillId="9" borderId="224" xfId="0" applyFont="1" applyFill="1" applyBorder="1" applyAlignment="1">
      <alignment horizontal="left" vertical="center"/>
    </xf>
    <xf numFmtId="0" fontId="64" fillId="9" borderId="225" xfId="0" applyFont="1" applyFill="1" applyBorder="1" applyAlignment="1">
      <alignment horizontal="left" vertical="center"/>
    </xf>
    <xf numFmtId="0" fontId="61" fillId="9" borderId="223" xfId="0" applyFont="1" applyFill="1" applyBorder="1" applyAlignment="1">
      <alignment horizontal="left" vertical="center"/>
    </xf>
    <xf numFmtId="0" fontId="54" fillId="9" borderId="225" xfId="0" applyFont="1" applyFill="1" applyBorder="1" applyAlignment="1">
      <alignment horizontal="left" vertical="center"/>
    </xf>
    <xf numFmtId="0" fontId="57" fillId="0" borderId="223" xfId="0" applyFont="1" applyBorder="1" applyAlignment="1">
      <alignment horizontal="left" vertical="center"/>
    </xf>
    <xf numFmtId="0" fontId="57" fillId="0" borderId="224" xfId="0" quotePrefix="1" applyFont="1" applyBorder="1" applyAlignment="1">
      <alignment horizontal="left" vertical="center" wrapText="1"/>
    </xf>
    <xf numFmtId="2" fontId="57" fillId="0" borderId="224" xfId="0" applyNumberFormat="1" applyFont="1" applyBorder="1" applyAlignment="1">
      <alignment horizontal="left" vertical="center"/>
    </xf>
    <xf numFmtId="0" fontId="57" fillId="0" borderId="224" xfId="0" quotePrefix="1" applyFont="1" applyBorder="1" applyAlignment="1">
      <alignment horizontal="left" vertical="center"/>
    </xf>
    <xf numFmtId="0" fontId="57" fillId="0" borderId="225" xfId="0" applyFont="1" applyBorder="1" applyAlignment="1">
      <alignment horizontal="left" vertical="center"/>
    </xf>
    <xf numFmtId="0" fontId="57" fillId="12" borderId="211" xfId="0" quotePrefix="1" applyFont="1" applyFill="1" applyBorder="1" applyAlignment="1">
      <alignment horizontal="left" vertical="center" wrapText="1"/>
    </xf>
    <xf numFmtId="166" fontId="57" fillId="12" borderId="211" xfId="0" applyNumberFormat="1" applyFont="1" applyFill="1" applyBorder="1" applyAlignment="1">
      <alignment horizontal="left" vertical="center"/>
    </xf>
    <xf numFmtId="0" fontId="57" fillId="12" borderId="211" xfId="0" applyFont="1" applyFill="1" applyBorder="1" applyAlignment="1">
      <alignment horizontal="left" vertical="center" wrapText="1"/>
    </xf>
    <xf numFmtId="0" fontId="57" fillId="12" borderId="211" xfId="0" quotePrefix="1" applyFont="1" applyFill="1" applyBorder="1" applyAlignment="1">
      <alignment horizontal="left" vertical="center"/>
    </xf>
    <xf numFmtId="0" fontId="57" fillId="12" borderId="211" xfId="0" applyFont="1" applyFill="1" applyBorder="1" applyAlignment="1">
      <alignment horizontal="left" vertical="center"/>
    </xf>
    <xf numFmtId="0" fontId="57" fillId="7" borderId="223" xfId="0" applyFont="1" applyFill="1" applyBorder="1" applyAlignment="1">
      <alignment horizontal="left" vertical="center"/>
    </xf>
    <xf numFmtId="0" fontId="57" fillId="7" borderId="224" xfId="0" quotePrefix="1" applyFont="1" applyFill="1" applyBorder="1" applyAlignment="1">
      <alignment horizontal="left" vertical="center" wrapText="1"/>
    </xf>
    <xf numFmtId="0" fontId="57" fillId="7" borderId="224" xfId="0" quotePrefix="1" applyFont="1" applyFill="1" applyBorder="1" applyAlignment="1">
      <alignment horizontal="left" vertical="center"/>
    </xf>
    <xf numFmtId="0" fontId="57" fillId="7" borderId="224" xfId="0" applyFont="1" applyFill="1" applyBorder="1" applyAlignment="1">
      <alignment horizontal="left" vertical="center"/>
    </xf>
    <xf numFmtId="0" fontId="57" fillId="7" borderId="225" xfId="0" applyFont="1" applyFill="1" applyBorder="1" applyAlignment="1">
      <alignment horizontal="left" vertical="center"/>
    </xf>
    <xf numFmtId="0" fontId="57" fillId="9" borderId="224" xfId="0" applyFont="1" applyFill="1" applyBorder="1" applyAlignment="1">
      <alignment horizontal="left" vertical="center"/>
    </xf>
    <xf numFmtId="0" fontId="61" fillId="9" borderId="225" xfId="0" applyFont="1" applyFill="1" applyBorder="1" applyAlignment="1">
      <alignment horizontal="left" vertical="center"/>
    </xf>
    <xf numFmtId="164" fontId="61" fillId="9" borderId="224" xfId="0" applyNumberFormat="1" applyFont="1" applyFill="1" applyBorder="1" applyAlignment="1">
      <alignment horizontal="center" vertical="center" wrapText="1"/>
    </xf>
    <xf numFmtId="164" fontId="61" fillId="9" borderId="182" xfId="0" applyNumberFormat="1" applyFont="1" applyFill="1" applyBorder="1" applyAlignment="1">
      <alignment horizontal="center" vertical="center" wrapText="1"/>
    </xf>
    <xf numFmtId="0" fontId="57" fillId="21" borderId="223" xfId="0" applyFont="1" applyFill="1" applyBorder="1" applyAlignment="1">
      <alignment vertical="center"/>
    </xf>
    <xf numFmtId="0" fontId="57" fillId="21" borderId="224" xfId="0" applyFont="1" applyFill="1" applyBorder="1" applyAlignment="1">
      <alignment vertical="center" wrapText="1"/>
    </xf>
    <xf numFmtId="2" fontId="57" fillId="21" borderId="224" xfId="0" applyNumberFormat="1" applyFont="1" applyFill="1" applyBorder="1" applyAlignment="1">
      <alignment horizontal="center" vertical="center" wrapText="1"/>
    </xf>
    <xf numFmtId="0" fontId="57" fillId="21" borderId="224" xfId="0" applyFont="1" applyFill="1" applyBorder="1" applyAlignment="1">
      <alignment horizontal="center" vertical="center" wrapText="1"/>
    </xf>
    <xf numFmtId="0" fontId="57" fillId="21" borderId="224" xfId="0" applyFont="1" applyFill="1" applyBorder="1" applyAlignment="1">
      <alignment horizontal="left" vertical="center" wrapText="1"/>
    </xf>
    <xf numFmtId="0" fontId="57" fillId="21" borderId="225" xfId="0" applyFont="1" applyFill="1" applyBorder="1" applyAlignment="1">
      <alignment horizontal="left" vertical="center" wrapText="1"/>
    </xf>
    <xf numFmtId="0" fontId="57" fillId="15" borderId="219" xfId="0" applyFont="1" applyFill="1" applyBorder="1" applyAlignment="1">
      <alignment horizontal="left" vertical="center" wrapText="1"/>
    </xf>
    <xf numFmtId="0" fontId="57" fillId="15" borderId="220" xfId="0" applyFont="1" applyFill="1" applyBorder="1" applyAlignment="1">
      <alignment horizontal="left" vertical="center" wrapText="1"/>
    </xf>
    <xf numFmtId="164" fontId="57" fillId="15" borderId="220" xfId="0" applyNumberFormat="1" applyFont="1" applyFill="1" applyBorder="1" applyAlignment="1">
      <alignment horizontal="left" vertical="center"/>
    </xf>
    <xf numFmtId="0" fontId="57" fillId="15" borderId="220" xfId="0" applyFont="1" applyFill="1" applyBorder="1" applyAlignment="1">
      <alignment horizontal="left" vertical="center"/>
    </xf>
    <xf numFmtId="0" fontId="57" fillId="15" borderId="221" xfId="0" applyFont="1" applyFill="1" applyBorder="1" applyAlignment="1">
      <alignment horizontal="left" vertical="center" wrapText="1"/>
    </xf>
    <xf numFmtId="0" fontId="57" fillId="15" borderId="171" xfId="0" applyFont="1" applyFill="1" applyBorder="1" applyAlignment="1">
      <alignment horizontal="left" vertical="center" wrapText="1"/>
    </xf>
    <xf numFmtId="0" fontId="57" fillId="15" borderId="175" xfId="0" applyFont="1" applyFill="1" applyBorder="1" applyAlignment="1">
      <alignment horizontal="left" vertical="center" wrapText="1"/>
    </xf>
    <xf numFmtId="164" fontId="57" fillId="15" borderId="175" xfId="0" applyNumberFormat="1" applyFont="1" applyFill="1" applyBorder="1" applyAlignment="1">
      <alignment horizontal="left" vertical="center"/>
    </xf>
    <xf numFmtId="0" fontId="57" fillId="15" borderId="175" xfId="0" applyFont="1" applyFill="1" applyBorder="1" applyAlignment="1">
      <alignment horizontal="left" vertical="center"/>
    </xf>
    <xf numFmtId="0" fontId="57" fillId="15" borderId="172" xfId="0" applyFont="1" applyFill="1" applyBorder="1" applyAlignment="1">
      <alignment horizontal="left" vertical="center" wrapText="1"/>
    </xf>
    <xf numFmtId="164" fontId="57" fillId="15" borderId="175" xfId="0" quotePrefix="1" applyNumberFormat="1" applyFont="1" applyFill="1" applyBorder="1" applyAlignment="1">
      <alignment horizontal="left" vertical="center"/>
    </xf>
    <xf numFmtId="0" fontId="57" fillId="15" borderId="111" xfId="0" applyFont="1" applyFill="1" applyBorder="1" applyAlignment="1">
      <alignment horizontal="left" vertical="center" wrapText="1"/>
    </xf>
    <xf numFmtId="0" fontId="57" fillId="15" borderId="86" xfId="0" applyFont="1" applyFill="1" applyBorder="1" applyAlignment="1">
      <alignment horizontal="left" vertical="center" wrapText="1"/>
    </xf>
    <xf numFmtId="164" fontId="57" fillId="15" borderId="86" xfId="0" quotePrefix="1" applyNumberFormat="1" applyFont="1" applyFill="1" applyBorder="1" applyAlignment="1">
      <alignment horizontal="left" vertical="center"/>
    </xf>
    <xf numFmtId="0" fontId="57" fillId="15" borderId="86" xfId="0" applyFont="1" applyFill="1" applyBorder="1" applyAlignment="1">
      <alignment horizontal="left" vertical="center"/>
    </xf>
    <xf numFmtId="0" fontId="57" fillId="15" borderId="110" xfId="0" applyFont="1" applyFill="1" applyBorder="1" applyAlignment="1">
      <alignment horizontal="left" vertical="center" wrapText="1"/>
    </xf>
    <xf numFmtId="0" fontId="57" fillId="15" borderId="219" xfId="0" applyFont="1" applyFill="1" applyBorder="1" applyAlignment="1">
      <alignment horizontal="left" vertical="center"/>
    </xf>
    <xf numFmtId="0" fontId="57" fillId="15" borderId="221" xfId="0" applyFont="1" applyFill="1" applyBorder="1" applyAlignment="1">
      <alignment horizontal="left" vertical="center"/>
    </xf>
    <xf numFmtId="0" fontId="57" fillId="15" borderId="171" xfId="0" applyFont="1" applyFill="1" applyBorder="1" applyAlignment="1">
      <alignment horizontal="left" vertical="center"/>
    </xf>
    <xf numFmtId="0" fontId="57" fillId="15" borderId="172" xfId="0" applyFont="1" applyFill="1" applyBorder="1" applyAlignment="1">
      <alignment horizontal="left" vertical="center"/>
    </xf>
    <xf numFmtId="0" fontId="57" fillId="15" borderId="111" xfId="0" applyFont="1" applyFill="1" applyBorder="1" applyAlignment="1">
      <alignment horizontal="left" vertical="center"/>
    </xf>
    <xf numFmtId="164" fontId="57" fillId="15" borderId="86" xfId="0" applyNumberFormat="1" applyFont="1" applyFill="1" applyBorder="1" applyAlignment="1">
      <alignment horizontal="left" vertical="center"/>
    </xf>
    <xf numFmtId="0" fontId="57" fillId="15" borderId="110" xfId="0" applyFont="1" applyFill="1" applyBorder="1" applyAlignment="1">
      <alignment horizontal="left" vertical="center"/>
    </xf>
    <xf numFmtId="0" fontId="0" fillId="15" borderId="220" xfId="0" applyFill="1" applyBorder="1" applyAlignment="1">
      <alignment wrapText="1"/>
    </xf>
    <xf numFmtId="0" fontId="0" fillId="15" borderId="224" xfId="0" applyFill="1" applyBorder="1" applyAlignment="1">
      <alignment wrapText="1"/>
    </xf>
    <xf numFmtId="0" fontId="0" fillId="15" borderId="211" xfId="0" applyFill="1" applyBorder="1" applyAlignment="1">
      <alignment wrapText="1"/>
    </xf>
    <xf numFmtId="0" fontId="57" fillId="15" borderId="216" xfId="0" applyFont="1" applyFill="1" applyBorder="1" applyAlignment="1">
      <alignment horizontal="left" vertical="center"/>
    </xf>
    <xf numFmtId="0" fontId="57" fillId="15" borderId="217" xfId="0" applyFont="1" applyFill="1" applyBorder="1" applyAlignment="1">
      <alignment horizontal="left" vertical="center" wrapText="1"/>
    </xf>
    <xf numFmtId="0" fontId="57" fillId="15" borderId="217" xfId="0" quotePrefix="1" applyFont="1" applyFill="1" applyBorder="1" applyAlignment="1">
      <alignment horizontal="left" vertical="center" wrapText="1"/>
    </xf>
    <xf numFmtId="0" fontId="57" fillId="15" borderId="226" xfId="0" applyFont="1" applyFill="1" applyBorder="1" applyAlignment="1">
      <alignment horizontal="left" vertical="center" wrapText="1"/>
    </xf>
    <xf numFmtId="0" fontId="57" fillId="15" borderId="217" xfId="0" applyFont="1" applyFill="1" applyBorder="1" applyAlignment="1">
      <alignment horizontal="left" vertical="center"/>
    </xf>
    <xf numFmtId="0" fontId="57" fillId="15" borderId="218" xfId="0" applyFont="1" applyFill="1" applyBorder="1" applyAlignment="1">
      <alignment horizontal="left" vertical="center"/>
    </xf>
    <xf numFmtId="164" fontId="57" fillId="15" borderId="217" xfId="0" applyNumberFormat="1" applyFont="1" applyFill="1" applyBorder="1" applyAlignment="1">
      <alignment horizontal="left" vertical="center"/>
    </xf>
    <xf numFmtId="0" fontId="57" fillId="15" borderId="216" xfId="0" applyFont="1" applyFill="1" applyBorder="1" applyAlignment="1">
      <alignment horizontal="left" vertical="center" wrapText="1"/>
    </xf>
    <xf numFmtId="2" fontId="57" fillId="15" borderId="217" xfId="0" applyNumberFormat="1" applyFont="1" applyFill="1" applyBorder="1" applyAlignment="1">
      <alignment horizontal="left" vertical="center" wrapText="1"/>
    </xf>
    <xf numFmtId="165" fontId="57" fillId="15" borderId="217" xfId="0" applyNumberFormat="1" applyFont="1" applyFill="1" applyBorder="1" applyAlignment="1">
      <alignment horizontal="center" vertical="center" wrapText="1"/>
    </xf>
    <xf numFmtId="0" fontId="57" fillId="15" borderId="217" xfId="0" applyFont="1" applyFill="1" applyBorder="1" applyAlignment="1">
      <alignment horizontal="center" vertical="center" wrapText="1"/>
    </xf>
    <xf numFmtId="0" fontId="57" fillId="15" borderId="218" xfId="0" applyFont="1" applyFill="1" applyBorder="1" applyAlignment="1">
      <alignment horizontal="left" vertical="center" wrapText="1"/>
    </xf>
    <xf numFmtId="0" fontId="85" fillId="8" borderId="223" xfId="0" applyFont="1" applyFill="1" applyBorder="1" applyAlignment="1">
      <alignment horizontal="left" vertical="center"/>
    </xf>
    <xf numFmtId="0" fontId="57" fillId="8" borderId="182" xfId="0" applyFont="1" applyFill="1" applyBorder="1" applyAlignment="1">
      <alignment horizontal="left" vertical="center" wrapText="1"/>
    </xf>
    <xf numFmtId="2" fontId="57" fillId="8" borderId="182" xfId="0" applyNumberFormat="1" applyFont="1" applyFill="1" applyBorder="1" applyAlignment="1">
      <alignment horizontal="center" vertical="center" wrapText="1"/>
    </xf>
    <xf numFmtId="0" fontId="57" fillId="8" borderId="182" xfId="0" quotePrefix="1" applyFont="1" applyFill="1" applyBorder="1" applyAlignment="1">
      <alignment horizontal="center" vertical="center" wrapText="1"/>
    </xf>
    <xf numFmtId="0" fontId="57" fillId="8" borderId="145" xfId="0" applyFont="1" applyFill="1" applyBorder="1" applyAlignment="1">
      <alignment horizontal="left" vertical="center" wrapText="1"/>
    </xf>
    <xf numFmtId="0" fontId="57" fillId="8" borderId="207" xfId="0" applyFont="1" applyFill="1" applyBorder="1" applyAlignment="1">
      <alignment horizontal="left" vertical="center" wrapText="1"/>
    </xf>
    <xf numFmtId="0" fontId="57" fillId="8" borderId="207" xfId="0" applyFont="1" applyFill="1" applyBorder="1" applyAlignment="1">
      <alignment horizontal="center" vertical="center" wrapText="1"/>
    </xf>
    <xf numFmtId="0" fontId="85" fillId="21" borderId="223" xfId="0" applyFont="1" applyFill="1" applyBorder="1" applyAlignment="1">
      <alignment horizontal="left" vertical="center"/>
    </xf>
    <xf numFmtId="0" fontId="57" fillId="5" borderId="182" xfId="0" applyFont="1" applyFill="1" applyBorder="1" applyAlignment="1">
      <alignment horizontal="left" vertical="center" wrapText="1"/>
    </xf>
    <xf numFmtId="2" fontId="57" fillId="21" borderId="182" xfId="0" applyNumberFormat="1" applyFont="1" applyFill="1" applyBorder="1" applyAlignment="1">
      <alignment horizontal="center" vertical="center" wrapText="1"/>
    </xf>
    <xf numFmtId="0" fontId="57" fillId="21" borderId="182" xfId="0" applyFont="1" applyFill="1" applyBorder="1" applyAlignment="1">
      <alignment horizontal="center" vertical="center" wrapText="1"/>
    </xf>
    <xf numFmtId="0" fontId="57" fillId="21" borderId="175" xfId="0" applyFont="1" applyFill="1" applyBorder="1" applyAlignment="1">
      <alignment horizontal="center" vertical="center" wrapText="1"/>
    </xf>
    <xf numFmtId="0" fontId="57" fillId="21" borderId="182" xfId="0" applyFont="1" applyFill="1" applyBorder="1" applyAlignment="1">
      <alignment horizontal="left" vertical="center" wrapText="1"/>
    </xf>
    <xf numFmtId="0" fontId="57" fillId="21" borderId="207" xfId="0" applyFont="1" applyFill="1" applyBorder="1" applyAlignment="1">
      <alignment horizontal="left" vertical="center" wrapText="1"/>
    </xf>
    <xf numFmtId="0" fontId="85" fillId="21" borderId="9" xfId="0" applyFont="1" applyFill="1" applyBorder="1" applyAlignment="1">
      <alignment horizontal="left" vertical="center"/>
    </xf>
    <xf numFmtId="0" fontId="57" fillId="21" borderId="211" xfId="0" applyFont="1" applyFill="1" applyBorder="1" applyAlignment="1">
      <alignment horizontal="left" vertical="center" wrapText="1"/>
    </xf>
    <xf numFmtId="2" fontId="57" fillId="21" borderId="211" xfId="0" applyNumberFormat="1" applyFont="1" applyFill="1" applyBorder="1" applyAlignment="1">
      <alignment horizontal="center" vertical="center" wrapText="1"/>
    </xf>
    <xf numFmtId="0" fontId="57" fillId="21" borderId="211" xfId="0" applyFont="1" applyFill="1" applyBorder="1" applyAlignment="1">
      <alignment horizontal="center" vertical="center" wrapText="1"/>
    </xf>
    <xf numFmtId="0" fontId="57" fillId="21" borderId="11" xfId="0" applyFont="1" applyFill="1" applyBorder="1" applyAlignment="1">
      <alignment horizontal="left" vertical="center" wrapText="1"/>
    </xf>
    <xf numFmtId="0" fontId="85" fillId="8" borderId="182" xfId="0" applyFont="1" applyFill="1" applyBorder="1" applyAlignment="1">
      <alignment horizontal="left" vertical="center"/>
    </xf>
    <xf numFmtId="164" fontId="57" fillId="8" borderId="182" xfId="0" applyNumberFormat="1" applyFont="1" applyFill="1" applyBorder="1" applyAlignment="1">
      <alignment horizontal="left" vertical="center"/>
    </xf>
    <xf numFmtId="0" fontId="57" fillId="8" borderId="182" xfId="0" quotePrefix="1" applyFont="1" applyFill="1" applyBorder="1" applyAlignment="1">
      <alignment horizontal="left" vertical="center"/>
    </xf>
    <xf numFmtId="0" fontId="57" fillId="8" borderId="182" xfId="0" applyFont="1" applyFill="1" applyBorder="1" applyAlignment="1">
      <alignment horizontal="left" vertical="center"/>
    </xf>
    <xf numFmtId="0" fontId="57" fillId="8" borderId="207" xfId="0" applyFont="1" applyFill="1" applyBorder="1" applyAlignment="1">
      <alignment horizontal="left" vertical="center"/>
    </xf>
    <xf numFmtId="0" fontId="85" fillId="25" borderId="223" xfId="0" quotePrefix="1" applyFont="1" applyFill="1" applyBorder="1" applyAlignment="1">
      <alignment horizontal="left" vertical="center"/>
    </xf>
    <xf numFmtId="0" fontId="57" fillId="25" borderId="182" xfId="0" quotePrefix="1" applyFont="1" applyFill="1" applyBorder="1" applyAlignment="1">
      <alignment horizontal="left" vertical="center"/>
    </xf>
    <xf numFmtId="0" fontId="85" fillId="25" borderId="182" xfId="0" quotePrefix="1" applyFont="1" applyFill="1" applyBorder="1" applyAlignment="1">
      <alignment horizontal="left" vertical="center"/>
    </xf>
    <xf numFmtId="164" fontId="57" fillId="25" borderId="182" xfId="0" applyNumberFormat="1" applyFont="1" applyFill="1" applyBorder="1" applyAlignment="1">
      <alignment horizontal="left" vertical="center"/>
    </xf>
    <xf numFmtId="0" fontId="57" fillId="25" borderId="175" xfId="0" applyFont="1" applyFill="1" applyBorder="1" applyAlignment="1">
      <alignment horizontal="left" vertical="center" wrapText="1"/>
    </xf>
    <xf numFmtId="0" fontId="57" fillId="25" borderId="175" xfId="0" quotePrefix="1" applyFont="1" applyFill="1" applyBorder="1" applyAlignment="1">
      <alignment horizontal="left" vertical="center"/>
    </xf>
    <xf numFmtId="0" fontId="57" fillId="25" borderId="175" xfId="0" applyFont="1" applyFill="1" applyBorder="1" applyAlignment="1">
      <alignment horizontal="left" vertical="center"/>
    </xf>
    <xf numFmtId="0" fontId="57" fillId="25" borderId="207" xfId="0" applyFont="1" applyFill="1" applyBorder="1" applyAlignment="1">
      <alignment horizontal="left" vertical="center"/>
    </xf>
    <xf numFmtId="0" fontId="57" fillId="25" borderId="182" xfId="0" applyFont="1" applyFill="1" applyBorder="1" applyAlignment="1">
      <alignment horizontal="left" vertical="center" wrapText="1"/>
    </xf>
    <xf numFmtId="0" fontId="57" fillId="25" borderId="182" xfId="0" applyFont="1" applyFill="1" applyBorder="1" applyAlignment="1">
      <alignment horizontal="left" vertical="center"/>
    </xf>
    <xf numFmtId="0" fontId="85" fillId="8" borderId="223" xfId="0" quotePrefix="1" applyFont="1" applyFill="1" applyBorder="1" applyAlignment="1">
      <alignment horizontal="left" vertical="center"/>
    </xf>
    <xf numFmtId="0" fontId="85" fillId="8" borderId="182" xfId="0" quotePrefix="1" applyFont="1" applyFill="1" applyBorder="1" applyAlignment="1">
      <alignment horizontal="left" vertical="center" wrapText="1"/>
    </xf>
    <xf numFmtId="0" fontId="85" fillId="21" borderId="223" xfId="0" quotePrefix="1" applyFont="1" applyFill="1" applyBorder="1" applyAlignment="1">
      <alignment horizontal="left" vertical="center"/>
    </xf>
    <xf numFmtId="0" fontId="85" fillId="21" borderId="182" xfId="0" quotePrefix="1" applyFont="1" applyFill="1" applyBorder="1" applyAlignment="1">
      <alignment horizontal="left" vertical="center" wrapText="1"/>
    </xf>
    <xf numFmtId="164" fontId="57" fillId="21" borderId="182" xfId="0" applyNumberFormat="1" applyFont="1" applyFill="1" applyBorder="1" applyAlignment="1">
      <alignment horizontal="left" vertical="center"/>
    </xf>
    <xf numFmtId="0" fontId="57" fillId="21" borderId="182" xfId="0" quotePrefix="1" applyFont="1" applyFill="1" applyBorder="1" applyAlignment="1">
      <alignment horizontal="left" vertical="center"/>
    </xf>
    <xf numFmtId="0" fontId="57" fillId="21" borderId="182" xfId="0" applyFont="1" applyFill="1" applyBorder="1" applyAlignment="1">
      <alignment horizontal="left" vertical="center"/>
    </xf>
    <xf numFmtId="0" fontId="85" fillId="5" borderId="182" xfId="0" quotePrefix="1" applyFont="1" applyFill="1" applyBorder="1" applyAlignment="1">
      <alignment horizontal="left" vertical="center"/>
    </xf>
    <xf numFmtId="0" fontId="85" fillId="8" borderId="182" xfId="0" quotePrefix="1" applyFont="1" applyFill="1" applyBorder="1" applyAlignment="1">
      <alignment horizontal="left" vertical="center"/>
    </xf>
    <xf numFmtId="0" fontId="57" fillId="21" borderId="207" xfId="0" applyFont="1" applyFill="1" applyBorder="1" applyAlignment="1">
      <alignment horizontal="left" vertical="center"/>
    </xf>
    <xf numFmtId="0" fontId="85" fillId="21" borderId="182" xfId="0" quotePrefix="1" applyFont="1" applyFill="1" applyBorder="1" applyAlignment="1">
      <alignment horizontal="left" vertical="center"/>
    </xf>
    <xf numFmtId="0" fontId="65" fillId="13" borderId="222" xfId="13" applyFont="1" applyFill="1" applyBorder="1"/>
    <xf numFmtId="0" fontId="65" fillId="13" borderId="216" xfId="13" applyFont="1" applyFill="1" applyBorder="1" applyAlignment="1">
      <alignment horizontal="center"/>
    </xf>
    <xf numFmtId="0" fontId="65" fillId="13" borderId="227" xfId="13" applyFont="1" applyFill="1" applyBorder="1" applyAlignment="1">
      <alignment horizontal="center" vertical="top" wrapText="1"/>
    </xf>
    <xf numFmtId="0" fontId="65" fillId="13" borderId="227" xfId="13" applyFont="1" applyFill="1" applyBorder="1" applyAlignment="1">
      <alignment horizontal="center" vertical="center" wrapText="1"/>
    </xf>
    <xf numFmtId="0" fontId="65" fillId="13" borderId="228" xfId="13" applyFont="1" applyFill="1" applyBorder="1" applyAlignment="1">
      <alignment horizontal="center" vertical="top" wrapText="1"/>
    </xf>
    <xf numFmtId="0" fontId="54" fillId="0" borderId="219" xfId="0" applyFont="1" applyBorder="1"/>
    <xf numFmtId="0" fontId="54" fillId="0" borderId="220" xfId="0" applyFont="1" applyBorder="1"/>
    <xf numFmtId="0" fontId="54" fillId="0" borderId="220" xfId="0" applyFont="1" applyBorder="1" applyAlignment="1">
      <alignment horizontal="center"/>
    </xf>
    <xf numFmtId="0" fontId="54" fillId="0" borderId="221" xfId="0" applyFont="1" applyBorder="1"/>
    <xf numFmtId="0" fontId="54" fillId="0" borderId="211" xfId="23" applyFont="1" applyBorder="1"/>
    <xf numFmtId="0" fontId="54" fillId="0" borderId="211" xfId="23" applyFont="1" applyBorder="1" applyAlignment="1">
      <alignment horizontal="center"/>
    </xf>
    <xf numFmtId="0" fontId="0" fillId="11" borderId="182" xfId="0" applyFill="1" applyBorder="1" applyAlignment="1">
      <alignment horizontal="left"/>
    </xf>
    <xf numFmtId="0" fontId="57" fillId="11" borderId="223" xfId="0" applyFont="1" applyFill="1" applyBorder="1" applyAlignment="1">
      <alignment horizontal="left" vertical="center"/>
    </xf>
    <xf numFmtId="164" fontId="57" fillId="11" borderId="182" xfId="0" applyNumberFormat="1" applyFont="1" applyFill="1" applyBorder="1" applyAlignment="1">
      <alignment horizontal="left" vertical="center"/>
    </xf>
    <xf numFmtId="0" fontId="0" fillId="19" borderId="182" xfId="0" applyFill="1" applyBorder="1" applyAlignment="1">
      <alignment horizontal="left"/>
    </xf>
    <xf numFmtId="0" fontId="57" fillId="19" borderId="223" xfId="0" applyFont="1" applyFill="1" applyBorder="1" applyAlignment="1">
      <alignment horizontal="left" vertical="center"/>
    </xf>
    <xf numFmtId="0" fontId="61" fillId="19" borderId="223" xfId="0" applyFont="1" applyFill="1" applyBorder="1" applyAlignment="1">
      <alignment horizontal="left" vertical="center"/>
    </xf>
    <xf numFmtId="0" fontId="61" fillId="19" borderId="182" xfId="0" applyFont="1" applyFill="1" applyBorder="1" applyAlignment="1">
      <alignment horizontal="left" vertical="center" wrapText="1"/>
    </xf>
    <xf numFmtId="0" fontId="57" fillId="11" borderId="223" xfId="0" applyFont="1" applyFill="1" applyBorder="1" applyAlignment="1">
      <alignment horizontal="left" vertical="center" wrapText="1"/>
    </xf>
    <xf numFmtId="0" fontId="57" fillId="11" borderId="182" xfId="0" applyFont="1" applyFill="1" applyBorder="1" applyAlignment="1">
      <alignment horizontal="left" vertical="center" wrapText="1"/>
    </xf>
    <xf numFmtId="0" fontId="57" fillId="19" borderId="223" xfId="0" applyFont="1" applyFill="1" applyBorder="1" applyAlignment="1">
      <alignment horizontal="left" vertical="center" wrapText="1"/>
    </xf>
    <xf numFmtId="0" fontId="57" fillId="19" borderId="182" xfId="0" applyFont="1" applyFill="1" applyBorder="1" applyAlignment="1">
      <alignment horizontal="left" vertical="center" wrapText="1"/>
    </xf>
    <xf numFmtId="2" fontId="57" fillId="11" borderId="182" xfId="0" applyNumberFormat="1" applyFont="1" applyFill="1" applyBorder="1" applyAlignment="1">
      <alignment horizontal="left" vertical="center" wrapText="1"/>
    </xf>
    <xf numFmtId="0" fontId="61" fillId="11" borderId="182" xfId="0" applyFont="1" applyFill="1" applyBorder="1" applyAlignment="1">
      <alignment horizontal="left" vertical="center" wrapText="1"/>
    </xf>
    <xf numFmtId="0" fontId="65" fillId="7" borderId="227" xfId="3" applyFont="1" applyFill="1" applyBorder="1" applyAlignment="1">
      <alignment horizontal="center" vertical="center" wrapText="1"/>
    </xf>
    <xf numFmtId="0" fontId="57" fillId="19" borderId="182" xfId="0" quotePrefix="1" applyFont="1" applyFill="1" applyBorder="1" applyAlignment="1">
      <alignment horizontal="left" vertical="center" wrapText="1"/>
    </xf>
    <xf numFmtId="0" fontId="57" fillId="11" borderId="182" xfId="0" quotePrefix="1" applyFont="1" applyFill="1" applyBorder="1" applyAlignment="1">
      <alignment horizontal="left" vertical="center" wrapText="1"/>
    </xf>
    <xf numFmtId="0" fontId="56" fillId="8" borderId="171" xfId="0" applyFont="1" applyFill="1" applyBorder="1" applyAlignment="1">
      <alignment horizontal="center" vertical="center"/>
    </xf>
    <xf numFmtId="0" fontId="56" fillId="8" borderId="175" xfId="0" applyFont="1" applyFill="1" applyBorder="1" applyAlignment="1">
      <alignment horizontal="center" vertical="center"/>
    </xf>
    <xf numFmtId="0" fontId="54" fillId="8" borderId="175" xfId="0" applyFont="1" applyFill="1" applyBorder="1" applyAlignment="1">
      <alignment horizontal="left" vertical="center"/>
    </xf>
    <xf numFmtId="0" fontId="54" fillId="8" borderId="175" xfId="0" quotePrefix="1" applyFont="1" applyFill="1" applyBorder="1" applyAlignment="1">
      <alignment horizontal="center" vertical="center"/>
    </xf>
    <xf numFmtId="0" fontId="54" fillId="8" borderId="175" xfId="0" applyFont="1" applyFill="1" applyBorder="1" applyAlignment="1">
      <alignment horizontal="center" vertical="center"/>
    </xf>
    <xf numFmtId="0" fontId="54" fillId="8" borderId="175" xfId="0" quotePrefix="1" applyFont="1" applyFill="1" applyBorder="1" applyAlignment="1">
      <alignment horizontal="left" vertical="center"/>
    </xf>
    <xf numFmtId="0" fontId="54" fillId="8" borderId="172" xfId="0" applyFont="1" applyFill="1" applyBorder="1" applyAlignment="1">
      <alignment horizontal="left" vertical="center"/>
    </xf>
    <xf numFmtId="0" fontId="56" fillId="7" borderId="216" xfId="0" applyFont="1" applyFill="1" applyBorder="1" applyAlignment="1">
      <alignment horizontal="center" vertical="center"/>
    </xf>
    <xf numFmtId="0" fontId="56" fillId="7" borderId="227" xfId="0" applyFont="1" applyFill="1" applyBorder="1" applyAlignment="1">
      <alignment horizontal="center" vertical="center"/>
    </xf>
    <xf numFmtId="0" fontId="56" fillId="7" borderId="227" xfId="0" applyFont="1" applyFill="1" applyBorder="1" applyAlignment="1">
      <alignment horizontal="left" vertical="center"/>
    </xf>
    <xf numFmtId="0" fontId="65" fillId="7" borderId="227" xfId="46" applyFont="1" applyFill="1" applyBorder="1" applyAlignment="1">
      <alignment horizontal="center" vertical="center" wrapText="1"/>
    </xf>
    <xf numFmtId="0" fontId="70" fillId="7" borderId="227" xfId="3" applyFont="1" applyFill="1" applyBorder="1" applyAlignment="1">
      <alignment horizontal="center" vertical="center" wrapText="1"/>
    </xf>
    <xf numFmtId="0" fontId="56" fillId="7" borderId="227" xfId="0" applyFont="1" applyFill="1" applyBorder="1" applyAlignment="1">
      <alignment horizontal="left" vertical="center" wrapText="1"/>
    </xf>
    <xf numFmtId="0" fontId="56" fillId="7" borderId="228" xfId="0" applyFont="1" applyFill="1" applyBorder="1" applyAlignment="1">
      <alignment horizontal="left" vertical="center" wrapText="1"/>
    </xf>
    <xf numFmtId="0" fontId="64" fillId="55" borderId="0" xfId="0" applyFont="1" applyFill="1" applyAlignment="1">
      <alignment horizontal="center" vertical="center"/>
    </xf>
    <xf numFmtId="0" fontId="61" fillId="9" borderId="219" xfId="0" applyFont="1" applyFill="1" applyBorder="1" applyAlignment="1">
      <alignment horizontal="left" vertical="center" wrapText="1"/>
    </xf>
    <xf numFmtId="164" fontId="61" fillId="9" borderId="220" xfId="0" applyNumberFormat="1" applyFont="1" applyFill="1" applyBorder="1" applyAlignment="1">
      <alignment horizontal="left" vertical="center" wrapText="1"/>
    </xf>
    <xf numFmtId="0" fontId="57" fillId="24" borderId="224" xfId="0" applyFont="1" applyFill="1" applyBorder="1" applyAlignment="1">
      <alignment horizontal="center" vertical="center" wrapText="1"/>
    </xf>
    <xf numFmtId="0" fontId="54" fillId="24" borderId="224" xfId="0" applyFont="1" applyFill="1" applyBorder="1" applyAlignment="1">
      <alignment horizontal="center"/>
    </xf>
    <xf numFmtId="0" fontId="85" fillId="24" borderId="224" xfId="0" applyFont="1" applyFill="1" applyBorder="1" applyAlignment="1">
      <alignment horizontal="left" vertical="center" wrapText="1"/>
    </xf>
    <xf numFmtId="0" fontId="57" fillId="24" borderId="225" xfId="0" applyFont="1" applyFill="1" applyBorder="1" applyAlignment="1">
      <alignment horizontal="left" vertical="center" wrapText="1"/>
    </xf>
    <xf numFmtId="0" fontId="57" fillId="24" borderId="223" xfId="0" applyFont="1" applyFill="1" applyBorder="1" applyAlignment="1">
      <alignment horizontal="left" vertical="center" wrapText="1"/>
    </xf>
    <xf numFmtId="166" fontId="57" fillId="24" borderId="224" xfId="0" applyNumberFormat="1" applyFont="1" applyFill="1" applyBorder="1" applyAlignment="1">
      <alignment horizontal="left" vertical="center" wrapText="1"/>
    </xf>
    <xf numFmtId="0" fontId="57" fillId="9" borderId="175" xfId="0" applyFont="1" applyFill="1" applyBorder="1" applyAlignment="1">
      <alignment horizontal="center" vertical="center" wrapText="1"/>
    </xf>
    <xf numFmtId="0" fontId="57" fillId="9" borderId="175" xfId="0" applyFont="1" applyFill="1" applyBorder="1" applyAlignment="1">
      <alignment horizontal="left" vertical="center" wrapText="1"/>
    </xf>
    <xf numFmtId="0" fontId="57" fillId="9" borderId="172" xfId="0" applyFont="1" applyFill="1" applyBorder="1" applyAlignment="1">
      <alignment horizontal="left" vertical="center" wrapText="1"/>
    </xf>
    <xf numFmtId="0" fontId="57" fillId="9" borderId="171" xfId="0" applyFont="1" applyFill="1" applyBorder="1" applyAlignment="1">
      <alignment horizontal="left" vertical="center" wrapText="1"/>
    </xf>
    <xf numFmtId="2" fontId="57" fillId="9" borderId="175" xfId="0" applyNumberFormat="1" applyFont="1" applyFill="1" applyBorder="1" applyAlignment="1">
      <alignment horizontal="left" vertical="center" wrapText="1"/>
    </xf>
    <xf numFmtId="0" fontId="82" fillId="0" borderId="223" xfId="3" applyFont="1" applyBorder="1" applyAlignment="1">
      <alignment horizontal="left" vertical="center" wrapText="1"/>
    </xf>
    <xf numFmtId="2" fontId="120" fillId="54" borderId="224" xfId="260" applyNumberFormat="1" applyBorder="1" applyAlignment="1">
      <alignment horizontal="center" vertical="center"/>
    </xf>
    <xf numFmtId="164" fontId="120" fillId="54" borderId="224" xfId="260" applyNumberFormat="1" applyBorder="1" applyAlignment="1">
      <alignment horizontal="center" vertical="center"/>
    </xf>
    <xf numFmtId="166" fontId="120" fillId="54" borderId="224" xfId="260" applyNumberFormat="1" applyBorder="1" applyAlignment="1">
      <alignment horizontal="center" vertical="center"/>
    </xf>
    <xf numFmtId="166" fontId="15" fillId="0" borderId="119" xfId="226" applyNumberFormat="1" applyBorder="1" applyAlignment="1">
      <alignment horizontal="center" vertical="center"/>
    </xf>
    <xf numFmtId="1" fontId="120" fillId="54" borderId="224" xfId="260" applyNumberFormat="1" applyBorder="1" applyAlignment="1">
      <alignment horizontal="center" vertical="center"/>
    </xf>
    <xf numFmtId="0" fontId="120" fillId="54" borderId="224" xfId="260" applyBorder="1" applyAlignment="1">
      <alignment horizontal="center" vertical="center"/>
    </xf>
    <xf numFmtId="0" fontId="54" fillId="8" borderId="224" xfId="0" applyFont="1" applyFill="1" applyBorder="1" applyAlignment="1">
      <alignment horizontal="center" vertical="center"/>
    </xf>
    <xf numFmtId="0" fontId="54" fillId="21" borderId="224" xfId="0" applyFont="1" applyFill="1" applyBorder="1" applyAlignment="1">
      <alignment horizontal="center" vertical="center"/>
    </xf>
    <xf numFmtId="0" fontId="54" fillId="16" borderId="224" xfId="0" applyFont="1" applyFill="1" applyBorder="1" applyAlignment="1">
      <alignment horizontal="center" vertical="center"/>
    </xf>
    <xf numFmtId="0" fontId="54" fillId="15" borderId="224" xfId="0" applyFont="1" applyFill="1" applyBorder="1" applyAlignment="1">
      <alignment horizontal="center" vertical="center"/>
    </xf>
    <xf numFmtId="0" fontId="54" fillId="48" borderId="224" xfId="0" applyFont="1" applyFill="1" applyBorder="1" applyAlignment="1">
      <alignment horizontal="center" vertical="center"/>
    </xf>
    <xf numFmtId="0" fontId="54" fillId="4" borderId="224" xfId="0" applyFont="1" applyFill="1" applyBorder="1" applyAlignment="1">
      <alignment horizontal="center" vertical="center"/>
    </xf>
    <xf numFmtId="0" fontId="54" fillId="29" borderId="224" xfId="0" applyFont="1" applyFill="1" applyBorder="1" applyAlignment="1">
      <alignment horizontal="center" vertical="center"/>
    </xf>
    <xf numFmtId="0" fontId="57" fillId="5" borderId="220" xfId="0" applyFont="1" applyFill="1" applyBorder="1" applyAlignment="1">
      <alignment horizontal="center" vertical="center"/>
    </xf>
    <xf numFmtId="0" fontId="54" fillId="9" borderId="224" xfId="0" quotePrefix="1" applyFont="1" applyFill="1" applyBorder="1" applyAlignment="1">
      <alignment horizontal="center" vertical="center"/>
    </xf>
    <xf numFmtId="0" fontId="54" fillId="10" borderId="224" xfId="0" quotePrefix="1" applyFont="1" applyFill="1" applyBorder="1" applyAlignment="1">
      <alignment horizontal="center" vertical="center"/>
    </xf>
    <xf numFmtId="0" fontId="57" fillId="51" borderId="224" xfId="0" quotePrefix="1" applyFont="1" applyFill="1" applyBorder="1" applyAlignment="1">
      <alignment horizontal="center" vertical="center"/>
    </xf>
    <xf numFmtId="0" fontId="54" fillId="51" borderId="224" xfId="0" quotePrefix="1" applyFont="1" applyFill="1" applyBorder="1" applyAlignment="1">
      <alignment horizontal="center" vertical="center"/>
    </xf>
    <xf numFmtId="0" fontId="56" fillId="9" borderId="223" xfId="0" applyFont="1" applyFill="1" applyBorder="1" applyAlignment="1">
      <alignment horizontal="center" vertical="center"/>
    </xf>
    <xf numFmtId="0" fontId="56" fillId="9" borderId="224" xfId="0" applyFont="1" applyFill="1" applyBorder="1" applyAlignment="1">
      <alignment horizontal="center" vertical="center"/>
    </xf>
    <xf numFmtId="0" fontId="54" fillId="9" borderId="224" xfId="0" applyFont="1" applyFill="1" applyBorder="1" applyAlignment="1">
      <alignment horizontal="left" vertical="center"/>
    </xf>
    <xf numFmtId="0" fontId="54" fillId="9" borderId="229" xfId="0" applyFont="1" applyFill="1" applyBorder="1" applyAlignment="1">
      <alignment horizontal="center" vertical="center"/>
    </xf>
    <xf numFmtId="0" fontId="54" fillId="9" borderId="230" xfId="0" applyFont="1" applyFill="1" applyBorder="1" applyAlignment="1">
      <alignment horizontal="center" vertical="center"/>
    </xf>
    <xf numFmtId="0" fontId="57" fillId="0" borderId="224" xfId="0" applyFont="1" applyBorder="1" applyAlignment="1">
      <alignment horizontal="left" vertical="center" wrapText="1"/>
    </xf>
    <xf numFmtId="8" fontId="101" fillId="0" borderId="224" xfId="0" applyNumberFormat="1" applyFont="1" applyBorder="1" applyAlignment="1">
      <alignment horizontal="left" vertical="center" wrapText="1"/>
    </xf>
    <xf numFmtId="0" fontId="43" fillId="0" borderId="0" xfId="3" applyFont="1" applyAlignment="1">
      <alignment horizontal="center" vertical="center" wrapText="1"/>
    </xf>
    <xf numFmtId="2" fontId="54" fillId="0" borderId="224" xfId="0" applyNumberFormat="1" applyFont="1" applyBorder="1" applyAlignment="1">
      <alignment horizontal="left" vertical="center"/>
    </xf>
    <xf numFmtId="2" fontId="54" fillId="0" borderId="175" xfId="0" applyNumberFormat="1" applyFont="1" applyBorder="1" applyAlignment="1">
      <alignment horizontal="center" vertical="center"/>
    </xf>
    <xf numFmtId="166" fontId="54" fillId="0" borderId="15" xfId="0" applyNumberFormat="1" applyFont="1" applyBorder="1" applyAlignment="1">
      <alignment horizontal="center" vertical="center"/>
    </xf>
    <xf numFmtId="0" fontId="57" fillId="9" borderId="9" xfId="0" applyFont="1" applyFill="1" applyBorder="1" applyAlignment="1">
      <alignment horizontal="left" vertical="center" wrapText="1"/>
    </xf>
    <xf numFmtId="2" fontId="57" fillId="9" borderId="211" xfId="0" applyNumberFormat="1" applyFont="1" applyFill="1" applyBorder="1" applyAlignment="1">
      <alignment horizontal="left" vertical="center" wrapText="1"/>
    </xf>
    <xf numFmtId="2" fontId="57" fillId="9" borderId="211" xfId="0" applyNumberFormat="1" applyFont="1" applyFill="1" applyBorder="1" applyAlignment="1">
      <alignment horizontal="center" vertical="center" wrapText="1"/>
    </xf>
    <xf numFmtId="0" fontId="57" fillId="9" borderId="211" xfId="0" applyFont="1" applyFill="1" applyBorder="1" applyAlignment="1">
      <alignment horizontal="center" vertical="center" wrapText="1"/>
    </xf>
    <xf numFmtId="0" fontId="57" fillId="9" borderId="211" xfId="0" applyFont="1" applyFill="1" applyBorder="1" applyAlignment="1">
      <alignment horizontal="left" vertical="center" wrapText="1"/>
    </xf>
    <xf numFmtId="0" fontId="57" fillId="0" borderId="211" xfId="6" applyFont="1" applyBorder="1" applyAlignment="1">
      <alignment horizontal="center" vertical="center" wrapText="1"/>
    </xf>
    <xf numFmtId="0" fontId="64" fillId="7" borderId="231" xfId="6" applyFont="1" applyFill="1" applyBorder="1" applyAlignment="1">
      <alignment horizontal="left" vertical="center" wrapText="1"/>
    </xf>
    <xf numFmtId="0" fontId="65" fillId="13" borderId="232" xfId="6" applyFont="1" applyFill="1" applyBorder="1" applyAlignment="1">
      <alignment horizontal="center" vertical="center"/>
    </xf>
    <xf numFmtId="0" fontId="65" fillId="13" borderId="217" xfId="6" applyFont="1" applyFill="1" applyBorder="1" applyAlignment="1">
      <alignment horizontal="left" vertical="center" wrapText="1"/>
    </xf>
    <xf numFmtId="0" fontId="65" fillId="13" borderId="217" xfId="6" applyFont="1" applyFill="1" applyBorder="1" applyAlignment="1">
      <alignment horizontal="center" vertical="center" wrapText="1"/>
    </xf>
    <xf numFmtId="0" fontId="65" fillId="7" borderId="217" xfId="6" applyFont="1" applyFill="1" applyBorder="1" applyAlignment="1">
      <alignment horizontal="center" vertical="center" wrapText="1"/>
    </xf>
    <xf numFmtId="0" fontId="65" fillId="13" borderId="218" xfId="6" applyFont="1" applyFill="1" applyBorder="1" applyAlignment="1">
      <alignment vertical="center"/>
    </xf>
    <xf numFmtId="0" fontId="57" fillId="0" borderId="220" xfId="6" applyFont="1" applyBorder="1" applyAlignment="1">
      <alignment horizontal="left" vertical="center" wrapText="1"/>
    </xf>
    <xf numFmtId="0" fontId="57" fillId="0" borderId="220" xfId="6" applyFont="1" applyBorder="1" applyAlignment="1">
      <alignment horizontal="center" vertical="center" wrapText="1"/>
    </xf>
    <xf numFmtId="0" fontId="57" fillId="0" borderId="168" xfId="0" applyFont="1" applyBorder="1" applyAlignment="1">
      <alignment horizontal="center" vertical="center" wrapText="1"/>
    </xf>
    <xf numFmtId="0" fontId="57" fillId="0" borderId="221" xfId="6" applyFont="1" applyBorder="1" applyAlignment="1">
      <alignment horizontal="center" vertical="center" wrapText="1"/>
    </xf>
    <xf numFmtId="0" fontId="57" fillId="0" borderId="170" xfId="6" applyFont="1" applyBorder="1" applyAlignment="1">
      <alignment horizontal="left" vertical="center" wrapText="1"/>
    </xf>
    <xf numFmtId="0" fontId="57" fillId="0" borderId="170" xfId="6" applyFont="1" applyBorder="1" applyAlignment="1">
      <alignment horizontal="center" vertical="center" wrapText="1"/>
    </xf>
    <xf numFmtId="0" fontId="57" fillId="0" borderId="225" xfId="6" applyFont="1" applyBorder="1" applyAlignment="1">
      <alignment horizontal="center" vertical="center" wrapText="1"/>
    </xf>
    <xf numFmtId="0" fontId="54" fillId="0" borderId="170" xfId="6" applyFont="1" applyBorder="1" applyAlignment="1">
      <alignment horizontal="center" vertical="center" wrapText="1"/>
    </xf>
    <xf numFmtId="0" fontId="57" fillId="0" borderId="211" xfId="6" applyFont="1" applyBorder="1" applyAlignment="1">
      <alignment horizontal="left" vertical="center" wrapText="1"/>
    </xf>
    <xf numFmtId="0" fontId="57" fillId="0" borderId="11" xfId="6" applyFont="1" applyBorder="1" applyAlignment="1">
      <alignment horizontal="center" vertical="center" wrapText="1"/>
    </xf>
    <xf numFmtId="0" fontId="51" fillId="0" borderId="0" xfId="6" applyAlignment="1">
      <alignment vertical="center"/>
    </xf>
    <xf numFmtId="0" fontId="54" fillId="0" borderId="219" xfId="6" applyFont="1" applyBorder="1" applyAlignment="1">
      <alignment horizontal="left" vertical="center"/>
    </xf>
    <xf numFmtId="0" fontId="54" fillId="0" borderId="220" xfId="6" applyFont="1" applyBorder="1" applyAlignment="1">
      <alignment horizontal="center" vertical="center"/>
    </xf>
    <xf numFmtId="0" fontId="54" fillId="0" borderId="175" xfId="6" applyFont="1" applyBorder="1" applyAlignment="1">
      <alignment horizontal="center" vertical="center"/>
    </xf>
    <xf numFmtId="0" fontId="54" fillId="0" borderId="223" xfId="6" applyFont="1" applyBorder="1" applyAlignment="1">
      <alignment horizontal="left" vertical="center"/>
    </xf>
    <xf numFmtId="0" fontId="54" fillId="0" borderId="170" xfId="6" applyFont="1" applyBorder="1" applyAlignment="1">
      <alignment horizontal="center" vertical="center"/>
    </xf>
    <xf numFmtId="0" fontId="54" fillId="0" borderId="9" xfId="6" applyFont="1" applyBorder="1" applyAlignment="1">
      <alignment horizontal="left" vertical="center"/>
    </xf>
    <xf numFmtId="0" fontId="54" fillId="0" borderId="211" xfId="6" applyFont="1" applyBorder="1" applyAlignment="1">
      <alignment horizontal="center" vertical="center"/>
    </xf>
    <xf numFmtId="0" fontId="57" fillId="0" borderId="223" xfId="0" applyFont="1" applyBorder="1" applyAlignment="1">
      <alignment horizontal="left" vertical="center" wrapText="1"/>
    </xf>
    <xf numFmtId="0" fontId="101" fillId="0" borderId="224" xfId="0" applyFont="1" applyBorder="1" applyAlignment="1">
      <alignment horizontal="left" vertical="center" wrapText="1"/>
    </xf>
    <xf numFmtId="164" fontId="0" fillId="0" borderId="224" xfId="0" applyNumberFormat="1" applyBorder="1" applyAlignment="1">
      <alignment horizontal="left" vertical="center"/>
    </xf>
    <xf numFmtId="0" fontId="0" fillId="0" borderId="225" xfId="0" applyBorder="1" applyAlignment="1">
      <alignment horizontal="left" vertical="center"/>
    </xf>
    <xf numFmtId="0" fontId="57" fillId="0" borderId="211" xfId="0" applyFont="1" applyBorder="1" applyAlignment="1">
      <alignment horizontal="center" vertical="center"/>
    </xf>
    <xf numFmtId="164" fontId="54" fillId="0" borderId="211" xfId="0" applyNumberFormat="1" applyFont="1" applyBorder="1" applyAlignment="1">
      <alignment horizontal="left" vertical="center"/>
    </xf>
    <xf numFmtId="0" fontId="54" fillId="0" borderId="211" xfId="0" applyFont="1" applyBorder="1" applyAlignment="1">
      <alignment horizontal="left" vertical="center"/>
    </xf>
    <xf numFmtId="164" fontId="57" fillId="0" borderId="224" xfId="0" quotePrefix="1" applyNumberFormat="1" applyFont="1" applyBorder="1" applyAlignment="1">
      <alignment horizontal="left" vertical="center"/>
    </xf>
    <xf numFmtId="0" fontId="2" fillId="0" borderId="225" xfId="0" applyFont="1" applyBorder="1" applyAlignment="1">
      <alignment horizontal="left" vertical="center"/>
    </xf>
    <xf numFmtId="0" fontId="57" fillId="0" borderId="213" xfId="0" applyFont="1" applyBorder="1" applyAlignment="1">
      <alignment horizontal="left" vertical="center"/>
    </xf>
    <xf numFmtId="0" fontId="57" fillId="0" borderId="137" xfId="0" applyFont="1" applyBorder="1" applyAlignment="1">
      <alignment horizontal="left" vertical="center"/>
    </xf>
    <xf numFmtId="0" fontId="57" fillId="0" borderId="65" xfId="0" applyFont="1" applyBorder="1" applyAlignment="1">
      <alignment horizontal="left" vertical="center"/>
    </xf>
    <xf numFmtId="0" fontId="57" fillId="0" borderId="145" xfId="0" applyFont="1" applyBorder="1" applyAlignment="1">
      <alignment horizontal="left" vertical="center"/>
    </xf>
    <xf numFmtId="0" fontId="57" fillId="0" borderId="146" xfId="0" applyFont="1" applyBorder="1" applyAlignment="1">
      <alignment horizontal="left" vertical="center"/>
    </xf>
    <xf numFmtId="0" fontId="57" fillId="0" borderId="147" xfId="0" applyFont="1" applyBorder="1" applyAlignment="1">
      <alignment horizontal="left" vertical="center"/>
    </xf>
    <xf numFmtId="0" fontId="57" fillId="0" borderId="148" xfId="0" applyFont="1" applyBorder="1" applyAlignment="1">
      <alignment horizontal="left" vertical="center"/>
    </xf>
    <xf numFmtId="0" fontId="65" fillId="7" borderId="139" xfId="0" applyFont="1" applyFill="1" applyBorder="1" applyAlignment="1">
      <alignment horizontal="left" vertical="center" wrapText="1"/>
    </xf>
    <xf numFmtId="0" fontId="65" fillId="7" borderId="140" xfId="0" applyFont="1" applyFill="1" applyBorder="1" applyAlignment="1">
      <alignment horizontal="left" vertical="center" wrapText="1"/>
    </xf>
    <xf numFmtId="0" fontId="65" fillId="7" borderId="141" xfId="0" applyFont="1" applyFill="1" applyBorder="1" applyAlignment="1">
      <alignment horizontal="left" vertical="center" wrapText="1"/>
    </xf>
    <xf numFmtId="0" fontId="57" fillId="0" borderId="142" xfId="0" applyFont="1" applyBorder="1" applyAlignment="1">
      <alignment horizontal="left" vertical="center"/>
    </xf>
    <xf numFmtId="0" fontId="57" fillId="0" borderId="143" xfId="0" applyFont="1" applyBorder="1" applyAlignment="1">
      <alignment horizontal="left" vertical="center"/>
    </xf>
    <xf numFmtId="0" fontId="57" fillId="0" borderId="144" xfId="0" applyFont="1" applyBorder="1" applyAlignment="1">
      <alignment horizontal="left" vertical="center"/>
    </xf>
    <xf numFmtId="0" fontId="50" fillId="3" borderId="20" xfId="0" applyFont="1" applyFill="1" applyBorder="1" applyAlignment="1">
      <alignment horizontal="center" vertical="top" wrapText="1"/>
    </xf>
    <xf numFmtId="0" fontId="50" fillId="3" borderId="0" xfId="0" applyFont="1" applyFill="1" applyAlignment="1">
      <alignment horizontal="center" vertical="top" wrapText="1"/>
    </xf>
    <xf numFmtId="0" fontId="50" fillId="3" borderId="21" xfId="0" applyFont="1" applyFill="1" applyBorder="1" applyAlignment="1">
      <alignment horizontal="center" vertical="top" wrapText="1"/>
    </xf>
    <xf numFmtId="0" fontId="50" fillId="3" borderId="22" xfId="0" applyFont="1" applyFill="1" applyBorder="1" applyAlignment="1">
      <alignment wrapText="1"/>
    </xf>
    <xf numFmtId="0" fontId="50" fillId="3" borderId="23" xfId="0" applyFont="1" applyFill="1" applyBorder="1" applyAlignment="1">
      <alignment wrapText="1"/>
    </xf>
    <xf numFmtId="0" fontId="50" fillId="3" borderId="24" xfId="0" applyFont="1" applyFill="1" applyBorder="1" applyAlignment="1">
      <alignment wrapText="1"/>
    </xf>
    <xf numFmtId="0" fontId="0" fillId="2" borderId="0" xfId="0" applyFill="1" applyAlignment="1">
      <alignment wrapText="1"/>
    </xf>
    <xf numFmtId="0" fontId="54" fillId="8" borderId="175" xfId="0" quotePrefix="1" applyNumberFormat="1" applyFont="1" applyFill="1" applyBorder="1" applyAlignment="1">
      <alignment horizontal="center" vertical="center"/>
    </xf>
    <xf numFmtId="0" fontId="54" fillId="8" borderId="182" xfId="0" quotePrefix="1" applyNumberFormat="1" applyFont="1" applyFill="1" applyBorder="1" applyAlignment="1">
      <alignment horizontal="center" vertical="center"/>
    </xf>
    <xf numFmtId="0" fontId="54" fillId="8" borderId="182" xfId="0" applyNumberFormat="1" applyFont="1" applyFill="1" applyBorder="1" applyAlignment="1">
      <alignment horizontal="center" vertical="center"/>
    </xf>
    <xf numFmtId="0" fontId="54" fillId="21" borderId="182" xfId="0" applyNumberFormat="1" applyFont="1" applyFill="1" applyBorder="1" applyAlignment="1">
      <alignment horizontal="center" vertical="center"/>
    </xf>
    <xf numFmtId="0" fontId="54" fillId="11" borderId="182" xfId="0" applyNumberFormat="1" applyFont="1" applyFill="1" applyBorder="1" applyAlignment="1">
      <alignment horizontal="center" vertical="center"/>
    </xf>
    <xf numFmtId="0" fontId="54" fillId="11" borderId="182" xfId="0" applyNumberFormat="1" applyFont="1" applyFill="1" applyBorder="1" applyAlignment="1">
      <alignment horizontal="left" vertical="center"/>
    </xf>
    <xf numFmtId="0" fontId="54" fillId="11" borderId="182" xfId="0" quotePrefix="1" applyNumberFormat="1" applyFont="1" applyFill="1" applyBorder="1" applyAlignment="1">
      <alignment horizontal="center" vertical="center"/>
    </xf>
    <xf numFmtId="0" fontId="54" fillId="10" borderId="182" xfId="0" quotePrefix="1" applyNumberFormat="1" applyFont="1" applyFill="1" applyBorder="1" applyAlignment="1">
      <alignment horizontal="center" vertical="center"/>
    </xf>
    <xf numFmtId="0" fontId="54" fillId="22" borderId="182" xfId="0" applyNumberFormat="1" applyFont="1" applyFill="1" applyBorder="1" applyAlignment="1">
      <alignment horizontal="center" vertical="center"/>
    </xf>
    <xf numFmtId="0" fontId="54" fillId="20" borderId="182" xfId="0" quotePrefix="1" applyNumberFormat="1" applyFont="1" applyFill="1" applyBorder="1" applyAlignment="1">
      <alignment horizontal="center" vertical="center"/>
    </xf>
    <xf numFmtId="0" fontId="54" fillId="20" borderId="182" xfId="0" applyNumberFormat="1" applyFont="1" applyFill="1" applyBorder="1" applyAlignment="1">
      <alignment horizontal="center" vertical="center"/>
    </xf>
    <xf numFmtId="0" fontId="54" fillId="12" borderId="182" xfId="0" quotePrefix="1" applyNumberFormat="1" applyFont="1" applyFill="1" applyBorder="1" applyAlignment="1">
      <alignment horizontal="center" vertical="center"/>
    </xf>
    <xf numFmtId="0" fontId="54" fillId="12" borderId="182" xfId="0" applyNumberFormat="1" applyFont="1" applyFill="1" applyBorder="1" applyAlignment="1">
      <alignment horizontal="center" vertical="center"/>
    </xf>
    <xf numFmtId="0" fontId="54" fillId="18" borderId="182" xfId="0" applyNumberFormat="1" applyFont="1" applyFill="1" applyBorder="1" applyAlignment="1">
      <alignment horizontal="center" vertical="center"/>
    </xf>
    <xf numFmtId="0" fontId="54" fillId="28" borderId="182" xfId="0" quotePrefix="1" applyNumberFormat="1" applyFont="1" applyFill="1" applyBorder="1" applyAlignment="1">
      <alignment horizontal="center"/>
    </xf>
    <xf numFmtId="0" fontId="54" fillId="28" borderId="182" xfId="0" applyNumberFormat="1" applyFont="1" applyFill="1" applyBorder="1" applyAlignment="1">
      <alignment horizontal="center" vertical="center"/>
    </xf>
    <xf numFmtId="0" fontId="54" fillId="26" borderId="182" xfId="0" applyNumberFormat="1" applyFont="1" applyFill="1" applyBorder="1" applyAlignment="1">
      <alignment horizontal="center" vertical="center"/>
    </xf>
    <xf numFmtId="0" fontId="54" fillId="27" borderId="182" xfId="0" applyNumberFormat="1" applyFont="1" applyFill="1" applyBorder="1" applyAlignment="1">
      <alignment horizontal="center" vertical="center"/>
    </xf>
    <xf numFmtId="0" fontId="54" fillId="51" borderId="182" xfId="0" applyNumberFormat="1" applyFont="1" applyFill="1" applyBorder="1" applyAlignment="1">
      <alignment horizontal="center" vertical="center"/>
    </xf>
    <xf numFmtId="0" fontId="54" fillId="9" borderId="182" xfId="0" applyNumberFormat="1" applyFont="1" applyFill="1" applyBorder="1" applyAlignment="1">
      <alignment horizontal="center" vertical="center"/>
    </xf>
    <xf numFmtId="0" fontId="54" fillId="9" borderId="224" xfId="0" applyNumberFormat="1" applyFont="1" applyFill="1" applyBorder="1" applyAlignment="1">
      <alignment horizontal="center" vertical="center"/>
    </xf>
    <xf numFmtId="0" fontId="54" fillId="9" borderId="182" xfId="0" quotePrefix="1" applyNumberFormat="1" applyFont="1" applyFill="1" applyBorder="1" applyAlignment="1">
      <alignment horizontal="center" vertical="center"/>
    </xf>
    <xf numFmtId="0" fontId="54" fillId="7" borderId="182" xfId="0" applyNumberFormat="1" applyFont="1" applyFill="1" applyBorder="1" applyAlignment="1">
      <alignment horizontal="center" vertical="center"/>
    </xf>
    <xf numFmtId="0" fontId="0" fillId="9" borderId="182" xfId="0" applyNumberFormat="1" applyFill="1" applyBorder="1" applyAlignment="1">
      <alignment horizontal="center" vertical="center"/>
    </xf>
    <xf numFmtId="0" fontId="54" fillId="16" borderId="182" xfId="0" quotePrefix="1" applyNumberFormat="1" applyFont="1" applyFill="1" applyBorder="1" applyAlignment="1">
      <alignment horizontal="center" vertical="center"/>
    </xf>
    <xf numFmtId="0" fontId="54" fillId="16" borderId="182" xfId="0" applyNumberFormat="1" applyFont="1" applyFill="1" applyBorder="1" applyAlignment="1">
      <alignment horizontal="center" vertical="center"/>
    </xf>
    <xf numFmtId="0" fontId="54" fillId="15" borderId="182" xfId="0" applyNumberFormat="1" applyFont="1" applyFill="1" applyBorder="1" applyAlignment="1">
      <alignment horizontal="center" vertical="center"/>
    </xf>
    <xf numFmtId="0" fontId="0" fillId="28" borderId="224" xfId="0" applyNumberFormat="1" applyFill="1" applyBorder="1" applyAlignment="1">
      <alignment horizontal="center" vertical="center"/>
    </xf>
    <xf numFmtId="0" fontId="54" fillId="48" borderId="182" xfId="0" applyNumberFormat="1" applyFont="1" applyFill="1" applyBorder="1" applyAlignment="1">
      <alignment horizontal="center" vertical="center"/>
    </xf>
    <xf numFmtId="0" fontId="54" fillId="4" borderId="182" xfId="0" applyNumberFormat="1" applyFont="1" applyFill="1" applyBorder="1" applyAlignment="1">
      <alignment horizontal="center" vertical="center"/>
    </xf>
    <xf numFmtId="0" fontId="54" fillId="29" borderId="182" xfId="0" applyNumberFormat="1" applyFont="1" applyFill="1" applyBorder="1" applyAlignment="1">
      <alignment horizontal="center" vertical="center"/>
    </xf>
    <xf numFmtId="0" fontId="54" fillId="29" borderId="211" xfId="0" applyNumberFormat="1" applyFont="1" applyFill="1" applyBorder="1" applyAlignment="1">
      <alignment horizontal="center" vertical="center"/>
    </xf>
    <xf numFmtId="0" fontId="54" fillId="8" borderId="175" xfId="0" applyNumberFormat="1" applyFont="1" applyFill="1" applyBorder="1" applyAlignment="1">
      <alignment horizontal="center" vertical="center"/>
    </xf>
    <xf numFmtId="0" fontId="54" fillId="10" borderId="182" xfId="0" applyNumberFormat="1" applyFont="1" applyFill="1" applyBorder="1" applyAlignment="1">
      <alignment horizontal="center" vertical="center"/>
    </xf>
    <xf numFmtId="0" fontId="54" fillId="21" borderId="182" xfId="0" quotePrefix="1" applyNumberFormat="1" applyFont="1" applyFill="1" applyBorder="1" applyAlignment="1">
      <alignment horizontal="center" vertical="center"/>
    </xf>
    <xf numFmtId="0" fontId="54" fillId="28" borderId="224" xfId="0" applyNumberFormat="1" applyFont="1" applyFill="1" applyBorder="1" applyAlignment="1">
      <alignment horizontal="center" vertical="center"/>
    </xf>
    <xf numFmtId="0" fontId="54" fillId="7" borderId="224" xfId="0" applyNumberFormat="1" applyFont="1" applyFill="1" applyBorder="1" applyAlignment="1">
      <alignment horizontal="center" vertical="center"/>
    </xf>
    <xf numFmtId="0" fontId="0" fillId="9" borderId="224" xfId="0" applyNumberFormat="1" applyFill="1" applyBorder="1" applyAlignment="1">
      <alignment horizontal="center" vertical="center"/>
    </xf>
    <xf numFmtId="0" fontId="54" fillId="16" borderId="224" xfId="0" applyNumberFormat="1" applyFont="1" applyFill="1" applyBorder="1" applyAlignment="1">
      <alignment horizontal="center" vertical="center"/>
    </xf>
    <xf numFmtId="0" fontId="54" fillId="15" borderId="224" xfId="0" applyNumberFormat="1" applyFont="1" applyFill="1" applyBorder="1" applyAlignment="1">
      <alignment horizontal="center" vertical="center"/>
    </xf>
    <xf numFmtId="0" fontId="54" fillId="48" borderId="224" xfId="0" applyNumberFormat="1" applyFont="1" applyFill="1" applyBorder="1" applyAlignment="1">
      <alignment horizontal="center" vertical="center"/>
    </xf>
    <xf numFmtId="0" fontId="54" fillId="4" borderId="224" xfId="0" applyNumberFormat="1" applyFont="1" applyFill="1" applyBorder="1" applyAlignment="1">
      <alignment horizontal="center" vertical="center"/>
    </xf>
    <xf numFmtId="0" fontId="54" fillId="18" borderId="224" xfId="0" applyNumberFormat="1" applyFont="1" applyFill="1" applyBorder="1" applyAlignment="1">
      <alignment horizontal="center" vertical="center"/>
    </xf>
    <xf numFmtId="0" fontId="54" fillId="29" borderId="224" xfId="0" applyNumberFormat="1" applyFont="1" applyFill="1" applyBorder="1" applyAlignment="1">
      <alignment horizontal="center" vertical="center"/>
    </xf>
    <xf numFmtId="0" fontId="0" fillId="28" borderId="224" xfId="0" quotePrefix="1" applyNumberFormat="1" applyFill="1" applyBorder="1" applyAlignment="1">
      <alignment horizontal="center" vertical="center"/>
    </xf>
    <xf numFmtId="0" fontId="54" fillId="11" borderId="182" xfId="0" quotePrefix="1" applyNumberFormat="1" applyFont="1" applyFill="1" applyBorder="1" applyAlignment="1">
      <alignment horizontal="left" vertical="center"/>
    </xf>
    <xf numFmtId="0" fontId="54" fillId="28" borderId="182" xfId="0" quotePrefix="1" applyNumberFormat="1" applyFont="1" applyFill="1" applyBorder="1" applyAlignment="1">
      <alignment horizontal="center" vertical="center"/>
    </xf>
    <xf numFmtId="0" fontId="54" fillId="26" borderId="182" xfId="0" quotePrefix="1" applyNumberFormat="1" applyFont="1" applyFill="1" applyBorder="1" applyAlignment="1">
      <alignment horizontal="center" vertical="center"/>
    </xf>
    <xf numFmtId="0" fontId="54" fillId="27" borderId="182" xfId="0" quotePrefix="1" applyNumberFormat="1" applyFont="1" applyFill="1" applyBorder="1" applyAlignment="1">
      <alignment horizontal="center" vertical="center"/>
    </xf>
    <xf numFmtId="0" fontId="54" fillId="7" borderId="182" xfId="0" quotePrefix="1" applyNumberFormat="1" applyFont="1" applyFill="1" applyBorder="1" applyAlignment="1">
      <alignment horizontal="center" vertical="center"/>
    </xf>
    <xf numFmtId="0" fontId="54" fillId="15" borderId="182" xfId="0" quotePrefix="1" applyNumberFormat="1" applyFont="1" applyFill="1" applyBorder="1" applyAlignment="1">
      <alignment horizontal="center" vertical="center"/>
    </xf>
    <xf numFmtId="0" fontId="54" fillId="48" borderId="182" xfId="0" quotePrefix="1" applyNumberFormat="1" applyFont="1" applyFill="1" applyBorder="1" applyAlignment="1">
      <alignment horizontal="center" vertical="center"/>
    </xf>
    <xf numFmtId="0" fontId="54" fillId="4" borderId="182" xfId="0" quotePrefix="1" applyNumberFormat="1" applyFont="1" applyFill="1" applyBorder="1" applyAlignment="1">
      <alignment horizontal="center" vertical="center"/>
    </xf>
    <xf numFmtId="0" fontId="54" fillId="18" borderId="182" xfId="0" quotePrefix="1" applyNumberFormat="1" applyFont="1" applyFill="1" applyBorder="1" applyAlignment="1">
      <alignment horizontal="center" vertical="center"/>
    </xf>
    <xf numFmtId="0" fontId="54" fillId="29" borderId="182" xfId="0" quotePrefix="1" applyNumberFormat="1" applyFont="1" applyFill="1" applyBorder="1" applyAlignment="1">
      <alignment horizontal="center" vertical="center"/>
    </xf>
    <xf numFmtId="0" fontId="54" fillId="29" borderId="211" xfId="0" quotePrefix="1" applyNumberFormat="1" applyFont="1" applyFill="1" applyBorder="1" applyAlignment="1">
      <alignment horizontal="center" vertical="center"/>
    </xf>
    <xf numFmtId="0" fontId="54" fillId="26" borderId="182" xfId="0" quotePrefix="1" applyNumberFormat="1" applyFont="1" applyFill="1" applyBorder="1" applyAlignment="1">
      <alignment horizontal="center"/>
    </xf>
    <xf numFmtId="0" fontId="54" fillId="27" borderId="182" xfId="0" quotePrefix="1" applyNumberFormat="1" applyFont="1" applyFill="1" applyBorder="1" applyAlignment="1">
      <alignment horizontal="center"/>
    </xf>
    <xf numFmtId="0" fontId="0" fillId="51" borderId="182" xfId="0" quotePrefix="1" applyNumberFormat="1" applyFill="1" applyBorder="1" applyAlignment="1">
      <alignment horizontal="center" vertical="center"/>
    </xf>
    <xf numFmtId="0" fontId="54" fillId="9" borderId="224" xfId="0" quotePrefix="1" applyNumberFormat="1" applyFont="1" applyFill="1" applyBorder="1" applyAlignment="1">
      <alignment horizontal="center" vertical="center"/>
    </xf>
    <xf numFmtId="0" fontId="54" fillId="27" borderId="182" xfId="0" quotePrefix="1" applyNumberFormat="1" applyFont="1" applyFill="1" applyBorder="1"/>
    <xf numFmtId="0" fontId="54" fillId="7" borderId="182" xfId="0" quotePrefix="1" applyNumberFormat="1" applyFont="1" applyFill="1" applyBorder="1" applyAlignment="1">
      <alignment horizontal="left" vertical="center"/>
    </xf>
    <xf numFmtId="0" fontId="0" fillId="9" borderId="182" xfId="0" quotePrefix="1" applyNumberFormat="1" applyFill="1" applyBorder="1" applyAlignment="1">
      <alignment horizontal="center" vertical="center"/>
    </xf>
    <xf numFmtId="0" fontId="54" fillId="9" borderId="182" xfId="0" quotePrefix="1" applyNumberFormat="1" applyFont="1" applyFill="1" applyBorder="1" applyAlignment="1">
      <alignment horizontal="left" vertical="center"/>
    </xf>
    <xf numFmtId="0" fontId="57" fillId="16" borderId="182" xfId="3" quotePrefix="1" applyNumberFormat="1" applyFont="1" applyFill="1" applyBorder="1" applyAlignment="1">
      <alignment horizontal="center" vertical="center"/>
    </xf>
    <xf numFmtId="0" fontId="57" fillId="16" borderId="182" xfId="46" quotePrefix="1" applyNumberFormat="1" applyFont="1" applyFill="1" applyBorder="1" applyAlignment="1">
      <alignment horizontal="center" vertical="center"/>
    </xf>
    <xf numFmtId="0" fontId="54" fillId="28" borderId="182" xfId="0" quotePrefix="1" applyNumberFormat="1" applyFont="1" applyFill="1" applyBorder="1"/>
    <xf numFmtId="0" fontId="54" fillId="26" borderId="182" xfId="0" quotePrefix="1" applyNumberFormat="1" applyFont="1" applyFill="1" applyBorder="1"/>
    <xf numFmtId="0" fontId="54" fillId="8" borderId="224" xfId="0" applyNumberFormat="1" applyFont="1" applyFill="1" applyBorder="1" applyAlignment="1">
      <alignment horizontal="center" vertical="center"/>
    </xf>
    <xf numFmtId="0" fontId="54" fillId="21" borderId="224" xfId="0" applyNumberFormat="1" applyFont="1" applyFill="1" applyBorder="1" applyAlignment="1">
      <alignment horizontal="center" vertical="center"/>
    </xf>
    <xf numFmtId="0" fontId="54" fillId="11" borderId="224" xfId="0" applyNumberFormat="1" applyFont="1" applyFill="1" applyBorder="1" applyAlignment="1">
      <alignment horizontal="center" vertical="center"/>
    </xf>
    <xf numFmtId="0" fontId="54" fillId="10" borderId="224" xfId="0" applyNumberFormat="1" applyFont="1" applyFill="1" applyBorder="1" applyAlignment="1">
      <alignment horizontal="center" vertical="center"/>
    </xf>
    <xf numFmtId="0" fontId="54" fillId="22" borderId="224" xfId="0" applyNumberFormat="1" applyFont="1" applyFill="1" applyBorder="1" applyAlignment="1">
      <alignment horizontal="center" vertical="center"/>
    </xf>
    <xf numFmtId="0" fontId="54" fillId="20" borderId="224" xfId="0" quotePrefix="1" applyNumberFormat="1" applyFont="1" applyFill="1" applyBorder="1" applyAlignment="1">
      <alignment horizontal="center" vertical="center"/>
    </xf>
    <xf numFmtId="0" fontId="54" fillId="12" borderId="224" xfId="0" applyNumberFormat="1" applyFont="1" applyFill="1" applyBorder="1" applyAlignment="1">
      <alignment horizontal="center" vertical="center"/>
    </xf>
    <xf numFmtId="0" fontId="57" fillId="51" borderId="182" xfId="0" quotePrefix="1" applyNumberFormat="1" applyFont="1" applyFill="1" applyBorder="1" applyAlignment="1">
      <alignment horizontal="center" vertical="center"/>
    </xf>
    <xf numFmtId="0" fontId="57" fillId="51" borderId="224" xfId="0" quotePrefix="1" applyNumberFormat="1" applyFont="1" applyFill="1" applyBorder="1" applyAlignment="1">
      <alignment horizontal="center" vertical="center"/>
    </xf>
    <xf numFmtId="0" fontId="54" fillId="10" borderId="224" xfId="0" quotePrefix="1" applyNumberFormat="1" applyFont="1" applyFill="1" applyBorder="1" applyAlignment="1">
      <alignment horizontal="center" vertical="center"/>
    </xf>
    <xf numFmtId="0" fontId="54" fillId="20" borderId="224" xfId="0" applyNumberFormat="1" applyFont="1" applyFill="1" applyBorder="1" applyAlignment="1">
      <alignment horizontal="center" vertical="center"/>
    </xf>
    <xf numFmtId="0" fontId="54" fillId="51" borderId="224" xfId="0" applyNumberFormat="1" applyFont="1" applyFill="1" applyBorder="1" applyAlignment="1">
      <alignment horizontal="center" vertical="center"/>
    </xf>
    <xf numFmtId="0" fontId="54" fillId="8" borderId="224" xfId="0" quotePrefix="1" applyNumberFormat="1" applyFont="1" applyFill="1" applyBorder="1" applyAlignment="1">
      <alignment horizontal="center" vertical="center"/>
    </xf>
    <xf numFmtId="0" fontId="54" fillId="21" borderId="224" xfId="0" quotePrefix="1" applyNumberFormat="1" applyFont="1" applyFill="1" applyBorder="1" applyAlignment="1">
      <alignment horizontal="center" vertical="center"/>
    </xf>
    <xf numFmtId="0" fontId="54" fillId="11" borderId="224" xfId="0" quotePrefix="1" applyNumberFormat="1" applyFont="1" applyFill="1" applyBorder="1" applyAlignment="1">
      <alignment horizontal="center" vertical="center"/>
    </xf>
    <xf numFmtId="0" fontId="54" fillId="51" borderId="182" xfId="0" quotePrefix="1" applyNumberFormat="1" applyFont="1" applyFill="1" applyBorder="1" applyAlignment="1">
      <alignment horizontal="center" vertical="center"/>
    </xf>
    <xf numFmtId="0" fontId="54" fillId="51" borderId="224" xfId="0" quotePrefix="1" applyNumberFormat="1" applyFont="1" applyFill="1" applyBorder="1" applyAlignment="1">
      <alignment horizontal="center" vertical="center"/>
    </xf>
    <xf numFmtId="0" fontId="54" fillId="10" borderId="182" xfId="0" quotePrefix="1" applyNumberFormat="1" applyFont="1" applyFill="1" applyBorder="1" applyAlignment="1">
      <alignment horizontal="left" vertical="center"/>
    </xf>
    <xf numFmtId="0" fontId="54" fillId="28" borderId="182" xfId="0" applyNumberFormat="1" applyFont="1" applyFill="1" applyBorder="1"/>
    <xf numFmtId="0" fontId="54" fillId="26" borderId="182" xfId="0" applyNumberFormat="1" applyFont="1" applyFill="1" applyBorder="1"/>
    <xf numFmtId="0" fontId="54" fillId="26" borderId="182" xfId="0" applyNumberFormat="1" applyFont="1" applyFill="1" applyBorder="1" applyAlignment="1">
      <alignment horizontal="center"/>
    </xf>
    <xf numFmtId="0" fontId="54" fillId="27" borderId="182" xfId="0" applyNumberFormat="1" applyFont="1" applyFill="1" applyBorder="1" applyAlignment="1">
      <alignment horizontal="center"/>
    </xf>
    <xf numFmtId="0" fontId="54" fillId="27" borderId="182" xfId="0" applyNumberFormat="1" applyFont="1" applyFill="1" applyBorder="1"/>
    <xf numFmtId="0" fontId="54" fillId="28" borderId="182" xfId="0" applyNumberFormat="1" applyFont="1" applyFill="1" applyBorder="1" applyAlignment="1">
      <alignment horizontal="center"/>
    </xf>
    <xf numFmtId="0" fontId="57" fillId="7" borderId="182" xfId="3" quotePrefix="1" applyNumberFormat="1" applyFont="1" applyFill="1" applyBorder="1" applyAlignment="1">
      <alignment horizontal="left" vertical="center"/>
    </xf>
    <xf numFmtId="0" fontId="54" fillId="7" borderId="182" xfId="0" applyNumberFormat="1" applyFont="1" applyFill="1" applyBorder="1" applyAlignment="1">
      <alignment horizontal="left" vertical="center"/>
    </xf>
    <xf numFmtId="0" fontId="57" fillId="7" borderId="182" xfId="3" quotePrefix="1" applyNumberFormat="1" applyFont="1" applyFill="1" applyBorder="1" applyAlignment="1">
      <alignment horizontal="center" vertical="center"/>
    </xf>
    <xf numFmtId="0" fontId="57" fillId="9" borderId="182" xfId="3" quotePrefix="1" applyNumberFormat="1" applyFont="1" applyFill="1" applyBorder="1" applyAlignment="1">
      <alignment horizontal="left" vertical="center"/>
    </xf>
    <xf numFmtId="0" fontId="54" fillId="9" borderId="182" xfId="0" applyNumberFormat="1" applyFont="1" applyFill="1" applyBorder="1" applyAlignment="1">
      <alignment horizontal="left" vertical="center"/>
    </xf>
    <xf numFmtId="0" fontId="54" fillId="12" borderId="224" xfId="0" quotePrefix="1" applyNumberFormat="1" applyFont="1" applyFill="1" applyBorder="1" applyAlignment="1">
      <alignment horizontal="center" vertical="center"/>
    </xf>
    <xf numFmtId="0" fontId="54" fillId="18" borderId="224" xfId="0" quotePrefix="1" applyNumberFormat="1" applyFont="1" applyFill="1" applyBorder="1" applyAlignment="1">
      <alignment horizontal="center" vertical="center"/>
    </xf>
    <xf numFmtId="0" fontId="54" fillId="26" borderId="224" xfId="0" applyNumberFormat="1" applyFont="1" applyFill="1" applyBorder="1" applyAlignment="1">
      <alignment horizontal="center" vertical="center"/>
    </xf>
    <xf numFmtId="0" fontId="54" fillId="27" borderId="224" xfId="0" applyNumberFormat="1" applyFont="1" applyFill="1" applyBorder="1" applyAlignment="1">
      <alignment horizontal="center" vertical="center"/>
    </xf>
    <xf numFmtId="0" fontId="54" fillId="7" borderId="224" xfId="0" quotePrefix="1" applyNumberFormat="1" applyFont="1" applyFill="1" applyBorder="1" applyAlignment="1">
      <alignment horizontal="center" vertical="center"/>
    </xf>
    <xf numFmtId="0" fontId="54" fillId="16" borderId="224" xfId="0" quotePrefix="1" applyNumberFormat="1" applyFont="1" applyFill="1" applyBorder="1" applyAlignment="1">
      <alignment horizontal="center" vertical="center"/>
    </xf>
    <xf numFmtId="0" fontId="54" fillId="15" borderId="224" xfId="0" quotePrefix="1" applyNumberFormat="1" applyFont="1" applyFill="1" applyBorder="1" applyAlignment="1">
      <alignment horizontal="center" vertical="center"/>
    </xf>
    <xf numFmtId="0" fontId="54" fillId="48" borderId="224" xfId="0" quotePrefix="1" applyNumberFormat="1" applyFont="1" applyFill="1" applyBorder="1" applyAlignment="1">
      <alignment horizontal="center" vertical="center"/>
    </xf>
    <xf numFmtId="0" fontId="54" fillId="4" borderId="224" xfId="0" quotePrefix="1" applyNumberFormat="1" applyFont="1" applyFill="1" applyBorder="1" applyAlignment="1">
      <alignment horizontal="center" vertical="center"/>
    </xf>
    <xf numFmtId="0" fontId="54" fillId="29" borderId="224" xfId="0" quotePrefix="1" applyNumberFormat="1" applyFont="1" applyFill="1" applyBorder="1" applyAlignment="1">
      <alignment horizontal="center" vertical="center"/>
    </xf>
    <xf numFmtId="0" fontId="0" fillId="28" borderId="224" xfId="0" applyNumberFormat="1" applyFill="1" applyBorder="1" applyAlignment="1">
      <alignment horizontal="left" vertical="center"/>
    </xf>
    <xf numFmtId="0" fontId="0" fillId="11" borderId="182" xfId="0" applyNumberFormat="1" applyFill="1" applyBorder="1" applyAlignment="1">
      <alignment horizontal="center" vertical="center"/>
    </xf>
    <xf numFmtId="0" fontId="54" fillId="9" borderId="230" xfId="0" applyNumberFormat="1" applyFont="1" applyFill="1" applyBorder="1" applyAlignment="1">
      <alignment horizontal="center" vertical="center"/>
    </xf>
    <xf numFmtId="0" fontId="54" fillId="53" borderId="182" xfId="0" applyNumberFormat="1" applyFont="1" applyFill="1" applyBorder="1" applyAlignment="1">
      <alignment horizontal="center" vertical="center"/>
    </xf>
    <xf numFmtId="0" fontId="54" fillId="22" borderId="182" xfId="0" quotePrefix="1" applyNumberFormat="1" applyFont="1" applyFill="1" applyBorder="1" applyAlignment="1">
      <alignment horizontal="left" vertical="center"/>
    </xf>
    <xf numFmtId="0" fontId="54" fillId="48" borderId="182" xfId="0" quotePrefix="1" applyNumberFormat="1" applyFont="1" applyFill="1" applyBorder="1" applyAlignment="1">
      <alignment horizontal="left" vertical="center"/>
    </xf>
    <xf numFmtId="0" fontId="54" fillId="32" borderId="175" xfId="0" quotePrefix="1" applyNumberFormat="1" applyFont="1" applyFill="1" applyBorder="1" applyAlignment="1">
      <alignment horizontal="left" vertical="center"/>
    </xf>
    <xf numFmtId="0" fontId="54" fillId="32" borderId="182" xfId="0" quotePrefix="1" applyNumberFormat="1" applyFont="1" applyFill="1" applyBorder="1" applyAlignment="1">
      <alignment horizontal="left" vertical="center"/>
    </xf>
    <xf numFmtId="0" fontId="54" fillId="33" borderId="182" xfId="0" quotePrefix="1" applyNumberFormat="1" applyFont="1" applyFill="1" applyBorder="1" applyAlignment="1">
      <alignment horizontal="left" vertical="center"/>
    </xf>
    <xf numFmtId="0" fontId="54" fillId="34" borderId="182" xfId="0" quotePrefix="1" applyNumberFormat="1" applyFont="1" applyFill="1" applyBorder="1" applyAlignment="1">
      <alignment horizontal="left" vertical="center"/>
    </xf>
    <xf numFmtId="0" fontId="106" fillId="34" borderId="182" xfId="0" quotePrefix="1" applyNumberFormat="1" applyFont="1" applyFill="1" applyBorder="1" applyAlignment="1">
      <alignment horizontal="left" vertical="center"/>
    </xf>
    <xf numFmtId="0" fontId="54" fillId="35" borderId="182" xfId="0" quotePrefix="1" applyNumberFormat="1" applyFont="1" applyFill="1" applyBorder="1" applyAlignment="1">
      <alignment horizontal="left" vertical="center"/>
    </xf>
    <xf numFmtId="0" fontId="54" fillId="36" borderId="182" xfId="0" quotePrefix="1" applyNumberFormat="1" applyFont="1" applyFill="1" applyBorder="1" applyAlignment="1">
      <alignment horizontal="left" vertical="center"/>
    </xf>
    <xf numFmtId="0" fontId="54" fillId="37" borderId="182" xfId="0" quotePrefix="1" applyNumberFormat="1" applyFont="1" applyFill="1" applyBorder="1" applyAlignment="1">
      <alignment horizontal="left" vertical="center"/>
    </xf>
    <xf numFmtId="0" fontId="54" fillId="38" borderId="182" xfId="0" quotePrefix="1" applyNumberFormat="1" applyFont="1" applyFill="1" applyBorder="1" applyAlignment="1">
      <alignment horizontal="left" vertical="center"/>
    </xf>
    <xf numFmtId="0" fontId="54" fillId="39" borderId="182" xfId="0" quotePrefix="1" applyNumberFormat="1" applyFont="1" applyFill="1" applyBorder="1" applyAlignment="1">
      <alignment horizontal="left" vertical="center"/>
    </xf>
    <xf numFmtId="0" fontId="54" fillId="40" borderId="182" xfId="0" quotePrefix="1" applyNumberFormat="1" applyFont="1" applyFill="1" applyBorder="1" applyAlignment="1">
      <alignment horizontal="left" vertical="center"/>
    </xf>
    <xf numFmtId="0" fontId="54" fillId="52" borderId="182" xfId="0" quotePrefix="1" applyNumberFormat="1" applyFont="1" applyFill="1" applyBorder="1" applyAlignment="1">
      <alignment horizontal="left"/>
    </xf>
    <xf numFmtId="0" fontId="0" fillId="52" borderId="182" xfId="0" quotePrefix="1" applyNumberFormat="1" applyFill="1" applyBorder="1" applyAlignment="1">
      <alignment horizontal="left"/>
    </xf>
    <xf numFmtId="0" fontId="54" fillId="41" borderId="225" xfId="0" quotePrefix="1" applyNumberFormat="1" applyFont="1" applyFill="1" applyBorder="1" applyAlignment="1">
      <alignment horizontal="left" vertical="center"/>
    </xf>
    <xf numFmtId="0" fontId="54" fillId="41" borderId="182" xfId="0" quotePrefix="1" applyNumberFormat="1" applyFont="1" applyFill="1" applyBorder="1" applyAlignment="1">
      <alignment horizontal="left" vertical="center"/>
    </xf>
    <xf numFmtId="0" fontId="54" fillId="42" borderId="182" xfId="0" quotePrefix="1" applyNumberFormat="1" applyFont="1" applyFill="1" applyBorder="1" applyAlignment="1">
      <alignment horizontal="left" vertical="center"/>
    </xf>
    <xf numFmtId="0" fontId="54" fillId="43" borderId="182" xfId="0" quotePrefix="1" applyNumberFormat="1" applyFont="1" applyFill="1" applyBorder="1" applyAlignment="1">
      <alignment horizontal="left" vertical="center"/>
    </xf>
    <xf numFmtId="0" fontId="54" fillId="44" borderId="182" xfId="0" quotePrefix="1" applyNumberFormat="1" applyFont="1" applyFill="1" applyBorder="1" applyAlignment="1">
      <alignment horizontal="left" vertical="center"/>
    </xf>
    <xf numFmtId="0" fontId="54" fillId="38" borderId="224" xfId="0" quotePrefix="1" applyNumberFormat="1" applyFont="1" applyFill="1" applyBorder="1" applyAlignment="1">
      <alignment horizontal="left" vertical="center"/>
    </xf>
    <xf numFmtId="0" fontId="54" fillId="45" borderId="182" xfId="0" quotePrefix="1" applyNumberFormat="1" applyFont="1" applyFill="1" applyBorder="1" applyAlignment="1">
      <alignment horizontal="left" vertical="center"/>
    </xf>
    <xf numFmtId="0" fontId="54" fillId="46" borderId="182" xfId="0" quotePrefix="1" applyNumberFormat="1" applyFont="1" applyFill="1" applyBorder="1" applyAlignment="1">
      <alignment horizontal="left" vertical="center"/>
    </xf>
    <xf numFmtId="0" fontId="54" fillId="46" borderId="211" xfId="0" quotePrefix="1" applyNumberFormat="1" applyFont="1" applyFill="1" applyBorder="1" applyAlignment="1">
      <alignment horizontal="left" vertical="center"/>
    </xf>
    <xf numFmtId="0" fontId="56" fillId="5" borderId="0" xfId="0" applyFont="1" applyFill="1" applyBorder="1" applyAlignment="1">
      <alignment horizontal="center" vertical="center"/>
    </xf>
  </cellXfs>
  <cellStyles count="261">
    <cellStyle name="Lien hypertexte" xfId="4" builtinId="8"/>
    <cellStyle name="Neutre" xfId="260" builtinId="28"/>
    <cellStyle name="Normal" xfId="0" builtinId="0"/>
    <cellStyle name="Normal 10" xfId="17" xr:uid="{00000000-0005-0000-0000-000002000000}"/>
    <cellStyle name="Normal 10 2" xfId="29" xr:uid="{00000000-0005-0000-0000-000003000000}"/>
    <cellStyle name="Normal 10 2 2" xfId="60" xr:uid="{00000000-0005-0000-0000-000004000000}"/>
    <cellStyle name="Normal 10 2 2 2" xfId="124" xr:uid="{00000000-0005-0000-0000-000005000000}"/>
    <cellStyle name="Normal 10 2 3" xfId="213" xr:uid="{00000000-0005-0000-0000-000006000000}"/>
    <cellStyle name="Normal 10 2 4" xfId="93" xr:uid="{00000000-0005-0000-0000-000007000000}"/>
    <cellStyle name="Normal 10 2 5" xfId="251" xr:uid="{00000000-0005-0000-0000-000008000000}"/>
    <cellStyle name="Normal 10 3" xfId="31" xr:uid="{00000000-0005-0000-0000-000009000000}"/>
    <cellStyle name="Normal 10 3 2" xfId="62" xr:uid="{00000000-0005-0000-0000-00000A000000}"/>
    <cellStyle name="Normal 10 3 2 2" xfId="126" xr:uid="{00000000-0005-0000-0000-00000B000000}"/>
    <cellStyle name="Normal 10 3 3" xfId="215" xr:uid="{00000000-0005-0000-0000-00000C000000}"/>
    <cellStyle name="Normal 10 3 4" xfId="95" xr:uid="{00000000-0005-0000-0000-00000D000000}"/>
    <cellStyle name="Normal 10 3 5" xfId="253" xr:uid="{00000000-0005-0000-0000-00000E000000}"/>
    <cellStyle name="Normal 10 4" xfId="49" xr:uid="{00000000-0005-0000-0000-00000F000000}"/>
    <cellStyle name="Normal 10 4 2" xfId="113" xr:uid="{00000000-0005-0000-0000-000010000000}"/>
    <cellStyle name="Normal 10 5" xfId="202" xr:uid="{00000000-0005-0000-0000-000011000000}"/>
    <cellStyle name="Normal 10 6" xfId="82" xr:uid="{00000000-0005-0000-0000-000012000000}"/>
    <cellStyle name="Normal 10 7" xfId="240" xr:uid="{00000000-0005-0000-0000-000013000000}"/>
    <cellStyle name="Normal 11" xfId="20" xr:uid="{00000000-0005-0000-0000-000014000000}"/>
    <cellStyle name="Normal 11 2" xfId="25" xr:uid="{00000000-0005-0000-0000-000015000000}"/>
    <cellStyle name="Normal 11 2 2" xfId="32" xr:uid="{00000000-0005-0000-0000-000016000000}"/>
    <cellStyle name="Normal 11 2 2 2" xfId="63" xr:uid="{00000000-0005-0000-0000-000017000000}"/>
    <cellStyle name="Normal 11 2 2 2 2" xfId="127" xr:uid="{00000000-0005-0000-0000-000018000000}"/>
    <cellStyle name="Normal 11 2 2 3" xfId="216" xr:uid="{00000000-0005-0000-0000-000019000000}"/>
    <cellStyle name="Normal 11 2 2 4" xfId="96" xr:uid="{00000000-0005-0000-0000-00001A000000}"/>
    <cellStyle name="Normal 11 2 2 5" xfId="254" xr:uid="{00000000-0005-0000-0000-00001B000000}"/>
    <cellStyle name="Normal 11 2 3" xfId="66" xr:uid="{00000000-0005-0000-0000-00001C000000}"/>
    <cellStyle name="Normal 11 2 3 2" xfId="120" xr:uid="{00000000-0005-0000-0000-00001D000000}"/>
    <cellStyle name="Normal 11 2 4" xfId="56" xr:uid="{00000000-0005-0000-0000-00001E000000}"/>
    <cellStyle name="Normal 11 2 4 2" xfId="209" xr:uid="{00000000-0005-0000-0000-00001F000000}"/>
    <cellStyle name="Normal 11 2 5" xfId="89" xr:uid="{00000000-0005-0000-0000-000020000000}"/>
    <cellStyle name="Normal 11 2 6" xfId="247" xr:uid="{00000000-0005-0000-0000-000021000000}"/>
    <cellStyle name="Normal 11 2 7" xfId="257" xr:uid="{00000000-0005-0000-0000-000022000000}"/>
    <cellStyle name="Normal 11 3" xfId="52" xr:uid="{00000000-0005-0000-0000-000023000000}"/>
    <cellStyle name="Normal 11 3 2" xfId="116" xr:uid="{00000000-0005-0000-0000-000024000000}"/>
    <cellStyle name="Normal 11 4" xfId="205" xr:uid="{00000000-0005-0000-0000-000025000000}"/>
    <cellStyle name="Normal 11 5" xfId="85" xr:uid="{00000000-0005-0000-0000-000026000000}"/>
    <cellStyle name="Normal 11 6" xfId="243" xr:uid="{00000000-0005-0000-0000-000027000000}"/>
    <cellStyle name="Normal 12" xfId="24" xr:uid="{00000000-0005-0000-0000-000028000000}"/>
    <cellStyle name="Normal 12 2" xfId="55" xr:uid="{00000000-0005-0000-0000-000029000000}"/>
    <cellStyle name="Normal 12 2 2" xfId="119" xr:uid="{00000000-0005-0000-0000-00002A000000}"/>
    <cellStyle name="Normal 12 3" xfId="208" xr:uid="{00000000-0005-0000-0000-00002B000000}"/>
    <cellStyle name="Normal 12 4" xfId="88" xr:uid="{00000000-0005-0000-0000-00002C000000}"/>
    <cellStyle name="Normal 12 5" xfId="246" xr:uid="{00000000-0005-0000-0000-00002D000000}"/>
    <cellStyle name="Normal 13" xfId="28" xr:uid="{00000000-0005-0000-0000-00002E000000}"/>
    <cellStyle name="Normal 13 2" xfId="59" xr:uid="{00000000-0005-0000-0000-00002F000000}"/>
    <cellStyle name="Normal 13 2 2" xfId="123" xr:uid="{00000000-0005-0000-0000-000030000000}"/>
    <cellStyle name="Normal 13 3" xfId="212" xr:uid="{00000000-0005-0000-0000-000031000000}"/>
    <cellStyle name="Normal 13 4" xfId="92" xr:uid="{00000000-0005-0000-0000-000032000000}"/>
    <cellStyle name="Normal 13 5" xfId="250" xr:uid="{00000000-0005-0000-0000-000033000000}"/>
    <cellStyle name="Normal 14" xfId="30" xr:uid="{00000000-0005-0000-0000-000034000000}"/>
    <cellStyle name="Normal 14 2" xfId="61" xr:uid="{00000000-0005-0000-0000-000035000000}"/>
    <cellStyle name="Normal 14 2 2" xfId="125" xr:uid="{00000000-0005-0000-0000-000036000000}"/>
    <cellStyle name="Normal 14 3" xfId="214" xr:uid="{00000000-0005-0000-0000-000037000000}"/>
    <cellStyle name="Normal 14 4" xfId="94" xr:uid="{00000000-0005-0000-0000-000038000000}"/>
    <cellStyle name="Normal 14 5" xfId="252" xr:uid="{00000000-0005-0000-0000-000039000000}"/>
    <cellStyle name="Normal 2" xfId="1" xr:uid="{00000000-0005-0000-0000-00003A000000}"/>
    <cellStyle name="Normál 2" xfId="12" xr:uid="{00000000-0005-0000-0000-00003B000000}"/>
    <cellStyle name="Normal 2 10" xfId="161" xr:uid="{00000000-0005-0000-0000-00003C000000}"/>
    <cellStyle name="Normál 2 10" xfId="152" xr:uid="{00000000-0005-0000-0000-00003D000000}"/>
    <cellStyle name="Normal 2 11" xfId="162" xr:uid="{00000000-0005-0000-0000-00003E000000}"/>
    <cellStyle name="Normál 2 11" xfId="163" xr:uid="{00000000-0005-0000-0000-00003F000000}"/>
    <cellStyle name="Normal 2 12" xfId="134" xr:uid="{00000000-0005-0000-0000-000040000000}"/>
    <cellStyle name="Normál 2 12" xfId="150" xr:uid="{00000000-0005-0000-0000-000041000000}"/>
    <cellStyle name="Normal 2 13" xfId="164" xr:uid="{00000000-0005-0000-0000-000042000000}"/>
    <cellStyle name="Normál 2 13" xfId="155" xr:uid="{00000000-0005-0000-0000-000043000000}"/>
    <cellStyle name="Normal 2 14" xfId="166" xr:uid="{00000000-0005-0000-0000-000044000000}"/>
    <cellStyle name="Normál 2 14" xfId="160" xr:uid="{00000000-0005-0000-0000-000045000000}"/>
    <cellStyle name="Normal 2 15" xfId="167" xr:uid="{00000000-0005-0000-0000-000046000000}"/>
    <cellStyle name="Normál 2 15" xfId="156" xr:uid="{00000000-0005-0000-0000-000047000000}"/>
    <cellStyle name="Normal 2 16" xfId="148" xr:uid="{00000000-0005-0000-0000-000048000000}"/>
    <cellStyle name="Normál 2 16" xfId="172" xr:uid="{00000000-0005-0000-0000-000049000000}"/>
    <cellStyle name="Normal 2 17" xfId="168" xr:uid="{00000000-0005-0000-0000-00004A000000}"/>
    <cellStyle name="Normál 2 17" xfId="143" xr:uid="{00000000-0005-0000-0000-00004B000000}"/>
    <cellStyle name="Normal 2 18" xfId="174" xr:uid="{00000000-0005-0000-0000-00004C000000}"/>
    <cellStyle name="Normál 2 18" xfId="154" xr:uid="{00000000-0005-0000-0000-00004D000000}"/>
    <cellStyle name="Normal 2 19" xfId="175" xr:uid="{00000000-0005-0000-0000-00004E000000}"/>
    <cellStyle name="Normál 2 19" xfId="153" xr:uid="{00000000-0005-0000-0000-00004F000000}"/>
    <cellStyle name="Normal 2 2" xfId="6" xr:uid="{00000000-0005-0000-0000-000050000000}"/>
    <cellStyle name="Normál 2 2" xfId="44" xr:uid="{00000000-0005-0000-0000-000051000000}"/>
    <cellStyle name="Normál 2 2 2" xfId="108" xr:uid="{00000000-0005-0000-0000-000052000000}"/>
    <cellStyle name="Normal 2 20" xfId="176" xr:uid="{00000000-0005-0000-0000-000053000000}"/>
    <cellStyle name="Normál 2 20" xfId="171" xr:uid="{00000000-0005-0000-0000-000054000000}"/>
    <cellStyle name="Normal 2 21" xfId="144" xr:uid="{00000000-0005-0000-0000-000055000000}"/>
    <cellStyle name="Normál 2 21" xfId="177" xr:uid="{00000000-0005-0000-0000-000056000000}"/>
    <cellStyle name="Normal 2 22" xfId="151" xr:uid="{00000000-0005-0000-0000-000057000000}"/>
    <cellStyle name="Normál 2 22" xfId="138" xr:uid="{00000000-0005-0000-0000-000058000000}"/>
    <cellStyle name="Normal 2 23" xfId="178" xr:uid="{00000000-0005-0000-0000-000059000000}"/>
    <cellStyle name="Normál 2 23" xfId="165" xr:uid="{00000000-0005-0000-0000-00005A000000}"/>
    <cellStyle name="Normal 2 24" xfId="179" xr:uid="{00000000-0005-0000-0000-00005B000000}"/>
    <cellStyle name="Normál 2 24" xfId="100" xr:uid="{00000000-0005-0000-0000-00005C000000}"/>
    <cellStyle name="Normal 2 25" xfId="180" xr:uid="{00000000-0005-0000-0000-00005D000000}"/>
    <cellStyle name="Normál 2 25" xfId="170" xr:uid="{00000000-0005-0000-0000-00005E000000}"/>
    <cellStyle name="Normal 2 26" xfId="181" xr:uid="{00000000-0005-0000-0000-00005F000000}"/>
    <cellStyle name="Normál 2 26" xfId="169" xr:uid="{00000000-0005-0000-0000-000060000000}"/>
    <cellStyle name="Normal 2 27" xfId="182" xr:uid="{00000000-0005-0000-0000-000061000000}"/>
    <cellStyle name="Normál 2 27" xfId="173" xr:uid="{00000000-0005-0000-0000-000062000000}"/>
    <cellStyle name="Normal 2 28" xfId="183" xr:uid="{00000000-0005-0000-0000-000063000000}"/>
    <cellStyle name="Normál 2 28" xfId="136" xr:uid="{00000000-0005-0000-0000-000064000000}"/>
    <cellStyle name="Normal 2 29" xfId="184" xr:uid="{00000000-0005-0000-0000-000065000000}"/>
    <cellStyle name="Normál 2 29" xfId="131" xr:uid="{00000000-0005-0000-0000-000066000000}"/>
    <cellStyle name="Normal 2 3" xfId="23" xr:uid="{00000000-0005-0000-0000-000067000000}"/>
    <cellStyle name="Normál 2 3" xfId="69" xr:uid="{00000000-0005-0000-0000-000068000000}"/>
    <cellStyle name="Normál 2 3 2" xfId="135" xr:uid="{00000000-0005-0000-0000-000069000000}"/>
    <cellStyle name="Normal 2 30" xfId="186" xr:uid="{00000000-0005-0000-0000-00006A000000}"/>
    <cellStyle name="Normál 2 30" xfId="147" xr:uid="{00000000-0005-0000-0000-00006B000000}"/>
    <cellStyle name="Normal 2 31" xfId="187" xr:uid="{00000000-0005-0000-0000-00006C000000}"/>
    <cellStyle name="Normál 2 31" xfId="159" xr:uid="{00000000-0005-0000-0000-00006D000000}"/>
    <cellStyle name="Normal 2 32" xfId="188" xr:uid="{00000000-0005-0000-0000-00006E000000}"/>
    <cellStyle name="Normál 2 32" xfId="185" xr:uid="{00000000-0005-0000-0000-00006F000000}"/>
    <cellStyle name="Normal 2 33" xfId="189" xr:uid="{00000000-0005-0000-0000-000070000000}"/>
    <cellStyle name="Normál 2 33" xfId="142" xr:uid="{00000000-0005-0000-0000-000071000000}"/>
    <cellStyle name="Normal 2 34" xfId="145" xr:uid="{00000000-0005-0000-0000-000072000000}"/>
    <cellStyle name="Normál 2 34" xfId="197" xr:uid="{00000000-0005-0000-0000-000073000000}"/>
    <cellStyle name="Normal 2 35" xfId="132" xr:uid="{00000000-0005-0000-0000-000074000000}"/>
    <cellStyle name="Normál 2 35" xfId="77" xr:uid="{00000000-0005-0000-0000-000075000000}"/>
    <cellStyle name="Normal 2 36" xfId="190" xr:uid="{00000000-0005-0000-0000-000076000000}"/>
    <cellStyle name="Normál 2 36" xfId="235" xr:uid="{00000000-0005-0000-0000-000077000000}"/>
    <cellStyle name="Normal 2 37" xfId="70" xr:uid="{00000000-0005-0000-0000-000078000000}"/>
    <cellStyle name="Normal 2 38" xfId="228" xr:uid="{00000000-0005-0000-0000-000079000000}"/>
    <cellStyle name="Normal 2 4" xfId="36" xr:uid="{00000000-0005-0000-0000-00007A000000}"/>
    <cellStyle name="Normál 2 4" xfId="139" xr:uid="{00000000-0005-0000-0000-00007B000000}"/>
    <cellStyle name="Normal 2 4 2" xfId="99" xr:uid="{00000000-0005-0000-0000-00007C000000}"/>
    <cellStyle name="Normal 2 5" xfId="37" xr:uid="{00000000-0005-0000-0000-00007D000000}"/>
    <cellStyle name="Normál 2 5" xfId="140" xr:uid="{00000000-0005-0000-0000-00007E000000}"/>
    <cellStyle name="Normal 2 5 2" xfId="130" xr:uid="{00000000-0005-0000-0000-00007F000000}"/>
    <cellStyle name="Normal 2 6" xfId="133" xr:uid="{00000000-0005-0000-0000-000080000000}"/>
    <cellStyle name="Normál 2 6" xfId="149" xr:uid="{00000000-0005-0000-0000-000081000000}"/>
    <cellStyle name="Normal 2 7" xfId="141" xr:uid="{00000000-0005-0000-0000-000082000000}"/>
    <cellStyle name="Normál 2 7" xfId="157" xr:uid="{00000000-0005-0000-0000-000083000000}"/>
    <cellStyle name="Normal 2 8" xfId="137" xr:uid="{00000000-0005-0000-0000-000084000000}"/>
    <cellStyle name="Normál 2 8" xfId="146" xr:uid="{00000000-0005-0000-0000-000085000000}"/>
    <cellStyle name="Normal 2 9" xfId="158" xr:uid="{00000000-0005-0000-0000-000086000000}"/>
    <cellStyle name="Normál 2 9" xfId="103" xr:uid="{00000000-0005-0000-0000-000087000000}"/>
    <cellStyle name="Normál 24" xfId="220" xr:uid="{00000000-0005-0000-0000-000088000000}"/>
    <cellStyle name="Normál 25" xfId="221" xr:uid="{00000000-0005-0000-0000-000089000000}"/>
    <cellStyle name="Normál 26" xfId="219" xr:uid="{00000000-0005-0000-0000-00008A000000}"/>
    <cellStyle name="Normál 27" xfId="227" xr:uid="{00000000-0005-0000-0000-00008B000000}"/>
    <cellStyle name="Normál 28" xfId="222" xr:uid="{00000000-0005-0000-0000-00008C000000}"/>
    <cellStyle name="Normal 3" xfId="3" xr:uid="{00000000-0005-0000-0000-00008D000000}"/>
    <cellStyle name="Normál 3" xfId="258" xr:uid="{00000000-0005-0000-0000-00008E000000}"/>
    <cellStyle name="Normal 3 2" xfId="14" xr:uid="{00000000-0005-0000-0000-00008F000000}"/>
    <cellStyle name="Normal 3 2 2" xfId="46" xr:uid="{00000000-0005-0000-0000-000090000000}"/>
    <cellStyle name="Normal 3 2 2 2" xfId="110" xr:uid="{00000000-0005-0000-0000-000091000000}"/>
    <cellStyle name="Normal 3 2 3" xfId="199" xr:uid="{00000000-0005-0000-0000-000092000000}"/>
    <cellStyle name="Normal 3 2 4" xfId="79" xr:uid="{00000000-0005-0000-0000-000093000000}"/>
    <cellStyle name="Normal 3 2 5" xfId="237" xr:uid="{00000000-0005-0000-0000-000094000000}"/>
    <cellStyle name="Normal 3 3" xfId="18" xr:uid="{00000000-0005-0000-0000-000095000000}"/>
    <cellStyle name="Normal 3 3 2" xfId="50" xr:uid="{00000000-0005-0000-0000-000096000000}"/>
    <cellStyle name="Normal 3 3 2 2" xfId="114" xr:uid="{00000000-0005-0000-0000-000097000000}"/>
    <cellStyle name="Normal 3 3 3" xfId="203" xr:uid="{00000000-0005-0000-0000-000098000000}"/>
    <cellStyle name="Normal 3 3 4" xfId="83" xr:uid="{00000000-0005-0000-0000-000099000000}"/>
    <cellStyle name="Normal 3 3 5" xfId="241" xr:uid="{00000000-0005-0000-0000-00009A000000}"/>
    <cellStyle name="Normal 3 4" xfId="21" xr:uid="{00000000-0005-0000-0000-00009B000000}"/>
    <cellStyle name="Normal 3 4 2" xfId="53" xr:uid="{00000000-0005-0000-0000-00009C000000}"/>
    <cellStyle name="Normal 3 4 2 2" xfId="117" xr:uid="{00000000-0005-0000-0000-00009D000000}"/>
    <cellStyle name="Normal 3 4 3" xfId="206" xr:uid="{00000000-0005-0000-0000-00009E000000}"/>
    <cellStyle name="Normal 3 4 4" xfId="86" xr:uid="{00000000-0005-0000-0000-00009F000000}"/>
    <cellStyle name="Normal 3 4 5" xfId="244" xr:uid="{00000000-0005-0000-0000-0000A0000000}"/>
    <cellStyle name="Normal 3 5" xfId="26" xr:uid="{00000000-0005-0000-0000-0000A1000000}"/>
    <cellStyle name="Normal 3 5 2" xfId="33" xr:uid="{00000000-0005-0000-0000-0000A2000000}"/>
    <cellStyle name="Normal 3 5 2 2" xfId="64" xr:uid="{00000000-0005-0000-0000-0000A3000000}"/>
    <cellStyle name="Normal 3 5 2 2 2" xfId="128" xr:uid="{00000000-0005-0000-0000-0000A4000000}"/>
    <cellStyle name="Normal 3 5 2 3" xfId="217" xr:uid="{00000000-0005-0000-0000-0000A5000000}"/>
    <cellStyle name="Normal 3 5 2 4" xfId="97" xr:uid="{00000000-0005-0000-0000-0000A6000000}"/>
    <cellStyle name="Normal 3 5 2 5" xfId="255" xr:uid="{00000000-0005-0000-0000-0000A7000000}"/>
    <cellStyle name="Normal 3 5 3" xfId="67" xr:uid="{00000000-0005-0000-0000-0000A8000000}"/>
    <cellStyle name="Normal 3 5 3 2" xfId="121" xr:uid="{00000000-0005-0000-0000-0000A9000000}"/>
    <cellStyle name="Normal 3 5 4" xfId="57" xr:uid="{00000000-0005-0000-0000-0000AA000000}"/>
    <cellStyle name="Normal 3 5 4 2" xfId="210" xr:uid="{00000000-0005-0000-0000-0000AB000000}"/>
    <cellStyle name="Normal 3 5 5" xfId="90" xr:uid="{00000000-0005-0000-0000-0000AC000000}"/>
    <cellStyle name="Normal 3 5 6" xfId="248" xr:uid="{00000000-0005-0000-0000-0000AD000000}"/>
    <cellStyle name="Normal 3 6" xfId="38" xr:uid="{00000000-0005-0000-0000-0000AE000000}"/>
    <cellStyle name="Normal 3 6 2" xfId="101" xr:uid="{00000000-0005-0000-0000-0000AF000000}"/>
    <cellStyle name="Normal 3 7" xfId="191" xr:uid="{00000000-0005-0000-0000-0000B0000000}"/>
    <cellStyle name="Normal 3 8" xfId="71" xr:uid="{00000000-0005-0000-0000-0000B1000000}"/>
    <cellStyle name="Normal 3 9" xfId="229" xr:uid="{00000000-0005-0000-0000-0000B2000000}"/>
    <cellStyle name="Normál 35" xfId="223" xr:uid="{00000000-0005-0000-0000-0000B3000000}"/>
    <cellStyle name="Normal 4" xfId="5" xr:uid="{00000000-0005-0000-0000-0000B4000000}"/>
    <cellStyle name="Normal 4 10" xfId="230" xr:uid="{00000000-0005-0000-0000-0000B5000000}"/>
    <cellStyle name="Normal 4 2" xfId="9" xr:uid="{00000000-0005-0000-0000-0000B6000000}"/>
    <cellStyle name="Normal 4 2 2" xfId="41" xr:uid="{00000000-0005-0000-0000-0000B7000000}"/>
    <cellStyle name="Normal 4 2 2 2" xfId="105" xr:uid="{00000000-0005-0000-0000-0000B8000000}"/>
    <cellStyle name="Normal 4 2 3" xfId="194" xr:uid="{00000000-0005-0000-0000-0000B9000000}"/>
    <cellStyle name="Normal 4 2 4" xfId="74" xr:uid="{00000000-0005-0000-0000-0000BA000000}"/>
    <cellStyle name="Normal 4 2 5" xfId="232" xr:uid="{00000000-0005-0000-0000-0000BB000000}"/>
    <cellStyle name="Normal 4 3" xfId="15" xr:uid="{00000000-0005-0000-0000-0000BC000000}"/>
    <cellStyle name="Normal 4 3 2" xfId="47" xr:uid="{00000000-0005-0000-0000-0000BD000000}"/>
    <cellStyle name="Normal 4 3 2 2" xfId="111" xr:uid="{00000000-0005-0000-0000-0000BE000000}"/>
    <cellStyle name="Normal 4 3 3" xfId="200" xr:uid="{00000000-0005-0000-0000-0000BF000000}"/>
    <cellStyle name="Normal 4 3 4" xfId="80" xr:uid="{00000000-0005-0000-0000-0000C0000000}"/>
    <cellStyle name="Normal 4 3 5" xfId="238" xr:uid="{00000000-0005-0000-0000-0000C1000000}"/>
    <cellStyle name="Normal 4 4" xfId="19" xr:uid="{00000000-0005-0000-0000-0000C2000000}"/>
    <cellStyle name="Normal 4 4 2" xfId="51" xr:uid="{00000000-0005-0000-0000-0000C3000000}"/>
    <cellStyle name="Normal 4 4 2 2" xfId="115" xr:uid="{00000000-0005-0000-0000-0000C4000000}"/>
    <cellStyle name="Normal 4 4 3" xfId="204" xr:uid="{00000000-0005-0000-0000-0000C5000000}"/>
    <cellStyle name="Normal 4 4 4" xfId="84" xr:uid="{00000000-0005-0000-0000-0000C6000000}"/>
    <cellStyle name="Normal 4 4 5" xfId="242" xr:uid="{00000000-0005-0000-0000-0000C7000000}"/>
    <cellStyle name="Normal 4 5" xfId="22" xr:uid="{00000000-0005-0000-0000-0000C8000000}"/>
    <cellStyle name="Normal 4 5 2" xfId="54" xr:uid="{00000000-0005-0000-0000-0000C9000000}"/>
    <cellStyle name="Normal 4 5 2 2" xfId="118" xr:uid="{00000000-0005-0000-0000-0000CA000000}"/>
    <cellStyle name="Normal 4 5 3" xfId="207" xr:uid="{00000000-0005-0000-0000-0000CB000000}"/>
    <cellStyle name="Normal 4 5 4" xfId="87" xr:uid="{00000000-0005-0000-0000-0000CC000000}"/>
    <cellStyle name="Normal 4 5 5" xfId="245" xr:uid="{00000000-0005-0000-0000-0000CD000000}"/>
    <cellStyle name="Normal 4 6" xfId="27" xr:uid="{00000000-0005-0000-0000-0000CE000000}"/>
    <cellStyle name="Normal 4 6 2" xfId="34" xr:uid="{00000000-0005-0000-0000-0000CF000000}"/>
    <cellStyle name="Normal 4 6 2 2" xfId="65" xr:uid="{00000000-0005-0000-0000-0000D0000000}"/>
    <cellStyle name="Normal 4 6 2 2 2" xfId="129" xr:uid="{00000000-0005-0000-0000-0000D1000000}"/>
    <cellStyle name="Normal 4 6 2 3" xfId="218" xr:uid="{00000000-0005-0000-0000-0000D2000000}"/>
    <cellStyle name="Normal 4 6 2 4" xfId="98" xr:uid="{00000000-0005-0000-0000-0000D3000000}"/>
    <cellStyle name="Normal 4 6 2 5" xfId="256" xr:uid="{00000000-0005-0000-0000-0000D4000000}"/>
    <cellStyle name="Normal 4 6 3" xfId="68" xr:uid="{00000000-0005-0000-0000-0000D5000000}"/>
    <cellStyle name="Normal 4 6 3 2" xfId="122" xr:uid="{00000000-0005-0000-0000-0000D6000000}"/>
    <cellStyle name="Normal 4 6 4" xfId="58" xr:uid="{00000000-0005-0000-0000-0000D7000000}"/>
    <cellStyle name="Normal 4 6 4 2" xfId="211" xr:uid="{00000000-0005-0000-0000-0000D8000000}"/>
    <cellStyle name="Normal 4 6 5" xfId="91" xr:uid="{00000000-0005-0000-0000-0000D9000000}"/>
    <cellStyle name="Normal 4 6 6" xfId="249" xr:uid="{00000000-0005-0000-0000-0000DA000000}"/>
    <cellStyle name="Normal 4 7" xfId="39" xr:uid="{00000000-0005-0000-0000-0000DB000000}"/>
    <cellStyle name="Normal 4 7 2" xfId="102" xr:uid="{00000000-0005-0000-0000-0000DC000000}"/>
    <cellStyle name="Normal 4 8" xfId="192" xr:uid="{00000000-0005-0000-0000-0000DD000000}"/>
    <cellStyle name="Normal 4 9" xfId="72" xr:uid="{00000000-0005-0000-0000-0000DE000000}"/>
    <cellStyle name="Normál 40" xfId="224" xr:uid="{00000000-0005-0000-0000-0000DF000000}"/>
    <cellStyle name="Normál 42" xfId="225" xr:uid="{00000000-0005-0000-0000-0000E0000000}"/>
    <cellStyle name="Normál 46" xfId="226" xr:uid="{00000000-0005-0000-0000-0000E1000000}"/>
    <cellStyle name="Normal 5" xfId="8" xr:uid="{00000000-0005-0000-0000-0000E2000000}"/>
    <cellStyle name="Normal 5 2" xfId="40" xr:uid="{00000000-0005-0000-0000-0000E3000000}"/>
    <cellStyle name="Normal 5 2 2" xfId="104" xr:uid="{00000000-0005-0000-0000-0000E4000000}"/>
    <cellStyle name="Normal 5 3" xfId="193" xr:uid="{00000000-0005-0000-0000-0000E5000000}"/>
    <cellStyle name="Normal 5 4" xfId="73" xr:uid="{00000000-0005-0000-0000-0000E6000000}"/>
    <cellStyle name="Normal 5 5" xfId="231" xr:uid="{00000000-0005-0000-0000-0000E7000000}"/>
    <cellStyle name="Normal 6" xfId="10" xr:uid="{00000000-0005-0000-0000-0000E8000000}"/>
    <cellStyle name="Normal 6 2" xfId="42" xr:uid="{00000000-0005-0000-0000-0000E9000000}"/>
    <cellStyle name="Normal 6 2 2" xfId="106" xr:uid="{00000000-0005-0000-0000-0000EA000000}"/>
    <cellStyle name="Normal 6 3" xfId="195" xr:uid="{00000000-0005-0000-0000-0000EB000000}"/>
    <cellStyle name="Normal 6 4" xfId="75" xr:uid="{00000000-0005-0000-0000-0000EC000000}"/>
    <cellStyle name="Normal 6 5" xfId="233" xr:uid="{00000000-0005-0000-0000-0000ED000000}"/>
    <cellStyle name="Normal 7" xfId="11" xr:uid="{00000000-0005-0000-0000-0000EE000000}"/>
    <cellStyle name="Normal 7 2" xfId="43" xr:uid="{00000000-0005-0000-0000-0000EF000000}"/>
    <cellStyle name="Normal 7 2 2" xfId="107" xr:uid="{00000000-0005-0000-0000-0000F0000000}"/>
    <cellStyle name="Normal 7 3" xfId="196" xr:uid="{00000000-0005-0000-0000-0000F1000000}"/>
    <cellStyle name="Normal 7 4" xfId="76" xr:uid="{00000000-0005-0000-0000-0000F2000000}"/>
    <cellStyle name="Normal 7 5" xfId="234" xr:uid="{00000000-0005-0000-0000-0000F3000000}"/>
    <cellStyle name="Normal 8" xfId="13" xr:uid="{00000000-0005-0000-0000-0000F4000000}"/>
    <cellStyle name="Normal 8 2" xfId="45" xr:uid="{00000000-0005-0000-0000-0000F5000000}"/>
    <cellStyle name="Normal 8 2 2" xfId="109" xr:uid="{00000000-0005-0000-0000-0000F6000000}"/>
    <cellStyle name="Normal 8 3" xfId="198" xr:uid="{00000000-0005-0000-0000-0000F7000000}"/>
    <cellStyle name="Normal 8 4" xfId="78" xr:uid="{00000000-0005-0000-0000-0000F8000000}"/>
    <cellStyle name="Normal 8 5" xfId="236" xr:uid="{00000000-0005-0000-0000-0000F9000000}"/>
    <cellStyle name="Normal 9" xfId="16" xr:uid="{00000000-0005-0000-0000-0000FA000000}"/>
    <cellStyle name="Normal 9 2" xfId="48" xr:uid="{00000000-0005-0000-0000-0000FB000000}"/>
    <cellStyle name="Normal 9 2 2" xfId="112" xr:uid="{00000000-0005-0000-0000-0000FC000000}"/>
    <cellStyle name="Normal 9 3" xfId="201" xr:uid="{00000000-0005-0000-0000-0000FD000000}"/>
    <cellStyle name="Normal 9 4" xfId="81" xr:uid="{00000000-0005-0000-0000-0000FE000000}"/>
    <cellStyle name="Normal 9 5" xfId="239" xr:uid="{00000000-0005-0000-0000-0000FF000000}"/>
    <cellStyle name="Normal 9 6" xfId="259" xr:uid="{00000000-0005-0000-0000-000000010000}"/>
    <cellStyle name="Normal_ASM1" xfId="35" xr:uid="{00000000-0005-0000-0000-000001010000}"/>
    <cellStyle name="Normal_Kinetic matrix" xfId="2" xr:uid="{00000000-0005-0000-0000-000002010000}"/>
    <cellStyle name="Normal_States" xfId="7" xr:uid="{00000000-0005-0000-0000-000003010000}"/>
  </cellStyles>
  <dxfs count="160">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ont>
        <color rgb="FF9C0006"/>
      </font>
      <fill>
        <patternFill>
          <bgColor rgb="FFFFC7CE"/>
        </patternFill>
      </fill>
    </dxf>
    <dxf>
      <border>
        <left style="thin">
          <color rgb="FF9C0006"/>
        </left>
        <right style="thin">
          <color rgb="FF9C0006"/>
        </right>
        <top style="thin">
          <color rgb="FF9C0006"/>
        </top>
        <bottom style="thin">
          <color rgb="FF9C0006"/>
        </bottom>
      </border>
    </dxf>
    <dxf>
      <font>
        <color rgb="FF006100"/>
      </font>
      <fill>
        <patternFill>
          <bgColor rgb="FFC6EFCE"/>
        </patternFill>
      </fill>
    </dxf>
    <dxf>
      <font>
        <color rgb="FF9C0006"/>
      </font>
      <fill>
        <patternFill>
          <bgColor rgb="FFFFC7CE"/>
        </patternFill>
      </fill>
    </dxf>
    <dxf>
      <border>
        <left style="thin">
          <color rgb="FF9C0006"/>
        </left>
        <right style="thin">
          <color rgb="FF9C0006"/>
        </right>
        <top style="thin">
          <color rgb="FF9C0006"/>
        </top>
        <bottom style="thin">
          <color rgb="FF9C0006"/>
        </bottom>
      </border>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border>
        <left style="thin">
          <color rgb="FF9C0006"/>
        </left>
        <right style="thin">
          <color rgb="FF9C0006"/>
        </right>
        <top style="thin">
          <color rgb="FF9C0006"/>
        </top>
        <bottom style="thin">
          <color rgb="FF9C0006"/>
        </bottom>
      </border>
    </dxf>
    <dxf>
      <font>
        <color rgb="FF006100"/>
      </font>
      <fill>
        <patternFill>
          <bgColor rgb="FFC6EFCE"/>
        </patternFill>
      </fill>
    </dxf>
    <dxf>
      <font>
        <color rgb="FF9C0006"/>
      </font>
      <fill>
        <patternFill>
          <bgColor rgb="FFFFC7CE"/>
        </patternFill>
      </fill>
    </dxf>
    <dxf>
      <border>
        <left style="thin">
          <color rgb="FF9C0006"/>
        </left>
        <right style="thin">
          <color rgb="FF9C0006"/>
        </right>
        <top style="thin">
          <color rgb="FF9C0006"/>
        </top>
        <bottom style="thin">
          <color rgb="FF9C0006"/>
        </bottom>
      </border>
    </dxf>
    <dxf>
      <font>
        <color rgb="FF006100"/>
      </font>
      <fill>
        <patternFill>
          <bgColor rgb="FFC6EFCE"/>
        </patternFill>
      </fill>
    </dxf>
    <dxf>
      <font>
        <color rgb="FF9C0006"/>
      </font>
      <fill>
        <patternFill>
          <bgColor rgb="FFFFC7CE"/>
        </patternFill>
      </fill>
    </dxf>
    <dxf>
      <border>
        <left style="thin">
          <color rgb="FF9C0006"/>
        </left>
        <right style="thin">
          <color rgb="FF9C0006"/>
        </right>
        <top style="thin">
          <color rgb="FF9C0006"/>
        </top>
        <bottom style="thin">
          <color rgb="FF9C0006"/>
        </bottom>
      </border>
    </dxf>
    <dxf>
      <font>
        <color rgb="FF006100"/>
      </font>
      <fill>
        <patternFill>
          <bgColor rgb="FFC6EFCE"/>
        </patternFill>
      </fill>
    </dxf>
  </dxfs>
  <tableStyles count="0" defaultTableStyle="TableStyleMedium9" defaultPivotStyle="PivotStyleLight16"/>
  <colors>
    <mruColors>
      <color rgb="FFFFFFCC"/>
      <color rgb="FFFFFFFF"/>
      <color rgb="FF333333"/>
      <color rgb="FF498787"/>
      <color rgb="FF499687"/>
      <color rgb="FF498F87"/>
      <color rgb="FFC0C0C0"/>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absolute">
    <xdr:from>
      <xdr:col>1</xdr:col>
      <xdr:colOff>142875</xdr:colOff>
      <xdr:row>0</xdr:row>
      <xdr:rowOff>104775</xdr:rowOff>
    </xdr:from>
    <xdr:to>
      <xdr:col>2</xdr:col>
      <xdr:colOff>752475</xdr:colOff>
      <xdr:row>0</xdr:row>
      <xdr:rowOff>476250</xdr:rowOff>
    </xdr:to>
    <xdr:sp macro="[0]!Versions" textlink="">
      <xdr:nvSpPr>
        <xdr:cNvPr id="2" name="bt_showver">
          <a:extLst>
            <a:ext uri="{FF2B5EF4-FFF2-40B4-BE49-F238E27FC236}">
              <a16:creationId xmlns:a16="http://schemas.microsoft.com/office/drawing/2014/main" id="{00000000-0008-0000-0000-000002000000}"/>
            </a:ext>
          </a:extLst>
        </xdr:cNvPr>
        <xdr:cNvSpPr/>
      </xdr:nvSpPr>
      <xdr:spPr>
        <a:xfrm>
          <a:off x="400050" y="104775"/>
          <a:ext cx="1485900" cy="371475"/>
        </a:xfrm>
        <a:prstGeom prst="roundRect">
          <a:avLst/>
        </a:prstGeom>
        <a:solidFill>
          <a:schemeClr val="bg1">
            <a:lumMod val="6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Show Macro Versions</a:t>
          </a:r>
        </a:p>
      </xdr:txBody>
    </xdr:sp>
    <xdr:clientData/>
  </xdr:twoCellAnchor>
  <xdr:twoCellAnchor editAs="absolute">
    <xdr:from>
      <xdr:col>3</xdr:col>
      <xdr:colOff>38100</xdr:colOff>
      <xdr:row>0</xdr:row>
      <xdr:rowOff>104775</xdr:rowOff>
    </xdr:from>
    <xdr:to>
      <xdr:col>4</xdr:col>
      <xdr:colOff>1038225</xdr:colOff>
      <xdr:row>0</xdr:row>
      <xdr:rowOff>504825</xdr:rowOff>
    </xdr:to>
    <xdr:sp macro="[0]!GlobalCheck" textlink="">
      <xdr:nvSpPr>
        <xdr:cNvPr id="7" name="bt_globalcheck">
          <a:extLst>
            <a:ext uri="{FF2B5EF4-FFF2-40B4-BE49-F238E27FC236}">
              <a16:creationId xmlns:a16="http://schemas.microsoft.com/office/drawing/2014/main" id="{00000000-0008-0000-0000-000007000000}"/>
            </a:ext>
          </a:extLst>
        </xdr:cNvPr>
        <xdr:cNvSpPr/>
      </xdr:nvSpPr>
      <xdr:spPr>
        <a:xfrm>
          <a:off x="1990725" y="104775"/>
          <a:ext cx="1609725" cy="400050"/>
        </a:xfrm>
        <a:prstGeom prst="roundRect">
          <a:avLst/>
        </a:prstGeom>
        <a:solidFill>
          <a:srgbClr val="FFFF00"/>
        </a:solidFill>
        <a:ln w="25400" cap="flat" cmpd="sng" algn="ctr">
          <a:solidFill>
            <a:sysClr val="windowText" lastClr="000000"/>
          </a:solidFill>
          <a:prstDash val="solid"/>
        </a:ln>
        <a:effectLst>
          <a:outerShdw blurRad="50800" dist="38100" dir="2700000" algn="tl" rotWithShape="0">
            <a:prstClr val="black">
              <a:alpha val="40000"/>
            </a:prstClr>
          </a:outerShdw>
        </a:effectLst>
      </xdr:spPr>
      <xdr:txBody>
        <a:bodyPr vertOverflow="clip" horzOverflow="clip" rtlCol="0" anchor="ctr" anchorCtr="0"/>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hu-HU" sz="1100" b="0" i="0" u="none" strike="noStrike" kern="0" cap="none" spc="0" normalizeH="0" baseline="0" noProof="0">
              <a:ln>
                <a:noFill/>
              </a:ln>
              <a:solidFill>
                <a:sysClr val="windowText" lastClr="000000"/>
              </a:solidFill>
              <a:effectLst/>
              <a:uLnTx/>
              <a:uFillTx/>
              <a:latin typeface="Calibri" panose="020F0502020204030204"/>
            </a:rPr>
            <a:t>Global Check</a:t>
          </a:r>
        </a:p>
      </xdr:txBody>
    </xdr:sp>
    <xdr:clientData/>
  </xdr:twoCellAnchor>
  <xdr:oneCellAnchor>
    <xdr:from>
      <xdr:col>4</xdr:col>
      <xdr:colOff>986872</xdr:colOff>
      <xdr:row>240</xdr:row>
      <xdr:rowOff>58232</xdr:rowOff>
    </xdr:from>
    <xdr:ext cx="5000625" cy="833438"/>
    <xdr:pic>
      <xdr:nvPicPr>
        <xdr:cNvPr id="9" name="Picture 1">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58622" y="46340207"/>
          <a:ext cx="5000625" cy="833438"/>
        </a:xfrm>
        <a:prstGeom prst="rect">
          <a:avLst/>
        </a:prstGeom>
        <a:noFill/>
        <a:ln w="1">
          <a:noFill/>
          <a:miter lim="800000"/>
          <a:headEnd/>
          <a:tailEnd type="none" w="med" len="med"/>
        </a:ln>
        <a:effectLst/>
      </xdr:spPr>
    </xdr:pic>
    <xdr:clientData/>
  </xdr:oneCellAnchor>
  <xdr:oneCellAnchor>
    <xdr:from>
      <xdr:col>4</xdr:col>
      <xdr:colOff>826190</xdr:colOff>
      <xdr:row>236</xdr:row>
      <xdr:rowOff>80341</xdr:rowOff>
    </xdr:from>
    <xdr:ext cx="3455193" cy="622300"/>
    <xdr:pic>
      <xdr:nvPicPr>
        <xdr:cNvPr id="10" name="Picture 2">
          <a:extLst>
            <a:ext uri="{FF2B5EF4-FFF2-40B4-BE49-F238E27FC236}">
              <a16:creationId xmlns:a16="http://schemas.microsoft.com/office/drawing/2014/main" id="{00000000-0008-0000-0000-00000A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3397940" y="45600316"/>
          <a:ext cx="3455193" cy="622300"/>
        </a:xfrm>
        <a:prstGeom prst="rect">
          <a:avLst/>
        </a:prstGeom>
        <a:noFill/>
        <a:ln w="1">
          <a:noFill/>
          <a:miter lim="800000"/>
          <a:headEnd/>
          <a:tailEnd type="none" w="med" len="med"/>
        </a:ln>
        <a:effectLst/>
      </xdr:spPr>
    </xdr:pic>
    <xdr:clientData/>
  </xdr:oneCellAnchor>
  <xdr:twoCellAnchor>
    <xdr:from>
      <xdr:col>3</xdr:col>
      <xdr:colOff>152401</xdr:colOff>
      <xdr:row>148</xdr:row>
      <xdr:rowOff>114300</xdr:rowOff>
    </xdr:from>
    <xdr:to>
      <xdr:col>5</xdr:col>
      <xdr:colOff>476251</xdr:colOff>
      <xdr:row>151</xdr:row>
      <xdr:rowOff>133350</xdr:rowOff>
    </xdr:to>
    <xdr:sp macro="" textlink="">
      <xdr:nvSpPr>
        <xdr:cNvPr id="11" name="Curved Up Arrow 3">
          <a:extLst>
            <a:ext uri="{FF2B5EF4-FFF2-40B4-BE49-F238E27FC236}">
              <a16:creationId xmlns:a16="http://schemas.microsoft.com/office/drawing/2014/main" id="{00000000-0008-0000-0000-00000B000000}"/>
            </a:ext>
          </a:extLst>
        </xdr:cNvPr>
        <xdr:cNvSpPr/>
      </xdr:nvSpPr>
      <xdr:spPr>
        <a:xfrm>
          <a:off x="2114551" y="28736925"/>
          <a:ext cx="2428875" cy="590550"/>
        </a:xfrm>
        <a:prstGeom prst="curvedUpArrow">
          <a:avLst>
            <a:gd name="adj1" fmla="val 22228"/>
            <a:gd name="adj2" fmla="val 50000"/>
            <a:gd name="adj3" fmla="val 2500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solidFill>
                <a:schemeClr val="tx1"/>
              </a:solidFill>
            </a:rPr>
            <a:t>Names</a:t>
          </a:r>
          <a:r>
            <a:rPr lang="en-US" sz="1100" baseline="0">
              <a:solidFill>
                <a:schemeClr val="tx1"/>
              </a:solidFill>
            </a:rPr>
            <a:t> assigned</a:t>
          </a:r>
          <a:endParaRPr lang="en-US" sz="1100">
            <a:solidFill>
              <a:schemeClr val="tx1"/>
            </a:solidFill>
          </a:endParaRPr>
        </a:p>
      </xdr:txBody>
    </xdr:sp>
    <xdr:clientData/>
  </xdr:twoCellAnchor>
  <xdr:twoCellAnchor editAs="oneCell">
    <xdr:from>
      <xdr:col>7</xdr:col>
      <xdr:colOff>0</xdr:colOff>
      <xdr:row>5</xdr:row>
      <xdr:rowOff>0</xdr:rowOff>
    </xdr:from>
    <xdr:to>
      <xdr:col>15</xdr:col>
      <xdr:colOff>213370</xdr:colOff>
      <xdr:row>13</xdr:row>
      <xdr:rowOff>91443</xdr:rowOff>
    </xdr:to>
    <xdr:pic>
      <xdr:nvPicPr>
        <xdr:cNvPr id="5" name="Kép 4">
          <a:extLst>
            <a:ext uri="{FF2B5EF4-FFF2-40B4-BE49-F238E27FC236}">
              <a16:creationId xmlns:a16="http://schemas.microsoft.com/office/drawing/2014/main" id="{4B88908A-9A0D-DBD6-10A9-52CDA8ED913A}"/>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040880" y="1325880"/>
          <a:ext cx="4937770" cy="155448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95251</xdr:colOff>
      <xdr:row>2</xdr:row>
      <xdr:rowOff>1</xdr:rowOff>
    </xdr:from>
    <xdr:to>
      <xdr:col>6</xdr:col>
      <xdr:colOff>452439</xdr:colOff>
      <xdr:row>18</xdr:row>
      <xdr:rowOff>58653</xdr:rowOff>
    </xdr:to>
    <xdr:pic>
      <xdr:nvPicPr>
        <xdr:cNvPr id="2" name="Picture 4">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04851" y="666751"/>
          <a:ext cx="3405188" cy="310665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593091</xdr:colOff>
      <xdr:row>0</xdr:row>
      <xdr:rowOff>59691</xdr:rowOff>
    </xdr:from>
    <xdr:to>
      <xdr:col>1</xdr:col>
      <xdr:colOff>1371240</xdr:colOff>
      <xdr:row>0</xdr:row>
      <xdr:rowOff>591185</xdr:rowOff>
    </xdr:to>
    <xdr:sp macro="[0]!bt_checkusages" textlink="">
      <xdr:nvSpPr>
        <xdr:cNvPr id="2" name="bt_chkunused">
          <a:extLst>
            <a:ext uri="{FF2B5EF4-FFF2-40B4-BE49-F238E27FC236}">
              <a16:creationId xmlns:a16="http://schemas.microsoft.com/office/drawing/2014/main" id="{00000000-0008-0000-0200-000002000000}"/>
            </a:ext>
          </a:extLst>
        </xdr:cNvPr>
        <xdr:cNvSpPr/>
      </xdr:nvSpPr>
      <xdr:spPr>
        <a:xfrm>
          <a:off x="590550" y="57150"/>
          <a:ext cx="1438275" cy="531813"/>
        </a:xfrm>
        <a:prstGeom prst="roundRect">
          <a:avLst/>
        </a:prstGeom>
        <a:solidFill>
          <a:srgbClr val="FF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parameters</a:t>
          </a:r>
        </a:p>
      </xdr:txBody>
    </xdr:sp>
    <xdr:clientData/>
  </xdr:twoCellAnchor>
  <xdr:twoCellAnchor editAs="oneCell">
    <xdr:from>
      <xdr:col>10</xdr:col>
      <xdr:colOff>573665</xdr:colOff>
      <xdr:row>454</xdr:row>
      <xdr:rowOff>0</xdr:rowOff>
    </xdr:from>
    <xdr:to>
      <xdr:col>15</xdr:col>
      <xdr:colOff>1456548</xdr:colOff>
      <xdr:row>477</xdr:row>
      <xdr:rowOff>27836</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tretch>
          <a:fillRect/>
        </a:stretch>
      </xdr:blipFill>
      <xdr:spPr>
        <a:xfrm>
          <a:off x="19578841" y="95979982"/>
          <a:ext cx="7113355" cy="527980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1</xdr:col>
      <xdr:colOff>63204</xdr:colOff>
      <xdr:row>0</xdr:row>
      <xdr:rowOff>63500</xdr:rowOff>
    </xdr:from>
    <xdr:to>
      <xdr:col>3</xdr:col>
      <xdr:colOff>633723</xdr:colOff>
      <xdr:row>0</xdr:row>
      <xdr:rowOff>595313</xdr:rowOff>
    </xdr:to>
    <xdr:sp macro="[0]!bt_chkcont_click" textlink="">
      <xdr:nvSpPr>
        <xdr:cNvPr id="2" name="bt_chkcont">
          <a:extLst>
            <a:ext uri="{FF2B5EF4-FFF2-40B4-BE49-F238E27FC236}">
              <a16:creationId xmlns:a16="http://schemas.microsoft.com/office/drawing/2014/main" id="{00000000-0008-0000-0400-000002000000}"/>
            </a:ext>
          </a:extLst>
        </xdr:cNvPr>
        <xdr:cNvSpPr/>
      </xdr:nvSpPr>
      <xdr:spPr>
        <a:xfrm>
          <a:off x="339989" y="63500"/>
          <a:ext cx="1430338" cy="531813"/>
        </a:xfrm>
        <a:prstGeom prst="roundRect">
          <a:avLst/>
        </a:prstGeom>
        <a:solidFill>
          <a:srgbClr val="FF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Continuity </a:t>
          </a:r>
        </a:p>
        <a:p>
          <a:pPr algn="ctr"/>
          <a:r>
            <a:rPr lang="hu-HU" sz="1100">
              <a:solidFill>
                <a:schemeClr val="tx1"/>
              </a:solidFill>
            </a:rPr>
            <a:t>and Rates</a:t>
          </a:r>
        </a:p>
      </xdr:txBody>
    </xdr:sp>
    <xdr:clientData/>
  </xdr:twoCellAnchor>
  <xdr:twoCellAnchor editAs="absolute">
    <xdr:from>
      <xdr:col>3</xdr:col>
      <xdr:colOff>907302</xdr:colOff>
      <xdr:row>0</xdr:row>
      <xdr:rowOff>76200</xdr:rowOff>
    </xdr:from>
    <xdr:to>
      <xdr:col>3</xdr:col>
      <xdr:colOff>2344784</xdr:colOff>
      <xdr:row>0</xdr:row>
      <xdr:rowOff>608013</xdr:rowOff>
    </xdr:to>
    <xdr:sp macro="[0]!bt_chkcont_norates_click" textlink="">
      <xdr:nvSpPr>
        <xdr:cNvPr id="3" name="bt_chkcont">
          <a:extLst>
            <a:ext uri="{FF2B5EF4-FFF2-40B4-BE49-F238E27FC236}">
              <a16:creationId xmlns:a16="http://schemas.microsoft.com/office/drawing/2014/main" id="{00000000-0008-0000-0400-000003000000}"/>
            </a:ext>
          </a:extLst>
        </xdr:cNvPr>
        <xdr:cNvSpPr/>
      </xdr:nvSpPr>
      <xdr:spPr>
        <a:xfrm>
          <a:off x="2057400" y="76200"/>
          <a:ext cx="1437482" cy="531813"/>
        </a:xfrm>
        <a:prstGeom prst="roundRect">
          <a:avLst/>
        </a:prstGeom>
        <a:solidFill>
          <a:schemeClr val="bg1">
            <a:lumMod val="8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Continuity </a:t>
          </a:r>
        </a:p>
        <a:p>
          <a:pPr algn="ctr"/>
          <a:r>
            <a:rPr lang="hu-HU" sz="1100">
              <a:solidFill>
                <a:schemeClr val="tx1"/>
              </a:solidFill>
            </a:rPr>
            <a:t>without Rates</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190500</xdr:colOff>
      <xdr:row>0</xdr:row>
      <xdr:rowOff>97790</xdr:rowOff>
    </xdr:from>
    <xdr:to>
      <xdr:col>2</xdr:col>
      <xdr:colOff>81737</xdr:colOff>
      <xdr:row>0</xdr:row>
      <xdr:rowOff>465455</xdr:rowOff>
    </xdr:to>
    <xdr:sp macro="[0]!bt_pewpph" textlink="">
      <xdr:nvSpPr>
        <xdr:cNvPr id="2" name="bt_prepph">
          <a:extLst>
            <a:ext uri="{FF2B5EF4-FFF2-40B4-BE49-F238E27FC236}">
              <a16:creationId xmlns:a16="http://schemas.microsoft.com/office/drawing/2014/main" id="{00000000-0008-0000-0500-000002000000}"/>
            </a:ext>
          </a:extLst>
        </xdr:cNvPr>
        <xdr:cNvSpPr/>
      </xdr:nvSpPr>
      <xdr:spPr>
        <a:xfrm>
          <a:off x="190500" y="95250"/>
          <a:ext cx="1485900" cy="371475"/>
        </a:xfrm>
        <a:prstGeom prst="roundRect">
          <a:avLst/>
        </a:prstGeom>
        <a:solidFill>
          <a:srgbClr val="00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Prepare pH Check</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1</xdr:col>
      <xdr:colOff>0</xdr:colOff>
      <xdr:row>0</xdr:row>
      <xdr:rowOff>0</xdr:rowOff>
    </xdr:from>
    <xdr:to>
      <xdr:col>2</xdr:col>
      <xdr:colOff>1247775</xdr:colOff>
      <xdr:row>0</xdr:row>
      <xdr:rowOff>428625</xdr:rowOff>
    </xdr:to>
    <xdr:sp macro="[0]!bt_creqma_click" textlink="">
      <xdr:nvSpPr>
        <xdr:cNvPr id="2" name="bt_creqma">
          <a:extLst>
            <a:ext uri="{FF2B5EF4-FFF2-40B4-BE49-F238E27FC236}">
              <a16:creationId xmlns:a16="http://schemas.microsoft.com/office/drawing/2014/main" id="{00000000-0008-0000-0600-000002000000}"/>
            </a:ext>
          </a:extLst>
        </xdr:cNvPr>
        <xdr:cNvSpPr/>
      </xdr:nvSpPr>
      <xdr:spPr>
        <a:xfrm>
          <a:off x="609600" y="0"/>
          <a:ext cx="1857375" cy="428625"/>
        </a:xfrm>
        <a:prstGeom prst="roundRect">
          <a:avLst/>
        </a:prstGeom>
        <a:solidFill>
          <a:schemeClr val="bg1">
            <a:lumMod val="6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Create Equilibrium Matrix</a:t>
          </a:r>
        </a:p>
      </xdr:txBody>
    </xdr:sp>
    <xdr:clientData/>
  </xdr:twoCellAnchor>
  <xdr:twoCellAnchor editAs="absolute">
    <xdr:from>
      <xdr:col>3</xdr:col>
      <xdr:colOff>0</xdr:colOff>
      <xdr:row>0</xdr:row>
      <xdr:rowOff>0</xdr:rowOff>
    </xdr:from>
    <xdr:to>
      <xdr:col>5</xdr:col>
      <xdr:colOff>161925</xdr:colOff>
      <xdr:row>0</xdr:row>
      <xdr:rowOff>400050</xdr:rowOff>
    </xdr:to>
    <xdr:sp macro="[0]!bt_chksp_click" textlink="">
      <xdr:nvSpPr>
        <xdr:cNvPr id="3" name="bt_chksp">
          <a:extLst>
            <a:ext uri="{FF2B5EF4-FFF2-40B4-BE49-F238E27FC236}">
              <a16:creationId xmlns:a16="http://schemas.microsoft.com/office/drawing/2014/main" id="{00000000-0008-0000-0600-000003000000}"/>
            </a:ext>
          </a:extLst>
        </xdr:cNvPr>
        <xdr:cNvSpPr/>
      </xdr:nvSpPr>
      <xdr:spPr>
        <a:xfrm>
          <a:off x="2876550" y="0"/>
          <a:ext cx="1609725" cy="400050"/>
        </a:xfrm>
        <a:prstGeom prst="roundRect">
          <a:avLst/>
        </a:prstGeom>
        <a:solidFill>
          <a:srgbClr val="00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Species</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152400</xdr:colOff>
      <xdr:row>0</xdr:row>
      <xdr:rowOff>85725</xdr:rowOff>
    </xdr:from>
    <xdr:to>
      <xdr:col>1</xdr:col>
      <xdr:colOff>1092993</xdr:colOff>
      <xdr:row>0</xdr:row>
      <xdr:rowOff>523875</xdr:rowOff>
    </xdr:to>
    <xdr:sp macro="[0]!bt_crkinma_click" textlink="">
      <xdr:nvSpPr>
        <xdr:cNvPr id="2" name="bt_crkinma">
          <a:extLst>
            <a:ext uri="{FF2B5EF4-FFF2-40B4-BE49-F238E27FC236}">
              <a16:creationId xmlns:a16="http://schemas.microsoft.com/office/drawing/2014/main" id="{00000000-0008-0000-0800-000002000000}"/>
            </a:ext>
          </a:extLst>
        </xdr:cNvPr>
        <xdr:cNvSpPr/>
      </xdr:nvSpPr>
      <xdr:spPr>
        <a:xfrm>
          <a:off x="152400" y="85725"/>
          <a:ext cx="1485900" cy="438150"/>
        </a:xfrm>
        <a:prstGeom prst="roundRect">
          <a:avLst/>
        </a:prstGeom>
        <a:solidFill>
          <a:schemeClr val="bg1">
            <a:lumMod val="6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Create Kinetic Matrix</a:t>
          </a:r>
        </a:p>
      </xdr:txBody>
    </xdr:sp>
    <xdr:clientData/>
  </xdr:twoCellAnchor>
  <xdr:twoCellAnchor editAs="absolute">
    <xdr:from>
      <xdr:col>2</xdr:col>
      <xdr:colOff>0</xdr:colOff>
      <xdr:row>0</xdr:row>
      <xdr:rowOff>95250</xdr:rowOff>
    </xdr:from>
    <xdr:to>
      <xdr:col>2</xdr:col>
      <xdr:colOff>1581150</xdr:colOff>
      <xdr:row>0</xdr:row>
      <xdr:rowOff>523875</xdr:rowOff>
    </xdr:to>
    <xdr:sp macro="[0]!bt_chkst_click" textlink="">
      <xdr:nvSpPr>
        <xdr:cNvPr id="3" name="bt_chkst">
          <a:extLst>
            <a:ext uri="{FF2B5EF4-FFF2-40B4-BE49-F238E27FC236}">
              <a16:creationId xmlns:a16="http://schemas.microsoft.com/office/drawing/2014/main" id="{00000000-0008-0000-0800-000003000000}"/>
            </a:ext>
          </a:extLst>
        </xdr:cNvPr>
        <xdr:cNvSpPr/>
      </xdr:nvSpPr>
      <xdr:spPr>
        <a:xfrm>
          <a:off x="1771650" y="95250"/>
          <a:ext cx="1581150" cy="428625"/>
        </a:xfrm>
        <a:prstGeom prst="roundRect">
          <a:avLst/>
        </a:prstGeom>
        <a:solidFill>
          <a:srgbClr val="00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Components</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104776</xdr:colOff>
      <xdr:row>0</xdr:row>
      <xdr:rowOff>142875</xdr:rowOff>
    </xdr:from>
    <xdr:to>
      <xdr:col>1</xdr:col>
      <xdr:colOff>428626</xdr:colOff>
      <xdr:row>0</xdr:row>
      <xdr:rowOff>600075</xdr:rowOff>
    </xdr:to>
    <xdr:sp macro="[0]!bt_chkalg_click" textlink="">
      <xdr:nvSpPr>
        <xdr:cNvPr id="3" name="bt_chkalg">
          <a:extLst>
            <a:ext uri="{FF2B5EF4-FFF2-40B4-BE49-F238E27FC236}">
              <a16:creationId xmlns:a16="http://schemas.microsoft.com/office/drawing/2014/main" id="{00000000-0008-0000-0900-000003000000}"/>
            </a:ext>
          </a:extLst>
        </xdr:cNvPr>
        <xdr:cNvSpPr/>
      </xdr:nvSpPr>
      <xdr:spPr>
        <a:xfrm>
          <a:off x="104776" y="142875"/>
          <a:ext cx="1447800" cy="457200"/>
        </a:xfrm>
        <a:prstGeom prst="roundRect">
          <a:avLst/>
        </a:prstGeom>
        <a:solidFill>
          <a:srgbClr val="C0C0C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Expressions</a:t>
          </a:r>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228600</xdr:colOff>
      <xdr:row>0</xdr:row>
      <xdr:rowOff>192087</xdr:rowOff>
    </xdr:from>
    <xdr:to>
      <xdr:col>1</xdr:col>
      <xdr:colOff>1401299</xdr:colOff>
      <xdr:row>0</xdr:row>
      <xdr:rowOff>573087</xdr:rowOff>
    </xdr:to>
    <xdr:sp macro="[0]!bt_calcvar" textlink="">
      <xdr:nvSpPr>
        <xdr:cNvPr id="2" name="bt_calc">
          <a:extLst>
            <a:ext uri="{FF2B5EF4-FFF2-40B4-BE49-F238E27FC236}">
              <a16:creationId xmlns:a16="http://schemas.microsoft.com/office/drawing/2014/main" id="{00000000-0008-0000-0B00-000002000000}"/>
            </a:ext>
          </a:extLst>
        </xdr:cNvPr>
        <xdr:cNvSpPr/>
      </xdr:nvSpPr>
      <xdr:spPr>
        <a:xfrm>
          <a:off x="228600" y="180975"/>
          <a:ext cx="1485900" cy="371475"/>
        </a:xfrm>
        <a:prstGeom prst="roundRect">
          <a:avLst/>
        </a:prstGeom>
        <a:solidFill>
          <a:srgbClr val="00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Calculate</a:t>
          </a: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152400</xdr:colOff>
      <xdr:row>0</xdr:row>
      <xdr:rowOff>123824</xdr:rowOff>
    </xdr:from>
    <xdr:to>
      <xdr:col>1</xdr:col>
      <xdr:colOff>1028700</xdr:colOff>
      <xdr:row>0</xdr:row>
      <xdr:rowOff>628649</xdr:rowOff>
    </xdr:to>
    <xdr:sp macro="[0]!CreateFunctions" textlink="">
      <xdr:nvSpPr>
        <xdr:cNvPr id="2" name="bt_crfunc">
          <a:extLst>
            <a:ext uri="{FF2B5EF4-FFF2-40B4-BE49-F238E27FC236}">
              <a16:creationId xmlns:a16="http://schemas.microsoft.com/office/drawing/2014/main" id="{00000000-0008-0000-0C00-000002000000}"/>
            </a:ext>
          </a:extLst>
        </xdr:cNvPr>
        <xdr:cNvSpPr/>
      </xdr:nvSpPr>
      <xdr:spPr>
        <a:xfrm>
          <a:off x="152400" y="123824"/>
          <a:ext cx="1485900" cy="504825"/>
        </a:xfrm>
        <a:prstGeom prst="roundRect">
          <a:avLst/>
        </a:prstGeom>
        <a:solidFill>
          <a:srgbClr val="00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Functions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647700</xdr:colOff>
      <xdr:row>5</xdr:row>
      <xdr:rowOff>161925</xdr:rowOff>
    </xdr:from>
    <xdr:to>
      <xdr:col>5</xdr:col>
      <xdr:colOff>304800</xdr:colOff>
      <xdr:row>7</xdr:row>
      <xdr:rowOff>142875</xdr:rowOff>
    </xdr:to>
    <xdr:sp macro="[0]!ThisWorkbook.ShowAllSheets" textlink="">
      <xdr:nvSpPr>
        <xdr:cNvPr id="2" name="bt_colchange">
          <a:extLst>
            <a:ext uri="{FF2B5EF4-FFF2-40B4-BE49-F238E27FC236}">
              <a16:creationId xmlns:a16="http://schemas.microsoft.com/office/drawing/2014/main" id="{00000000-0008-0000-0E00-000002000000}"/>
            </a:ext>
          </a:extLst>
        </xdr:cNvPr>
        <xdr:cNvSpPr/>
      </xdr:nvSpPr>
      <xdr:spPr>
        <a:xfrm>
          <a:off x="2352675" y="1123950"/>
          <a:ext cx="2943225" cy="361950"/>
        </a:xfrm>
        <a:prstGeom prst="roundRect">
          <a:avLst/>
        </a:prstGeom>
        <a:gradFill flip="none" rotWithShape="1">
          <a:gsLst>
            <a:gs pos="0">
              <a:srgbClr val="498787"/>
            </a:gs>
            <a:gs pos="100000">
              <a:srgbClr val="499687"/>
            </a:gs>
          </a:gsLst>
          <a:lin ang="0" scaled="1"/>
          <a:tileRect/>
        </a:gra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hu-HU" sz="1100" baseline="0">
              <a:solidFill>
                <a:sysClr val="windowText" lastClr="000000"/>
              </a:solidFill>
            </a:rPr>
            <a:t>Continue</a:t>
          </a:r>
        </a:p>
      </xdr:txBody>
    </xdr:sp>
    <xdr:clientData/>
  </xdr:twoCellAnchor>
</xdr:wsDr>
</file>

<file path=xl/persons/person.xml><?xml version="1.0" encoding="utf-8"?>
<personList xmlns="http://schemas.microsoft.com/office/spreadsheetml/2018/threadedcomments" xmlns:x="http://schemas.openxmlformats.org/spreadsheetml/2006/main">
  <person displayName="Ferenc Házi" id="{DD062A1E-52F3-4849-95AC-34BA33312C20}" userId="09190b45b532d636" providerId="Windows Live"/>
</personList>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59" dT="2020-02-03T15:48:49.14" personId="{DD062A1E-52F3-4849-95AC-34BA33312C20}" id="{15AB1D51-122D-45CC-ABEE-DA1C8B5E2E7D}">
    <text>+ iw,EPS + iwh,EPS to XVSS,BIO and XE: the MEPS calculation is an indicator only, not properly integrated EPS variable. Makes it hard to implement in the calculation of bound water while the provided information wouldn't be not valid. This is simpler estimation for EPS correction of the specific plant, so a correction parameter should be calibrated for the bound water calculation during the calibration.</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dynamita.com/"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9.xml"/><Relationship Id="rId1" Type="http://schemas.openxmlformats.org/officeDocument/2006/relationships/printerSettings" Target="../printerSettings/printerSettings8.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7.xml.rels><?xml version="1.0" encoding="UTF-8" standalone="yes"?>
<Relationships xmlns="http://schemas.openxmlformats.org/package/2006/relationships"><Relationship Id="rId13" Type="http://schemas.openxmlformats.org/officeDocument/2006/relationships/hyperlink" Target="http://www.cplusplus.com/reference/cmath/log/" TargetMode="External"/><Relationship Id="rId18" Type="http://schemas.openxmlformats.org/officeDocument/2006/relationships/hyperlink" Target="http://www.cplusplus.com/reference/cmath/floor/" TargetMode="External"/><Relationship Id="rId26" Type="http://schemas.openxmlformats.org/officeDocument/2006/relationships/hyperlink" Target="http://www.cplusplus.com/reference/cmath/atan2/" TargetMode="External"/><Relationship Id="rId39" Type="http://schemas.openxmlformats.org/officeDocument/2006/relationships/printerSettings" Target="../printerSettings/printerSettings10.bin"/><Relationship Id="rId21" Type="http://schemas.openxmlformats.org/officeDocument/2006/relationships/hyperlink" Target="http://www.cplusplus.com/reference/cmath/sin/" TargetMode="External"/><Relationship Id="rId34" Type="http://schemas.openxmlformats.org/officeDocument/2006/relationships/hyperlink" Target="http://www.cplusplus.com/reference/cmath/sqrt/" TargetMode="External"/><Relationship Id="rId7" Type="http://schemas.openxmlformats.org/officeDocument/2006/relationships/hyperlink" Target="http://www.cplusplus.com/reference/cmath/atan2/" TargetMode="External"/><Relationship Id="rId12" Type="http://schemas.openxmlformats.org/officeDocument/2006/relationships/hyperlink" Target="http://www.cplusplus.com/reference/cmath/ldexp/" TargetMode="External"/><Relationship Id="rId17" Type="http://schemas.openxmlformats.org/officeDocument/2006/relationships/hyperlink" Target="http://www.cplusplus.com/reference/cmath/fabs/" TargetMode="External"/><Relationship Id="rId25" Type="http://schemas.openxmlformats.org/officeDocument/2006/relationships/hyperlink" Target="http://www.cplusplus.com/reference/cmath/atan/" TargetMode="External"/><Relationship Id="rId33" Type="http://schemas.openxmlformats.org/officeDocument/2006/relationships/hyperlink" Target="http://www.cplusplus.com/reference/cmath/log10/" TargetMode="External"/><Relationship Id="rId38" Type="http://schemas.openxmlformats.org/officeDocument/2006/relationships/hyperlink" Target="http://www.cplusplus.com/reference/cmath/fmod/" TargetMode="External"/><Relationship Id="rId2" Type="http://schemas.openxmlformats.org/officeDocument/2006/relationships/hyperlink" Target="http://www.cplusplus.com/reference/cmath/sin/" TargetMode="External"/><Relationship Id="rId16" Type="http://schemas.openxmlformats.org/officeDocument/2006/relationships/hyperlink" Target="http://www.cplusplus.com/reference/cmath/ceil/" TargetMode="External"/><Relationship Id="rId20" Type="http://schemas.openxmlformats.org/officeDocument/2006/relationships/hyperlink" Target="http://www.cplusplus.com/reference/cmath/cos/" TargetMode="External"/><Relationship Id="rId29" Type="http://schemas.openxmlformats.org/officeDocument/2006/relationships/hyperlink" Target="http://www.cplusplus.com/reference/cmath/tanh/" TargetMode="External"/><Relationship Id="rId1" Type="http://schemas.openxmlformats.org/officeDocument/2006/relationships/hyperlink" Target="http://www.cplusplus.com/reference/cmath/cos/" TargetMode="External"/><Relationship Id="rId6" Type="http://schemas.openxmlformats.org/officeDocument/2006/relationships/hyperlink" Target="http://www.cplusplus.com/reference/cmath/atan/" TargetMode="External"/><Relationship Id="rId11" Type="http://schemas.openxmlformats.org/officeDocument/2006/relationships/hyperlink" Target="http://www.cplusplus.com/reference/cmath/exp/" TargetMode="External"/><Relationship Id="rId24" Type="http://schemas.openxmlformats.org/officeDocument/2006/relationships/hyperlink" Target="http://www.cplusplus.com/reference/cmath/asin/" TargetMode="External"/><Relationship Id="rId32" Type="http://schemas.openxmlformats.org/officeDocument/2006/relationships/hyperlink" Target="http://www.cplusplus.com/reference/cmath/log/" TargetMode="External"/><Relationship Id="rId37" Type="http://schemas.openxmlformats.org/officeDocument/2006/relationships/hyperlink" Target="http://www.cplusplus.com/reference/cmath/floor/" TargetMode="External"/><Relationship Id="rId5" Type="http://schemas.openxmlformats.org/officeDocument/2006/relationships/hyperlink" Target="http://www.cplusplus.com/reference/cmath/asin/" TargetMode="External"/><Relationship Id="rId15" Type="http://schemas.openxmlformats.org/officeDocument/2006/relationships/hyperlink" Target="http://www.cplusplus.com/reference/cmath/sqrt/" TargetMode="External"/><Relationship Id="rId23" Type="http://schemas.openxmlformats.org/officeDocument/2006/relationships/hyperlink" Target="http://www.cplusplus.com/reference/cmath/acos/" TargetMode="External"/><Relationship Id="rId28" Type="http://schemas.openxmlformats.org/officeDocument/2006/relationships/hyperlink" Target="http://www.cplusplus.com/reference/cmath/sinh/" TargetMode="External"/><Relationship Id="rId36" Type="http://schemas.openxmlformats.org/officeDocument/2006/relationships/hyperlink" Target="http://www.cplusplus.com/reference/cmath/fabs/" TargetMode="External"/><Relationship Id="rId10" Type="http://schemas.openxmlformats.org/officeDocument/2006/relationships/hyperlink" Target="http://www.cplusplus.com/reference/cmath/tanh/" TargetMode="External"/><Relationship Id="rId19" Type="http://schemas.openxmlformats.org/officeDocument/2006/relationships/hyperlink" Target="http://www.cplusplus.com/reference/cmath/fmod/" TargetMode="External"/><Relationship Id="rId31" Type="http://schemas.openxmlformats.org/officeDocument/2006/relationships/hyperlink" Target="http://www.cplusplus.com/reference/cmath/ldexp/" TargetMode="External"/><Relationship Id="rId4" Type="http://schemas.openxmlformats.org/officeDocument/2006/relationships/hyperlink" Target="http://www.cplusplus.com/reference/cmath/acos/" TargetMode="External"/><Relationship Id="rId9" Type="http://schemas.openxmlformats.org/officeDocument/2006/relationships/hyperlink" Target="http://www.cplusplus.com/reference/cmath/sinh/" TargetMode="External"/><Relationship Id="rId14" Type="http://schemas.openxmlformats.org/officeDocument/2006/relationships/hyperlink" Target="http://www.cplusplus.com/reference/cmath/log10/" TargetMode="External"/><Relationship Id="rId22" Type="http://schemas.openxmlformats.org/officeDocument/2006/relationships/hyperlink" Target="http://www.cplusplus.com/reference/cmath/tan/" TargetMode="External"/><Relationship Id="rId27" Type="http://schemas.openxmlformats.org/officeDocument/2006/relationships/hyperlink" Target="http://www.cplusplus.com/reference/cmath/cosh/" TargetMode="External"/><Relationship Id="rId30" Type="http://schemas.openxmlformats.org/officeDocument/2006/relationships/hyperlink" Target="http://www.cplusplus.com/reference/cmath/exp/" TargetMode="External"/><Relationship Id="rId35" Type="http://schemas.openxmlformats.org/officeDocument/2006/relationships/hyperlink" Target="http://www.cplusplus.com/reference/cmath/ceil/" TargetMode="External"/><Relationship Id="rId8" Type="http://schemas.openxmlformats.org/officeDocument/2006/relationships/hyperlink" Target="http://www.cplusplus.com/reference/cmath/cosh/" TargetMode="External"/><Relationship Id="rId3" Type="http://schemas.openxmlformats.org/officeDocument/2006/relationships/hyperlink" Target="http://www.cplusplus.com/reference/cmath/tan/" TargetMode="External"/></Relationships>
</file>

<file path=xl/worksheets/_rels/sheet18.xml.rels><?xml version="1.0" encoding="UTF-8" standalone="yes"?>
<Relationships xmlns="http://schemas.openxmlformats.org/package/2006/relationships"><Relationship Id="rId8" Type="http://schemas.openxmlformats.org/officeDocument/2006/relationships/hyperlink" Target="http://webbook.nist.gov/cgi/cbook.cgi?Formula=CH4&amp;NoIon=on&amp;Units=SI&amp;cSO=on" TargetMode="External"/><Relationship Id="rId3" Type="http://schemas.openxmlformats.org/officeDocument/2006/relationships/hyperlink" Target="http://webbook.nist.gov/cgi/cbook.cgi?Formula=H2S&amp;NoIon=on&amp;Units=SI&amp;cSO=on" TargetMode="External"/><Relationship Id="rId7" Type="http://schemas.openxmlformats.org/officeDocument/2006/relationships/hyperlink" Target="http://webbook.nist.gov/cgi/cbook.cgi?Formula=CH4&amp;NoIon=on&amp;Units=SI&amp;cSO=on" TargetMode="External"/><Relationship Id="rId2" Type="http://schemas.openxmlformats.org/officeDocument/2006/relationships/hyperlink" Target="http://webbook.nist.gov/cgi/cbook.cgi?Formula=NH3&amp;NoIon=on&amp;Units=SI&amp;cSO=on" TargetMode="External"/><Relationship Id="rId1" Type="http://schemas.openxmlformats.org/officeDocument/2006/relationships/hyperlink" Target="http://webbook.nist.gov/cgi/cbook.cgi?Formula=NH3&amp;NoIon=on&amp;Units=SI&amp;cSO=on" TargetMode="External"/><Relationship Id="rId6" Type="http://schemas.openxmlformats.org/officeDocument/2006/relationships/hyperlink" Target="http://webbook.nist.gov/cgi/cbook.cgi?Formula=H2&amp;NoIon=on&amp;Units=SI&amp;cSO=on" TargetMode="External"/><Relationship Id="rId11" Type="http://schemas.openxmlformats.org/officeDocument/2006/relationships/printerSettings" Target="../printerSettings/printerSettings11.bin"/><Relationship Id="rId5" Type="http://schemas.openxmlformats.org/officeDocument/2006/relationships/hyperlink" Target="http://webbook.nist.gov/cgi/cbook.cgi?Formula=H2&amp;NoIon=on&amp;Units=SI&amp;cSO=on" TargetMode="External"/><Relationship Id="rId10" Type="http://schemas.openxmlformats.org/officeDocument/2006/relationships/hyperlink" Target="http://webbook.nist.gov/cgi/cbook.cgi?ID=C124389&amp;Mask=10" TargetMode="External"/><Relationship Id="rId4" Type="http://schemas.openxmlformats.org/officeDocument/2006/relationships/hyperlink" Target="http://webbook.nist.gov/cgi/cbook.cgi?Formula=H2S&amp;NoIon=on&amp;Units=SI&amp;cSO=on" TargetMode="External"/><Relationship Id="rId9" Type="http://schemas.openxmlformats.org/officeDocument/2006/relationships/hyperlink" Target="http://www.vias.org/genchem/standard_enthalpies_table.html" TargetMode="Externa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Munka22"/>
  <dimension ref="A1:L260"/>
  <sheetViews>
    <sheetView showGridLines="0" tabSelected="1" zoomScaleNormal="100" workbookViewId="0">
      <selection activeCell="F26" sqref="F26"/>
    </sheetView>
  </sheetViews>
  <sheetFormatPr baseColWidth="10" defaultColWidth="9.140625" defaultRowHeight="15" x14ac:dyDescent="0.25"/>
  <cols>
    <col min="1" max="1" width="3.7109375" customWidth="1"/>
    <col min="2" max="2" width="13.140625" customWidth="1"/>
    <col min="3" max="3" width="12.28515625" customWidth="1"/>
    <col min="5" max="5" width="25.140625" customWidth="1"/>
    <col min="6" max="6" width="25.5703125" customWidth="1"/>
    <col min="7" max="7" width="13.28515625" customWidth="1"/>
    <col min="14" max="14" width="5.140625" customWidth="1"/>
  </cols>
  <sheetData>
    <row r="1" spans="2:8" s="46" customFormat="1" ht="47.25" customHeight="1" x14ac:dyDescent="0.25"/>
    <row r="3" spans="2:8" x14ac:dyDescent="0.25">
      <c r="B3" s="49" t="s">
        <v>153</v>
      </c>
      <c r="C3" s="1" t="s">
        <v>3082</v>
      </c>
      <c r="D3" t="s">
        <v>4922</v>
      </c>
    </row>
    <row r="4" spans="2:8" x14ac:dyDescent="0.25">
      <c r="B4" s="130"/>
      <c r="C4" s="1"/>
      <c r="D4" s="133" t="s">
        <v>3083</v>
      </c>
    </row>
    <row r="5" spans="2:8" x14ac:dyDescent="0.25">
      <c r="D5" t="s">
        <v>220</v>
      </c>
    </row>
    <row r="6" spans="2:8" x14ac:dyDescent="0.25">
      <c r="D6" t="s">
        <v>221</v>
      </c>
    </row>
    <row r="7" spans="2:8" x14ac:dyDescent="0.25">
      <c r="D7" t="s">
        <v>3084</v>
      </c>
    </row>
    <row r="8" spans="2:8" x14ac:dyDescent="0.25">
      <c r="D8" t="s">
        <v>222</v>
      </c>
    </row>
    <row r="9" spans="2:8" x14ac:dyDescent="0.25">
      <c r="D9" t="s">
        <v>3085</v>
      </c>
    </row>
    <row r="10" spans="2:8" x14ac:dyDescent="0.25">
      <c r="D10" t="s">
        <v>4752</v>
      </c>
    </row>
    <row r="11" spans="2:8" x14ac:dyDescent="0.25">
      <c r="D11" t="s">
        <v>283</v>
      </c>
    </row>
    <row r="12" spans="2:8" x14ac:dyDescent="0.25">
      <c r="D12" t="s">
        <v>1613</v>
      </c>
    </row>
    <row r="13" spans="2:8" x14ac:dyDescent="0.25">
      <c r="D13" t="s">
        <v>285</v>
      </c>
    </row>
    <row r="14" spans="2:8" x14ac:dyDescent="0.25">
      <c r="D14" t="s">
        <v>286</v>
      </c>
    </row>
    <row r="15" spans="2:8" x14ac:dyDescent="0.25">
      <c r="D15" t="s">
        <v>2109</v>
      </c>
      <c r="H15" s="1303" t="s">
        <v>1166</v>
      </c>
    </row>
    <row r="16" spans="2:8" x14ac:dyDescent="0.25">
      <c r="D16" t="s">
        <v>3086</v>
      </c>
    </row>
    <row r="19" spans="1:10" x14ac:dyDescent="0.25">
      <c r="B19" s="49" t="s">
        <v>27</v>
      </c>
      <c r="C19" s="50"/>
      <c r="H19" s="49" t="s">
        <v>212</v>
      </c>
      <c r="I19" s="50"/>
      <c r="J19" s="50"/>
    </row>
    <row r="20" spans="1:10" x14ac:dyDescent="0.25">
      <c r="A20" s="130" t="s">
        <v>1905</v>
      </c>
      <c r="H20">
        <v>1</v>
      </c>
      <c r="I20" t="s">
        <v>213</v>
      </c>
    </row>
    <row r="21" spans="1:10" x14ac:dyDescent="0.25">
      <c r="A21">
        <v>1</v>
      </c>
      <c r="B21" t="s">
        <v>1906</v>
      </c>
      <c r="H21">
        <v>2</v>
      </c>
      <c r="I21" t="s">
        <v>4142</v>
      </c>
    </row>
    <row r="22" spans="1:10" x14ac:dyDescent="0.25">
      <c r="A22">
        <v>2</v>
      </c>
      <c r="B22" t="s">
        <v>1907</v>
      </c>
    </row>
    <row r="23" spans="1:10" x14ac:dyDescent="0.25">
      <c r="B23">
        <v>1</v>
      </c>
      <c r="C23" t="s">
        <v>1908</v>
      </c>
    </row>
    <row r="24" spans="1:10" x14ac:dyDescent="0.25">
      <c r="B24">
        <v>2</v>
      </c>
      <c r="C24" t="s">
        <v>1909</v>
      </c>
    </row>
    <row r="25" spans="1:10" x14ac:dyDescent="0.25">
      <c r="B25">
        <v>3</v>
      </c>
      <c r="C25" t="s">
        <v>1910</v>
      </c>
    </row>
    <row r="26" spans="1:10" x14ac:dyDescent="0.25">
      <c r="B26">
        <v>4</v>
      </c>
      <c r="C26" t="s">
        <v>1911</v>
      </c>
    </row>
    <row r="27" spans="1:10" x14ac:dyDescent="0.25">
      <c r="B27">
        <v>5</v>
      </c>
      <c r="C27" t="s">
        <v>1912</v>
      </c>
    </row>
    <row r="28" spans="1:10" x14ac:dyDescent="0.25">
      <c r="A28">
        <v>3</v>
      </c>
      <c r="B28" t="s">
        <v>1913</v>
      </c>
    </row>
    <row r="29" spans="1:10" x14ac:dyDescent="0.25">
      <c r="C29" t="s">
        <v>1914</v>
      </c>
    </row>
    <row r="31" spans="1:10" x14ac:dyDescent="0.25">
      <c r="A31" s="1" t="s">
        <v>28</v>
      </c>
      <c r="B31" s="1" t="s">
        <v>29</v>
      </c>
    </row>
    <row r="32" spans="1:10" x14ac:dyDescent="0.25">
      <c r="B32">
        <v>1</v>
      </c>
      <c r="C32" t="s">
        <v>792</v>
      </c>
    </row>
    <row r="33" spans="2:5" x14ac:dyDescent="0.25">
      <c r="D33" t="s">
        <v>30</v>
      </c>
    </row>
    <row r="34" spans="2:5" x14ac:dyDescent="0.25">
      <c r="D34">
        <v>1</v>
      </c>
      <c r="E34" t="s">
        <v>31</v>
      </c>
    </row>
    <row r="35" spans="2:5" x14ac:dyDescent="0.25">
      <c r="D35">
        <v>2</v>
      </c>
      <c r="E35" t="s">
        <v>101</v>
      </c>
    </row>
    <row r="36" spans="2:5" x14ac:dyDescent="0.25">
      <c r="D36">
        <v>3</v>
      </c>
      <c r="E36" t="s">
        <v>154</v>
      </c>
    </row>
    <row r="37" spans="2:5" x14ac:dyDescent="0.25">
      <c r="D37">
        <v>4</v>
      </c>
      <c r="E37" t="s">
        <v>33</v>
      </c>
    </row>
    <row r="38" spans="2:5" x14ac:dyDescent="0.25">
      <c r="B38">
        <v>2</v>
      </c>
      <c r="C38" t="s">
        <v>793</v>
      </c>
    </row>
    <row r="39" spans="2:5" x14ac:dyDescent="0.25">
      <c r="D39">
        <v>1</v>
      </c>
      <c r="E39" t="s">
        <v>34</v>
      </c>
    </row>
    <row r="40" spans="2:5" x14ac:dyDescent="0.25">
      <c r="D40">
        <v>2</v>
      </c>
      <c r="E40" t="s">
        <v>155</v>
      </c>
    </row>
    <row r="41" spans="2:5" x14ac:dyDescent="0.25">
      <c r="D41">
        <v>3</v>
      </c>
      <c r="E41" t="s">
        <v>156</v>
      </c>
    </row>
    <row r="42" spans="2:5" x14ac:dyDescent="0.25">
      <c r="D42">
        <v>3</v>
      </c>
      <c r="E42" t="s">
        <v>157</v>
      </c>
    </row>
    <row r="43" spans="2:5" x14ac:dyDescent="0.25">
      <c r="D43">
        <v>4</v>
      </c>
      <c r="E43" t="s">
        <v>158</v>
      </c>
    </row>
    <row r="44" spans="2:5" x14ac:dyDescent="0.25">
      <c r="D44" s="131" t="s">
        <v>159</v>
      </c>
      <c r="E44" t="s">
        <v>36</v>
      </c>
    </row>
    <row r="45" spans="2:5" x14ac:dyDescent="0.25">
      <c r="D45">
        <v>6</v>
      </c>
      <c r="E45" t="s">
        <v>37</v>
      </c>
    </row>
    <row r="46" spans="2:5" x14ac:dyDescent="0.25">
      <c r="B46">
        <v>3</v>
      </c>
      <c r="C46" t="s">
        <v>38</v>
      </c>
    </row>
    <row r="47" spans="2:5" x14ac:dyDescent="0.25">
      <c r="D47">
        <v>1</v>
      </c>
      <c r="E47" t="s">
        <v>39</v>
      </c>
    </row>
    <row r="48" spans="2:5" x14ac:dyDescent="0.25">
      <c r="D48">
        <v>2</v>
      </c>
      <c r="E48" t="s">
        <v>40</v>
      </c>
    </row>
    <row r="49" spans="2:10" x14ac:dyDescent="0.25">
      <c r="D49">
        <v>3</v>
      </c>
      <c r="E49" t="s">
        <v>41</v>
      </c>
    </row>
    <row r="50" spans="2:10" x14ac:dyDescent="0.25">
      <c r="B50">
        <v>4</v>
      </c>
      <c r="C50" t="s">
        <v>160</v>
      </c>
    </row>
    <row r="51" spans="2:10" x14ac:dyDescent="0.25">
      <c r="D51">
        <v>1</v>
      </c>
      <c r="E51" t="s">
        <v>161</v>
      </c>
    </row>
    <row r="52" spans="2:10" x14ac:dyDescent="0.25">
      <c r="B52">
        <v>5</v>
      </c>
      <c r="C52" t="s">
        <v>793</v>
      </c>
    </row>
    <row r="53" spans="2:10" x14ac:dyDescent="0.25">
      <c r="D53">
        <v>1</v>
      </c>
      <c r="E53" t="s">
        <v>42</v>
      </c>
    </row>
    <row r="54" spans="2:10" x14ac:dyDescent="0.25">
      <c r="D54">
        <v>2</v>
      </c>
      <c r="E54" t="s">
        <v>99</v>
      </c>
    </row>
    <row r="55" spans="2:10" x14ac:dyDescent="0.25">
      <c r="D55">
        <v>3</v>
      </c>
      <c r="E55" t="s">
        <v>43</v>
      </c>
    </row>
    <row r="56" spans="2:10" x14ac:dyDescent="0.25">
      <c r="B56">
        <v>6</v>
      </c>
      <c r="C56" t="s">
        <v>1901</v>
      </c>
      <c r="J56" s="132"/>
    </row>
    <row r="57" spans="2:10" x14ac:dyDescent="0.25">
      <c r="D57">
        <v>1</v>
      </c>
      <c r="E57" t="s">
        <v>1900</v>
      </c>
    </row>
    <row r="58" spans="2:10" x14ac:dyDescent="0.25">
      <c r="D58">
        <v>2</v>
      </c>
      <c r="E58" t="s">
        <v>1902</v>
      </c>
    </row>
    <row r="59" spans="2:10" x14ac:dyDescent="0.25">
      <c r="D59">
        <v>3</v>
      </c>
      <c r="E59" t="s">
        <v>1903</v>
      </c>
    </row>
    <row r="60" spans="2:10" x14ac:dyDescent="0.25">
      <c r="D60">
        <v>4</v>
      </c>
      <c r="E60" t="s">
        <v>1904</v>
      </c>
    </row>
    <row r="62" spans="2:10" x14ac:dyDescent="0.25">
      <c r="B62" s="1" t="s">
        <v>794</v>
      </c>
    </row>
    <row r="63" spans="2:10" x14ac:dyDescent="0.25">
      <c r="B63">
        <v>1</v>
      </c>
      <c r="C63" t="s">
        <v>795</v>
      </c>
    </row>
    <row r="64" spans="2:10" x14ac:dyDescent="0.25">
      <c r="D64" t="s">
        <v>44</v>
      </c>
    </row>
    <row r="65" spans="2:5" x14ac:dyDescent="0.25">
      <c r="D65">
        <v>1</v>
      </c>
      <c r="E65" t="s">
        <v>45</v>
      </c>
    </row>
    <row r="66" spans="2:5" x14ac:dyDescent="0.25">
      <c r="D66">
        <v>2</v>
      </c>
      <c r="E66" t="s">
        <v>46</v>
      </c>
    </row>
    <row r="67" spans="2:5" x14ac:dyDescent="0.25">
      <c r="D67">
        <v>3</v>
      </c>
      <c r="E67" t="s">
        <v>119</v>
      </c>
    </row>
    <row r="68" spans="2:5" x14ac:dyDescent="0.25">
      <c r="D68">
        <v>4</v>
      </c>
      <c r="E68" t="s">
        <v>1899</v>
      </c>
    </row>
    <row r="69" spans="2:5" x14ac:dyDescent="0.25">
      <c r="B69">
        <v>2</v>
      </c>
      <c r="C69" t="s">
        <v>796</v>
      </c>
    </row>
    <row r="70" spans="2:5" x14ac:dyDescent="0.25">
      <c r="D70">
        <v>1</v>
      </c>
      <c r="E70" t="s">
        <v>162</v>
      </c>
    </row>
    <row r="71" spans="2:5" x14ac:dyDescent="0.25">
      <c r="D71">
        <v>2</v>
      </c>
      <c r="E71" t="s">
        <v>163</v>
      </c>
    </row>
    <row r="72" spans="2:5" x14ac:dyDescent="0.25">
      <c r="B72">
        <v>3</v>
      </c>
      <c r="C72" t="s">
        <v>4143</v>
      </c>
    </row>
    <row r="73" spans="2:5" x14ac:dyDescent="0.25">
      <c r="D73">
        <v>1</v>
      </c>
      <c r="E73" t="s">
        <v>4144</v>
      </c>
    </row>
    <row r="74" spans="2:5" x14ac:dyDescent="0.25">
      <c r="B74">
        <v>4</v>
      </c>
      <c r="C74" t="s">
        <v>4145</v>
      </c>
    </row>
    <row r="75" spans="2:5" x14ac:dyDescent="0.25">
      <c r="D75">
        <v>1</v>
      </c>
      <c r="E75" t="s">
        <v>4146</v>
      </c>
    </row>
    <row r="76" spans="2:5" x14ac:dyDescent="0.25">
      <c r="D76">
        <v>2</v>
      </c>
      <c r="E76" t="s">
        <v>4147</v>
      </c>
    </row>
    <row r="77" spans="2:5" x14ac:dyDescent="0.25">
      <c r="D77">
        <v>3</v>
      </c>
      <c r="E77" t="s">
        <v>4148</v>
      </c>
    </row>
    <row r="79" spans="2:5" x14ac:dyDescent="0.25">
      <c r="B79">
        <v>5</v>
      </c>
      <c r="C79" t="s">
        <v>796</v>
      </c>
    </row>
    <row r="80" spans="2:5" x14ac:dyDescent="0.25">
      <c r="D80">
        <v>1</v>
      </c>
      <c r="E80" t="s">
        <v>47</v>
      </c>
    </row>
    <row r="81" spans="1:6" x14ac:dyDescent="0.25">
      <c r="D81">
        <v>2</v>
      </c>
      <c r="E81" t="s">
        <v>164</v>
      </c>
    </row>
    <row r="83" spans="1:6" x14ac:dyDescent="0.25">
      <c r="A83" s="1" t="s">
        <v>48</v>
      </c>
      <c r="B83" s="1" t="s">
        <v>49</v>
      </c>
    </row>
    <row r="84" spans="1:6" x14ac:dyDescent="0.25">
      <c r="B84">
        <v>1</v>
      </c>
      <c r="C84" t="s">
        <v>792</v>
      </c>
    </row>
    <row r="85" spans="1:6" x14ac:dyDescent="0.25">
      <c r="D85" t="s">
        <v>30</v>
      </c>
    </row>
    <row r="86" spans="1:6" x14ac:dyDescent="0.25">
      <c r="D86">
        <v>1</v>
      </c>
      <c r="E86" t="s">
        <v>50</v>
      </c>
    </row>
    <row r="87" spans="1:6" x14ac:dyDescent="0.25">
      <c r="D87">
        <v>2</v>
      </c>
      <c r="E87" t="s">
        <v>102</v>
      </c>
    </row>
    <row r="88" spans="1:6" x14ac:dyDescent="0.25">
      <c r="D88">
        <v>3</v>
      </c>
      <c r="E88" t="s">
        <v>32</v>
      </c>
    </row>
    <row r="89" spans="1:6" x14ac:dyDescent="0.25">
      <c r="E89" s="1015" t="s">
        <v>51</v>
      </c>
      <c r="F89" t="s">
        <v>52</v>
      </c>
    </row>
    <row r="90" spans="1:6" x14ac:dyDescent="0.25">
      <c r="E90" s="1015" t="s">
        <v>53</v>
      </c>
      <c r="F90" t="s">
        <v>4149</v>
      </c>
    </row>
    <row r="91" spans="1:6" x14ac:dyDescent="0.25">
      <c r="F91" t="s">
        <v>54</v>
      </c>
    </row>
    <row r="92" spans="1:6" x14ac:dyDescent="0.25">
      <c r="B92">
        <v>2</v>
      </c>
      <c r="C92" t="s">
        <v>793</v>
      </c>
    </row>
    <row r="93" spans="1:6" x14ac:dyDescent="0.25">
      <c r="D93">
        <v>1</v>
      </c>
      <c r="E93" t="s">
        <v>55</v>
      </c>
    </row>
    <row r="94" spans="1:6" x14ac:dyDescent="0.25">
      <c r="D94">
        <v>2</v>
      </c>
      <c r="E94" t="s">
        <v>155</v>
      </c>
    </row>
    <row r="95" spans="1:6" x14ac:dyDescent="0.25">
      <c r="D95" s="131" t="s">
        <v>35</v>
      </c>
      <c r="E95" t="s">
        <v>36</v>
      </c>
    </row>
    <row r="96" spans="1:6" x14ac:dyDescent="0.25">
      <c r="D96">
        <v>4</v>
      </c>
      <c r="E96" t="s">
        <v>56</v>
      </c>
    </row>
    <row r="97" spans="2:10" x14ac:dyDescent="0.25">
      <c r="B97">
        <v>3</v>
      </c>
      <c r="C97" t="s">
        <v>38</v>
      </c>
    </row>
    <row r="98" spans="2:10" x14ac:dyDescent="0.25">
      <c r="D98">
        <v>1</v>
      </c>
      <c r="E98" t="s">
        <v>57</v>
      </c>
    </row>
    <row r="99" spans="2:10" x14ac:dyDescent="0.25">
      <c r="D99">
        <v>2</v>
      </c>
      <c r="E99" t="s">
        <v>40</v>
      </c>
    </row>
    <row r="100" spans="2:10" x14ac:dyDescent="0.25">
      <c r="D100">
        <v>3</v>
      </c>
      <c r="E100" t="s">
        <v>41</v>
      </c>
    </row>
    <row r="101" spans="2:10" x14ac:dyDescent="0.25">
      <c r="B101">
        <v>4</v>
      </c>
      <c r="C101" t="s">
        <v>160</v>
      </c>
    </row>
    <row r="102" spans="2:10" x14ac:dyDescent="0.25">
      <c r="D102">
        <v>1</v>
      </c>
      <c r="E102" t="s">
        <v>161</v>
      </c>
    </row>
    <row r="103" spans="2:10" x14ac:dyDescent="0.25">
      <c r="B103">
        <v>5</v>
      </c>
      <c r="C103" t="s">
        <v>793</v>
      </c>
    </row>
    <row r="104" spans="2:10" x14ac:dyDescent="0.25">
      <c r="D104">
        <v>1</v>
      </c>
      <c r="E104" t="s">
        <v>42</v>
      </c>
    </row>
    <row r="105" spans="2:10" x14ac:dyDescent="0.25">
      <c r="D105">
        <v>2</v>
      </c>
      <c r="E105" t="s">
        <v>99</v>
      </c>
    </row>
    <row r="106" spans="2:10" x14ac:dyDescent="0.25">
      <c r="D106">
        <v>3</v>
      </c>
      <c r="E106" t="s">
        <v>43</v>
      </c>
      <c r="J106" s="132"/>
    </row>
    <row r="107" spans="2:10" x14ac:dyDescent="0.25">
      <c r="B107">
        <v>6</v>
      </c>
      <c r="C107" t="s">
        <v>1901</v>
      </c>
    </row>
    <row r="108" spans="2:10" x14ac:dyDescent="0.25">
      <c r="D108">
        <v>1</v>
      </c>
      <c r="E108" t="s">
        <v>1900</v>
      </c>
    </row>
    <row r="109" spans="2:10" x14ac:dyDescent="0.25">
      <c r="D109">
        <v>2</v>
      </c>
      <c r="E109" t="s">
        <v>1902</v>
      </c>
    </row>
    <row r="110" spans="2:10" x14ac:dyDescent="0.25">
      <c r="D110">
        <v>3</v>
      </c>
      <c r="E110" t="s">
        <v>1903</v>
      </c>
    </row>
    <row r="111" spans="2:10" x14ac:dyDescent="0.25">
      <c r="D111">
        <v>4</v>
      </c>
      <c r="E111" t="s">
        <v>1904</v>
      </c>
    </row>
    <row r="112" spans="2:10" x14ac:dyDescent="0.25">
      <c r="B112" s="1" t="s">
        <v>58</v>
      </c>
    </row>
    <row r="113" spans="2:6" x14ac:dyDescent="0.25">
      <c r="B113">
        <v>1</v>
      </c>
      <c r="C113" t="s">
        <v>795</v>
      </c>
    </row>
    <row r="114" spans="2:6" x14ac:dyDescent="0.25">
      <c r="D114" t="s">
        <v>44</v>
      </c>
    </row>
    <row r="115" spans="2:6" x14ac:dyDescent="0.25">
      <c r="D115">
        <v>1</v>
      </c>
      <c r="E115" t="s">
        <v>59</v>
      </c>
    </row>
    <row r="116" spans="2:6" x14ac:dyDescent="0.25">
      <c r="D116">
        <v>2</v>
      </c>
      <c r="E116" t="s">
        <v>46</v>
      </c>
    </row>
    <row r="117" spans="2:6" x14ac:dyDescent="0.25">
      <c r="E117" s="1015" t="s">
        <v>51</v>
      </c>
      <c r="F117" t="s">
        <v>60</v>
      </c>
    </row>
    <row r="118" spans="2:6" x14ac:dyDescent="0.25">
      <c r="E118" s="1015" t="s">
        <v>53</v>
      </c>
      <c r="F118" t="s">
        <v>61</v>
      </c>
    </row>
    <row r="119" spans="2:6" x14ac:dyDescent="0.25">
      <c r="F119" t="s">
        <v>62</v>
      </c>
    </row>
    <row r="120" spans="2:6" x14ac:dyDescent="0.25">
      <c r="D120">
        <v>3</v>
      </c>
      <c r="E120" t="s">
        <v>1899</v>
      </c>
    </row>
    <row r="121" spans="2:6" x14ac:dyDescent="0.25">
      <c r="B121">
        <v>2</v>
      </c>
      <c r="C121" t="s">
        <v>796</v>
      </c>
    </row>
    <row r="122" spans="2:6" x14ac:dyDescent="0.25">
      <c r="D122">
        <v>1</v>
      </c>
      <c r="E122" t="s">
        <v>63</v>
      </c>
    </row>
    <row r="123" spans="2:6" x14ac:dyDescent="0.25">
      <c r="D123">
        <v>2</v>
      </c>
      <c r="E123" t="s">
        <v>163</v>
      </c>
    </row>
    <row r="124" spans="2:6" x14ac:dyDescent="0.25">
      <c r="E124" t="s">
        <v>4150</v>
      </c>
    </row>
    <row r="125" spans="2:6" x14ac:dyDescent="0.25">
      <c r="B125">
        <v>3</v>
      </c>
      <c r="C125" t="s">
        <v>4143</v>
      </c>
    </row>
    <row r="126" spans="2:6" x14ac:dyDescent="0.25">
      <c r="D126">
        <v>1</v>
      </c>
      <c r="E126" t="s">
        <v>4144</v>
      </c>
    </row>
    <row r="127" spans="2:6" x14ac:dyDescent="0.25">
      <c r="B127">
        <v>4</v>
      </c>
      <c r="C127" t="s">
        <v>4145</v>
      </c>
    </row>
    <row r="128" spans="2:6" x14ac:dyDescent="0.25">
      <c r="D128">
        <v>1</v>
      </c>
      <c r="E128" t="s">
        <v>4146</v>
      </c>
    </row>
    <row r="129" spans="2:7" x14ac:dyDescent="0.25">
      <c r="D129">
        <v>2</v>
      </c>
      <c r="E129" t="s">
        <v>4147</v>
      </c>
    </row>
    <row r="130" spans="2:7" x14ac:dyDescent="0.25">
      <c r="D130">
        <v>3</v>
      </c>
      <c r="E130" t="s">
        <v>4151</v>
      </c>
    </row>
    <row r="131" spans="2:7" x14ac:dyDescent="0.25">
      <c r="D131">
        <v>4</v>
      </c>
      <c r="E131" t="s">
        <v>4148</v>
      </c>
    </row>
    <row r="132" spans="2:7" x14ac:dyDescent="0.25">
      <c r="B132">
        <v>5</v>
      </c>
      <c r="C132" t="s">
        <v>796</v>
      </c>
    </row>
    <row r="133" spans="2:7" x14ac:dyDescent="0.25">
      <c r="D133">
        <v>1</v>
      </c>
      <c r="E133" t="s">
        <v>47</v>
      </c>
    </row>
    <row r="138" spans="2:7" x14ac:dyDescent="0.25">
      <c r="B138" s="49" t="s">
        <v>64</v>
      </c>
      <c r="C138" s="49"/>
      <c r="D138" s="49"/>
    </row>
    <row r="140" spans="2:7" x14ac:dyDescent="0.25">
      <c r="B140" s="1" t="s">
        <v>65</v>
      </c>
      <c r="C140" t="s">
        <v>66</v>
      </c>
    </row>
    <row r="141" spans="2:7" x14ac:dyDescent="0.25">
      <c r="C141" t="s">
        <v>67</v>
      </c>
    </row>
    <row r="142" spans="2:7" x14ac:dyDescent="0.25">
      <c r="C142" t="s">
        <v>125</v>
      </c>
    </row>
    <row r="143" spans="2:7" ht="15.75" thickBot="1" x14ac:dyDescent="0.3">
      <c r="C143" s="1016"/>
      <c r="D143" s="134"/>
      <c r="E143" s="134"/>
      <c r="F143" s="134"/>
      <c r="G143" s="1016"/>
    </row>
    <row r="144" spans="2:7" x14ac:dyDescent="0.25">
      <c r="C144" s="1017"/>
      <c r="D144" s="1018" t="s">
        <v>26</v>
      </c>
      <c r="E144" s="1019"/>
      <c r="F144" s="1020">
        <v>3.52</v>
      </c>
      <c r="G144" s="1021"/>
    </row>
    <row r="145" spans="2:7" x14ac:dyDescent="0.25">
      <c r="C145" s="1017"/>
      <c r="D145" s="1022" t="s">
        <v>68</v>
      </c>
      <c r="E145" s="1023"/>
      <c r="F145" s="1024">
        <v>1.23</v>
      </c>
      <c r="G145" s="1021"/>
    </row>
    <row r="146" spans="2:7" x14ac:dyDescent="0.25">
      <c r="C146" s="1017"/>
      <c r="D146" s="1022" t="s">
        <v>69</v>
      </c>
      <c r="E146" s="1023"/>
      <c r="F146" s="1024">
        <v>0.02</v>
      </c>
      <c r="G146" s="1021"/>
    </row>
    <row r="147" spans="2:7" ht="15.75" thickBot="1" x14ac:dyDescent="0.3">
      <c r="C147" s="1017"/>
      <c r="D147" s="137" t="s">
        <v>70</v>
      </c>
      <c r="E147" s="1025"/>
      <c r="F147" s="138">
        <v>4.21</v>
      </c>
      <c r="G147" s="1021"/>
    </row>
    <row r="148" spans="2:7" x14ac:dyDescent="0.25">
      <c r="C148" s="1016"/>
      <c r="D148" s="1026"/>
      <c r="E148" s="1026"/>
      <c r="F148" s="1026"/>
      <c r="G148" s="1016"/>
    </row>
    <row r="156" spans="2:7" x14ac:dyDescent="0.25">
      <c r="B156" s="1" t="s">
        <v>792</v>
      </c>
    </row>
    <row r="157" spans="2:7" x14ac:dyDescent="0.25">
      <c r="C157" s="7" t="s">
        <v>71</v>
      </c>
    </row>
    <row r="158" spans="2:7" x14ac:dyDescent="0.25">
      <c r="C158" t="s">
        <v>72</v>
      </c>
    </row>
    <row r="159" spans="2:7" x14ac:dyDescent="0.25">
      <c r="C159" t="s">
        <v>73</v>
      </c>
    </row>
    <row r="160" spans="2:7" x14ac:dyDescent="0.25">
      <c r="C160" t="s">
        <v>74</v>
      </c>
    </row>
    <row r="162" spans="2:4" x14ac:dyDescent="0.25">
      <c r="C162" s="7" t="s">
        <v>75</v>
      </c>
    </row>
    <row r="163" spans="2:4" x14ac:dyDescent="0.25">
      <c r="C163" t="s">
        <v>76</v>
      </c>
    </row>
    <row r="164" spans="2:4" x14ac:dyDescent="0.25">
      <c r="D164" t="s">
        <v>16</v>
      </c>
    </row>
    <row r="165" spans="2:4" x14ac:dyDescent="0.25">
      <c r="C165" t="s">
        <v>103</v>
      </c>
    </row>
    <row r="167" spans="2:4" x14ac:dyDescent="0.25">
      <c r="B167" s="1" t="s">
        <v>795</v>
      </c>
    </row>
    <row r="168" spans="2:4" x14ac:dyDescent="0.25">
      <c r="C168" s="7" t="s">
        <v>77</v>
      </c>
    </row>
    <row r="169" spans="2:4" x14ac:dyDescent="0.25">
      <c r="C169" t="s">
        <v>78</v>
      </c>
    </row>
    <row r="170" spans="2:4" x14ac:dyDescent="0.25">
      <c r="C170" t="s">
        <v>73</v>
      </c>
    </row>
    <row r="172" spans="2:4" x14ac:dyDescent="0.25">
      <c r="C172" s="7" t="s">
        <v>79</v>
      </c>
    </row>
    <row r="173" spans="2:4" x14ac:dyDescent="0.25">
      <c r="C173" s="136" t="s">
        <v>17</v>
      </c>
    </row>
    <row r="174" spans="2:4" x14ac:dyDescent="0.25">
      <c r="C174" s="136"/>
      <c r="D174" t="s">
        <v>16</v>
      </c>
    </row>
    <row r="175" spans="2:4" x14ac:dyDescent="0.25">
      <c r="C175" s="136"/>
    </row>
    <row r="176" spans="2:4" x14ac:dyDescent="0.25">
      <c r="B176" s="1" t="s">
        <v>793</v>
      </c>
      <c r="C176" s="136"/>
    </row>
    <row r="177" spans="3:5" x14ac:dyDescent="0.25">
      <c r="C177" s="7" t="s">
        <v>104</v>
      </c>
    </row>
    <row r="178" spans="3:5" x14ac:dyDescent="0.25">
      <c r="C178" t="s">
        <v>105</v>
      </c>
    </row>
    <row r="179" spans="3:5" x14ac:dyDescent="0.25">
      <c r="D179" t="s">
        <v>80</v>
      </c>
    </row>
    <row r="180" spans="3:5" x14ac:dyDescent="0.25">
      <c r="E180" t="s">
        <v>81</v>
      </c>
    </row>
    <row r="181" spans="3:5" x14ac:dyDescent="0.25">
      <c r="E181" t="s">
        <v>82</v>
      </c>
    </row>
    <row r="182" spans="3:5" x14ac:dyDescent="0.25">
      <c r="D182" t="s">
        <v>18</v>
      </c>
    </row>
    <row r="183" spans="3:5" x14ac:dyDescent="0.25">
      <c r="E183" t="s">
        <v>19</v>
      </c>
    </row>
    <row r="184" spans="3:5" x14ac:dyDescent="0.25">
      <c r="E184" t="s">
        <v>10</v>
      </c>
    </row>
    <row r="185" spans="3:5" x14ac:dyDescent="0.25">
      <c r="E185" t="s">
        <v>83</v>
      </c>
    </row>
    <row r="186" spans="3:5" x14ac:dyDescent="0.25">
      <c r="D186" t="s">
        <v>84</v>
      </c>
    </row>
    <row r="187" spans="3:5" x14ac:dyDescent="0.25">
      <c r="D187" t="s">
        <v>100</v>
      </c>
    </row>
    <row r="188" spans="3:5" x14ac:dyDescent="0.25">
      <c r="D188" t="s">
        <v>20</v>
      </c>
    </row>
    <row r="189" spans="3:5" x14ac:dyDescent="0.25">
      <c r="C189" t="s">
        <v>106</v>
      </c>
    </row>
    <row r="191" spans="3:5" x14ac:dyDescent="0.25">
      <c r="D191" t="s">
        <v>797</v>
      </c>
    </row>
    <row r="192" spans="3:5" ht="15.75" thickBot="1" x14ac:dyDescent="0.3"/>
    <row r="193" spans="4:12" ht="15.75" thickBot="1" x14ac:dyDescent="0.3">
      <c r="E193" s="747" t="s">
        <v>0</v>
      </c>
      <c r="F193" s="645" t="s">
        <v>1</v>
      </c>
      <c r="G193" s="3093" t="s">
        <v>5</v>
      </c>
      <c r="H193" s="3094"/>
      <c r="I193" s="3094"/>
      <c r="J193" s="3094"/>
      <c r="K193" s="3094"/>
      <c r="L193" s="3095"/>
    </row>
    <row r="194" spans="4:12" x14ac:dyDescent="0.25">
      <c r="E194" s="564" t="s">
        <v>165</v>
      </c>
      <c r="F194" s="593" t="s">
        <v>166</v>
      </c>
      <c r="G194" s="3096" t="s">
        <v>167</v>
      </c>
      <c r="H194" s="3097"/>
      <c r="I194" s="3097"/>
      <c r="J194" s="3097"/>
      <c r="K194" s="3097"/>
      <c r="L194" s="3098"/>
    </row>
    <row r="195" spans="4:12" x14ac:dyDescent="0.25">
      <c r="E195" s="1027" t="s">
        <v>168</v>
      </c>
      <c r="F195" s="1009" t="s">
        <v>169</v>
      </c>
      <c r="G195" s="3087" t="s">
        <v>170</v>
      </c>
      <c r="H195" s="3088"/>
      <c r="I195" s="3088"/>
      <c r="J195" s="3088"/>
      <c r="K195" s="3088"/>
      <c r="L195" s="3089"/>
    </row>
    <row r="196" spans="4:12" x14ac:dyDescent="0.25">
      <c r="E196" s="1027" t="s">
        <v>171</v>
      </c>
      <c r="F196" s="1009" t="s">
        <v>172</v>
      </c>
      <c r="G196" s="3087" t="s">
        <v>173</v>
      </c>
      <c r="H196" s="3088"/>
      <c r="I196" s="3088"/>
      <c r="J196" s="3088"/>
      <c r="K196" s="3088"/>
      <c r="L196" s="3089"/>
    </row>
    <row r="197" spans="4:12" x14ac:dyDescent="0.25">
      <c r="E197" s="1027" t="s">
        <v>174</v>
      </c>
      <c r="F197" s="1009" t="s">
        <v>175</v>
      </c>
      <c r="G197" s="3087" t="s">
        <v>176</v>
      </c>
      <c r="H197" s="3088"/>
      <c r="I197" s="3088"/>
      <c r="J197" s="3088"/>
      <c r="K197" s="3088"/>
      <c r="L197" s="3089"/>
    </row>
    <row r="198" spans="4:12" x14ac:dyDescent="0.25">
      <c r="E198" s="1027" t="s">
        <v>177</v>
      </c>
      <c r="F198" s="1009" t="s">
        <v>178</v>
      </c>
      <c r="G198" s="3087" t="s">
        <v>179</v>
      </c>
      <c r="H198" s="3088"/>
      <c r="I198" s="3088"/>
      <c r="J198" s="3088"/>
      <c r="K198" s="3088"/>
      <c r="L198" s="3089"/>
    </row>
    <row r="199" spans="4:12" x14ac:dyDescent="0.25">
      <c r="E199" s="1027" t="s">
        <v>180</v>
      </c>
      <c r="F199" s="1009" t="s">
        <v>181</v>
      </c>
      <c r="G199" s="3087" t="s">
        <v>182</v>
      </c>
      <c r="H199" s="3088"/>
      <c r="I199" s="3088"/>
      <c r="J199" s="3088"/>
      <c r="K199" s="3088"/>
      <c r="L199" s="3089"/>
    </row>
    <row r="200" spans="4:12" x14ac:dyDescent="0.25">
      <c r="E200" s="1027" t="s">
        <v>183</v>
      </c>
      <c r="F200" s="1009" t="s">
        <v>184</v>
      </c>
      <c r="G200" s="3087" t="s">
        <v>185</v>
      </c>
      <c r="H200" s="3088"/>
      <c r="I200" s="3088"/>
      <c r="J200" s="3088"/>
      <c r="K200" s="3088"/>
      <c r="L200" s="3089"/>
    </row>
    <row r="201" spans="4:12" x14ac:dyDescent="0.25">
      <c r="E201" s="1027" t="s">
        <v>151</v>
      </c>
      <c r="F201" s="1009" t="s">
        <v>149</v>
      </c>
      <c r="G201" s="3087" t="s">
        <v>150</v>
      </c>
      <c r="H201" s="3088"/>
      <c r="I201" s="3088"/>
      <c r="J201" s="3088"/>
      <c r="K201" s="3088"/>
      <c r="L201" s="3089"/>
    </row>
    <row r="202" spans="4:12" ht="15.75" thickBot="1" x14ac:dyDescent="0.3">
      <c r="E202" s="149" t="s">
        <v>186</v>
      </c>
      <c r="F202" s="1028" t="s">
        <v>187</v>
      </c>
      <c r="G202" s="3090" t="s">
        <v>188</v>
      </c>
      <c r="H202" s="3091"/>
      <c r="I202" s="3091"/>
      <c r="J202" s="3091"/>
      <c r="K202" s="3091"/>
      <c r="L202" s="3092"/>
    </row>
    <row r="203" spans="4:12" x14ac:dyDescent="0.25">
      <c r="E203" s="44"/>
      <c r="F203" s="45"/>
      <c r="G203" s="45"/>
    </row>
    <row r="204" spans="4:12" ht="15.75" thickBot="1" x14ac:dyDescent="0.3">
      <c r="D204" t="s">
        <v>189</v>
      </c>
    </row>
    <row r="205" spans="4:12" ht="15.75" thickBot="1" x14ac:dyDescent="0.3">
      <c r="E205" s="300" t="s">
        <v>0</v>
      </c>
      <c r="F205" s="303" t="s">
        <v>1</v>
      </c>
      <c r="G205" s="1029" t="s">
        <v>5</v>
      </c>
    </row>
    <row r="206" spans="4:12" x14ac:dyDescent="0.25">
      <c r="E206" s="1030" t="s">
        <v>190</v>
      </c>
      <c r="F206" s="1031" t="s">
        <v>191</v>
      </c>
      <c r="G206" s="1032" t="s">
        <v>192</v>
      </c>
    </row>
    <row r="207" spans="4:12" x14ac:dyDescent="0.25">
      <c r="E207" s="1033" t="s">
        <v>193</v>
      </c>
      <c r="F207" s="1034" t="s">
        <v>194</v>
      </c>
      <c r="G207" s="1035" t="s">
        <v>195</v>
      </c>
    </row>
    <row r="208" spans="4:12" x14ac:dyDescent="0.25">
      <c r="E208" s="1033" t="s">
        <v>196</v>
      </c>
      <c r="F208" s="1036" t="s">
        <v>197</v>
      </c>
      <c r="G208" s="1037" t="s">
        <v>198</v>
      </c>
    </row>
    <row r="209" spans="2:7" x14ac:dyDescent="0.25">
      <c r="E209" s="1033" t="s">
        <v>199</v>
      </c>
      <c r="F209" s="1036" t="s">
        <v>200</v>
      </c>
      <c r="G209" s="1037" t="s">
        <v>201</v>
      </c>
    </row>
    <row r="210" spans="2:7" x14ac:dyDescent="0.25">
      <c r="E210" s="1033" t="s">
        <v>202</v>
      </c>
      <c r="F210" s="1036" t="s">
        <v>203</v>
      </c>
      <c r="G210" s="1037" t="s">
        <v>204</v>
      </c>
    </row>
    <row r="211" spans="2:7" ht="15.75" thickBot="1" x14ac:dyDescent="0.3">
      <c r="E211" s="444" t="s">
        <v>205</v>
      </c>
      <c r="F211" s="1038" t="s">
        <v>206</v>
      </c>
      <c r="G211" s="1039" t="s">
        <v>207</v>
      </c>
    </row>
    <row r="213" spans="2:7" x14ac:dyDescent="0.25">
      <c r="D213" t="s">
        <v>208</v>
      </c>
    </row>
    <row r="215" spans="2:7" x14ac:dyDescent="0.25">
      <c r="C215" t="s">
        <v>4152</v>
      </c>
    </row>
    <row r="216" spans="2:7" x14ac:dyDescent="0.25">
      <c r="C216" t="s">
        <v>111</v>
      </c>
    </row>
    <row r="217" spans="2:7" x14ac:dyDescent="0.25">
      <c r="D217" t="s">
        <v>114</v>
      </c>
    </row>
    <row r="218" spans="2:7" x14ac:dyDescent="0.25">
      <c r="C218" t="s">
        <v>112</v>
      </c>
    </row>
    <row r="219" spans="2:7" x14ac:dyDescent="0.25">
      <c r="C219" t="s">
        <v>209</v>
      </c>
    </row>
    <row r="222" spans="2:7" x14ac:dyDescent="0.25">
      <c r="B222" s="1" t="s">
        <v>796</v>
      </c>
    </row>
    <row r="223" spans="2:7" x14ac:dyDescent="0.25">
      <c r="C223" s="7" t="s">
        <v>85</v>
      </c>
    </row>
    <row r="224" spans="2:7" x14ac:dyDescent="0.25">
      <c r="C224" t="s">
        <v>86</v>
      </c>
    </row>
    <row r="225" spans="3:7" x14ac:dyDescent="0.25">
      <c r="D225" t="s">
        <v>87</v>
      </c>
      <c r="F225" s="135"/>
      <c r="G225" s="135"/>
    </row>
    <row r="226" spans="3:7" x14ac:dyDescent="0.25">
      <c r="E226" t="s">
        <v>21</v>
      </c>
    </row>
    <row r="227" spans="3:7" x14ac:dyDescent="0.25">
      <c r="E227" t="s">
        <v>22</v>
      </c>
    </row>
    <row r="228" spans="3:7" x14ac:dyDescent="0.25">
      <c r="D228" t="s">
        <v>88</v>
      </c>
    </row>
    <row r="229" spans="3:7" ht="18" x14ac:dyDescent="0.35">
      <c r="E229" t="s">
        <v>23</v>
      </c>
    </row>
    <row r="230" spans="3:7" ht="18" x14ac:dyDescent="0.35">
      <c r="E230" t="s">
        <v>89</v>
      </c>
    </row>
    <row r="231" spans="3:7" x14ac:dyDescent="0.25">
      <c r="D231" t="s">
        <v>25</v>
      </c>
    </row>
    <row r="232" spans="3:7" x14ac:dyDescent="0.25">
      <c r="D232" t="s">
        <v>24</v>
      </c>
    </row>
    <row r="233" spans="3:7" x14ac:dyDescent="0.25">
      <c r="D233" t="s">
        <v>90</v>
      </c>
    </row>
    <row r="235" spans="3:7" x14ac:dyDescent="0.25">
      <c r="C235" s="7"/>
    </row>
    <row r="239" spans="3:7" x14ac:dyDescent="0.25">
      <c r="D239" t="s">
        <v>91</v>
      </c>
    </row>
    <row r="243" spans="2:4" x14ac:dyDescent="0.25">
      <c r="D243" t="s">
        <v>92</v>
      </c>
    </row>
    <row r="246" spans="2:4" x14ac:dyDescent="0.25">
      <c r="B246" s="7" t="s">
        <v>121</v>
      </c>
    </row>
    <row r="247" spans="2:4" x14ac:dyDescent="0.25">
      <c r="B247" s="7"/>
      <c r="C247" s="7" t="s">
        <v>122</v>
      </c>
    </row>
    <row r="248" spans="2:4" x14ac:dyDescent="0.25">
      <c r="B248" s="7"/>
      <c r="C248" t="s">
        <v>123</v>
      </c>
    </row>
    <row r="249" spans="2:4" x14ac:dyDescent="0.25">
      <c r="B249" s="7"/>
      <c r="D249" t="s">
        <v>124</v>
      </c>
    </row>
    <row r="250" spans="2:4" x14ac:dyDescent="0.25">
      <c r="B250" s="7"/>
    </row>
    <row r="251" spans="2:4" x14ac:dyDescent="0.25">
      <c r="B251" s="7" t="s">
        <v>160</v>
      </c>
    </row>
    <row r="252" spans="2:4" x14ac:dyDescent="0.25">
      <c r="B252" s="7"/>
      <c r="C252" s="7" t="s">
        <v>210</v>
      </c>
    </row>
    <row r="253" spans="2:4" x14ac:dyDescent="0.25">
      <c r="B253" s="7"/>
      <c r="C253" t="s">
        <v>211</v>
      </c>
    </row>
    <row r="254" spans="2:4" x14ac:dyDescent="0.25">
      <c r="B254" s="7"/>
    </row>
    <row r="255" spans="2:4" x14ac:dyDescent="0.25">
      <c r="B255" s="7" t="s">
        <v>94</v>
      </c>
    </row>
    <row r="256" spans="2:4" x14ac:dyDescent="0.25">
      <c r="C256" t="s">
        <v>798</v>
      </c>
    </row>
    <row r="257" spans="3:4" x14ac:dyDescent="0.25">
      <c r="C257" s="7" t="s">
        <v>98</v>
      </c>
    </row>
    <row r="258" spans="3:4" x14ac:dyDescent="0.25">
      <c r="D258" t="s">
        <v>95</v>
      </c>
    </row>
    <row r="259" spans="3:4" x14ac:dyDescent="0.25">
      <c r="D259" t="s">
        <v>96</v>
      </c>
    </row>
    <row r="260" spans="3:4" x14ac:dyDescent="0.25">
      <c r="D260" t="s">
        <v>97</v>
      </c>
    </row>
  </sheetData>
  <mergeCells count="10">
    <mergeCell ref="G199:L199"/>
    <mergeCell ref="G200:L200"/>
    <mergeCell ref="G201:L201"/>
    <mergeCell ref="G202:L202"/>
    <mergeCell ref="G193:L193"/>
    <mergeCell ref="G194:L194"/>
    <mergeCell ref="G195:L195"/>
    <mergeCell ref="G196:L196"/>
    <mergeCell ref="G197:L197"/>
    <mergeCell ref="G198:L198"/>
  </mergeCells>
  <hyperlinks>
    <hyperlink ref="H15" r:id="rId1" xr:uid="{00000000-0004-0000-0000-000000000000}"/>
  </hyperlinks>
  <pageMargins left="0.7" right="0.7" top="0.75" bottom="0.75"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B27"/>
  <sheetViews>
    <sheetView showGridLines="0" workbookViewId="0"/>
  </sheetViews>
  <sheetFormatPr baseColWidth="10" defaultColWidth="9.140625" defaultRowHeight="15" x14ac:dyDescent="0.25"/>
  <sheetData>
    <row r="1" spans="1:1" ht="26.25" x14ac:dyDescent="0.4">
      <c r="A1" s="847" t="s">
        <v>3599</v>
      </c>
    </row>
    <row r="2" spans="1:1" ht="26.25" x14ac:dyDescent="0.4">
      <c r="A2" s="847"/>
    </row>
    <row r="21" spans="2:2" x14ac:dyDescent="0.25">
      <c r="B21" t="s">
        <v>3600</v>
      </c>
    </row>
    <row r="22" spans="2:2" ht="18" x14ac:dyDescent="0.35">
      <c r="B22" t="s">
        <v>3601</v>
      </c>
    </row>
    <row r="23" spans="2:2" x14ac:dyDescent="0.25">
      <c r="B23" t="s">
        <v>3602</v>
      </c>
    </row>
    <row r="24" spans="2:2" x14ac:dyDescent="0.25">
      <c r="B24" t="s">
        <v>3603</v>
      </c>
    </row>
    <row r="26" spans="2:2" ht="18" x14ac:dyDescent="0.35">
      <c r="B26" t="s">
        <v>3604</v>
      </c>
    </row>
    <row r="27" spans="2:2" ht="18" x14ac:dyDescent="0.35">
      <c r="B27" t="s">
        <v>3605</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unka2"/>
  <dimension ref="A1:R572"/>
  <sheetViews>
    <sheetView showGridLines="0" zoomScaleNormal="100" workbookViewId="0">
      <pane ySplit="1" topLeftCell="A2" activePane="bottomLeft" state="frozen"/>
      <selection activeCell="C6" sqref="C6"/>
      <selection pane="bottomLeft" activeCell="B572" sqref="B572:D572"/>
    </sheetView>
  </sheetViews>
  <sheetFormatPr baseColWidth="10" defaultColWidth="9.140625" defaultRowHeight="15" outlineLevelRow="1" x14ac:dyDescent="0.25"/>
  <cols>
    <col min="1" max="1" width="9.7109375" style="102" customWidth="1"/>
    <col min="2" max="2" width="23.5703125" style="502" bestFit="1" customWidth="1"/>
    <col min="3" max="3" width="92.140625" style="502" bestFit="1" customWidth="1"/>
    <col min="4" max="4" width="21.140625" style="102" customWidth="1"/>
    <col min="5" max="6" width="14.28515625" style="102" customWidth="1"/>
    <col min="7" max="7" width="16.28515625" style="102" customWidth="1"/>
    <col min="8" max="8" width="11.28515625" style="102" customWidth="1"/>
    <col min="9" max="9" width="18.5703125" style="115" customWidth="1"/>
    <col min="10" max="10" width="96.28515625" style="115" bestFit="1" customWidth="1"/>
    <col min="11" max="11" width="8.7109375" style="102" customWidth="1"/>
    <col min="12" max="12" width="19.5703125" style="102" customWidth="1"/>
    <col min="13" max="13" width="7.7109375" style="102" customWidth="1"/>
    <col min="14" max="14" width="9.140625" style="102" customWidth="1"/>
    <col min="15" max="15" width="48.140625" style="102" bestFit="1" customWidth="1"/>
    <col min="16" max="16" width="41.140625" style="102" customWidth="1"/>
    <col min="17" max="16384" width="9.140625" style="102"/>
  </cols>
  <sheetData>
    <row r="1" spans="1:15" s="100" customFormat="1" ht="57.6" customHeight="1" x14ac:dyDescent="0.25">
      <c r="A1" s="99"/>
      <c r="B1" s="1343"/>
      <c r="C1" s="1343"/>
      <c r="I1" s="154"/>
      <c r="J1" s="154"/>
    </row>
    <row r="2" spans="1:15" s="101" customFormat="1" ht="15.75" thickBot="1" x14ac:dyDescent="0.3">
      <c r="B2" s="44"/>
      <c r="C2" s="1344"/>
      <c r="D2" s="152"/>
      <c r="E2" s="153"/>
      <c r="F2" s="153"/>
      <c r="G2" s="153"/>
      <c r="H2" s="153"/>
      <c r="I2" s="155"/>
      <c r="J2" s="155"/>
    </row>
    <row r="3" spans="1:15" s="288" customFormat="1" ht="15.75" thickBot="1" x14ac:dyDescent="0.3">
      <c r="A3" s="298" t="s">
        <v>1155</v>
      </c>
      <c r="B3" s="1345"/>
      <c r="C3" s="1346"/>
      <c r="D3" s="305"/>
      <c r="E3" s="306"/>
      <c r="F3" s="306"/>
      <c r="G3" s="306"/>
      <c r="H3" s="306"/>
      <c r="I3" s="301"/>
      <c r="J3" s="301"/>
      <c r="K3" s="297"/>
      <c r="L3" s="297"/>
      <c r="M3" s="297"/>
      <c r="N3" s="297"/>
      <c r="O3" s="297"/>
    </row>
    <row r="4" spans="1:15" s="101" customFormat="1" ht="15.75" thickBot="1" x14ac:dyDescent="0.3">
      <c r="B4" s="502"/>
      <c r="C4" s="1347"/>
      <c r="D4" s="104"/>
      <c r="E4" s="105"/>
      <c r="F4" s="105"/>
      <c r="G4" s="105"/>
      <c r="H4" s="105"/>
      <c r="I4" s="103"/>
      <c r="J4" s="119"/>
    </row>
    <row r="5" spans="1:15" ht="15.75" thickBot="1" x14ac:dyDescent="0.3">
      <c r="A5" s="101"/>
      <c r="C5" s="604" t="s">
        <v>2174</v>
      </c>
      <c r="D5" s="102" t="s">
        <v>299</v>
      </c>
    </row>
    <row r="6" spans="1:15" s="101" customFormat="1" ht="15.75" thickBot="1" x14ac:dyDescent="0.3">
      <c r="B6" s="1348" t="s">
        <v>0</v>
      </c>
      <c r="C6" s="1349" t="s">
        <v>1</v>
      </c>
      <c r="D6" s="304" t="s">
        <v>839</v>
      </c>
      <c r="E6" s="304" t="s">
        <v>470</v>
      </c>
      <c r="F6" s="304" t="s">
        <v>471</v>
      </c>
      <c r="G6" s="304" t="s">
        <v>2</v>
      </c>
      <c r="H6" s="304" t="s">
        <v>298</v>
      </c>
      <c r="I6" s="302" t="s">
        <v>116</v>
      </c>
      <c r="J6" s="310" t="s">
        <v>117</v>
      </c>
    </row>
    <row r="7" spans="1:15" s="101" customFormat="1" ht="18" outlineLevel="1" x14ac:dyDescent="0.25">
      <c r="B7" s="211" t="s">
        <v>1184</v>
      </c>
      <c r="C7" s="1350" t="s">
        <v>274</v>
      </c>
      <c r="D7" s="184">
        <v>4</v>
      </c>
      <c r="E7" s="185">
        <v>0</v>
      </c>
      <c r="F7" s="185" t="s">
        <v>1253</v>
      </c>
      <c r="G7" s="185" t="s">
        <v>443</v>
      </c>
      <c r="H7" s="185">
        <v>1</v>
      </c>
      <c r="I7" s="1614" t="s">
        <v>5703</v>
      </c>
      <c r="J7" s="1661"/>
    </row>
    <row r="8" spans="1:15" s="101" customFormat="1" ht="18" outlineLevel="1" x14ac:dyDescent="0.25">
      <c r="B8" s="211" t="s">
        <v>1186</v>
      </c>
      <c r="C8" s="1350" t="s">
        <v>2457</v>
      </c>
      <c r="D8" s="184">
        <v>0.3</v>
      </c>
      <c r="E8" s="185">
        <v>0</v>
      </c>
      <c r="F8" s="185" t="s">
        <v>1253</v>
      </c>
      <c r="G8" s="185" t="s">
        <v>443</v>
      </c>
      <c r="H8" s="185">
        <v>1</v>
      </c>
      <c r="I8" s="1614"/>
      <c r="J8" s="1662"/>
    </row>
    <row r="9" spans="1:15" s="101" customFormat="1" ht="18" outlineLevel="1" x14ac:dyDescent="0.25">
      <c r="B9" s="211" t="s">
        <v>1185</v>
      </c>
      <c r="C9" s="1350" t="s">
        <v>2458</v>
      </c>
      <c r="D9" s="186">
        <v>0.62</v>
      </c>
      <c r="E9" s="185">
        <v>0</v>
      </c>
      <c r="F9" s="185" t="s">
        <v>1253</v>
      </c>
      <c r="G9" s="185" t="s">
        <v>443</v>
      </c>
      <c r="H9" s="185">
        <v>2</v>
      </c>
      <c r="I9" s="1614"/>
      <c r="J9" s="1662"/>
    </row>
    <row r="10" spans="1:15" s="101" customFormat="1" ht="18" outlineLevel="1" x14ac:dyDescent="0.25">
      <c r="B10" s="211" t="s">
        <v>1719</v>
      </c>
      <c r="C10" s="1350" t="s">
        <v>2459</v>
      </c>
      <c r="D10" s="186">
        <v>0.6</v>
      </c>
      <c r="E10" s="185">
        <v>0</v>
      </c>
      <c r="F10" s="185" t="s">
        <v>1253</v>
      </c>
      <c r="G10" s="418" t="s">
        <v>1990</v>
      </c>
      <c r="H10" s="185">
        <v>2</v>
      </c>
      <c r="I10" s="1614"/>
      <c r="J10" s="1662" t="s">
        <v>5706</v>
      </c>
    </row>
    <row r="11" spans="1:15" s="101" customFormat="1" ht="18" outlineLevel="1" x14ac:dyDescent="0.25">
      <c r="B11" s="2917" t="s">
        <v>5704</v>
      </c>
      <c r="C11" s="2918" t="s">
        <v>5705</v>
      </c>
      <c r="D11" s="2919">
        <v>0.6</v>
      </c>
      <c r="E11" s="1885">
        <v>0</v>
      </c>
      <c r="F11" s="1885" t="s">
        <v>1253</v>
      </c>
      <c r="G11" s="2920" t="s">
        <v>1990</v>
      </c>
      <c r="H11" s="1885">
        <v>2</v>
      </c>
      <c r="I11" s="2918"/>
      <c r="J11" s="2921"/>
    </row>
    <row r="12" spans="1:15" s="101" customFormat="1" ht="18" outlineLevel="1" x14ac:dyDescent="0.25">
      <c r="B12" s="211" t="s">
        <v>1915</v>
      </c>
      <c r="C12" s="1350" t="s">
        <v>2460</v>
      </c>
      <c r="D12" s="184">
        <v>5</v>
      </c>
      <c r="E12" s="185">
        <v>0</v>
      </c>
      <c r="F12" s="185" t="s">
        <v>1253</v>
      </c>
      <c r="G12" s="185" t="s">
        <v>1180</v>
      </c>
      <c r="H12" s="185">
        <v>1</v>
      </c>
      <c r="I12" s="1614" t="s">
        <v>1997</v>
      </c>
      <c r="J12" s="1661"/>
    </row>
    <row r="13" spans="1:15" s="101" customFormat="1" ht="18.75" outlineLevel="1" x14ac:dyDescent="0.25">
      <c r="B13" s="211" t="s">
        <v>1918</v>
      </c>
      <c r="C13" s="1350" t="s">
        <v>2461</v>
      </c>
      <c r="D13" s="186">
        <v>0.15</v>
      </c>
      <c r="E13" s="185">
        <v>0</v>
      </c>
      <c r="F13" s="185" t="s">
        <v>1253</v>
      </c>
      <c r="G13" s="185" t="s">
        <v>1179</v>
      </c>
      <c r="H13" s="185">
        <v>2</v>
      </c>
      <c r="I13" s="1614" t="s">
        <v>1996</v>
      </c>
      <c r="J13" s="1661"/>
    </row>
    <row r="14" spans="1:15" s="101" customFormat="1" ht="18" outlineLevel="1" x14ac:dyDescent="0.25">
      <c r="B14" s="211" t="s">
        <v>1916</v>
      </c>
      <c r="C14" s="1350" t="s">
        <v>2462</v>
      </c>
      <c r="D14" s="184">
        <v>0.5</v>
      </c>
      <c r="E14" s="185">
        <v>0</v>
      </c>
      <c r="F14" s="185" t="s">
        <v>1253</v>
      </c>
      <c r="G14" s="185" t="s">
        <v>1180</v>
      </c>
      <c r="H14" s="185">
        <v>1</v>
      </c>
      <c r="I14" s="1614"/>
      <c r="J14" s="1661"/>
    </row>
    <row r="15" spans="1:15" s="101" customFormat="1" ht="18" outlineLevel="1" x14ac:dyDescent="0.25">
      <c r="B15" s="211" t="s">
        <v>1917</v>
      </c>
      <c r="C15" s="1350" t="s">
        <v>2463</v>
      </c>
      <c r="D15" s="184">
        <v>0.1</v>
      </c>
      <c r="E15" s="185">
        <v>0</v>
      </c>
      <c r="F15" s="185" t="s">
        <v>1253</v>
      </c>
      <c r="G15" s="185" t="s">
        <v>1180</v>
      </c>
      <c r="H15" s="185">
        <v>1</v>
      </c>
      <c r="I15" s="1614"/>
      <c r="J15" s="1661"/>
    </row>
    <row r="16" spans="1:15" s="101" customFormat="1" ht="18" outlineLevel="1" x14ac:dyDescent="0.25">
      <c r="B16" s="211" t="s">
        <v>1919</v>
      </c>
      <c r="C16" s="1350" t="s">
        <v>2464</v>
      </c>
      <c r="D16" s="2919">
        <v>1.25</v>
      </c>
      <c r="E16" s="185">
        <v>0</v>
      </c>
      <c r="F16" s="185" t="s">
        <v>1253</v>
      </c>
      <c r="G16" s="185" t="s">
        <v>884</v>
      </c>
      <c r="H16" s="185">
        <v>2</v>
      </c>
      <c r="I16" s="1614"/>
      <c r="J16" s="1661"/>
    </row>
    <row r="17" spans="2:10" s="101" customFormat="1" ht="18" outlineLevel="1" x14ac:dyDescent="0.25">
      <c r="B17" s="2917" t="s">
        <v>5728</v>
      </c>
      <c r="C17" s="2918" t="s">
        <v>5729</v>
      </c>
      <c r="D17" s="2919">
        <v>0.23</v>
      </c>
      <c r="E17" s="1885">
        <v>0</v>
      </c>
      <c r="F17" s="1885">
        <v>2</v>
      </c>
      <c r="G17" s="1885" t="s">
        <v>282</v>
      </c>
      <c r="H17" s="1885">
        <v>3</v>
      </c>
      <c r="I17" s="2918"/>
      <c r="J17" s="2922" t="s">
        <v>4973</v>
      </c>
    </row>
    <row r="18" spans="2:10" s="101" customFormat="1" ht="18" outlineLevel="1" x14ac:dyDescent="0.25">
      <c r="B18" s="2917" t="s">
        <v>5730</v>
      </c>
      <c r="C18" s="2918" t="s">
        <v>5731</v>
      </c>
      <c r="D18" s="2919">
        <v>1.5</v>
      </c>
      <c r="E18" s="1885">
        <v>0</v>
      </c>
      <c r="F18" s="1885">
        <v>2</v>
      </c>
      <c r="G18" s="1885" t="s">
        <v>282</v>
      </c>
      <c r="H18" s="1885">
        <v>3</v>
      </c>
      <c r="I18" s="2918"/>
      <c r="J18" s="2922" t="s">
        <v>4973</v>
      </c>
    </row>
    <row r="19" spans="2:10" s="101" customFormat="1" ht="18" outlineLevel="1" x14ac:dyDescent="0.25">
      <c r="B19" s="211" t="s">
        <v>2242</v>
      </c>
      <c r="C19" s="1350" t="s">
        <v>2465</v>
      </c>
      <c r="D19" s="186">
        <v>0.05</v>
      </c>
      <c r="E19" s="185">
        <v>0</v>
      </c>
      <c r="F19" s="185" t="s">
        <v>1253</v>
      </c>
      <c r="G19" s="185" t="s">
        <v>884</v>
      </c>
      <c r="H19" s="185">
        <v>2</v>
      </c>
      <c r="I19" s="1614"/>
      <c r="J19" s="1661"/>
    </row>
    <row r="20" spans="2:10" s="101" customFormat="1" ht="18" outlineLevel="1" x14ac:dyDescent="0.25">
      <c r="B20" s="2917" t="s">
        <v>5707</v>
      </c>
      <c r="C20" s="2918" t="s">
        <v>5708</v>
      </c>
      <c r="D20" s="2919">
        <v>150</v>
      </c>
      <c r="E20" s="1885">
        <v>0</v>
      </c>
      <c r="F20" s="1885" t="s">
        <v>1253</v>
      </c>
      <c r="G20" s="1885" t="s">
        <v>1180</v>
      </c>
      <c r="H20" s="1885">
        <v>2</v>
      </c>
      <c r="I20" s="1885"/>
      <c r="J20" s="2923"/>
    </row>
    <row r="21" spans="2:10" s="101" customFormat="1" ht="18" outlineLevel="1" x14ac:dyDescent="0.25">
      <c r="B21" s="2917" t="s">
        <v>5732</v>
      </c>
      <c r="C21" s="2918" t="s">
        <v>5733</v>
      </c>
      <c r="D21" s="2919">
        <v>0.03</v>
      </c>
      <c r="E21" s="1885">
        <v>0</v>
      </c>
      <c r="F21" s="1885">
        <v>2</v>
      </c>
      <c r="G21" s="1885" t="s">
        <v>282</v>
      </c>
      <c r="H21" s="1885">
        <v>3</v>
      </c>
      <c r="I21" s="2918"/>
      <c r="J21" s="2922" t="s">
        <v>4973</v>
      </c>
    </row>
    <row r="22" spans="2:10" s="101" customFormat="1" ht="18" outlineLevel="1" x14ac:dyDescent="0.25">
      <c r="B22" s="211" t="s">
        <v>2156</v>
      </c>
      <c r="C22" s="1350" t="s">
        <v>2684</v>
      </c>
      <c r="D22" s="184">
        <v>50</v>
      </c>
      <c r="E22" s="185">
        <v>0</v>
      </c>
      <c r="F22" s="185" t="s">
        <v>1253</v>
      </c>
      <c r="G22" s="185" t="s">
        <v>1180</v>
      </c>
      <c r="H22" s="185">
        <v>1</v>
      </c>
      <c r="I22" s="1614"/>
      <c r="J22" s="1661"/>
    </row>
    <row r="23" spans="2:10" s="101" customFormat="1" ht="18" outlineLevel="1" x14ac:dyDescent="0.25">
      <c r="B23" s="1828" t="s">
        <v>4971</v>
      </c>
      <c r="C23" s="1826" t="s">
        <v>4972</v>
      </c>
      <c r="D23" s="1902">
        <v>1.2E-2</v>
      </c>
      <c r="E23" s="1885">
        <v>0</v>
      </c>
      <c r="F23" s="1885">
        <v>2</v>
      </c>
      <c r="G23" s="1825" t="s">
        <v>282</v>
      </c>
      <c r="H23" s="1825">
        <v>3</v>
      </c>
      <c r="I23" s="1826"/>
      <c r="J23" s="1827" t="s">
        <v>4973</v>
      </c>
    </row>
    <row r="24" spans="2:10" s="101" customFormat="1" ht="18" outlineLevel="1" x14ac:dyDescent="0.25">
      <c r="B24" s="1351" t="s">
        <v>1920</v>
      </c>
      <c r="C24" s="1352" t="s">
        <v>4349</v>
      </c>
      <c r="D24" s="1076">
        <v>5</v>
      </c>
      <c r="E24" s="1077">
        <v>0</v>
      </c>
      <c r="F24" s="1077" t="s">
        <v>1253</v>
      </c>
      <c r="G24" s="1077" t="s">
        <v>1180</v>
      </c>
      <c r="H24" s="1077">
        <v>1</v>
      </c>
      <c r="I24" s="1075"/>
      <c r="J24" s="1663"/>
    </row>
    <row r="25" spans="2:10" s="101" customFormat="1" ht="18.75" outlineLevel="1" thickBot="1" x14ac:dyDescent="0.4">
      <c r="B25" s="1353" t="s">
        <v>4350</v>
      </c>
      <c r="C25" s="1354" t="s">
        <v>4955</v>
      </c>
      <c r="D25" s="1079">
        <v>350</v>
      </c>
      <c r="E25" s="1080">
        <v>0</v>
      </c>
      <c r="F25" s="1081" t="s">
        <v>1253</v>
      </c>
      <c r="G25" s="1081" t="s">
        <v>1180</v>
      </c>
      <c r="H25" s="1081">
        <v>1</v>
      </c>
      <c r="I25" s="1078"/>
      <c r="J25" s="1664"/>
    </row>
    <row r="26" spans="2:10" s="101" customFormat="1" ht="15.75" thickBot="1" x14ac:dyDescent="0.3">
      <c r="B26" s="502"/>
      <c r="C26" s="1347"/>
      <c r="D26" s="104"/>
      <c r="E26" s="105"/>
      <c r="F26" s="105"/>
      <c r="G26" s="105"/>
      <c r="H26" s="105"/>
      <c r="I26" s="103"/>
      <c r="J26" s="119"/>
    </row>
    <row r="27" spans="2:10" s="101" customFormat="1" ht="15.75" thickBot="1" x14ac:dyDescent="0.3">
      <c r="B27" s="502"/>
      <c r="C27" s="469" t="s">
        <v>2141</v>
      </c>
      <c r="D27" s="102" t="s">
        <v>299</v>
      </c>
      <c r="E27" s="102"/>
      <c r="F27" s="102"/>
      <c r="G27" s="102"/>
      <c r="H27" s="102"/>
      <c r="I27" s="115"/>
      <c r="J27" s="119"/>
    </row>
    <row r="28" spans="2:10" s="101" customFormat="1" ht="15.75" thickBot="1" x14ac:dyDescent="0.3">
      <c r="B28" s="1348" t="s">
        <v>0</v>
      </c>
      <c r="C28" s="1349" t="s">
        <v>1</v>
      </c>
      <c r="D28" s="304" t="s">
        <v>839</v>
      </c>
      <c r="E28" s="304" t="s">
        <v>470</v>
      </c>
      <c r="F28" s="304" t="s">
        <v>471</v>
      </c>
      <c r="G28" s="304" t="s">
        <v>2</v>
      </c>
      <c r="H28" s="304" t="s">
        <v>298</v>
      </c>
      <c r="I28" s="302" t="s">
        <v>116</v>
      </c>
      <c r="J28" s="1665" t="s">
        <v>117</v>
      </c>
    </row>
    <row r="29" spans="2:10" s="101" customFormat="1" ht="18" outlineLevel="1" x14ac:dyDescent="0.25">
      <c r="B29" s="1355" t="s">
        <v>1187</v>
      </c>
      <c r="C29" s="1356" t="s">
        <v>2466</v>
      </c>
      <c r="D29" s="524">
        <v>1.3</v>
      </c>
      <c r="E29" s="525">
        <v>0</v>
      </c>
      <c r="F29" s="525" t="s">
        <v>1253</v>
      </c>
      <c r="G29" s="525" t="s">
        <v>443</v>
      </c>
      <c r="H29" s="525">
        <v>1</v>
      </c>
      <c r="I29" s="523"/>
      <c r="J29" s="1666"/>
    </row>
    <row r="30" spans="2:10" s="101" customFormat="1" ht="18" outlineLevel="1" x14ac:dyDescent="0.25">
      <c r="B30" s="1357" t="s">
        <v>1188</v>
      </c>
      <c r="C30" s="1358" t="s">
        <v>2467</v>
      </c>
      <c r="D30" s="526">
        <v>0.05</v>
      </c>
      <c r="E30" s="527">
        <v>0</v>
      </c>
      <c r="F30" s="527" t="s">
        <v>1253</v>
      </c>
      <c r="G30" s="527" t="s">
        <v>443</v>
      </c>
      <c r="H30" s="527">
        <v>2</v>
      </c>
      <c r="I30" s="518"/>
      <c r="J30" s="1667"/>
    </row>
    <row r="31" spans="2:10" s="101" customFormat="1" ht="18" outlineLevel="1" x14ac:dyDescent="0.25">
      <c r="B31" s="1359" t="s">
        <v>1189</v>
      </c>
      <c r="C31" s="1360" t="s">
        <v>2468</v>
      </c>
      <c r="D31" s="521">
        <v>10</v>
      </c>
      <c r="E31" s="522">
        <v>0</v>
      </c>
      <c r="F31" s="522" t="s">
        <v>1253</v>
      </c>
      <c r="G31" s="522" t="s">
        <v>443</v>
      </c>
      <c r="H31" s="522">
        <v>1</v>
      </c>
      <c r="I31" s="1668"/>
      <c r="J31" s="1669" t="s">
        <v>1157</v>
      </c>
    </row>
    <row r="32" spans="2:10" s="101" customFormat="1" ht="18" outlineLevel="1" x14ac:dyDescent="0.25">
      <c r="B32" s="1361" t="s">
        <v>1921</v>
      </c>
      <c r="C32" s="1358" t="s">
        <v>2469</v>
      </c>
      <c r="D32" s="519">
        <v>0.5</v>
      </c>
      <c r="E32" s="520">
        <v>0</v>
      </c>
      <c r="F32" s="520" t="s">
        <v>1253</v>
      </c>
      <c r="G32" s="520" t="s">
        <v>1180</v>
      </c>
      <c r="H32" s="520">
        <v>1</v>
      </c>
      <c r="I32" s="1615"/>
      <c r="J32" s="1670"/>
    </row>
    <row r="33" spans="2:10" s="101" customFormat="1" ht="18.75" outlineLevel="1" x14ac:dyDescent="0.25">
      <c r="B33" s="1357" t="s">
        <v>4034</v>
      </c>
      <c r="C33" s="1358" t="s">
        <v>4035</v>
      </c>
      <c r="D33" s="526">
        <v>0.05</v>
      </c>
      <c r="E33" s="527">
        <v>0</v>
      </c>
      <c r="F33" s="527" t="s">
        <v>1253</v>
      </c>
      <c r="G33" s="527" t="s">
        <v>1179</v>
      </c>
      <c r="H33" s="527">
        <v>2</v>
      </c>
      <c r="I33" s="518"/>
      <c r="J33" s="1667"/>
    </row>
    <row r="34" spans="2:10" s="101" customFormat="1" ht="18" outlineLevel="1" x14ac:dyDescent="0.25">
      <c r="B34" s="1357" t="s">
        <v>1922</v>
      </c>
      <c r="C34" s="1358" t="s">
        <v>2470</v>
      </c>
      <c r="D34" s="526">
        <v>0.05</v>
      </c>
      <c r="E34" s="527">
        <v>0</v>
      </c>
      <c r="F34" s="527" t="s">
        <v>1253</v>
      </c>
      <c r="G34" s="527" t="s">
        <v>884</v>
      </c>
      <c r="H34" s="527">
        <v>2</v>
      </c>
      <c r="I34" s="518"/>
      <c r="J34" s="1667"/>
    </row>
    <row r="35" spans="2:10" s="101" customFormat="1" ht="18" outlineLevel="1" x14ac:dyDescent="0.25">
      <c r="B35" s="2873" t="s">
        <v>2243</v>
      </c>
      <c r="C35" s="2874" t="s">
        <v>2471</v>
      </c>
      <c r="D35" s="2875">
        <v>0.02</v>
      </c>
      <c r="E35" s="2876">
        <v>0</v>
      </c>
      <c r="F35" s="2876" t="s">
        <v>1253</v>
      </c>
      <c r="G35" s="2876" t="s">
        <v>884</v>
      </c>
      <c r="H35" s="2876">
        <v>2</v>
      </c>
      <c r="I35" s="2877"/>
      <c r="J35" s="2878"/>
    </row>
    <row r="36" spans="2:10" s="101" customFormat="1" ht="18" outlineLevel="1" x14ac:dyDescent="0.25">
      <c r="B36" s="2924" t="s">
        <v>5709</v>
      </c>
      <c r="C36" s="2925" t="s">
        <v>6035</v>
      </c>
      <c r="D36" s="2926">
        <v>150</v>
      </c>
      <c r="E36" s="2927">
        <v>0</v>
      </c>
      <c r="F36" s="2927" t="s">
        <v>1253</v>
      </c>
      <c r="G36" s="2928" t="s">
        <v>1180</v>
      </c>
      <c r="H36" s="2927">
        <v>2</v>
      </c>
      <c r="I36" s="2929"/>
      <c r="J36" s="2930"/>
    </row>
    <row r="37" spans="2:10" s="101" customFormat="1" ht="18.75" outlineLevel="1" thickBot="1" x14ac:dyDescent="0.3">
      <c r="B37" s="2931" t="s">
        <v>5734</v>
      </c>
      <c r="C37" s="2932" t="s">
        <v>5735</v>
      </c>
      <c r="D37" s="2933">
        <v>0.03</v>
      </c>
      <c r="E37" s="2934">
        <v>0</v>
      </c>
      <c r="F37" s="2934">
        <v>2</v>
      </c>
      <c r="G37" s="2934" t="s">
        <v>282</v>
      </c>
      <c r="H37" s="2934">
        <v>3</v>
      </c>
      <c r="I37" s="2932"/>
      <c r="J37" s="2935" t="s">
        <v>4973</v>
      </c>
    </row>
    <row r="38" spans="2:10" s="101" customFormat="1" ht="15.75" thickBot="1" x14ac:dyDescent="0.3">
      <c r="B38" s="1362"/>
      <c r="C38" s="1362"/>
      <c r="I38" s="119"/>
      <c r="J38" s="119"/>
    </row>
    <row r="39" spans="2:10" s="101" customFormat="1" ht="15.75" thickBot="1" x14ac:dyDescent="0.3">
      <c r="B39" s="502"/>
      <c r="C39" s="1363" t="s">
        <v>4705</v>
      </c>
      <c r="D39" s="102" t="s">
        <v>299</v>
      </c>
      <c r="E39" s="102"/>
      <c r="F39" s="102"/>
      <c r="G39" s="102"/>
      <c r="H39" s="102"/>
      <c r="I39" s="115"/>
      <c r="J39" s="119"/>
    </row>
    <row r="40" spans="2:10" s="101" customFormat="1" ht="15.75" thickBot="1" x14ac:dyDescent="0.3">
      <c r="B40" s="1348" t="s">
        <v>0</v>
      </c>
      <c r="C40" s="1364" t="s">
        <v>1</v>
      </c>
      <c r="D40" s="304" t="s">
        <v>839</v>
      </c>
      <c r="E40" s="304" t="s">
        <v>470</v>
      </c>
      <c r="F40" s="304" t="s">
        <v>471</v>
      </c>
      <c r="G40" s="304" t="s">
        <v>2</v>
      </c>
      <c r="H40" s="304" t="s">
        <v>298</v>
      </c>
      <c r="I40" s="302" t="s">
        <v>116</v>
      </c>
      <c r="J40" s="1665" t="s">
        <v>117</v>
      </c>
    </row>
    <row r="41" spans="2:10" s="101" customFormat="1" ht="18" outlineLevel="1" x14ac:dyDescent="0.25">
      <c r="B41" s="1365" t="s">
        <v>4704</v>
      </c>
      <c r="C41" s="1366" t="s">
        <v>4706</v>
      </c>
      <c r="D41" s="362">
        <v>1</v>
      </c>
      <c r="E41" s="150">
        <v>0</v>
      </c>
      <c r="F41" s="150" t="s">
        <v>1253</v>
      </c>
      <c r="G41" s="238" t="s">
        <v>443</v>
      </c>
      <c r="H41" s="150">
        <v>2</v>
      </c>
      <c r="I41" s="1616" t="s">
        <v>1995</v>
      </c>
      <c r="J41" s="1671"/>
    </row>
    <row r="42" spans="2:10" s="101" customFormat="1" ht="18" outlineLevel="1" x14ac:dyDescent="0.25">
      <c r="B42" s="1367" t="s">
        <v>4351</v>
      </c>
      <c r="C42" s="1366" t="s">
        <v>4707</v>
      </c>
      <c r="D42" s="1082">
        <v>0.1</v>
      </c>
      <c r="E42" s="1044">
        <v>0</v>
      </c>
      <c r="F42" s="1044" t="s">
        <v>1253</v>
      </c>
      <c r="G42" s="1044" t="s">
        <v>443</v>
      </c>
      <c r="H42" s="1044">
        <v>1</v>
      </c>
      <c r="I42" s="1617" t="s">
        <v>1995</v>
      </c>
      <c r="J42" s="1672"/>
    </row>
    <row r="43" spans="2:10" s="101" customFormat="1" ht="18" outlineLevel="1" x14ac:dyDescent="0.25">
      <c r="B43" s="532" t="s">
        <v>2479</v>
      </c>
      <c r="C43" s="1368" t="s">
        <v>2472</v>
      </c>
      <c r="D43" s="313">
        <v>0.45</v>
      </c>
      <c r="E43" s="530">
        <v>0</v>
      </c>
      <c r="F43" s="530" t="s">
        <v>1253</v>
      </c>
      <c r="G43" s="530" t="s">
        <v>443</v>
      </c>
      <c r="H43" s="530">
        <v>1</v>
      </c>
      <c r="I43" s="529"/>
      <c r="J43" s="1673"/>
    </row>
    <row r="44" spans="2:10" s="101" customFormat="1" ht="18" outlineLevel="1" x14ac:dyDescent="0.25">
      <c r="B44" s="1365" t="s">
        <v>1703</v>
      </c>
      <c r="C44" s="1369" t="s">
        <v>2473</v>
      </c>
      <c r="D44" s="313">
        <v>0.49</v>
      </c>
      <c r="E44" s="150">
        <v>0</v>
      </c>
      <c r="F44" s="150" t="s">
        <v>1253</v>
      </c>
      <c r="G44" s="238" t="s">
        <v>443</v>
      </c>
      <c r="H44" s="150">
        <v>2</v>
      </c>
      <c r="I44" s="1616"/>
      <c r="J44" s="1673"/>
    </row>
    <row r="45" spans="2:10" s="101" customFormat="1" ht="18" outlineLevel="1" x14ac:dyDescent="0.25">
      <c r="B45" s="1365" t="s">
        <v>4710</v>
      </c>
      <c r="C45" s="1370" t="s">
        <v>4708</v>
      </c>
      <c r="D45" s="1184">
        <v>0.08</v>
      </c>
      <c r="E45" s="1170">
        <v>0</v>
      </c>
      <c r="F45" s="1170" t="s">
        <v>1253</v>
      </c>
      <c r="G45" s="1185" t="s">
        <v>443</v>
      </c>
      <c r="H45" s="1170">
        <v>2</v>
      </c>
      <c r="I45" s="1169"/>
      <c r="J45" s="1674" t="s">
        <v>4709</v>
      </c>
    </row>
    <row r="46" spans="2:10" s="101" customFormat="1" ht="18" outlineLevel="1" x14ac:dyDescent="0.25">
      <c r="B46" s="1365" t="s">
        <v>4711</v>
      </c>
      <c r="C46" s="2981" t="s">
        <v>5809</v>
      </c>
      <c r="D46" s="1184">
        <v>7.0000000000000007E-2</v>
      </c>
      <c r="E46" s="150">
        <v>0</v>
      </c>
      <c r="F46" s="150" t="s">
        <v>1253</v>
      </c>
      <c r="G46" s="238" t="s">
        <v>443</v>
      </c>
      <c r="H46" s="150">
        <v>2</v>
      </c>
      <c r="I46" s="1616"/>
      <c r="J46" s="1671"/>
    </row>
    <row r="47" spans="2:10" s="101" customFormat="1" ht="18" outlineLevel="1" x14ac:dyDescent="0.25">
      <c r="B47" s="1365" t="s">
        <v>2110</v>
      </c>
      <c r="C47" s="1371" t="s">
        <v>2474</v>
      </c>
      <c r="D47" s="362">
        <v>5.0000000000000001E-3</v>
      </c>
      <c r="E47" s="150">
        <v>0</v>
      </c>
      <c r="F47" s="150" t="s">
        <v>1253</v>
      </c>
      <c r="G47" s="238" t="s">
        <v>443</v>
      </c>
      <c r="H47" s="150">
        <v>2</v>
      </c>
      <c r="I47" s="1616"/>
      <c r="J47" s="1671"/>
    </row>
    <row r="48" spans="2:10" s="101" customFormat="1" ht="18" outlineLevel="1" x14ac:dyDescent="0.25">
      <c r="B48" s="1365" t="s">
        <v>4908</v>
      </c>
      <c r="C48" s="1368" t="s">
        <v>4772</v>
      </c>
      <c r="D48" s="1186">
        <v>7</v>
      </c>
      <c r="E48" s="150">
        <v>0</v>
      </c>
      <c r="F48" s="150" t="s">
        <v>1253</v>
      </c>
      <c r="G48" s="238" t="s">
        <v>443</v>
      </c>
      <c r="H48" s="150">
        <v>1</v>
      </c>
      <c r="I48" s="1616"/>
      <c r="J48" s="1671"/>
    </row>
    <row r="49" spans="2:10" s="101" customFormat="1" ht="18" outlineLevel="1" x14ac:dyDescent="0.25">
      <c r="B49" s="2974" t="s">
        <v>5788</v>
      </c>
      <c r="C49" s="2975" t="s">
        <v>5789</v>
      </c>
      <c r="D49" s="1186">
        <v>4</v>
      </c>
      <c r="E49" s="150">
        <v>0</v>
      </c>
      <c r="F49" s="150" t="s">
        <v>1253</v>
      </c>
      <c r="G49" s="238" t="s">
        <v>443</v>
      </c>
      <c r="H49" s="150">
        <v>1</v>
      </c>
      <c r="I49" s="1169"/>
      <c r="J49" s="1674"/>
    </row>
    <row r="50" spans="2:10" s="101" customFormat="1" ht="18" outlineLevel="1" x14ac:dyDescent="0.25">
      <c r="B50" s="1365" t="s">
        <v>4715</v>
      </c>
      <c r="C50" s="1370" t="s">
        <v>4712</v>
      </c>
      <c r="D50" s="362">
        <v>0.66</v>
      </c>
      <c r="E50" s="150">
        <v>0</v>
      </c>
      <c r="F50" s="150" t="s">
        <v>1253</v>
      </c>
      <c r="G50" s="238" t="s">
        <v>1990</v>
      </c>
      <c r="H50" s="150">
        <v>2</v>
      </c>
      <c r="I50" s="1616"/>
      <c r="J50" s="1671"/>
    </row>
    <row r="51" spans="2:10" s="101" customFormat="1" ht="18" outlineLevel="1" x14ac:dyDescent="0.25">
      <c r="B51" s="1365" t="s">
        <v>4716</v>
      </c>
      <c r="C51" s="1373" t="s">
        <v>4713</v>
      </c>
      <c r="D51" s="362">
        <v>0.5</v>
      </c>
      <c r="E51" s="150">
        <v>0</v>
      </c>
      <c r="F51" s="150" t="s">
        <v>1253</v>
      </c>
      <c r="G51" s="459" t="s">
        <v>1990</v>
      </c>
      <c r="H51" s="150">
        <v>2</v>
      </c>
      <c r="I51" s="1616"/>
      <c r="J51" s="1671"/>
    </row>
    <row r="52" spans="2:10" s="101" customFormat="1" ht="18" outlineLevel="1" x14ac:dyDescent="0.25">
      <c r="B52" s="1365" t="s">
        <v>4717</v>
      </c>
      <c r="C52" s="1373" t="s">
        <v>4714</v>
      </c>
      <c r="D52" s="362">
        <v>0.25</v>
      </c>
      <c r="E52" s="150">
        <v>0</v>
      </c>
      <c r="F52" s="150" t="s">
        <v>1253</v>
      </c>
      <c r="G52" s="459" t="s">
        <v>1990</v>
      </c>
      <c r="H52" s="150">
        <v>2</v>
      </c>
      <c r="I52" s="1616"/>
      <c r="J52" s="1671"/>
    </row>
    <row r="53" spans="2:10" s="101" customFormat="1" ht="18" outlineLevel="1" x14ac:dyDescent="0.25">
      <c r="B53" s="1365" t="s">
        <v>4718</v>
      </c>
      <c r="C53" s="2973" t="s">
        <v>5787</v>
      </c>
      <c r="D53" s="362">
        <v>0.66</v>
      </c>
      <c r="E53" s="150">
        <v>0</v>
      </c>
      <c r="F53" s="150" t="s">
        <v>1253</v>
      </c>
      <c r="G53" s="238" t="s">
        <v>1990</v>
      </c>
      <c r="H53" s="150">
        <v>2</v>
      </c>
      <c r="I53" s="1616"/>
      <c r="J53" s="1671"/>
    </row>
    <row r="54" spans="2:10" s="101" customFormat="1" ht="18" outlineLevel="1" x14ac:dyDescent="0.25">
      <c r="B54" s="1365" t="s">
        <v>2190</v>
      </c>
      <c r="C54" s="1371" t="s">
        <v>2475</v>
      </c>
      <c r="D54" s="362">
        <v>0.25</v>
      </c>
      <c r="E54" s="150">
        <v>0</v>
      </c>
      <c r="F54" s="150" t="s">
        <v>1253</v>
      </c>
      <c r="G54" s="459" t="s">
        <v>1990</v>
      </c>
      <c r="H54" s="150">
        <v>2</v>
      </c>
      <c r="I54" s="1616"/>
      <c r="J54" s="1671"/>
    </row>
    <row r="55" spans="2:10" s="101" customFormat="1" ht="18" outlineLevel="1" x14ac:dyDescent="0.25">
      <c r="B55" s="1365" t="s">
        <v>2191</v>
      </c>
      <c r="C55" s="1371" t="s">
        <v>2476</v>
      </c>
      <c r="D55" s="362">
        <v>0.5</v>
      </c>
      <c r="E55" s="150">
        <v>0</v>
      </c>
      <c r="F55" s="150" t="s">
        <v>1253</v>
      </c>
      <c r="G55" s="459" t="s">
        <v>1990</v>
      </c>
      <c r="H55" s="150">
        <v>2</v>
      </c>
      <c r="I55" s="1616"/>
      <c r="J55" s="1671"/>
    </row>
    <row r="56" spans="2:10" s="101" customFormat="1" ht="18" outlineLevel="1" x14ac:dyDescent="0.25">
      <c r="B56" s="1365" t="s">
        <v>1923</v>
      </c>
      <c r="C56" s="1374" t="s">
        <v>2477</v>
      </c>
      <c r="D56" s="1887">
        <v>0.15</v>
      </c>
      <c r="E56" s="1886">
        <v>0</v>
      </c>
      <c r="F56" s="1886" t="s">
        <v>1253</v>
      </c>
      <c r="G56" s="1888" t="s">
        <v>886</v>
      </c>
      <c r="H56" s="1886">
        <v>2</v>
      </c>
      <c r="I56" s="2981" t="s">
        <v>1994</v>
      </c>
      <c r="J56" s="1830" t="s">
        <v>5984</v>
      </c>
    </row>
    <row r="57" spans="2:10" s="101" customFormat="1" ht="18" outlineLevel="1" x14ac:dyDescent="0.25">
      <c r="B57" s="1829" t="s">
        <v>4974</v>
      </c>
      <c r="C57" s="1169" t="s">
        <v>4975</v>
      </c>
      <c r="D57" s="1887">
        <v>0.8</v>
      </c>
      <c r="E57" s="1886">
        <v>0</v>
      </c>
      <c r="F57" s="1886">
        <v>2</v>
      </c>
      <c r="G57" s="1185" t="s">
        <v>282</v>
      </c>
      <c r="H57" s="1170">
        <v>2</v>
      </c>
      <c r="I57" s="1169"/>
      <c r="J57" s="1830" t="s">
        <v>4973</v>
      </c>
    </row>
    <row r="58" spans="2:10" s="101" customFormat="1" ht="18" outlineLevel="1" x14ac:dyDescent="0.25">
      <c r="B58" s="1829" t="s">
        <v>4976</v>
      </c>
      <c r="C58" s="1169" t="s">
        <v>4977</v>
      </c>
      <c r="D58" s="1887">
        <v>0.4</v>
      </c>
      <c r="E58" s="1886">
        <v>0</v>
      </c>
      <c r="F58" s="1886">
        <v>2</v>
      </c>
      <c r="G58" s="1185" t="s">
        <v>282</v>
      </c>
      <c r="H58" s="1170">
        <v>2</v>
      </c>
      <c r="I58" s="1169"/>
      <c r="J58" s="1830" t="s">
        <v>4973</v>
      </c>
    </row>
    <row r="59" spans="2:10" s="101" customFormat="1" ht="18" outlineLevel="1" x14ac:dyDescent="0.25">
      <c r="B59" s="1372" t="s">
        <v>4719</v>
      </c>
      <c r="C59" s="1370" t="s">
        <v>4720</v>
      </c>
      <c r="D59" s="1184">
        <v>0.1</v>
      </c>
      <c r="E59" s="1170">
        <v>0</v>
      </c>
      <c r="F59" s="1170" t="s">
        <v>1253</v>
      </c>
      <c r="G59" s="1185" t="s">
        <v>2128</v>
      </c>
      <c r="H59" s="1170">
        <v>2</v>
      </c>
      <c r="I59" s="1169"/>
      <c r="J59" s="1674"/>
    </row>
    <row r="60" spans="2:10" s="101" customFormat="1" ht="18" outlineLevel="1" x14ac:dyDescent="0.25">
      <c r="B60" s="1365" t="s">
        <v>1777</v>
      </c>
      <c r="C60" s="1374" t="s">
        <v>2478</v>
      </c>
      <c r="D60" s="1184">
        <v>0.01</v>
      </c>
      <c r="E60" s="1170">
        <v>0</v>
      </c>
      <c r="F60" s="1170" t="s">
        <v>1253</v>
      </c>
      <c r="G60" s="1185" t="s">
        <v>2128</v>
      </c>
      <c r="H60" s="150">
        <v>2</v>
      </c>
      <c r="I60" s="1616"/>
      <c r="J60" s="1671"/>
    </row>
    <row r="61" spans="2:10" s="101" customFormat="1" ht="18" outlineLevel="1" x14ac:dyDescent="0.25">
      <c r="B61" s="1372" t="s">
        <v>4721</v>
      </c>
      <c r="C61" s="2984" t="s">
        <v>5810</v>
      </c>
      <c r="D61" s="1184">
        <v>0.1</v>
      </c>
      <c r="E61" s="1170">
        <v>0</v>
      </c>
      <c r="F61" s="1170" t="s">
        <v>1253</v>
      </c>
      <c r="G61" s="1185" t="s">
        <v>2128</v>
      </c>
      <c r="H61" s="1170">
        <v>2</v>
      </c>
      <c r="I61" s="1169"/>
      <c r="J61" s="1674"/>
    </row>
    <row r="62" spans="2:10" s="101" customFormat="1" ht="18" outlineLevel="1" x14ac:dyDescent="0.25">
      <c r="B62" s="1365" t="s">
        <v>4726</v>
      </c>
      <c r="C62" s="1376" t="s">
        <v>4722</v>
      </c>
      <c r="D62" s="238">
        <v>0.05</v>
      </c>
      <c r="E62" s="150">
        <v>0</v>
      </c>
      <c r="F62" s="238" t="s">
        <v>1253</v>
      </c>
      <c r="G62" s="238" t="s">
        <v>1179</v>
      </c>
      <c r="H62" s="238">
        <v>2</v>
      </c>
      <c r="I62" s="248"/>
      <c r="J62" s="385"/>
    </row>
    <row r="63" spans="2:10" s="101" customFormat="1" ht="18" outlineLevel="1" x14ac:dyDescent="0.25">
      <c r="B63" s="1377" t="s">
        <v>4727</v>
      </c>
      <c r="C63" s="1378" t="s">
        <v>4723</v>
      </c>
      <c r="D63" s="1184">
        <v>0.1</v>
      </c>
      <c r="E63" s="150">
        <v>0</v>
      </c>
      <c r="F63" s="238" t="s">
        <v>1253</v>
      </c>
      <c r="G63" s="238" t="s">
        <v>884</v>
      </c>
      <c r="H63" s="238">
        <v>2</v>
      </c>
      <c r="I63" s="248"/>
      <c r="J63" s="385"/>
    </row>
    <row r="64" spans="2:10" s="101" customFormat="1" ht="18" outlineLevel="1" x14ac:dyDescent="0.25">
      <c r="B64" s="1377" t="s">
        <v>4728</v>
      </c>
      <c r="C64" s="1378" t="s">
        <v>4724</v>
      </c>
      <c r="D64" s="238">
        <v>0.05</v>
      </c>
      <c r="E64" s="150">
        <v>0</v>
      </c>
      <c r="F64" s="238" t="s">
        <v>1253</v>
      </c>
      <c r="G64" s="238" t="s">
        <v>884</v>
      </c>
      <c r="H64" s="238">
        <v>2</v>
      </c>
      <c r="I64" s="248"/>
      <c r="J64" s="385"/>
    </row>
    <row r="65" spans="2:10" s="101" customFormat="1" ht="18" outlineLevel="1" x14ac:dyDescent="0.25">
      <c r="B65" s="1365" t="s">
        <v>4729</v>
      </c>
      <c r="C65" s="1379" t="s">
        <v>4725</v>
      </c>
      <c r="D65" s="363">
        <v>5</v>
      </c>
      <c r="E65" s="150">
        <v>0</v>
      </c>
      <c r="F65" s="150" t="s">
        <v>1253</v>
      </c>
      <c r="G65" s="238" t="s">
        <v>1180</v>
      </c>
      <c r="H65" s="150">
        <v>1</v>
      </c>
      <c r="I65" s="1616"/>
      <c r="J65" s="1675"/>
    </row>
    <row r="66" spans="2:10" s="101" customFormat="1" ht="18" outlineLevel="1" x14ac:dyDescent="0.25">
      <c r="B66" s="1365" t="s">
        <v>2111</v>
      </c>
      <c r="C66" s="1380" t="s">
        <v>2689</v>
      </c>
      <c r="D66" s="313">
        <v>0.01</v>
      </c>
      <c r="E66" s="150">
        <v>0</v>
      </c>
      <c r="F66" s="150" t="s">
        <v>1253</v>
      </c>
      <c r="G66" s="1185" t="s">
        <v>2128</v>
      </c>
      <c r="H66" s="150">
        <v>2</v>
      </c>
      <c r="I66" s="1616"/>
      <c r="J66" s="1675"/>
    </row>
    <row r="67" spans="2:10" s="101" customFormat="1" ht="18" outlineLevel="1" x14ac:dyDescent="0.25">
      <c r="B67" s="1365" t="s">
        <v>2695</v>
      </c>
      <c r="C67" s="1380" t="s">
        <v>2485</v>
      </c>
      <c r="D67" s="1187">
        <v>0.35</v>
      </c>
      <c r="E67" s="150">
        <v>0</v>
      </c>
      <c r="F67" s="150" t="s">
        <v>1253</v>
      </c>
      <c r="G67" s="238" t="s">
        <v>1890</v>
      </c>
      <c r="H67" s="150">
        <v>2</v>
      </c>
      <c r="I67" s="1616"/>
      <c r="J67" s="1675"/>
    </row>
    <row r="68" spans="2:10" s="101" customFormat="1" ht="18" outlineLevel="1" x14ac:dyDescent="0.25">
      <c r="B68" s="1829" t="s">
        <v>4978</v>
      </c>
      <c r="C68" s="1146" t="s">
        <v>4979</v>
      </c>
      <c r="D68" s="1903">
        <v>0.17</v>
      </c>
      <c r="E68" s="1886">
        <v>0</v>
      </c>
      <c r="F68" s="1888">
        <v>2</v>
      </c>
      <c r="G68" s="1185" t="s">
        <v>282</v>
      </c>
      <c r="H68" s="1170">
        <v>2</v>
      </c>
      <c r="I68" s="1146"/>
      <c r="J68" s="1675" t="s">
        <v>4980</v>
      </c>
    </row>
    <row r="69" spans="2:10" s="101" customFormat="1" ht="18" outlineLevel="1" x14ac:dyDescent="0.25">
      <c r="B69" s="1375" t="s">
        <v>4926</v>
      </c>
      <c r="C69" s="1376" t="s">
        <v>4927</v>
      </c>
      <c r="D69" s="1187">
        <v>0.1</v>
      </c>
      <c r="E69" s="1170">
        <v>0</v>
      </c>
      <c r="F69" s="1185">
        <v>1</v>
      </c>
      <c r="G69" s="1185" t="s">
        <v>1180</v>
      </c>
      <c r="H69" s="1170">
        <v>2</v>
      </c>
      <c r="I69" s="1146"/>
      <c r="J69" s="1675"/>
    </row>
    <row r="70" spans="2:10" s="101" customFormat="1" ht="18" outlineLevel="1" x14ac:dyDescent="0.25">
      <c r="B70" s="1365" t="s">
        <v>2696</v>
      </c>
      <c r="C70" s="1380" t="s">
        <v>2486</v>
      </c>
      <c r="D70" s="313">
        <v>0.6</v>
      </c>
      <c r="E70" s="150">
        <v>0</v>
      </c>
      <c r="F70" s="150" t="s">
        <v>1253</v>
      </c>
      <c r="G70" s="238" t="s">
        <v>2128</v>
      </c>
      <c r="H70" s="150">
        <v>2</v>
      </c>
      <c r="I70" s="1616"/>
      <c r="J70" s="1675"/>
    </row>
    <row r="71" spans="2:10" s="101" customFormat="1" ht="18" outlineLevel="1" x14ac:dyDescent="0.25">
      <c r="B71" s="1829" t="s">
        <v>4981</v>
      </c>
      <c r="C71" s="1146" t="s">
        <v>4982</v>
      </c>
      <c r="D71" s="1187">
        <v>0.1</v>
      </c>
      <c r="E71" s="1170">
        <v>0</v>
      </c>
      <c r="F71" s="1185">
        <v>2</v>
      </c>
      <c r="G71" s="1185" t="s">
        <v>282</v>
      </c>
      <c r="H71" s="1170">
        <v>2</v>
      </c>
      <c r="I71" s="1146"/>
      <c r="J71" s="1675" t="s">
        <v>4980</v>
      </c>
    </row>
    <row r="72" spans="2:10" s="101" customFormat="1" ht="18" outlineLevel="1" x14ac:dyDescent="0.25">
      <c r="B72" s="1365" t="s">
        <v>1924</v>
      </c>
      <c r="C72" s="1381" t="s">
        <v>2487</v>
      </c>
      <c r="D72" s="238">
        <v>1E-3</v>
      </c>
      <c r="E72" s="150">
        <v>0</v>
      </c>
      <c r="F72" s="238" t="s">
        <v>1253</v>
      </c>
      <c r="G72" s="238" t="s">
        <v>1607</v>
      </c>
      <c r="H72" s="238">
        <v>4</v>
      </c>
      <c r="I72" s="248"/>
      <c r="J72" s="385"/>
    </row>
    <row r="73" spans="2:10" s="101" customFormat="1" ht="18" outlineLevel="1" x14ac:dyDescent="0.25">
      <c r="B73" s="1365" t="s">
        <v>1925</v>
      </c>
      <c r="C73" s="1381" t="s">
        <v>2488</v>
      </c>
      <c r="D73" s="238">
        <v>1E-3</v>
      </c>
      <c r="E73" s="150">
        <v>0</v>
      </c>
      <c r="F73" s="238" t="s">
        <v>1253</v>
      </c>
      <c r="G73" s="238" t="s">
        <v>1608</v>
      </c>
      <c r="H73" s="238">
        <v>4</v>
      </c>
      <c r="I73" s="248"/>
      <c r="J73" s="385"/>
    </row>
    <row r="74" spans="2:10" s="101" customFormat="1" ht="18" outlineLevel="1" x14ac:dyDescent="0.25">
      <c r="B74" s="1365" t="s">
        <v>1926</v>
      </c>
      <c r="C74" s="1381" t="s">
        <v>2489</v>
      </c>
      <c r="D74" s="238">
        <v>1E-3</v>
      </c>
      <c r="E74" s="150">
        <v>0</v>
      </c>
      <c r="F74" s="238" t="s">
        <v>1253</v>
      </c>
      <c r="G74" s="238" t="s">
        <v>1609</v>
      </c>
      <c r="H74" s="238">
        <v>4</v>
      </c>
      <c r="I74" s="248"/>
      <c r="J74" s="385"/>
    </row>
    <row r="75" spans="2:10" s="101" customFormat="1" ht="18" outlineLevel="1" x14ac:dyDescent="0.25">
      <c r="B75" s="1365" t="s">
        <v>1182</v>
      </c>
      <c r="C75" s="1381" t="s">
        <v>2490</v>
      </c>
      <c r="D75" s="238">
        <v>2E-3</v>
      </c>
      <c r="E75" s="150">
        <v>0</v>
      </c>
      <c r="F75" s="238" t="s">
        <v>1253</v>
      </c>
      <c r="G75" s="238" t="s">
        <v>886</v>
      </c>
      <c r="H75" s="238">
        <v>3</v>
      </c>
      <c r="I75" s="248"/>
      <c r="J75" s="385"/>
    </row>
    <row r="76" spans="2:10" s="101" customFormat="1" ht="18" outlineLevel="1" x14ac:dyDescent="0.25">
      <c r="B76" s="532" t="s">
        <v>2480</v>
      </c>
      <c r="C76" s="1381" t="s">
        <v>2491</v>
      </c>
      <c r="D76" s="531">
        <v>5.0000000000000001E-3</v>
      </c>
      <c r="E76" s="530">
        <v>0</v>
      </c>
      <c r="F76" s="531" t="s">
        <v>1253</v>
      </c>
      <c r="G76" s="531" t="s">
        <v>886</v>
      </c>
      <c r="H76" s="531">
        <v>3</v>
      </c>
      <c r="I76" s="457"/>
      <c r="J76" s="1676"/>
    </row>
    <row r="77" spans="2:10" s="101" customFormat="1" ht="18" outlineLevel="1" x14ac:dyDescent="0.25">
      <c r="B77" s="1367" t="s">
        <v>2481</v>
      </c>
      <c r="C77" s="1382" t="s">
        <v>2482</v>
      </c>
      <c r="D77" s="1186">
        <v>-200</v>
      </c>
      <c r="E77" s="536" t="s">
        <v>2188</v>
      </c>
      <c r="F77" s="537" t="s">
        <v>1253</v>
      </c>
      <c r="G77" s="538" t="s">
        <v>2145</v>
      </c>
      <c r="H77" s="537">
        <v>0</v>
      </c>
      <c r="I77" s="1617"/>
      <c r="J77" s="1672"/>
    </row>
    <row r="78" spans="2:10" s="101" customFormat="1" ht="18.75" outlineLevel="1" thickBot="1" x14ac:dyDescent="0.3">
      <c r="B78" s="1383" t="s">
        <v>2483</v>
      </c>
      <c r="C78" s="1384" t="s">
        <v>2484</v>
      </c>
      <c r="D78" s="534">
        <v>0.1</v>
      </c>
      <c r="E78" s="419">
        <v>0</v>
      </c>
      <c r="F78" s="419" t="s">
        <v>1253</v>
      </c>
      <c r="G78" s="250" t="s">
        <v>4036</v>
      </c>
      <c r="H78" s="419">
        <v>2</v>
      </c>
      <c r="I78" s="1618"/>
      <c r="J78" s="535"/>
    </row>
    <row r="79" spans="2:10" s="101" customFormat="1" ht="18" outlineLevel="1" x14ac:dyDescent="0.25">
      <c r="B79" s="2977" t="s">
        <v>5792</v>
      </c>
      <c r="C79" s="2976" t="s">
        <v>5793</v>
      </c>
      <c r="D79" s="455">
        <v>0.1</v>
      </c>
      <c r="E79" s="446">
        <v>0</v>
      </c>
      <c r="F79" s="446" t="s">
        <v>1253</v>
      </c>
      <c r="G79" s="445" t="s">
        <v>1990</v>
      </c>
      <c r="H79" s="446">
        <v>2</v>
      </c>
      <c r="I79" s="1619"/>
      <c r="J79" s="1677"/>
    </row>
    <row r="80" spans="2:10" s="101" customFormat="1" ht="18" outlineLevel="1" x14ac:dyDescent="0.25">
      <c r="B80" s="2977" t="s">
        <v>5794</v>
      </c>
      <c r="C80" s="2976" t="s">
        <v>5795</v>
      </c>
      <c r="D80" s="455">
        <v>0.05</v>
      </c>
      <c r="E80" s="446">
        <v>0</v>
      </c>
      <c r="F80" s="446" t="s">
        <v>1253</v>
      </c>
      <c r="G80" s="1191" t="s">
        <v>2128</v>
      </c>
      <c r="H80" s="446">
        <v>2</v>
      </c>
      <c r="I80" s="1619"/>
      <c r="J80" s="1677"/>
    </row>
    <row r="81" spans="2:18" s="101" customFormat="1" ht="18" outlineLevel="1" x14ac:dyDescent="0.25">
      <c r="B81" s="2977" t="s">
        <v>5796</v>
      </c>
      <c r="C81" s="2976" t="s">
        <v>5797</v>
      </c>
      <c r="D81" s="961">
        <v>0.5</v>
      </c>
      <c r="E81" s="446">
        <v>0</v>
      </c>
      <c r="F81" s="446" t="s">
        <v>1253</v>
      </c>
      <c r="G81" s="456" t="s">
        <v>2128</v>
      </c>
      <c r="H81" s="446">
        <v>2</v>
      </c>
      <c r="I81" s="1678"/>
      <c r="J81" s="1679"/>
    </row>
    <row r="82" spans="2:18" s="101" customFormat="1" ht="18" outlineLevel="1" x14ac:dyDescent="0.25">
      <c r="B82" s="2977" t="s">
        <v>5798</v>
      </c>
      <c r="C82" s="2976" t="s">
        <v>5799</v>
      </c>
      <c r="D82" s="1831">
        <v>0.12</v>
      </c>
      <c r="E82" s="1189">
        <v>0</v>
      </c>
      <c r="F82" s="1190">
        <v>2</v>
      </c>
      <c r="G82" s="1191" t="s">
        <v>282</v>
      </c>
      <c r="H82" s="1190">
        <v>2</v>
      </c>
      <c r="I82" s="1678"/>
      <c r="J82" s="1679" t="s">
        <v>4980</v>
      </c>
    </row>
    <row r="83" spans="2:18" s="101" customFormat="1" ht="18" outlineLevel="1" x14ac:dyDescent="0.25">
      <c r="B83" s="1385" t="s">
        <v>4731</v>
      </c>
      <c r="C83" s="2976" t="s">
        <v>5790</v>
      </c>
      <c r="D83" s="1188">
        <v>-120</v>
      </c>
      <c r="E83" s="1189" t="s">
        <v>2188</v>
      </c>
      <c r="F83" s="1190" t="s">
        <v>1253</v>
      </c>
      <c r="G83" s="1191" t="s">
        <v>2145</v>
      </c>
      <c r="H83" s="1190">
        <v>0</v>
      </c>
      <c r="I83" s="1678"/>
      <c r="J83" s="1679"/>
    </row>
    <row r="84" spans="2:18" s="101" customFormat="1" ht="18" outlineLevel="1" x14ac:dyDescent="0.25">
      <c r="B84" s="1385" t="s">
        <v>4732</v>
      </c>
      <c r="C84" s="2976" t="s">
        <v>5791</v>
      </c>
      <c r="D84" s="1188">
        <v>-170</v>
      </c>
      <c r="E84" s="1189" t="s">
        <v>2188</v>
      </c>
      <c r="F84" s="1190" t="s">
        <v>1253</v>
      </c>
      <c r="G84" s="1191" t="s">
        <v>2145</v>
      </c>
      <c r="H84" s="1190">
        <v>0</v>
      </c>
      <c r="I84" s="1678"/>
      <c r="J84" s="1679"/>
    </row>
    <row r="85" spans="2:18" s="101" customFormat="1" ht="18.75" outlineLevel="1" thickBot="1" x14ac:dyDescent="0.3">
      <c r="B85" s="1386" t="s">
        <v>4733</v>
      </c>
      <c r="C85" s="1387" t="s">
        <v>2492</v>
      </c>
      <c r="D85" s="1192">
        <v>0.02</v>
      </c>
      <c r="E85" s="1193">
        <v>0</v>
      </c>
      <c r="F85" s="1193" t="s">
        <v>1253</v>
      </c>
      <c r="G85" s="1194" t="s">
        <v>4036</v>
      </c>
      <c r="H85" s="1193">
        <v>2</v>
      </c>
      <c r="I85" s="1620"/>
      <c r="J85" s="1195"/>
    </row>
    <row r="86" spans="2:18" s="101" customFormat="1" ht="18" outlineLevel="1" x14ac:dyDescent="0.25">
      <c r="B86" s="2205" t="s">
        <v>5119</v>
      </c>
      <c r="C86" s="2206" t="s">
        <v>5199</v>
      </c>
      <c r="D86" s="2207">
        <v>24</v>
      </c>
      <c r="E86" s="2208">
        <v>0</v>
      </c>
      <c r="F86" s="2208" t="s">
        <v>1253</v>
      </c>
      <c r="G86" s="2209" t="s">
        <v>847</v>
      </c>
      <c r="H86" s="2208">
        <v>1</v>
      </c>
      <c r="I86" s="2210"/>
      <c r="J86" s="2211" t="s">
        <v>5120</v>
      </c>
    </row>
    <row r="87" spans="2:18" s="101" customFormat="1" ht="18.75" outlineLevel="1" thickBot="1" x14ac:dyDescent="0.3">
      <c r="B87" s="2212" t="s">
        <v>5121</v>
      </c>
      <c r="C87" s="2213" t="s">
        <v>5200</v>
      </c>
      <c r="D87" s="2214">
        <v>1000</v>
      </c>
      <c r="E87" s="2215">
        <v>1000</v>
      </c>
      <c r="F87" s="2215" t="s">
        <v>1253</v>
      </c>
      <c r="G87" s="2216" t="s">
        <v>2145</v>
      </c>
      <c r="H87" s="2215">
        <v>0</v>
      </c>
      <c r="I87" s="2217"/>
      <c r="J87" s="2218" t="s">
        <v>5122</v>
      </c>
    </row>
    <row r="88" spans="2:18" s="208" customFormat="1" ht="15.75" thickBot="1" x14ac:dyDescent="0.3">
      <c r="B88" s="127"/>
      <c r="C88" s="1347"/>
      <c r="D88" s="104"/>
      <c r="E88" s="105"/>
      <c r="F88" s="105"/>
      <c r="G88" s="105"/>
      <c r="H88" s="105"/>
      <c r="I88" s="103"/>
      <c r="J88" s="119"/>
      <c r="K88" s="101"/>
      <c r="L88" s="101"/>
      <c r="M88" s="101"/>
      <c r="N88" s="101"/>
      <c r="O88" s="101"/>
    </row>
    <row r="89" spans="2:18" s="208" customFormat="1" ht="15.75" thickBot="1" x14ac:dyDescent="0.3">
      <c r="B89" s="502"/>
      <c r="C89" s="577" t="s">
        <v>2930</v>
      </c>
      <c r="D89" s="102" t="s">
        <v>299</v>
      </c>
      <c r="E89" s="102"/>
      <c r="F89" s="102"/>
      <c r="G89" s="102"/>
      <c r="H89" s="102"/>
      <c r="I89" s="115"/>
      <c r="J89" s="119"/>
      <c r="K89" s="101"/>
      <c r="L89" s="101"/>
      <c r="M89" s="101"/>
      <c r="N89" s="101"/>
      <c r="O89" s="101"/>
    </row>
    <row r="90" spans="2:18" s="208" customFormat="1" ht="15.75" thickBot="1" x14ac:dyDescent="0.3">
      <c r="B90" s="1388" t="s">
        <v>0</v>
      </c>
      <c r="C90" s="1389" t="s">
        <v>1</v>
      </c>
      <c r="D90" s="474" t="s">
        <v>839</v>
      </c>
      <c r="E90" s="474" t="s">
        <v>470</v>
      </c>
      <c r="F90" s="474" t="s">
        <v>471</v>
      </c>
      <c r="G90" s="474" t="s">
        <v>2</v>
      </c>
      <c r="H90" s="474" t="s">
        <v>298</v>
      </c>
      <c r="I90" s="1680" t="s">
        <v>116</v>
      </c>
      <c r="J90" s="845" t="s">
        <v>117</v>
      </c>
      <c r="K90" s="101"/>
      <c r="L90" s="101"/>
      <c r="M90" s="101"/>
      <c r="N90" s="101"/>
      <c r="O90" s="101"/>
    </row>
    <row r="91" spans="2:18" s="208" customFormat="1" ht="18" outlineLevel="1" x14ac:dyDescent="0.35">
      <c r="B91" s="1390" t="s">
        <v>2244</v>
      </c>
      <c r="C91" s="1391" t="s">
        <v>2245</v>
      </c>
      <c r="D91" s="475">
        <v>0.9</v>
      </c>
      <c r="E91" s="476">
        <v>0</v>
      </c>
      <c r="F91" s="476">
        <v>10</v>
      </c>
      <c r="G91" s="476" t="s">
        <v>847</v>
      </c>
      <c r="H91" s="476">
        <v>2</v>
      </c>
      <c r="I91" s="1621" t="s">
        <v>1999</v>
      </c>
      <c r="J91" s="1681"/>
      <c r="K91" s="101"/>
      <c r="L91" s="101"/>
      <c r="M91" s="101"/>
      <c r="N91" s="101"/>
      <c r="O91" s="101"/>
    </row>
    <row r="92" spans="2:18" s="208" customFormat="1" ht="18" outlineLevel="1" x14ac:dyDescent="0.35">
      <c r="B92" s="1392" t="s">
        <v>2247</v>
      </c>
      <c r="C92" s="1393" t="s">
        <v>2494</v>
      </c>
      <c r="D92" s="479">
        <v>0.17</v>
      </c>
      <c r="E92" s="480">
        <v>0</v>
      </c>
      <c r="F92" s="480" t="s">
        <v>1253</v>
      </c>
      <c r="G92" s="480" t="s">
        <v>847</v>
      </c>
      <c r="H92" s="480">
        <v>2</v>
      </c>
      <c r="I92" s="478"/>
      <c r="J92" s="1682"/>
      <c r="K92" s="101"/>
      <c r="L92" s="101"/>
      <c r="M92" s="101"/>
      <c r="N92" s="101"/>
      <c r="O92" s="101"/>
    </row>
    <row r="93" spans="2:18" s="208" customFormat="1" ht="18" outlineLevel="1" x14ac:dyDescent="0.35">
      <c r="B93" s="1394" t="s">
        <v>2246</v>
      </c>
      <c r="C93" s="1395" t="s">
        <v>2495</v>
      </c>
      <c r="D93" s="477">
        <v>0.7</v>
      </c>
      <c r="E93" s="210">
        <v>0</v>
      </c>
      <c r="F93" s="210" t="s">
        <v>1253</v>
      </c>
      <c r="G93" s="210" t="s">
        <v>850</v>
      </c>
      <c r="H93" s="210">
        <v>2</v>
      </c>
      <c r="I93" s="209" t="s">
        <v>2000</v>
      </c>
      <c r="J93" s="1683"/>
      <c r="K93" s="101"/>
      <c r="L93" s="101"/>
      <c r="M93" s="101"/>
      <c r="N93" s="101"/>
      <c r="O93" s="101"/>
    </row>
    <row r="94" spans="2:18" s="208" customFormat="1" ht="19.5" customHeight="1" outlineLevel="1" x14ac:dyDescent="0.25">
      <c r="B94" s="1396" t="s">
        <v>2249</v>
      </c>
      <c r="C94" s="1397" t="s">
        <v>2497</v>
      </c>
      <c r="D94" s="1880">
        <v>1E-3</v>
      </c>
      <c r="E94" s="1881">
        <v>0</v>
      </c>
      <c r="F94" s="1881" t="s">
        <v>1253</v>
      </c>
      <c r="G94" s="1882" t="s">
        <v>5035</v>
      </c>
      <c r="H94" s="1881">
        <v>3</v>
      </c>
      <c r="I94" s="209"/>
      <c r="J94" s="1684"/>
      <c r="K94" s="101"/>
      <c r="L94" s="101"/>
      <c r="M94" s="101"/>
      <c r="N94" s="101"/>
      <c r="O94" s="101"/>
    </row>
    <row r="95" spans="2:18" s="208" customFormat="1" ht="18.75" customHeight="1" outlineLevel="1" x14ac:dyDescent="0.25">
      <c r="B95" s="1833" t="s">
        <v>4983</v>
      </c>
      <c r="C95" s="1834" t="s">
        <v>4984</v>
      </c>
      <c r="D95" s="1883">
        <v>1</v>
      </c>
      <c r="E95" s="1881">
        <v>0</v>
      </c>
      <c r="F95" s="1881">
        <v>2</v>
      </c>
      <c r="G95" s="1881" t="s">
        <v>282</v>
      </c>
      <c r="H95" s="1881">
        <v>2</v>
      </c>
      <c r="I95" s="1835"/>
      <c r="J95" s="1832" t="s">
        <v>4973</v>
      </c>
      <c r="K95" s="101"/>
      <c r="L95" s="101"/>
      <c r="M95" s="101"/>
      <c r="N95" s="101"/>
      <c r="O95" s="101"/>
      <c r="P95" s="101"/>
      <c r="Q95" s="101"/>
      <c r="R95" s="101"/>
    </row>
    <row r="96" spans="2:18" s="208" customFormat="1" ht="19.5" customHeight="1" outlineLevel="1" x14ac:dyDescent="0.25">
      <c r="B96" s="1396" t="s">
        <v>2248</v>
      </c>
      <c r="C96" s="1397" t="s">
        <v>2496</v>
      </c>
      <c r="D96" s="1884">
        <v>4.0000000000000001E-3</v>
      </c>
      <c r="E96" s="1881">
        <v>0</v>
      </c>
      <c r="F96" s="1882" t="s">
        <v>1253</v>
      </c>
      <c r="G96" s="1882" t="s">
        <v>5035</v>
      </c>
      <c r="H96" s="1882">
        <v>3</v>
      </c>
      <c r="I96" s="209"/>
      <c r="J96" s="1684"/>
      <c r="K96" s="101"/>
      <c r="L96" s="101"/>
      <c r="M96" s="101"/>
      <c r="N96" s="101"/>
      <c r="O96" s="101"/>
    </row>
    <row r="97" spans="2:18" s="208" customFormat="1" ht="19.5" customHeight="1" outlineLevel="1" x14ac:dyDescent="0.25">
      <c r="B97" s="1833" t="s">
        <v>4985</v>
      </c>
      <c r="C97" s="1834" t="s">
        <v>4986</v>
      </c>
      <c r="D97" s="1883">
        <v>0.3</v>
      </c>
      <c r="E97" s="1881">
        <v>0</v>
      </c>
      <c r="F97" s="1881">
        <v>2</v>
      </c>
      <c r="G97" s="1881" t="s">
        <v>282</v>
      </c>
      <c r="H97" s="1881">
        <v>2</v>
      </c>
      <c r="I97" s="1835"/>
      <c r="J97" s="1832" t="s">
        <v>4973</v>
      </c>
      <c r="K97" s="101"/>
      <c r="L97" s="101"/>
      <c r="M97" s="101"/>
      <c r="N97" s="101"/>
      <c r="O97" s="101"/>
      <c r="P97" s="101"/>
      <c r="Q97" s="101"/>
      <c r="R97" s="101"/>
    </row>
    <row r="98" spans="2:18" s="208" customFormat="1" ht="18.75" outlineLevel="1" x14ac:dyDescent="0.35">
      <c r="B98" s="1394" t="s">
        <v>2250</v>
      </c>
      <c r="C98" s="1398" t="s">
        <v>2498</v>
      </c>
      <c r="D98" s="420">
        <v>0.5</v>
      </c>
      <c r="E98" s="210">
        <v>0</v>
      </c>
      <c r="F98" s="210" t="s">
        <v>1253</v>
      </c>
      <c r="G98" s="210" t="s">
        <v>849</v>
      </c>
      <c r="H98" s="210">
        <v>2</v>
      </c>
      <c r="I98" s="209"/>
      <c r="J98" s="1683"/>
      <c r="K98" s="101"/>
      <c r="L98" s="101"/>
      <c r="M98" s="101"/>
      <c r="N98" s="101"/>
      <c r="O98" s="101"/>
    </row>
    <row r="99" spans="2:18" s="208" customFormat="1" ht="18.75" outlineLevel="1" x14ac:dyDescent="0.35">
      <c r="B99" s="1394" t="s">
        <v>2251</v>
      </c>
      <c r="C99" s="1398" t="s">
        <v>2499</v>
      </c>
      <c r="D99" s="420">
        <v>0.5</v>
      </c>
      <c r="E99" s="210">
        <v>0</v>
      </c>
      <c r="F99" s="210" t="s">
        <v>1253</v>
      </c>
      <c r="G99" s="210" t="s">
        <v>849</v>
      </c>
      <c r="H99" s="210">
        <v>2</v>
      </c>
      <c r="I99" s="1685" t="s">
        <v>2434</v>
      </c>
      <c r="J99" s="1683"/>
      <c r="K99" s="101"/>
      <c r="L99" s="101"/>
      <c r="M99" s="101"/>
      <c r="N99" s="101"/>
      <c r="O99" s="101"/>
    </row>
    <row r="100" spans="2:18" s="208" customFormat="1" ht="18" outlineLevel="1" x14ac:dyDescent="0.35">
      <c r="B100" s="1394" t="s">
        <v>2252</v>
      </c>
      <c r="C100" s="1398" t="s">
        <v>2500</v>
      </c>
      <c r="D100" s="420">
        <v>0.03</v>
      </c>
      <c r="E100" s="210">
        <v>0</v>
      </c>
      <c r="F100" s="210" t="s">
        <v>1253</v>
      </c>
      <c r="G100" s="210" t="s">
        <v>850</v>
      </c>
      <c r="H100" s="210">
        <v>2</v>
      </c>
      <c r="I100" s="209"/>
      <c r="J100" s="1683"/>
      <c r="K100" s="101"/>
      <c r="L100" s="101"/>
      <c r="M100" s="101"/>
      <c r="N100" s="101"/>
      <c r="O100" s="101"/>
    </row>
    <row r="101" spans="2:18" s="208" customFormat="1" ht="18.75" outlineLevel="1" x14ac:dyDescent="0.35">
      <c r="B101" s="1394" t="s">
        <v>2493</v>
      </c>
      <c r="C101" s="1398" t="s">
        <v>2501</v>
      </c>
      <c r="D101" s="420">
        <v>9999</v>
      </c>
      <c r="E101" s="210">
        <v>0</v>
      </c>
      <c r="F101" s="210" t="s">
        <v>1253</v>
      </c>
      <c r="G101" s="210" t="s">
        <v>2934</v>
      </c>
      <c r="H101" s="210">
        <v>6</v>
      </c>
      <c r="I101" s="1685"/>
      <c r="J101" s="1683"/>
      <c r="K101" s="101"/>
      <c r="L101" s="101"/>
      <c r="M101" s="101"/>
      <c r="N101" s="101"/>
      <c r="O101" s="101"/>
    </row>
    <row r="102" spans="2:18" s="208" customFormat="1" ht="18" outlineLevel="1" x14ac:dyDescent="0.35">
      <c r="B102" s="1394" t="s">
        <v>5359</v>
      </c>
      <c r="C102" s="1398" t="s">
        <v>5360</v>
      </c>
      <c r="D102" s="420">
        <v>6</v>
      </c>
      <c r="E102" s="210">
        <v>0</v>
      </c>
      <c r="F102" s="210" t="s">
        <v>1253</v>
      </c>
      <c r="G102" s="210" t="s">
        <v>377</v>
      </c>
      <c r="H102" s="210">
        <v>1</v>
      </c>
      <c r="I102" s="209"/>
      <c r="J102" s="1683"/>
      <c r="K102" s="101"/>
      <c r="L102" s="101"/>
      <c r="M102" s="101"/>
      <c r="N102" s="101"/>
      <c r="O102" s="101"/>
    </row>
    <row r="103" spans="2:18" s="208" customFormat="1" ht="18.75" outlineLevel="1" thickBot="1" x14ac:dyDescent="0.4">
      <c r="B103" s="1399" t="s">
        <v>5361</v>
      </c>
      <c r="C103" s="1400" t="s">
        <v>5362</v>
      </c>
      <c r="D103" s="2539">
        <v>8</v>
      </c>
      <c r="E103" s="421">
        <v>0</v>
      </c>
      <c r="F103" s="421" t="s">
        <v>1253</v>
      </c>
      <c r="G103" s="579" t="s">
        <v>377</v>
      </c>
      <c r="H103" s="421">
        <v>1</v>
      </c>
      <c r="I103" s="1622"/>
      <c r="J103" s="1686"/>
      <c r="K103" s="101"/>
      <c r="L103" s="101"/>
      <c r="M103" s="101"/>
      <c r="N103" s="101"/>
      <c r="O103" s="101"/>
    </row>
    <row r="104" spans="2:18" s="208" customFormat="1" ht="15.75" thickBot="1" x14ac:dyDescent="0.3">
      <c r="B104" s="127"/>
      <c r="C104" s="1347"/>
      <c r="D104" s="104"/>
      <c r="E104" s="105"/>
      <c r="F104" s="105"/>
      <c r="G104" s="105"/>
      <c r="H104" s="105"/>
      <c r="I104" s="103"/>
      <c r="J104" s="119"/>
      <c r="K104" s="101"/>
      <c r="L104" s="101"/>
      <c r="M104" s="101"/>
      <c r="N104" s="101"/>
      <c r="O104" s="101"/>
    </row>
    <row r="105" spans="2:18" s="208" customFormat="1" ht="15.75" thickBot="1" x14ac:dyDescent="0.3">
      <c r="B105" s="502"/>
      <c r="C105" s="577" t="s">
        <v>2931</v>
      </c>
      <c r="D105" s="102" t="s">
        <v>299</v>
      </c>
      <c r="E105" s="102"/>
      <c r="F105" s="102"/>
      <c r="G105" s="102"/>
      <c r="H105" s="102"/>
      <c r="I105" s="115"/>
      <c r="J105" s="119"/>
      <c r="K105" s="101"/>
      <c r="L105" s="101"/>
      <c r="M105" s="101"/>
      <c r="N105" s="101"/>
      <c r="O105" s="101"/>
    </row>
    <row r="106" spans="2:18" s="208" customFormat="1" ht="15.75" thickBot="1" x14ac:dyDescent="0.3">
      <c r="B106" s="1388" t="s">
        <v>0</v>
      </c>
      <c r="C106" s="1389" t="s">
        <v>1</v>
      </c>
      <c r="D106" s="474" t="s">
        <v>839</v>
      </c>
      <c r="E106" s="474" t="s">
        <v>470</v>
      </c>
      <c r="F106" s="474" t="s">
        <v>471</v>
      </c>
      <c r="G106" s="474" t="s">
        <v>2</v>
      </c>
      <c r="H106" s="474" t="s">
        <v>298</v>
      </c>
      <c r="I106" s="1680" t="s">
        <v>116</v>
      </c>
      <c r="J106" s="845" t="s">
        <v>117</v>
      </c>
      <c r="K106" s="101"/>
      <c r="L106" s="101"/>
      <c r="M106" s="101"/>
      <c r="N106" s="101"/>
      <c r="O106" s="101"/>
    </row>
    <row r="107" spans="2:18" s="208" customFormat="1" ht="18" outlineLevel="1" x14ac:dyDescent="0.35">
      <c r="B107" s="1401" t="s">
        <v>2253</v>
      </c>
      <c r="C107" s="1402" t="s">
        <v>2254</v>
      </c>
      <c r="D107" s="481">
        <v>0.65</v>
      </c>
      <c r="E107" s="482">
        <v>0</v>
      </c>
      <c r="F107" s="482" t="s">
        <v>1253</v>
      </c>
      <c r="G107" s="482" t="s">
        <v>847</v>
      </c>
      <c r="H107" s="482">
        <v>2</v>
      </c>
      <c r="I107" s="1623" t="s">
        <v>1998</v>
      </c>
      <c r="J107" s="1687"/>
      <c r="K107" s="101"/>
      <c r="L107" s="101"/>
      <c r="M107" s="101"/>
      <c r="N107" s="101"/>
      <c r="O107" s="101"/>
    </row>
    <row r="108" spans="2:18" s="208" customFormat="1" ht="18" outlineLevel="1" x14ac:dyDescent="0.35">
      <c r="B108" s="1403" t="s">
        <v>2256</v>
      </c>
      <c r="C108" s="1404" t="s">
        <v>2503</v>
      </c>
      <c r="D108" s="483">
        <v>0.15</v>
      </c>
      <c r="E108" s="484">
        <v>0</v>
      </c>
      <c r="F108" s="484" t="s">
        <v>1253</v>
      </c>
      <c r="G108" s="484" t="s">
        <v>847</v>
      </c>
      <c r="H108" s="484">
        <v>2</v>
      </c>
      <c r="I108" s="1624"/>
      <c r="J108" s="1688"/>
      <c r="K108" s="101"/>
      <c r="L108" s="101"/>
      <c r="M108" s="101"/>
      <c r="N108" s="101"/>
      <c r="O108" s="101"/>
    </row>
    <row r="109" spans="2:18" s="208" customFormat="1" ht="18" outlineLevel="1" x14ac:dyDescent="0.35">
      <c r="B109" s="1403" t="s">
        <v>2255</v>
      </c>
      <c r="C109" s="1404" t="s">
        <v>2504</v>
      </c>
      <c r="D109" s="483">
        <v>0.1</v>
      </c>
      <c r="E109" s="484">
        <v>0</v>
      </c>
      <c r="F109" s="484" t="s">
        <v>1253</v>
      </c>
      <c r="G109" s="484" t="s">
        <v>850</v>
      </c>
      <c r="H109" s="484">
        <v>2</v>
      </c>
      <c r="I109" s="1624" t="s">
        <v>5700</v>
      </c>
      <c r="J109" s="1688"/>
      <c r="K109" s="101"/>
      <c r="L109" s="101"/>
      <c r="M109" s="101"/>
      <c r="N109" s="101"/>
      <c r="O109" s="101"/>
    </row>
    <row r="110" spans="2:18" s="208" customFormat="1" ht="18.75" outlineLevel="1" x14ac:dyDescent="0.35">
      <c r="B110" s="1403" t="s">
        <v>2257</v>
      </c>
      <c r="C110" s="1405" t="s">
        <v>2505</v>
      </c>
      <c r="D110" s="1890">
        <v>2.0000000000000002E-5</v>
      </c>
      <c r="E110" s="1889">
        <v>0</v>
      </c>
      <c r="F110" s="1889" t="s">
        <v>1253</v>
      </c>
      <c r="G110" s="1889" t="s">
        <v>1945</v>
      </c>
      <c r="H110" s="484">
        <v>2</v>
      </c>
      <c r="I110" s="1624"/>
      <c r="J110" s="1688"/>
      <c r="K110" s="101"/>
      <c r="L110" s="101"/>
      <c r="M110" s="101"/>
      <c r="N110" s="101"/>
      <c r="O110" s="101"/>
    </row>
    <row r="111" spans="2:18" s="208" customFormat="1" ht="18" outlineLevel="1" x14ac:dyDescent="0.35">
      <c r="B111" s="1839" t="s">
        <v>4987</v>
      </c>
      <c r="C111" s="1840" t="s">
        <v>4988</v>
      </c>
      <c r="D111" s="1906">
        <v>2</v>
      </c>
      <c r="E111" s="1889">
        <v>0</v>
      </c>
      <c r="F111" s="1889">
        <v>2</v>
      </c>
      <c r="G111" s="1836" t="s">
        <v>282</v>
      </c>
      <c r="H111" s="1836">
        <v>2</v>
      </c>
      <c r="I111" s="1837"/>
      <c r="J111" s="1838" t="s">
        <v>4973</v>
      </c>
      <c r="K111" s="101"/>
      <c r="L111" s="101"/>
      <c r="M111" s="101"/>
      <c r="N111" s="101"/>
      <c r="O111" s="101"/>
      <c r="P111" s="101"/>
      <c r="Q111" s="101"/>
      <c r="R111" s="101"/>
    </row>
    <row r="112" spans="2:18" s="208" customFormat="1" ht="18.75" outlineLevel="1" x14ac:dyDescent="0.35">
      <c r="B112" s="1403" t="s">
        <v>2258</v>
      </c>
      <c r="C112" s="1404" t="s">
        <v>2506</v>
      </c>
      <c r="D112" s="483">
        <v>0.5</v>
      </c>
      <c r="E112" s="484">
        <v>0</v>
      </c>
      <c r="F112" s="484" t="s">
        <v>1253</v>
      </c>
      <c r="G112" s="484" t="s">
        <v>849</v>
      </c>
      <c r="H112" s="484">
        <v>2</v>
      </c>
      <c r="I112" s="1624"/>
      <c r="J112" s="1688"/>
      <c r="K112" s="101"/>
      <c r="L112" s="101"/>
      <c r="M112" s="101"/>
      <c r="N112" s="101"/>
      <c r="O112" s="101"/>
    </row>
    <row r="113" spans="1:18" s="208" customFormat="1" ht="18.75" outlineLevel="1" x14ac:dyDescent="0.35">
      <c r="B113" s="1403" t="s">
        <v>2259</v>
      </c>
      <c r="C113" s="1404" t="s">
        <v>2507</v>
      </c>
      <c r="D113" s="483">
        <v>0.5</v>
      </c>
      <c r="E113" s="484">
        <v>0</v>
      </c>
      <c r="F113" s="484" t="s">
        <v>1253</v>
      </c>
      <c r="G113" s="484" t="s">
        <v>849</v>
      </c>
      <c r="H113" s="484">
        <v>2</v>
      </c>
      <c r="I113" s="1689" t="s">
        <v>5701</v>
      </c>
      <c r="J113" s="1688"/>
      <c r="K113" s="101"/>
      <c r="L113" s="101"/>
      <c r="M113" s="101"/>
      <c r="N113" s="101"/>
      <c r="O113" s="101"/>
    </row>
    <row r="114" spans="1:18" s="208" customFormat="1" ht="18" outlineLevel="1" x14ac:dyDescent="0.35">
      <c r="B114" s="1403" t="s">
        <v>2260</v>
      </c>
      <c r="C114" s="1404" t="s">
        <v>2508</v>
      </c>
      <c r="D114" s="483">
        <v>0.03</v>
      </c>
      <c r="E114" s="484">
        <v>0</v>
      </c>
      <c r="F114" s="484" t="s">
        <v>1253</v>
      </c>
      <c r="G114" s="484" t="s">
        <v>850</v>
      </c>
      <c r="H114" s="484">
        <v>2</v>
      </c>
      <c r="I114" s="1624"/>
      <c r="J114" s="1688"/>
      <c r="K114" s="101"/>
      <c r="L114" s="101"/>
      <c r="M114" s="101"/>
      <c r="N114" s="101"/>
      <c r="O114" s="101"/>
    </row>
    <row r="115" spans="1:18" s="208" customFormat="1" ht="18.75" outlineLevel="1" x14ac:dyDescent="0.35">
      <c r="B115" s="1403" t="s">
        <v>2502</v>
      </c>
      <c r="C115" s="1404" t="s">
        <v>2509</v>
      </c>
      <c r="D115" s="483">
        <v>9999</v>
      </c>
      <c r="E115" s="484">
        <v>0</v>
      </c>
      <c r="F115" s="484" t="s">
        <v>1253</v>
      </c>
      <c r="G115" s="484" t="s">
        <v>2175</v>
      </c>
      <c r="H115" s="484">
        <v>4</v>
      </c>
      <c r="I115" s="1689"/>
      <c r="J115" s="1688"/>
      <c r="K115" s="101"/>
      <c r="L115" s="101"/>
      <c r="M115" s="101"/>
      <c r="N115" s="101"/>
      <c r="O115" s="101"/>
    </row>
    <row r="116" spans="1:18" s="208" customFormat="1" ht="18" outlineLevel="1" x14ac:dyDescent="0.35">
      <c r="B116" s="1403" t="s">
        <v>5355</v>
      </c>
      <c r="C116" s="1404" t="s">
        <v>5356</v>
      </c>
      <c r="D116" s="483">
        <v>6</v>
      </c>
      <c r="E116" s="484">
        <v>0</v>
      </c>
      <c r="F116" s="484" t="s">
        <v>1253</v>
      </c>
      <c r="G116" s="484" t="s">
        <v>377</v>
      </c>
      <c r="H116" s="484">
        <v>1</v>
      </c>
      <c r="I116" s="1624"/>
      <c r="J116" s="1688"/>
      <c r="K116" s="101"/>
      <c r="L116" s="101"/>
      <c r="M116" s="101"/>
      <c r="N116" s="101"/>
      <c r="O116" s="101"/>
    </row>
    <row r="117" spans="1:18" s="208" customFormat="1" ht="18.75" outlineLevel="1" thickBot="1" x14ac:dyDescent="0.4">
      <c r="B117" s="1406" t="s">
        <v>5357</v>
      </c>
      <c r="C117" s="1407" t="s">
        <v>5358</v>
      </c>
      <c r="D117" s="2540">
        <v>8</v>
      </c>
      <c r="E117" s="485">
        <v>0</v>
      </c>
      <c r="F117" s="485" t="s">
        <v>1253</v>
      </c>
      <c r="G117" s="578" t="s">
        <v>377</v>
      </c>
      <c r="H117" s="485">
        <v>1</v>
      </c>
      <c r="I117" s="1625"/>
      <c r="J117" s="1690"/>
      <c r="K117" s="101"/>
      <c r="L117" s="101"/>
      <c r="M117" s="101"/>
      <c r="N117" s="101"/>
      <c r="O117" s="101"/>
    </row>
    <row r="118" spans="1:18" s="208" customFormat="1" ht="15.75" thickBot="1" x14ac:dyDescent="0.3">
      <c r="B118" s="127"/>
      <c r="C118" s="1347"/>
      <c r="D118" s="104"/>
      <c r="E118" s="105"/>
      <c r="F118" s="105"/>
      <c r="G118" s="105"/>
      <c r="H118" s="105"/>
      <c r="I118" s="103"/>
      <c r="J118" s="119"/>
      <c r="K118" s="101"/>
      <c r="L118" s="101"/>
      <c r="M118" s="101"/>
      <c r="N118" s="101"/>
      <c r="O118" s="101"/>
    </row>
    <row r="119" spans="1:18" s="208" customFormat="1" ht="15.75" thickBot="1" x14ac:dyDescent="0.3">
      <c r="B119" s="502"/>
      <c r="C119" s="577" t="s">
        <v>2932</v>
      </c>
      <c r="D119" s="102" t="s">
        <v>299</v>
      </c>
      <c r="E119" s="102"/>
      <c r="F119" s="102"/>
      <c r="G119" s="102"/>
      <c r="H119" s="102"/>
      <c r="I119" s="115"/>
      <c r="J119" s="119"/>
      <c r="K119" s="101"/>
      <c r="L119" s="101"/>
      <c r="M119" s="101"/>
      <c r="N119" s="101"/>
      <c r="O119" s="101"/>
    </row>
    <row r="120" spans="1:18" s="127" customFormat="1" ht="15.75" thickBot="1" x14ac:dyDescent="0.3">
      <c r="A120" s="208"/>
      <c r="B120" s="1388" t="s">
        <v>0</v>
      </c>
      <c r="C120" s="1389" t="s">
        <v>1</v>
      </c>
      <c r="D120" s="474" t="s">
        <v>839</v>
      </c>
      <c r="E120" s="474" t="s">
        <v>470</v>
      </c>
      <c r="F120" s="474" t="s">
        <v>471</v>
      </c>
      <c r="G120" s="474" t="s">
        <v>2</v>
      </c>
      <c r="H120" s="474" t="s">
        <v>298</v>
      </c>
      <c r="I120" s="1680" t="s">
        <v>116</v>
      </c>
      <c r="J120" s="1691" t="s">
        <v>117</v>
      </c>
      <c r="K120" s="101"/>
      <c r="L120" s="101"/>
      <c r="M120" s="101"/>
      <c r="N120" s="101"/>
      <c r="O120" s="101"/>
    </row>
    <row r="121" spans="1:18" s="208" customFormat="1" ht="18" outlineLevel="1" x14ac:dyDescent="0.35">
      <c r="B121" s="1408" t="s">
        <v>2261</v>
      </c>
      <c r="C121" s="1409" t="s">
        <v>2511</v>
      </c>
      <c r="D121" s="486">
        <v>0.1</v>
      </c>
      <c r="E121" s="486">
        <v>0</v>
      </c>
      <c r="F121" s="486" t="s">
        <v>1253</v>
      </c>
      <c r="G121" s="486" t="s">
        <v>847</v>
      </c>
      <c r="H121" s="486">
        <v>3</v>
      </c>
      <c r="I121" s="1626"/>
      <c r="J121" s="1692"/>
      <c r="K121" s="101"/>
      <c r="L121" s="101"/>
      <c r="M121" s="101"/>
      <c r="N121" s="101"/>
      <c r="O121" s="101"/>
    </row>
    <row r="122" spans="1:18" s="208" customFormat="1" ht="18" outlineLevel="1" x14ac:dyDescent="0.35">
      <c r="B122" s="1410" t="s">
        <v>2262</v>
      </c>
      <c r="C122" s="1411" t="s">
        <v>2512</v>
      </c>
      <c r="D122" s="488">
        <v>1.9E-2</v>
      </c>
      <c r="E122" s="488">
        <v>0</v>
      </c>
      <c r="F122" s="488" t="s">
        <v>1253</v>
      </c>
      <c r="G122" s="488" t="s">
        <v>847</v>
      </c>
      <c r="H122" s="488">
        <v>3</v>
      </c>
      <c r="I122" s="487"/>
      <c r="J122" s="1693"/>
      <c r="K122" s="101"/>
      <c r="L122" s="101"/>
      <c r="M122" s="101"/>
      <c r="N122" s="101"/>
      <c r="O122" s="101"/>
    </row>
    <row r="123" spans="1:18" s="208" customFormat="1" ht="18" outlineLevel="1" x14ac:dyDescent="0.35">
      <c r="B123" s="1410" t="s">
        <v>2263</v>
      </c>
      <c r="C123" s="1411" t="s">
        <v>2513</v>
      </c>
      <c r="D123" s="488">
        <v>2</v>
      </c>
      <c r="E123" s="488">
        <v>0</v>
      </c>
      <c r="F123" s="488" t="s">
        <v>1253</v>
      </c>
      <c r="G123" s="488" t="s">
        <v>850</v>
      </c>
      <c r="H123" s="488">
        <v>1</v>
      </c>
      <c r="I123" s="487"/>
      <c r="J123" s="1693"/>
      <c r="K123" s="101"/>
      <c r="L123" s="101"/>
      <c r="M123" s="101"/>
      <c r="N123" s="101"/>
      <c r="O123" s="101"/>
    </row>
    <row r="124" spans="1:18" s="208" customFormat="1" ht="18" outlineLevel="1" x14ac:dyDescent="0.35">
      <c r="B124" s="1410" t="s">
        <v>2264</v>
      </c>
      <c r="C124" s="1411" t="s">
        <v>2514</v>
      </c>
      <c r="D124" s="488">
        <v>1</v>
      </c>
      <c r="E124" s="488">
        <v>0</v>
      </c>
      <c r="F124" s="488" t="s">
        <v>1253</v>
      </c>
      <c r="G124" s="488" t="s">
        <v>850</v>
      </c>
      <c r="H124" s="488">
        <v>2</v>
      </c>
      <c r="I124" s="487"/>
      <c r="J124" s="1693"/>
      <c r="K124" s="101"/>
      <c r="L124" s="101"/>
      <c r="M124" s="101"/>
      <c r="N124" s="101"/>
      <c r="O124" s="101"/>
    </row>
    <row r="125" spans="1:18" s="208" customFormat="1" ht="18.75" outlineLevel="1" x14ac:dyDescent="0.25">
      <c r="B125" s="1412" t="s">
        <v>2265</v>
      </c>
      <c r="C125" s="1411" t="s">
        <v>2515</v>
      </c>
      <c r="D125" s="1891">
        <v>2.0000000000000001E-4</v>
      </c>
      <c r="E125" s="1891">
        <v>0</v>
      </c>
      <c r="F125" s="1891" t="s">
        <v>1253</v>
      </c>
      <c r="G125" s="1891" t="s">
        <v>1945</v>
      </c>
      <c r="H125" s="488">
        <v>6</v>
      </c>
      <c r="I125" s="487"/>
      <c r="J125" s="1693"/>
      <c r="K125" s="101"/>
      <c r="L125" s="101"/>
      <c r="M125" s="101"/>
      <c r="N125" s="101"/>
      <c r="O125" s="101"/>
    </row>
    <row r="126" spans="1:18" s="208" customFormat="1" ht="18" outlineLevel="1" x14ac:dyDescent="0.35">
      <c r="B126" s="1843" t="s">
        <v>4989</v>
      </c>
      <c r="C126" s="1842" t="s">
        <v>4990</v>
      </c>
      <c r="D126" s="1905">
        <v>2</v>
      </c>
      <c r="E126" s="1891">
        <v>0</v>
      </c>
      <c r="F126" s="1891">
        <v>2</v>
      </c>
      <c r="G126" s="1841" t="s">
        <v>282</v>
      </c>
      <c r="H126" s="1841">
        <v>2</v>
      </c>
      <c r="I126" s="1842"/>
      <c r="J126" s="1844" t="s">
        <v>4973</v>
      </c>
      <c r="K126" s="101"/>
      <c r="L126" s="101"/>
      <c r="M126" s="101"/>
      <c r="N126" s="101"/>
      <c r="O126" s="101"/>
      <c r="P126" s="101"/>
      <c r="Q126" s="101"/>
      <c r="R126" s="101"/>
    </row>
    <row r="127" spans="1:18" s="208" customFormat="1" ht="18.75" outlineLevel="1" x14ac:dyDescent="0.35">
      <c r="B127" s="1410" t="s">
        <v>4037</v>
      </c>
      <c r="C127" s="1411" t="s">
        <v>4038</v>
      </c>
      <c r="D127" s="488">
        <v>0.4</v>
      </c>
      <c r="E127" s="488">
        <v>0</v>
      </c>
      <c r="F127" s="488" t="s">
        <v>1253</v>
      </c>
      <c r="G127" s="488" t="s">
        <v>849</v>
      </c>
      <c r="H127" s="488">
        <v>2</v>
      </c>
      <c r="I127" s="487"/>
      <c r="J127" s="1693"/>
      <c r="K127" s="101"/>
      <c r="L127" s="101"/>
      <c r="M127" s="101"/>
      <c r="N127" s="101"/>
      <c r="O127" s="101"/>
    </row>
    <row r="128" spans="1:18" s="208" customFormat="1" ht="18" outlineLevel="1" x14ac:dyDescent="0.35">
      <c r="B128" s="1410" t="s">
        <v>2266</v>
      </c>
      <c r="C128" s="1411" t="s">
        <v>2516</v>
      </c>
      <c r="D128" s="488">
        <v>0.1</v>
      </c>
      <c r="E128" s="488">
        <v>0</v>
      </c>
      <c r="F128" s="488" t="s">
        <v>1253</v>
      </c>
      <c r="G128" s="488" t="s">
        <v>850</v>
      </c>
      <c r="H128" s="488">
        <v>2</v>
      </c>
      <c r="I128" s="487"/>
      <c r="J128" s="1693"/>
      <c r="K128" s="101"/>
      <c r="L128" s="101"/>
      <c r="M128" s="101"/>
      <c r="N128" s="101"/>
      <c r="O128" s="101"/>
    </row>
    <row r="129" spans="1:15" s="208" customFormat="1" ht="19.5" outlineLevel="1" thickBot="1" x14ac:dyDescent="0.4">
      <c r="B129" s="1413" t="s">
        <v>2510</v>
      </c>
      <c r="C129" s="1414" t="s">
        <v>2517</v>
      </c>
      <c r="D129" s="490">
        <v>1</v>
      </c>
      <c r="E129" s="490">
        <v>0</v>
      </c>
      <c r="F129" s="490" t="s">
        <v>1253</v>
      </c>
      <c r="G129" s="580" t="s">
        <v>2934</v>
      </c>
      <c r="H129" s="490">
        <v>1</v>
      </c>
      <c r="I129" s="489"/>
      <c r="J129" s="1694"/>
      <c r="K129" s="101"/>
      <c r="L129" s="101"/>
      <c r="M129" s="101"/>
      <c r="N129" s="101"/>
      <c r="O129" s="101"/>
    </row>
    <row r="130" spans="1:15" s="101" customFormat="1" ht="15.75" thickBot="1" x14ac:dyDescent="0.3">
      <c r="A130" s="208"/>
      <c r="B130" s="502"/>
      <c r="C130" s="1347"/>
      <c r="D130" s="106"/>
      <c r="E130" s="105"/>
      <c r="F130" s="105"/>
      <c r="G130" s="105"/>
      <c r="H130" s="105"/>
      <c r="I130" s="103"/>
      <c r="J130" s="119"/>
    </row>
    <row r="131" spans="1:15" s="101" customFormat="1" ht="15.75" thickBot="1" x14ac:dyDescent="0.3">
      <c r="A131" s="208"/>
      <c r="B131" s="502"/>
      <c r="C131" s="469" t="s">
        <v>2169</v>
      </c>
      <c r="D131" s="102" t="s">
        <v>299</v>
      </c>
      <c r="E131" s="102"/>
      <c r="F131" s="102"/>
      <c r="G131" s="102"/>
      <c r="H131" s="102"/>
      <c r="I131" s="115"/>
      <c r="J131" s="119"/>
    </row>
    <row r="132" spans="1:15" s="101" customFormat="1" ht="15.75" thickBot="1" x14ac:dyDescent="0.3">
      <c r="A132" s="208"/>
      <c r="B132" s="1348" t="s">
        <v>0</v>
      </c>
      <c r="C132" s="1349" t="s">
        <v>1</v>
      </c>
      <c r="D132" s="304" t="s">
        <v>839</v>
      </c>
      <c r="E132" s="304" t="s">
        <v>470</v>
      </c>
      <c r="F132" s="304" t="s">
        <v>471</v>
      </c>
      <c r="G132" s="304" t="s">
        <v>2</v>
      </c>
      <c r="H132" s="304" t="s">
        <v>298</v>
      </c>
      <c r="I132" s="302" t="s">
        <v>116</v>
      </c>
      <c r="J132" s="1665" t="s">
        <v>117</v>
      </c>
    </row>
    <row r="133" spans="1:15" s="101" customFormat="1" ht="18" outlineLevel="1" x14ac:dyDescent="0.25">
      <c r="A133" s="208"/>
      <c r="B133" s="1415" t="s">
        <v>1190</v>
      </c>
      <c r="C133" s="1416" t="s">
        <v>304</v>
      </c>
      <c r="D133" s="213">
        <v>0.3</v>
      </c>
      <c r="E133" s="213">
        <v>0</v>
      </c>
      <c r="F133" s="213" t="s">
        <v>1253</v>
      </c>
      <c r="G133" s="213" t="s">
        <v>443</v>
      </c>
      <c r="H133" s="213">
        <v>1</v>
      </c>
      <c r="I133" s="1627"/>
      <c r="J133" s="1695"/>
    </row>
    <row r="134" spans="1:15" s="101" customFormat="1" ht="18" outlineLevel="1" x14ac:dyDescent="0.25">
      <c r="A134" s="208"/>
      <c r="B134" s="1417" t="s">
        <v>1191</v>
      </c>
      <c r="C134" s="1418" t="s">
        <v>2519</v>
      </c>
      <c r="D134" s="191">
        <v>0.03</v>
      </c>
      <c r="E134" s="191">
        <v>0</v>
      </c>
      <c r="F134" s="191" t="s">
        <v>1253</v>
      </c>
      <c r="G134" s="191" t="s">
        <v>443</v>
      </c>
      <c r="H134" s="191">
        <v>1</v>
      </c>
      <c r="I134" s="190"/>
      <c r="J134" s="206"/>
    </row>
    <row r="135" spans="1:15" s="101" customFormat="1" ht="18" outlineLevel="1" x14ac:dyDescent="0.25">
      <c r="A135" s="208"/>
      <c r="B135" s="1417" t="s">
        <v>1927</v>
      </c>
      <c r="C135" s="1418" t="s">
        <v>2520</v>
      </c>
      <c r="D135" s="191">
        <v>400</v>
      </c>
      <c r="E135" s="191">
        <v>0</v>
      </c>
      <c r="F135" s="191" t="s">
        <v>1253</v>
      </c>
      <c r="G135" s="191" t="s">
        <v>1180</v>
      </c>
      <c r="H135" s="191">
        <v>0</v>
      </c>
      <c r="I135" s="190"/>
      <c r="J135" s="206"/>
    </row>
    <row r="136" spans="1:15" s="101" customFormat="1" ht="18" outlineLevel="1" x14ac:dyDescent="0.25">
      <c r="A136" s="208"/>
      <c r="B136" s="1419" t="s">
        <v>2518</v>
      </c>
      <c r="C136" s="1418" t="s">
        <v>2521</v>
      </c>
      <c r="D136" s="962">
        <v>99999</v>
      </c>
      <c r="E136" s="191">
        <v>0</v>
      </c>
      <c r="F136" s="191" t="s">
        <v>1253</v>
      </c>
      <c r="G136" s="191" t="s">
        <v>1180</v>
      </c>
      <c r="H136" s="191">
        <v>0</v>
      </c>
      <c r="I136" s="190"/>
      <c r="J136" s="206"/>
    </row>
    <row r="137" spans="1:15" s="101" customFormat="1" ht="18" outlineLevel="1" x14ac:dyDescent="0.25">
      <c r="B137" s="2145" t="s">
        <v>5055</v>
      </c>
      <c r="C137" s="2143" t="s">
        <v>5056</v>
      </c>
      <c r="D137" s="2141">
        <v>0.999</v>
      </c>
      <c r="E137" s="2142">
        <v>0</v>
      </c>
      <c r="F137" s="2142" t="s">
        <v>1253</v>
      </c>
      <c r="G137" s="2142" t="s">
        <v>2175</v>
      </c>
      <c r="H137" s="2142">
        <v>3</v>
      </c>
      <c r="I137" s="2142"/>
      <c r="J137" s="2144"/>
    </row>
    <row r="138" spans="1:15" s="101" customFormat="1" ht="18" outlineLevel="1" x14ac:dyDescent="0.25">
      <c r="B138" s="2145" t="s">
        <v>5057</v>
      </c>
      <c r="C138" s="2143" t="s">
        <v>5058</v>
      </c>
      <c r="D138" s="2142">
        <v>0.1</v>
      </c>
      <c r="E138" s="2142">
        <v>0</v>
      </c>
      <c r="F138" s="2142">
        <v>2</v>
      </c>
      <c r="G138" s="2142" t="s">
        <v>282</v>
      </c>
      <c r="H138" s="2142">
        <v>2</v>
      </c>
      <c r="I138" s="2142"/>
      <c r="J138" s="2144" t="s">
        <v>4973</v>
      </c>
    </row>
    <row r="139" spans="1:15" s="101" customFormat="1" ht="18" outlineLevel="1" x14ac:dyDescent="0.25">
      <c r="A139" s="208"/>
      <c r="B139" s="1417" t="s">
        <v>4040</v>
      </c>
      <c r="C139" s="1418" t="s">
        <v>4039</v>
      </c>
      <c r="D139" s="191">
        <v>0.05</v>
      </c>
      <c r="E139" s="191">
        <v>0</v>
      </c>
      <c r="F139" s="191" t="s">
        <v>1253</v>
      </c>
      <c r="G139" s="191" t="s">
        <v>1179</v>
      </c>
      <c r="H139" s="191">
        <v>2</v>
      </c>
      <c r="I139" s="190"/>
      <c r="J139" s="206"/>
    </row>
    <row r="140" spans="1:15" s="101" customFormat="1" ht="18" outlineLevel="1" x14ac:dyDescent="0.25">
      <c r="A140" s="208"/>
      <c r="B140" s="1417" t="s">
        <v>2376</v>
      </c>
      <c r="C140" s="1418" t="s">
        <v>2522</v>
      </c>
      <c r="D140" s="191">
        <v>0.05</v>
      </c>
      <c r="E140" s="191">
        <v>0</v>
      </c>
      <c r="F140" s="191" t="s">
        <v>1253</v>
      </c>
      <c r="G140" s="191" t="s">
        <v>884</v>
      </c>
      <c r="H140" s="191">
        <v>2</v>
      </c>
      <c r="I140" s="190"/>
      <c r="J140" s="206"/>
    </row>
    <row r="141" spans="1:15" s="101" customFormat="1" ht="18" outlineLevel="1" x14ac:dyDescent="0.25">
      <c r="A141" s="208"/>
      <c r="B141" s="1417" t="s">
        <v>1972</v>
      </c>
      <c r="C141" s="1418" t="s">
        <v>2523</v>
      </c>
      <c r="D141" s="191">
        <v>4.5</v>
      </c>
      <c r="E141" s="191">
        <v>0</v>
      </c>
      <c r="F141" s="191" t="s">
        <v>1253</v>
      </c>
      <c r="G141" s="191" t="s">
        <v>377</v>
      </c>
      <c r="H141" s="191">
        <v>1</v>
      </c>
      <c r="I141" s="190"/>
      <c r="J141" s="206"/>
    </row>
    <row r="142" spans="1:15" s="101" customFormat="1" ht="18.75" outlineLevel="1" thickBot="1" x14ac:dyDescent="0.3">
      <c r="A142" s="208"/>
      <c r="B142" s="1420" t="s">
        <v>1973</v>
      </c>
      <c r="C142" s="1421" t="s">
        <v>2524</v>
      </c>
      <c r="D142" s="193">
        <v>9.5</v>
      </c>
      <c r="E142" s="193">
        <v>0</v>
      </c>
      <c r="F142" s="193" t="s">
        <v>1253</v>
      </c>
      <c r="G142" s="193" t="s">
        <v>377</v>
      </c>
      <c r="H142" s="193">
        <v>1</v>
      </c>
      <c r="I142" s="192"/>
      <c r="J142" s="207"/>
    </row>
    <row r="143" spans="1:15" s="101" customFormat="1" ht="15.75" thickBot="1" x14ac:dyDescent="0.3">
      <c r="A143" s="208"/>
      <c r="B143" s="502"/>
      <c r="C143" s="1347"/>
      <c r="D143" s="106"/>
      <c r="E143" s="105"/>
      <c r="F143" s="105"/>
      <c r="G143" s="105"/>
      <c r="H143" s="105"/>
      <c r="I143" s="103"/>
      <c r="J143" s="119"/>
    </row>
    <row r="144" spans="1:15" s="101" customFormat="1" ht="15.75" thickBot="1" x14ac:dyDescent="0.3">
      <c r="B144" s="502"/>
      <c r="C144" s="469" t="s">
        <v>2170</v>
      </c>
      <c r="D144" s="102" t="s">
        <v>299</v>
      </c>
      <c r="E144" s="102"/>
      <c r="F144" s="102"/>
      <c r="G144" s="102"/>
      <c r="H144" s="102"/>
      <c r="I144" s="115"/>
      <c r="J144" s="119"/>
    </row>
    <row r="145" spans="2:10" s="101" customFormat="1" ht="15.75" thickBot="1" x14ac:dyDescent="0.3">
      <c r="B145" s="1422" t="s">
        <v>0</v>
      </c>
      <c r="C145" s="1423" t="s">
        <v>1</v>
      </c>
      <c r="D145" s="125" t="s">
        <v>839</v>
      </c>
      <c r="E145" s="125" t="s">
        <v>470</v>
      </c>
      <c r="F145" s="125" t="s">
        <v>471</v>
      </c>
      <c r="G145" s="125" t="s">
        <v>2</v>
      </c>
      <c r="H145" s="125" t="s">
        <v>298</v>
      </c>
      <c r="I145" s="1696" t="s">
        <v>116</v>
      </c>
      <c r="J145" s="1697" t="s">
        <v>117</v>
      </c>
    </row>
    <row r="146" spans="2:10" s="101" customFormat="1" ht="18" outlineLevel="1" x14ac:dyDescent="0.25">
      <c r="B146" s="1424" t="s">
        <v>851</v>
      </c>
      <c r="C146" s="1425" t="s">
        <v>1042</v>
      </c>
      <c r="D146" s="314">
        <v>1.3</v>
      </c>
      <c r="E146" s="315">
        <v>0</v>
      </c>
      <c r="F146" s="315" t="s">
        <v>1253</v>
      </c>
      <c r="G146" s="315" t="s">
        <v>847</v>
      </c>
      <c r="H146" s="315">
        <v>1</v>
      </c>
      <c r="I146" s="1628"/>
      <c r="J146" s="1698"/>
    </row>
    <row r="147" spans="2:10" s="101" customFormat="1" ht="18" outlineLevel="1" x14ac:dyDescent="0.25">
      <c r="B147" s="1426" t="s">
        <v>852</v>
      </c>
      <c r="C147" s="1427" t="s">
        <v>2525</v>
      </c>
      <c r="D147" s="316">
        <v>0.13</v>
      </c>
      <c r="E147" s="316">
        <v>0</v>
      </c>
      <c r="F147" s="316" t="s">
        <v>1253</v>
      </c>
      <c r="G147" s="316" t="s">
        <v>847</v>
      </c>
      <c r="H147" s="316">
        <v>1</v>
      </c>
      <c r="I147" s="1629"/>
      <c r="J147" s="1699"/>
    </row>
    <row r="148" spans="2:10" s="101" customFormat="1" ht="18" outlineLevel="1" x14ac:dyDescent="0.25">
      <c r="B148" s="1426" t="s">
        <v>1928</v>
      </c>
      <c r="C148" s="1427" t="s">
        <v>2526</v>
      </c>
      <c r="D148" s="316">
        <v>0.1</v>
      </c>
      <c r="E148" s="316">
        <v>0</v>
      </c>
      <c r="F148" s="316" t="s">
        <v>1253</v>
      </c>
      <c r="G148" s="316" t="s">
        <v>848</v>
      </c>
      <c r="H148" s="316">
        <v>1</v>
      </c>
      <c r="I148" s="1629"/>
      <c r="J148" s="1699"/>
    </row>
    <row r="149" spans="2:10" s="101" customFormat="1" ht="18" outlineLevel="1" x14ac:dyDescent="0.25">
      <c r="B149" s="1426" t="s">
        <v>4041</v>
      </c>
      <c r="C149" s="1427" t="s">
        <v>4042</v>
      </c>
      <c r="D149" s="316">
        <v>0.05</v>
      </c>
      <c r="E149" s="316">
        <v>0</v>
      </c>
      <c r="F149" s="316" t="s">
        <v>1253</v>
      </c>
      <c r="G149" s="316" t="s">
        <v>849</v>
      </c>
      <c r="H149" s="316">
        <v>2</v>
      </c>
      <c r="I149" s="1629"/>
      <c r="J149" s="1699"/>
    </row>
    <row r="150" spans="2:10" s="101" customFormat="1" ht="18" outlineLevel="1" x14ac:dyDescent="0.25">
      <c r="B150" s="1426" t="s">
        <v>2377</v>
      </c>
      <c r="C150" s="1427" t="s">
        <v>2527</v>
      </c>
      <c r="D150" s="316">
        <v>0.05</v>
      </c>
      <c r="E150" s="316">
        <v>0</v>
      </c>
      <c r="F150" s="316" t="s">
        <v>1253</v>
      </c>
      <c r="G150" s="316" t="s">
        <v>850</v>
      </c>
      <c r="H150" s="316">
        <v>2</v>
      </c>
      <c r="I150" s="1629"/>
      <c r="J150" s="1699"/>
    </row>
    <row r="151" spans="2:10" s="101" customFormat="1" ht="18" outlineLevel="1" x14ac:dyDescent="0.25">
      <c r="B151" s="1426" t="s">
        <v>1974</v>
      </c>
      <c r="C151" s="1427" t="s">
        <v>2528</v>
      </c>
      <c r="D151" s="316">
        <v>4.5</v>
      </c>
      <c r="E151" s="316">
        <v>0</v>
      </c>
      <c r="F151" s="316" t="s">
        <v>1253</v>
      </c>
      <c r="G151" s="316" t="s">
        <v>377</v>
      </c>
      <c r="H151" s="316">
        <v>1</v>
      </c>
      <c r="I151" s="1629"/>
      <c r="J151" s="1699"/>
    </row>
    <row r="152" spans="2:10" s="101" customFormat="1" ht="18.75" outlineLevel="1" thickBot="1" x14ac:dyDescent="0.3">
      <c r="B152" s="1428" t="s">
        <v>1975</v>
      </c>
      <c r="C152" s="1429" t="s">
        <v>2529</v>
      </c>
      <c r="D152" s="318">
        <v>9.5</v>
      </c>
      <c r="E152" s="318">
        <v>0</v>
      </c>
      <c r="F152" s="318" t="s">
        <v>1253</v>
      </c>
      <c r="G152" s="318" t="s">
        <v>377</v>
      </c>
      <c r="H152" s="318">
        <v>1</v>
      </c>
      <c r="I152" s="317"/>
      <c r="J152" s="1700"/>
    </row>
    <row r="153" spans="2:10" s="101" customFormat="1" ht="15.75" thickBot="1" x14ac:dyDescent="0.3">
      <c r="B153" s="502"/>
      <c r="C153" s="502"/>
      <c r="D153" s="102"/>
      <c r="E153" s="102"/>
      <c r="F153" s="102"/>
      <c r="G153" s="102"/>
      <c r="H153" s="102"/>
      <c r="I153" s="115"/>
      <c r="J153" s="119"/>
    </row>
    <row r="154" spans="2:10" s="101" customFormat="1" ht="15.75" thickBot="1" x14ac:dyDescent="0.3">
      <c r="B154" s="502"/>
      <c r="C154" s="1430" t="s">
        <v>3087</v>
      </c>
      <c r="D154" s="102" t="s">
        <v>299</v>
      </c>
      <c r="E154" s="102"/>
      <c r="F154" s="102"/>
      <c r="G154" s="102"/>
      <c r="H154" s="102"/>
      <c r="I154" s="115"/>
      <c r="J154" s="119"/>
    </row>
    <row r="155" spans="2:10" ht="15.75" thickBot="1" x14ac:dyDescent="0.3">
      <c r="B155" s="1612" t="s">
        <v>0</v>
      </c>
      <c r="C155" s="1613" t="s">
        <v>1</v>
      </c>
      <c r="D155" s="1061" t="s">
        <v>839</v>
      </c>
      <c r="E155" s="1061" t="s">
        <v>470</v>
      </c>
      <c r="F155" s="1061" t="s">
        <v>471</v>
      </c>
      <c r="G155" s="1061" t="s">
        <v>2</v>
      </c>
      <c r="H155" s="1061" t="s">
        <v>298</v>
      </c>
      <c r="I155" s="1060" t="s">
        <v>116</v>
      </c>
      <c r="J155" s="1777" t="s">
        <v>117</v>
      </c>
    </row>
    <row r="156" spans="2:10" s="101" customFormat="1" ht="18" outlineLevel="1" x14ac:dyDescent="0.25">
      <c r="B156" s="1431" t="s">
        <v>3088</v>
      </c>
      <c r="C156" s="1432" t="s">
        <v>3089</v>
      </c>
      <c r="D156" s="657">
        <v>1</v>
      </c>
      <c r="E156" s="657">
        <v>0</v>
      </c>
      <c r="F156" s="657" t="s">
        <v>1253</v>
      </c>
      <c r="G156" s="657" t="s">
        <v>443</v>
      </c>
      <c r="H156" s="657">
        <v>2</v>
      </c>
      <c r="I156" s="638"/>
      <c r="J156" s="688"/>
    </row>
    <row r="157" spans="2:10" s="101" customFormat="1" ht="18.75" outlineLevel="1" thickBot="1" x14ac:dyDescent="0.3">
      <c r="B157" s="1433" t="s">
        <v>3090</v>
      </c>
      <c r="C157" s="1434" t="s">
        <v>3091</v>
      </c>
      <c r="D157" s="635">
        <v>5</v>
      </c>
      <c r="E157" s="635">
        <v>0</v>
      </c>
      <c r="F157" s="635" t="s">
        <v>1253</v>
      </c>
      <c r="G157" s="635" t="s">
        <v>443</v>
      </c>
      <c r="H157" s="635">
        <v>2</v>
      </c>
      <c r="I157" s="629"/>
      <c r="J157" s="626"/>
    </row>
    <row r="158" spans="2:10" s="101" customFormat="1" ht="15.75" thickBot="1" x14ac:dyDescent="0.3">
      <c r="B158" s="502"/>
      <c r="C158" s="502"/>
      <c r="D158" s="102"/>
      <c r="E158" s="102"/>
      <c r="F158" s="102"/>
      <c r="G158" s="102"/>
      <c r="H158" s="102"/>
      <c r="I158" s="115"/>
      <c r="J158" s="119"/>
    </row>
    <row r="159" spans="2:10" s="101" customFormat="1" ht="15.75" thickBot="1" x14ac:dyDescent="0.3">
      <c r="B159" s="502"/>
      <c r="C159" s="1430" t="s">
        <v>3092</v>
      </c>
      <c r="D159" s="102" t="s">
        <v>299</v>
      </c>
      <c r="E159" s="102"/>
      <c r="F159" s="102"/>
      <c r="G159" s="102"/>
      <c r="H159" s="102"/>
      <c r="I159" s="115"/>
      <c r="J159" s="119"/>
    </row>
    <row r="160" spans="2:10" ht="15.75" thickBot="1" x14ac:dyDescent="0.3">
      <c r="B160" s="1612" t="s">
        <v>0</v>
      </c>
      <c r="C160" s="1613" t="s">
        <v>1</v>
      </c>
      <c r="D160" s="1061" t="s">
        <v>839</v>
      </c>
      <c r="E160" s="1061" t="s">
        <v>470</v>
      </c>
      <c r="F160" s="1061" t="s">
        <v>471</v>
      </c>
      <c r="G160" s="1061" t="s">
        <v>2</v>
      </c>
      <c r="H160" s="1061" t="s">
        <v>298</v>
      </c>
      <c r="I160" s="1060" t="s">
        <v>116</v>
      </c>
      <c r="J160" s="1777" t="s">
        <v>117</v>
      </c>
    </row>
    <row r="161" spans="2:10" s="101" customFormat="1" ht="18" outlineLevel="1" x14ac:dyDescent="0.25">
      <c r="B161" s="1431" t="s">
        <v>3093</v>
      </c>
      <c r="C161" s="1432" t="s">
        <v>3094</v>
      </c>
      <c r="D161" s="657">
        <v>0.6</v>
      </c>
      <c r="E161" s="658">
        <v>0</v>
      </c>
      <c r="F161" s="658" t="s">
        <v>1253</v>
      </c>
      <c r="G161" s="658" t="s">
        <v>443</v>
      </c>
      <c r="H161" s="658">
        <v>1</v>
      </c>
      <c r="I161" s="638"/>
      <c r="J161" s="688"/>
    </row>
    <row r="162" spans="2:10" s="101" customFormat="1" ht="18" outlineLevel="1" x14ac:dyDescent="0.25">
      <c r="B162" s="1435" t="s">
        <v>3095</v>
      </c>
      <c r="C162" s="1436" t="s">
        <v>3096</v>
      </c>
      <c r="D162" s="703">
        <v>0.06</v>
      </c>
      <c r="E162" s="633">
        <v>0</v>
      </c>
      <c r="F162" s="633" t="s">
        <v>1253</v>
      </c>
      <c r="G162" s="633" t="s">
        <v>443</v>
      </c>
      <c r="H162" s="633">
        <v>2</v>
      </c>
      <c r="I162" s="634"/>
      <c r="J162" s="1701"/>
    </row>
    <row r="163" spans="2:10" s="101" customFormat="1" ht="18" outlineLevel="1" x14ac:dyDescent="0.25">
      <c r="B163" s="1435" t="s">
        <v>3097</v>
      </c>
      <c r="C163" s="1436" t="s">
        <v>3098</v>
      </c>
      <c r="D163" s="633">
        <v>100</v>
      </c>
      <c r="E163" s="633">
        <v>0</v>
      </c>
      <c r="F163" s="633" t="s">
        <v>1253</v>
      </c>
      <c r="G163" s="633" t="s">
        <v>1180</v>
      </c>
      <c r="H163" s="633">
        <v>0</v>
      </c>
      <c r="I163" s="634"/>
      <c r="J163" s="1701"/>
    </row>
    <row r="164" spans="2:10" s="101" customFormat="1" ht="18" outlineLevel="1" x14ac:dyDescent="0.25">
      <c r="B164" s="1435" t="s">
        <v>3099</v>
      </c>
      <c r="C164" s="1436" t="s">
        <v>3100</v>
      </c>
      <c r="D164" s="703">
        <v>19</v>
      </c>
      <c r="E164" s="633">
        <v>0</v>
      </c>
      <c r="F164" s="633" t="s">
        <v>1253</v>
      </c>
      <c r="G164" s="633" t="s">
        <v>3101</v>
      </c>
      <c r="H164" s="633">
        <v>0</v>
      </c>
      <c r="I164" s="634"/>
      <c r="J164" s="1701"/>
    </row>
    <row r="165" spans="2:10" s="101" customFormat="1" ht="18" outlineLevel="1" x14ac:dyDescent="0.25">
      <c r="B165" s="1435" t="s">
        <v>3102</v>
      </c>
      <c r="C165" s="1436" t="s">
        <v>3103</v>
      </c>
      <c r="D165" s="703">
        <v>2000</v>
      </c>
      <c r="E165" s="633">
        <v>0</v>
      </c>
      <c r="F165" s="633" t="s">
        <v>1253</v>
      </c>
      <c r="G165" s="633" t="s">
        <v>3101</v>
      </c>
      <c r="H165" s="633">
        <v>0</v>
      </c>
      <c r="I165" s="634"/>
      <c r="J165" s="1701"/>
    </row>
    <row r="166" spans="2:10" s="101" customFormat="1" ht="18" outlineLevel="1" x14ac:dyDescent="0.25">
      <c r="B166" s="1435" t="s">
        <v>4043</v>
      </c>
      <c r="C166" s="1436" t="s">
        <v>4044</v>
      </c>
      <c r="D166" s="703">
        <v>0.05</v>
      </c>
      <c r="E166" s="633">
        <v>0</v>
      </c>
      <c r="F166" s="633" t="s">
        <v>1253</v>
      </c>
      <c r="G166" s="633" t="s">
        <v>849</v>
      </c>
      <c r="H166" s="633">
        <v>2</v>
      </c>
      <c r="I166" s="634"/>
      <c r="J166" s="1701"/>
    </row>
    <row r="167" spans="2:10" s="101" customFormat="1" ht="18.75" outlineLevel="1" thickBot="1" x14ac:dyDescent="0.3">
      <c r="B167" s="1437" t="s">
        <v>3104</v>
      </c>
      <c r="C167" s="1438" t="s">
        <v>3105</v>
      </c>
      <c r="D167" s="724">
        <v>0.05</v>
      </c>
      <c r="E167" s="725">
        <v>0</v>
      </c>
      <c r="F167" s="725" t="s">
        <v>1253</v>
      </c>
      <c r="G167" s="725" t="s">
        <v>850</v>
      </c>
      <c r="H167" s="725">
        <v>2</v>
      </c>
      <c r="I167" s="629"/>
      <c r="J167" s="626"/>
    </row>
    <row r="168" spans="2:10" s="101" customFormat="1" ht="15.75" thickBot="1" x14ac:dyDescent="0.3">
      <c r="B168" s="502"/>
      <c r="C168" s="502"/>
      <c r="D168" s="102"/>
      <c r="E168" s="102"/>
      <c r="F168" s="102"/>
      <c r="G168" s="102"/>
      <c r="H168" s="102"/>
      <c r="I168" s="115"/>
      <c r="J168" s="119"/>
    </row>
    <row r="169" spans="2:10" s="101" customFormat="1" ht="15.75" thickBot="1" x14ac:dyDescent="0.3">
      <c r="B169" s="502"/>
      <c r="C169" s="1430" t="s">
        <v>3106</v>
      </c>
      <c r="D169" s="102" t="s">
        <v>299</v>
      </c>
      <c r="E169" s="102"/>
      <c r="F169" s="102"/>
      <c r="G169" s="102"/>
      <c r="H169" s="102"/>
      <c r="I169" s="115"/>
      <c r="J169" s="119"/>
    </row>
    <row r="170" spans="2:10" ht="15.75" thickBot="1" x14ac:dyDescent="0.3">
      <c r="B170" s="1612" t="s">
        <v>0</v>
      </c>
      <c r="C170" s="1613" t="s">
        <v>1</v>
      </c>
      <c r="D170" s="1061" t="s">
        <v>839</v>
      </c>
      <c r="E170" s="1061" t="s">
        <v>470</v>
      </c>
      <c r="F170" s="1061" t="s">
        <v>471</v>
      </c>
      <c r="G170" s="1061" t="s">
        <v>2</v>
      </c>
      <c r="H170" s="1061" t="s">
        <v>298</v>
      </c>
      <c r="I170" s="1060" t="s">
        <v>116</v>
      </c>
      <c r="J170" s="1777" t="s">
        <v>117</v>
      </c>
    </row>
    <row r="171" spans="2:10" s="101" customFormat="1" ht="18" outlineLevel="1" x14ac:dyDescent="0.25">
      <c r="B171" s="1439" t="s">
        <v>3107</v>
      </c>
      <c r="C171" s="1440" t="s">
        <v>3108</v>
      </c>
      <c r="D171" s="707">
        <v>2.8</v>
      </c>
      <c r="E171" s="726">
        <v>0</v>
      </c>
      <c r="F171" s="726" t="s">
        <v>1253</v>
      </c>
      <c r="G171" s="726" t="s">
        <v>443</v>
      </c>
      <c r="H171" s="726">
        <v>1</v>
      </c>
      <c r="I171" s="693"/>
      <c r="J171" s="1702"/>
    </row>
    <row r="172" spans="2:10" s="101" customFormat="1" ht="18" outlineLevel="1" x14ac:dyDescent="0.25">
      <c r="B172" s="1441" t="s">
        <v>3109</v>
      </c>
      <c r="C172" s="1440" t="s">
        <v>3110</v>
      </c>
      <c r="D172" s="653">
        <v>0.28000000000000003</v>
      </c>
      <c r="E172" s="654">
        <v>0</v>
      </c>
      <c r="F172" s="654" t="s">
        <v>1253</v>
      </c>
      <c r="G172" s="654" t="s">
        <v>443</v>
      </c>
      <c r="H172" s="654">
        <v>2</v>
      </c>
      <c r="I172" s="652"/>
      <c r="J172" s="1703"/>
    </row>
    <row r="173" spans="2:10" s="101" customFormat="1" ht="18" outlineLevel="1" x14ac:dyDescent="0.25">
      <c r="B173" s="1441" t="s">
        <v>3111</v>
      </c>
      <c r="C173" s="1440" t="s">
        <v>3112</v>
      </c>
      <c r="D173" s="653">
        <v>6.0000000000000001E-3</v>
      </c>
      <c r="E173" s="654">
        <v>0</v>
      </c>
      <c r="F173" s="654" t="s">
        <v>1253</v>
      </c>
      <c r="G173" s="654" t="s">
        <v>1180</v>
      </c>
      <c r="H173" s="654">
        <v>3</v>
      </c>
      <c r="I173" s="652"/>
      <c r="J173" s="1703"/>
    </row>
    <row r="174" spans="2:10" s="101" customFormat="1" ht="18" outlineLevel="1" x14ac:dyDescent="0.25">
      <c r="B174" s="1441" t="s">
        <v>3113</v>
      </c>
      <c r="C174" s="1440" t="s">
        <v>3114</v>
      </c>
      <c r="D174" s="653">
        <v>19</v>
      </c>
      <c r="E174" s="654">
        <v>0</v>
      </c>
      <c r="F174" s="654" t="s">
        <v>1253</v>
      </c>
      <c r="G174" s="654" t="s">
        <v>3101</v>
      </c>
      <c r="H174" s="654">
        <v>0</v>
      </c>
      <c r="I174" s="652"/>
      <c r="J174" s="1703"/>
    </row>
    <row r="175" spans="2:10" s="101" customFormat="1" ht="18" outlineLevel="1" x14ac:dyDescent="0.25">
      <c r="B175" s="1441" t="s">
        <v>3115</v>
      </c>
      <c r="C175" s="1440" t="s">
        <v>3116</v>
      </c>
      <c r="D175" s="653">
        <v>2000</v>
      </c>
      <c r="E175" s="654">
        <v>0</v>
      </c>
      <c r="F175" s="654" t="s">
        <v>1253</v>
      </c>
      <c r="G175" s="654" t="s">
        <v>3101</v>
      </c>
      <c r="H175" s="654">
        <v>0</v>
      </c>
      <c r="I175" s="652"/>
      <c r="J175" s="1703"/>
    </row>
    <row r="176" spans="2:10" s="101" customFormat="1" ht="18" outlineLevel="1" x14ac:dyDescent="0.25">
      <c r="B176" s="1441" t="s">
        <v>4046</v>
      </c>
      <c r="C176" s="1440" t="s">
        <v>4045</v>
      </c>
      <c r="D176" s="653">
        <v>0.05</v>
      </c>
      <c r="E176" s="654">
        <v>0</v>
      </c>
      <c r="F176" s="654" t="s">
        <v>1253</v>
      </c>
      <c r="G176" s="654" t="s">
        <v>849</v>
      </c>
      <c r="H176" s="654">
        <v>2</v>
      </c>
      <c r="I176" s="652"/>
      <c r="J176" s="1703"/>
    </row>
    <row r="177" spans="2:10" s="101" customFormat="1" ht="18.75" outlineLevel="1" thickBot="1" x14ac:dyDescent="0.3">
      <c r="B177" s="1442" t="s">
        <v>3117</v>
      </c>
      <c r="C177" s="1443" t="s">
        <v>3118</v>
      </c>
      <c r="D177" s="728">
        <v>0.05</v>
      </c>
      <c r="E177" s="729">
        <v>0</v>
      </c>
      <c r="F177" s="729" t="s">
        <v>1253</v>
      </c>
      <c r="G177" s="729" t="s">
        <v>850</v>
      </c>
      <c r="H177" s="729">
        <v>2</v>
      </c>
      <c r="I177" s="617"/>
      <c r="J177" s="1704"/>
    </row>
    <row r="178" spans="2:10" s="101" customFormat="1" ht="15.75" thickBot="1" x14ac:dyDescent="0.3">
      <c r="B178" s="502"/>
      <c r="C178" s="502"/>
      <c r="D178" s="102"/>
      <c r="E178" s="102"/>
      <c r="F178" s="102"/>
      <c r="G178" s="102"/>
      <c r="H178" s="102"/>
      <c r="I178" s="115"/>
      <c r="J178" s="119"/>
    </row>
    <row r="179" spans="2:10" s="101" customFormat="1" ht="15.75" thickBot="1" x14ac:dyDescent="0.3">
      <c r="B179" s="502"/>
      <c r="C179" s="1430" t="s">
        <v>3119</v>
      </c>
      <c r="D179" s="102" t="s">
        <v>299</v>
      </c>
      <c r="E179" s="102"/>
      <c r="F179" s="102"/>
      <c r="G179" s="102"/>
      <c r="H179" s="102"/>
      <c r="I179" s="115"/>
      <c r="J179" s="119"/>
    </row>
    <row r="180" spans="2:10" s="101" customFormat="1" ht="15.75" thickBot="1" x14ac:dyDescent="0.3">
      <c r="B180" s="1444" t="s">
        <v>0</v>
      </c>
      <c r="C180" s="1445" t="s">
        <v>1</v>
      </c>
      <c r="D180" s="644" t="s">
        <v>839</v>
      </c>
      <c r="E180" s="644" t="s">
        <v>470</v>
      </c>
      <c r="F180" s="644" t="s">
        <v>471</v>
      </c>
      <c r="G180" s="644" t="s">
        <v>2</v>
      </c>
      <c r="H180" s="644" t="s">
        <v>298</v>
      </c>
      <c r="I180" s="645" t="s">
        <v>116</v>
      </c>
      <c r="J180" s="1705" t="s">
        <v>117</v>
      </c>
    </row>
    <row r="181" spans="2:10" s="101" customFormat="1" ht="18" outlineLevel="1" x14ac:dyDescent="0.25">
      <c r="B181" s="1446" t="s">
        <v>3120</v>
      </c>
      <c r="C181" s="1447" t="s">
        <v>3121</v>
      </c>
      <c r="D181" s="686">
        <v>4</v>
      </c>
      <c r="E181" s="687">
        <v>0</v>
      </c>
      <c r="F181" s="687" t="s">
        <v>1253</v>
      </c>
      <c r="G181" s="687" t="s">
        <v>443</v>
      </c>
      <c r="H181" s="687">
        <v>1</v>
      </c>
      <c r="I181" s="636"/>
      <c r="J181" s="1706"/>
    </row>
    <row r="182" spans="2:10" s="101" customFormat="1" ht="18" outlineLevel="1" x14ac:dyDescent="0.25">
      <c r="B182" s="1448" t="s">
        <v>3122</v>
      </c>
      <c r="C182" s="1449" t="s">
        <v>3123</v>
      </c>
      <c r="D182" s="660">
        <v>3</v>
      </c>
      <c r="E182" s="661">
        <v>0</v>
      </c>
      <c r="F182" s="661" t="s">
        <v>1253</v>
      </c>
      <c r="G182" s="661" t="s">
        <v>443</v>
      </c>
      <c r="H182" s="661">
        <v>1</v>
      </c>
      <c r="I182" s="659"/>
      <c r="J182" s="1707"/>
    </row>
    <row r="183" spans="2:10" s="101" customFormat="1" ht="18" outlineLevel="1" x14ac:dyDescent="0.25">
      <c r="B183" s="1448" t="s">
        <v>3124</v>
      </c>
      <c r="C183" s="1449" t="s">
        <v>3125</v>
      </c>
      <c r="D183" s="662">
        <v>0.35</v>
      </c>
      <c r="E183" s="661">
        <v>0</v>
      </c>
      <c r="F183" s="661" t="s">
        <v>1253</v>
      </c>
      <c r="G183" s="661" t="s">
        <v>443</v>
      </c>
      <c r="H183" s="661">
        <v>1</v>
      </c>
      <c r="I183" s="659"/>
      <c r="J183" s="1707"/>
    </row>
    <row r="184" spans="2:10" s="101" customFormat="1" ht="18" outlineLevel="1" x14ac:dyDescent="0.25">
      <c r="B184" s="1448" t="s">
        <v>3126</v>
      </c>
      <c r="C184" s="1449" t="s">
        <v>3127</v>
      </c>
      <c r="D184" s="662">
        <v>1</v>
      </c>
      <c r="E184" s="661">
        <v>0</v>
      </c>
      <c r="F184" s="661" t="s">
        <v>1253</v>
      </c>
      <c r="G184" s="661" t="s">
        <v>2173</v>
      </c>
      <c r="H184" s="661">
        <v>1</v>
      </c>
      <c r="I184" s="659"/>
      <c r="J184" s="1707"/>
    </row>
    <row r="185" spans="2:10" s="101" customFormat="1" ht="18" outlineLevel="1" x14ac:dyDescent="0.25">
      <c r="B185" s="1448" t="s">
        <v>3128</v>
      </c>
      <c r="C185" s="1449" t="s">
        <v>3129</v>
      </c>
      <c r="D185" s="662">
        <v>0.1</v>
      </c>
      <c r="E185" s="661">
        <v>0</v>
      </c>
      <c r="F185" s="661" t="s">
        <v>1253</v>
      </c>
      <c r="G185" s="661" t="s">
        <v>884</v>
      </c>
      <c r="H185" s="661">
        <v>2</v>
      </c>
      <c r="I185" s="659"/>
      <c r="J185" s="1707"/>
    </row>
    <row r="186" spans="2:10" s="101" customFormat="1" ht="18" outlineLevel="1" x14ac:dyDescent="0.25">
      <c r="B186" s="1448" t="s">
        <v>3130</v>
      </c>
      <c r="C186" s="1449" t="s">
        <v>3131</v>
      </c>
      <c r="D186" s="662">
        <v>0.1</v>
      </c>
      <c r="E186" s="661">
        <v>0</v>
      </c>
      <c r="F186" s="661" t="s">
        <v>1253</v>
      </c>
      <c r="G186" s="661" t="s">
        <v>884</v>
      </c>
      <c r="H186" s="661">
        <v>2</v>
      </c>
      <c r="I186" s="659"/>
      <c r="J186" s="1707"/>
    </row>
    <row r="187" spans="2:10" s="101" customFormat="1" ht="18" outlineLevel="1" x14ac:dyDescent="0.25">
      <c r="B187" s="1448" t="s">
        <v>3132</v>
      </c>
      <c r="C187" s="1449" t="s">
        <v>3133</v>
      </c>
      <c r="D187" s="662">
        <v>2</v>
      </c>
      <c r="E187" s="661">
        <v>0</v>
      </c>
      <c r="F187" s="661" t="s">
        <v>1253</v>
      </c>
      <c r="G187" s="661" t="s">
        <v>2173</v>
      </c>
      <c r="H187" s="661">
        <v>1</v>
      </c>
      <c r="I187" s="659"/>
      <c r="J187" s="1707"/>
    </row>
    <row r="188" spans="2:10" s="101" customFormat="1" ht="18" outlineLevel="1" x14ac:dyDescent="0.25">
      <c r="B188" s="1448" t="s">
        <v>3134</v>
      </c>
      <c r="C188" s="1449" t="s">
        <v>3135</v>
      </c>
      <c r="D188" s="662">
        <v>0.2</v>
      </c>
      <c r="E188" s="661">
        <v>0</v>
      </c>
      <c r="F188" s="661" t="s">
        <v>1253</v>
      </c>
      <c r="G188" s="661" t="s">
        <v>884</v>
      </c>
      <c r="H188" s="661">
        <v>2</v>
      </c>
      <c r="I188" s="659"/>
      <c r="J188" s="1707"/>
    </row>
    <row r="189" spans="2:10" s="101" customFormat="1" ht="18" outlineLevel="1" x14ac:dyDescent="0.25">
      <c r="B189" s="1448" t="s">
        <v>3136</v>
      </c>
      <c r="C189" s="1449" t="s">
        <v>3137</v>
      </c>
      <c r="D189" s="662">
        <v>0.2</v>
      </c>
      <c r="E189" s="661">
        <v>0</v>
      </c>
      <c r="F189" s="661" t="s">
        <v>1253</v>
      </c>
      <c r="G189" s="661" t="s">
        <v>884</v>
      </c>
      <c r="H189" s="661">
        <v>2</v>
      </c>
      <c r="I189" s="659"/>
      <c r="J189" s="1707"/>
    </row>
    <row r="190" spans="2:10" s="101" customFormat="1" ht="18" outlineLevel="1" x14ac:dyDescent="0.25">
      <c r="B190" s="1448" t="s">
        <v>3138</v>
      </c>
      <c r="C190" s="1449" t="s">
        <v>3139</v>
      </c>
      <c r="D190" s="660">
        <v>1</v>
      </c>
      <c r="E190" s="661">
        <v>0</v>
      </c>
      <c r="F190" s="661" t="s">
        <v>1253</v>
      </c>
      <c r="G190" s="661" t="s">
        <v>3140</v>
      </c>
      <c r="H190" s="661">
        <v>1</v>
      </c>
      <c r="I190" s="659"/>
      <c r="J190" s="1707"/>
    </row>
    <row r="191" spans="2:10" s="101" customFormat="1" ht="18" outlineLevel="1" x14ac:dyDescent="0.25">
      <c r="B191" s="1448" t="s">
        <v>3141</v>
      </c>
      <c r="C191" s="1449" t="s">
        <v>3142</v>
      </c>
      <c r="D191" s="662">
        <v>80</v>
      </c>
      <c r="E191" s="661">
        <v>0</v>
      </c>
      <c r="F191" s="661" t="s">
        <v>1253</v>
      </c>
      <c r="G191" s="661" t="s">
        <v>3140</v>
      </c>
      <c r="H191" s="661">
        <v>0</v>
      </c>
      <c r="I191" s="659"/>
      <c r="J191" s="1707"/>
    </row>
    <row r="192" spans="2:10" s="101" customFormat="1" ht="18.75" outlineLevel="1" thickBot="1" x14ac:dyDescent="0.3">
      <c r="B192" s="1450" t="s">
        <v>3143</v>
      </c>
      <c r="C192" s="1451" t="s">
        <v>3144</v>
      </c>
      <c r="D192" s="614">
        <v>0.5</v>
      </c>
      <c r="E192" s="615">
        <v>0</v>
      </c>
      <c r="F192" s="615" t="s">
        <v>1253</v>
      </c>
      <c r="G192" s="615" t="s">
        <v>3140</v>
      </c>
      <c r="H192" s="615">
        <v>1</v>
      </c>
      <c r="I192" s="618"/>
      <c r="J192" s="1708"/>
    </row>
    <row r="193" spans="1:10" s="101" customFormat="1" ht="15.75" thickBot="1" x14ac:dyDescent="0.3">
      <c r="B193" s="115"/>
      <c r="C193" s="103"/>
      <c r="D193" s="104"/>
      <c r="E193" s="105"/>
      <c r="F193" s="105"/>
      <c r="G193" s="105"/>
      <c r="H193" s="105"/>
      <c r="I193" s="103"/>
      <c r="J193" s="119"/>
    </row>
    <row r="194" spans="1:10" ht="15.75" thickBot="1" x14ac:dyDescent="0.3">
      <c r="A194" s="101"/>
      <c r="B194" s="115"/>
      <c r="C194" s="2311" t="s">
        <v>5216</v>
      </c>
      <c r="D194" s="102" t="s">
        <v>299</v>
      </c>
    </row>
    <row r="195" spans="1:10" ht="15.75" thickBot="1" x14ac:dyDescent="0.3">
      <c r="B195" s="1612" t="s">
        <v>0</v>
      </c>
      <c r="C195" s="1613" t="s">
        <v>1</v>
      </c>
      <c r="D195" s="1061" t="s">
        <v>839</v>
      </c>
      <c r="E195" s="1061" t="s">
        <v>470</v>
      </c>
      <c r="F195" s="1061" t="s">
        <v>471</v>
      </c>
      <c r="G195" s="1061" t="s">
        <v>2</v>
      </c>
      <c r="H195" s="1061" t="s">
        <v>298</v>
      </c>
      <c r="I195" s="1060" t="s">
        <v>116</v>
      </c>
      <c r="J195" s="1777" t="s">
        <v>117</v>
      </c>
    </row>
    <row r="196" spans="1:10" s="101" customFormat="1" ht="18" outlineLevel="1" x14ac:dyDescent="0.35">
      <c r="B196" s="2312" t="s">
        <v>5217</v>
      </c>
      <c r="C196" s="2313" t="s">
        <v>5218</v>
      </c>
      <c r="D196" s="2314">
        <v>2</v>
      </c>
      <c r="E196" s="2315">
        <v>0</v>
      </c>
      <c r="F196" s="2315" t="s">
        <v>1253</v>
      </c>
      <c r="G196" s="2315" t="s">
        <v>847</v>
      </c>
      <c r="H196" s="2315">
        <v>2</v>
      </c>
      <c r="I196" s="2316"/>
      <c r="J196" s="2317"/>
    </row>
    <row r="197" spans="1:10" s="101" customFormat="1" ht="18" outlineLevel="1" x14ac:dyDescent="0.35">
      <c r="B197" s="2318" t="s">
        <v>5219</v>
      </c>
      <c r="C197" s="2319" t="s">
        <v>5220</v>
      </c>
      <c r="D197" s="2320">
        <v>0.1</v>
      </c>
      <c r="E197" s="2321">
        <v>0</v>
      </c>
      <c r="F197" s="2321" t="s">
        <v>1253</v>
      </c>
      <c r="G197" s="2321" t="s">
        <v>847</v>
      </c>
      <c r="H197" s="2321">
        <v>2</v>
      </c>
      <c r="I197" s="2322"/>
      <c r="J197" s="2323"/>
    </row>
    <row r="198" spans="1:10" s="101" customFormat="1" ht="18" outlineLevel="1" x14ac:dyDescent="0.35">
      <c r="B198" s="2318" t="s">
        <v>5221</v>
      </c>
      <c r="C198" s="2319" t="s">
        <v>5222</v>
      </c>
      <c r="D198" s="2320">
        <v>10</v>
      </c>
      <c r="E198" s="2321">
        <v>0</v>
      </c>
      <c r="F198" s="2321" t="s">
        <v>1253</v>
      </c>
      <c r="G198" s="2321" t="s">
        <v>1603</v>
      </c>
      <c r="H198" s="2321">
        <v>2</v>
      </c>
      <c r="I198" s="2322"/>
      <c r="J198" s="2323"/>
    </row>
    <row r="199" spans="1:10" s="101" customFormat="1" ht="18" outlineLevel="1" x14ac:dyDescent="0.35">
      <c r="B199" s="2318" t="s">
        <v>5223</v>
      </c>
      <c r="C199" s="2319" t="s">
        <v>5224</v>
      </c>
      <c r="D199" s="2320">
        <v>0.5</v>
      </c>
      <c r="E199" s="2321">
        <v>0</v>
      </c>
      <c r="F199" s="2321" t="s">
        <v>1253</v>
      </c>
      <c r="G199" s="2321" t="s">
        <v>850</v>
      </c>
      <c r="H199" s="2321">
        <v>2</v>
      </c>
      <c r="I199" s="2322"/>
      <c r="J199" s="2323"/>
    </row>
    <row r="200" spans="1:10" s="101" customFormat="1" ht="18.75" outlineLevel="1" x14ac:dyDescent="0.35">
      <c r="B200" s="2318" t="s">
        <v>5225</v>
      </c>
      <c r="C200" s="2319" t="s">
        <v>5226</v>
      </c>
      <c r="D200" s="2320">
        <v>0.05</v>
      </c>
      <c r="E200" s="2321">
        <v>0</v>
      </c>
      <c r="F200" s="2321" t="s">
        <v>1253</v>
      </c>
      <c r="G200" s="2321" t="s">
        <v>849</v>
      </c>
      <c r="H200" s="2321">
        <v>2</v>
      </c>
      <c r="I200" s="2322"/>
      <c r="J200" s="2323"/>
    </row>
    <row r="201" spans="1:10" s="101" customFormat="1" ht="18" outlineLevel="1" x14ac:dyDescent="0.35">
      <c r="B201" s="2318" t="s">
        <v>5285</v>
      </c>
      <c r="C201" s="2319" t="s">
        <v>5286</v>
      </c>
      <c r="D201" s="2320">
        <v>0.7</v>
      </c>
      <c r="E201" s="2321">
        <v>0</v>
      </c>
      <c r="F201" s="2321" t="s">
        <v>1253</v>
      </c>
      <c r="G201" s="2321" t="s">
        <v>884</v>
      </c>
      <c r="H201" s="2321">
        <v>1</v>
      </c>
      <c r="I201" s="2322"/>
      <c r="J201" s="2323"/>
    </row>
    <row r="202" spans="1:10" s="101" customFormat="1" ht="18.75" outlineLevel="1" thickBot="1" x14ac:dyDescent="0.4">
      <c r="B202" s="2324" t="s">
        <v>5227</v>
      </c>
      <c r="C202" s="2325" t="s">
        <v>5228</v>
      </c>
      <c r="D202" s="2326">
        <v>0.5</v>
      </c>
      <c r="E202" s="2327">
        <v>0</v>
      </c>
      <c r="F202" s="2327" t="s">
        <v>1253</v>
      </c>
      <c r="G202" s="2327" t="s">
        <v>850</v>
      </c>
      <c r="H202" s="2327">
        <v>2</v>
      </c>
      <c r="I202" s="2328"/>
      <c r="J202" s="2329"/>
    </row>
    <row r="203" spans="1:10" s="101" customFormat="1" ht="15.75" thickBot="1" x14ac:dyDescent="0.3">
      <c r="B203" s="502"/>
      <c r="C203" s="1347"/>
      <c r="D203" s="106"/>
      <c r="E203" s="105"/>
      <c r="F203" s="105"/>
      <c r="G203" s="105"/>
      <c r="H203" s="105"/>
      <c r="I203" s="103"/>
      <c r="J203" s="119"/>
    </row>
    <row r="204" spans="1:10" s="101" customFormat="1" ht="15.75" thickBot="1" x14ac:dyDescent="0.3">
      <c r="B204" s="502"/>
      <c r="C204" s="1452" t="s">
        <v>1362</v>
      </c>
      <c r="D204" s="102" t="s">
        <v>299</v>
      </c>
      <c r="E204" s="102"/>
      <c r="F204" s="102"/>
      <c r="G204" s="102"/>
      <c r="H204" s="102"/>
      <c r="I204" s="115"/>
      <c r="J204" s="119"/>
    </row>
    <row r="205" spans="1:10" ht="15.75" thickBot="1" x14ac:dyDescent="0.3">
      <c r="B205" s="1612" t="s">
        <v>0</v>
      </c>
      <c r="C205" s="1613" t="s">
        <v>1</v>
      </c>
      <c r="D205" s="1061" t="s">
        <v>839</v>
      </c>
      <c r="E205" s="1061" t="s">
        <v>470</v>
      </c>
      <c r="F205" s="1061" t="s">
        <v>471</v>
      </c>
      <c r="G205" s="1061" t="s">
        <v>2</v>
      </c>
      <c r="H205" s="1061" t="s">
        <v>298</v>
      </c>
      <c r="I205" s="1060" t="s">
        <v>116</v>
      </c>
      <c r="J205" s="1777" t="s">
        <v>117</v>
      </c>
    </row>
    <row r="206" spans="1:10" s="101" customFormat="1" ht="18" outlineLevel="1" x14ac:dyDescent="0.25">
      <c r="B206" s="1453" t="s">
        <v>1704</v>
      </c>
      <c r="C206" s="1454" t="s">
        <v>2530</v>
      </c>
      <c r="D206" s="969">
        <v>0.1</v>
      </c>
      <c r="E206" s="422">
        <v>0</v>
      </c>
      <c r="F206" s="215" t="s">
        <v>1253</v>
      </c>
      <c r="G206" s="215" t="s">
        <v>1313</v>
      </c>
      <c r="H206" s="215">
        <v>2</v>
      </c>
      <c r="I206" s="1709"/>
      <c r="J206" s="240"/>
    </row>
    <row r="207" spans="1:10" s="101" customFormat="1" ht="18" outlineLevel="1" x14ac:dyDescent="0.25">
      <c r="B207" s="242" t="s">
        <v>1705</v>
      </c>
      <c r="C207" s="1455" t="s">
        <v>2531</v>
      </c>
      <c r="D207" s="1054">
        <v>0.1</v>
      </c>
      <c r="E207" s="423">
        <v>0</v>
      </c>
      <c r="F207" s="203" t="s">
        <v>1253</v>
      </c>
      <c r="G207" s="203" t="s">
        <v>1313</v>
      </c>
      <c r="H207" s="203">
        <v>2</v>
      </c>
      <c r="I207" s="1631"/>
      <c r="J207" s="241"/>
    </row>
    <row r="208" spans="1:10" s="101" customFormat="1" ht="18" outlineLevel="1" x14ac:dyDescent="0.25">
      <c r="B208" s="242" t="s">
        <v>1706</v>
      </c>
      <c r="C208" s="1455" t="s">
        <v>2532</v>
      </c>
      <c r="D208" s="1054">
        <v>10</v>
      </c>
      <c r="E208" s="423">
        <v>0</v>
      </c>
      <c r="F208" s="203" t="s">
        <v>1253</v>
      </c>
      <c r="G208" s="203" t="s">
        <v>1313</v>
      </c>
      <c r="H208" s="203">
        <v>2</v>
      </c>
      <c r="I208" s="1710"/>
      <c r="J208" s="241"/>
    </row>
    <row r="209" spans="2:15" s="101" customFormat="1" ht="18" outlineLevel="1" x14ac:dyDescent="0.25">
      <c r="B209" s="242" t="s">
        <v>1707</v>
      </c>
      <c r="C209" s="1455" t="s">
        <v>2533</v>
      </c>
      <c r="D209" s="1054">
        <v>10</v>
      </c>
      <c r="E209" s="423">
        <v>0</v>
      </c>
      <c r="F209" s="203" t="s">
        <v>1253</v>
      </c>
      <c r="G209" s="203" t="s">
        <v>1313</v>
      </c>
      <c r="H209" s="203">
        <v>2</v>
      </c>
      <c r="I209" s="1710"/>
      <c r="J209" s="241"/>
    </row>
    <row r="210" spans="2:15" s="127" customFormat="1" ht="18" outlineLevel="1" x14ac:dyDescent="0.25">
      <c r="B210" s="242" t="s">
        <v>1708</v>
      </c>
      <c r="C210" s="1455" t="s">
        <v>2534</v>
      </c>
      <c r="D210" s="1054">
        <v>5</v>
      </c>
      <c r="E210" s="423">
        <v>0</v>
      </c>
      <c r="F210" s="203" t="s">
        <v>1253</v>
      </c>
      <c r="G210" s="203" t="s">
        <v>1313</v>
      </c>
      <c r="H210" s="203">
        <v>2</v>
      </c>
      <c r="I210" s="1710"/>
      <c r="J210" s="241"/>
      <c r="K210" s="101"/>
      <c r="L210" s="101"/>
      <c r="M210" s="101"/>
      <c r="N210" s="101"/>
      <c r="O210" s="101"/>
    </row>
    <row r="211" spans="2:15" s="127" customFormat="1" ht="18" outlineLevel="1" x14ac:dyDescent="0.25">
      <c r="B211" s="242" t="s">
        <v>1709</v>
      </c>
      <c r="C211" s="1455" t="s">
        <v>2535</v>
      </c>
      <c r="D211" s="1054">
        <v>5</v>
      </c>
      <c r="E211" s="423">
        <v>0</v>
      </c>
      <c r="F211" s="203" t="s">
        <v>1253</v>
      </c>
      <c r="G211" s="203" t="s">
        <v>1313</v>
      </c>
      <c r="H211" s="203">
        <v>2</v>
      </c>
      <c r="I211" s="1710"/>
      <c r="J211" s="241"/>
      <c r="K211" s="101"/>
      <c r="L211" s="101"/>
      <c r="M211" s="101"/>
      <c r="N211" s="101"/>
      <c r="O211" s="101"/>
    </row>
    <row r="212" spans="2:15" s="127" customFormat="1" ht="18" outlineLevel="1" x14ac:dyDescent="0.25">
      <c r="B212" s="1456" t="s">
        <v>4352</v>
      </c>
      <c r="C212" s="1457" t="s">
        <v>4353</v>
      </c>
      <c r="D212" s="1054">
        <v>500</v>
      </c>
      <c r="E212" s="1083">
        <v>0</v>
      </c>
      <c r="F212" s="1054" t="s">
        <v>1253</v>
      </c>
      <c r="G212" s="1054" t="s">
        <v>1313</v>
      </c>
      <c r="H212" s="1054">
        <v>2</v>
      </c>
      <c r="I212" s="1711"/>
      <c r="J212" s="1712"/>
      <c r="K212" s="101"/>
      <c r="L212" s="101"/>
      <c r="M212" s="101"/>
      <c r="N212" s="101"/>
      <c r="O212" s="101"/>
    </row>
    <row r="213" spans="2:15" s="127" customFormat="1" ht="18" outlineLevel="1" x14ac:dyDescent="0.25">
      <c r="B213" s="1456" t="s">
        <v>4354</v>
      </c>
      <c r="C213" s="1457" t="s">
        <v>4355</v>
      </c>
      <c r="D213" s="1054">
        <v>500</v>
      </c>
      <c r="E213" s="1083">
        <v>0</v>
      </c>
      <c r="F213" s="1054" t="s">
        <v>1253</v>
      </c>
      <c r="G213" s="1054" t="s">
        <v>1313</v>
      </c>
      <c r="H213" s="1054">
        <v>2</v>
      </c>
      <c r="I213" s="1711"/>
      <c r="J213" s="1712"/>
      <c r="K213" s="101"/>
      <c r="L213" s="101"/>
      <c r="M213" s="101"/>
      <c r="N213" s="101"/>
      <c r="O213" s="101"/>
    </row>
    <row r="214" spans="2:15" s="101" customFormat="1" ht="18" outlineLevel="1" x14ac:dyDescent="0.25">
      <c r="B214" s="242" t="s">
        <v>1710</v>
      </c>
      <c r="C214" s="1455" t="s">
        <v>2536</v>
      </c>
      <c r="D214" s="1054">
        <v>0.01</v>
      </c>
      <c r="E214" s="423">
        <v>0</v>
      </c>
      <c r="F214" s="203" t="s">
        <v>1253</v>
      </c>
      <c r="G214" s="203" t="s">
        <v>1313</v>
      </c>
      <c r="H214" s="203">
        <v>2</v>
      </c>
      <c r="I214" s="1631"/>
      <c r="J214" s="241"/>
    </row>
    <row r="215" spans="2:15" s="101" customFormat="1" ht="18" outlineLevel="1" x14ac:dyDescent="0.25">
      <c r="B215" s="242" t="s">
        <v>1711</v>
      </c>
      <c r="C215" s="1455" t="s">
        <v>2537</v>
      </c>
      <c r="D215" s="1054">
        <v>0.01</v>
      </c>
      <c r="E215" s="423">
        <v>0</v>
      </c>
      <c r="F215" s="203" t="s">
        <v>1253</v>
      </c>
      <c r="G215" s="203" t="s">
        <v>1313</v>
      </c>
      <c r="H215" s="203">
        <v>3</v>
      </c>
      <c r="I215" s="1631"/>
      <c r="J215" s="241"/>
    </row>
    <row r="216" spans="2:15" s="101" customFormat="1" ht="18" outlineLevel="1" x14ac:dyDescent="0.25">
      <c r="B216" s="1458" t="s">
        <v>3147</v>
      </c>
      <c r="C216" s="1459" t="s">
        <v>3150</v>
      </c>
      <c r="D216" s="1058">
        <v>1.9999999999999999E-7</v>
      </c>
      <c r="E216" s="664">
        <v>0</v>
      </c>
      <c r="F216" s="650" t="s">
        <v>1253</v>
      </c>
      <c r="G216" s="650" t="s">
        <v>1313</v>
      </c>
      <c r="H216" s="650">
        <v>2</v>
      </c>
      <c r="I216" s="637"/>
      <c r="J216" s="689"/>
    </row>
    <row r="217" spans="2:15" s="101" customFormat="1" ht="18" outlineLevel="1" x14ac:dyDescent="0.25">
      <c r="B217" s="1458" t="s">
        <v>3149</v>
      </c>
      <c r="C217" s="1459" t="s">
        <v>3148</v>
      </c>
      <c r="D217" s="1058">
        <v>1.9999999999999999E-7</v>
      </c>
      <c r="E217" s="664">
        <v>0</v>
      </c>
      <c r="F217" s="650" t="s">
        <v>1253</v>
      </c>
      <c r="G217" s="650" t="s">
        <v>1313</v>
      </c>
      <c r="H217" s="650">
        <v>3</v>
      </c>
      <c r="I217" s="637"/>
      <c r="J217" s="689"/>
    </row>
    <row r="218" spans="2:15" s="101" customFormat="1" ht="18" outlineLevel="1" x14ac:dyDescent="0.25">
      <c r="B218" s="1460" t="s">
        <v>2863</v>
      </c>
      <c r="C218" s="1461" t="s">
        <v>2538</v>
      </c>
      <c r="D218" s="243">
        <v>0.01</v>
      </c>
      <c r="E218" s="243">
        <v>0</v>
      </c>
      <c r="F218" s="243" t="s">
        <v>1253</v>
      </c>
      <c r="G218" s="216" t="s">
        <v>1750</v>
      </c>
      <c r="H218" s="243">
        <v>3</v>
      </c>
      <c r="I218" s="1630"/>
      <c r="J218" s="244"/>
    </row>
    <row r="219" spans="2:15" s="101" customFormat="1" ht="18" outlineLevel="1" x14ac:dyDescent="0.25">
      <c r="B219" s="1460" t="s">
        <v>2864</v>
      </c>
      <c r="C219" s="1461" t="s">
        <v>2539</v>
      </c>
      <c r="D219" s="243">
        <v>0.01</v>
      </c>
      <c r="E219" s="243">
        <v>0</v>
      </c>
      <c r="F219" s="243" t="s">
        <v>1253</v>
      </c>
      <c r="G219" s="216" t="s">
        <v>1750</v>
      </c>
      <c r="H219" s="243">
        <v>3</v>
      </c>
      <c r="I219" s="1630"/>
      <c r="J219" s="244"/>
    </row>
    <row r="220" spans="2:15" s="101" customFormat="1" ht="18" outlineLevel="1" x14ac:dyDescent="0.25">
      <c r="B220" s="1462" t="s">
        <v>4663</v>
      </c>
      <c r="C220" s="1463" t="s">
        <v>4664</v>
      </c>
      <c r="D220" s="1156">
        <v>0.01</v>
      </c>
      <c r="E220" s="1156">
        <v>0</v>
      </c>
      <c r="F220" s="1156" t="s">
        <v>1253</v>
      </c>
      <c r="G220" s="1157" t="s">
        <v>1750</v>
      </c>
      <c r="H220" s="1156">
        <v>3</v>
      </c>
      <c r="I220" s="1155"/>
      <c r="J220" s="1158"/>
    </row>
    <row r="221" spans="2:15" s="101" customFormat="1" ht="18" outlineLevel="1" x14ac:dyDescent="0.25">
      <c r="B221" s="1460" t="s">
        <v>2865</v>
      </c>
      <c r="C221" s="1461" t="s">
        <v>2540</v>
      </c>
      <c r="D221" s="243">
        <v>0.01</v>
      </c>
      <c r="E221" s="243">
        <v>0</v>
      </c>
      <c r="F221" s="243" t="s">
        <v>1253</v>
      </c>
      <c r="G221" s="216" t="s">
        <v>1750</v>
      </c>
      <c r="H221" s="243">
        <v>3</v>
      </c>
      <c r="I221" s="1630"/>
      <c r="J221" s="244"/>
    </row>
    <row r="222" spans="2:15" s="101" customFormat="1" ht="18" outlineLevel="1" x14ac:dyDescent="0.25">
      <c r="B222" s="1458" t="s">
        <v>3145</v>
      </c>
      <c r="C222" s="1459" t="s">
        <v>3146</v>
      </c>
      <c r="D222" s="691">
        <v>0.01</v>
      </c>
      <c r="E222" s="690">
        <v>0</v>
      </c>
      <c r="F222" s="690" t="s">
        <v>1253</v>
      </c>
      <c r="G222" s="663" t="s">
        <v>1750</v>
      </c>
      <c r="H222" s="690">
        <v>3</v>
      </c>
      <c r="I222" s="540"/>
      <c r="J222" s="692"/>
    </row>
    <row r="223" spans="2:15" s="101" customFormat="1" ht="18.75" outlineLevel="1" thickBot="1" x14ac:dyDescent="0.3">
      <c r="B223" s="1464" t="s">
        <v>2866</v>
      </c>
      <c r="C223" s="1465" t="s">
        <v>2541</v>
      </c>
      <c r="D223" s="246">
        <v>0.01</v>
      </c>
      <c r="E223" s="246">
        <v>0</v>
      </c>
      <c r="F223" s="246" t="s">
        <v>1253</v>
      </c>
      <c r="G223" s="217" t="s">
        <v>1750</v>
      </c>
      <c r="H223" s="246">
        <v>3</v>
      </c>
      <c r="I223" s="245"/>
      <c r="J223" s="247"/>
    </row>
    <row r="224" spans="2:15" s="101" customFormat="1" ht="15.75" thickBot="1" x14ac:dyDescent="0.3">
      <c r="B224" s="502"/>
      <c r="C224" s="1347"/>
      <c r="D224" s="106"/>
      <c r="E224" s="105"/>
      <c r="F224" s="105"/>
      <c r="G224" s="105"/>
      <c r="H224" s="105"/>
      <c r="I224" s="103"/>
      <c r="J224" s="119"/>
    </row>
    <row r="225" spans="2:10" s="101" customFormat="1" ht="15.75" thickBot="1" x14ac:dyDescent="0.3">
      <c r="B225" s="502"/>
      <c r="C225" s="1452" t="s">
        <v>1982</v>
      </c>
      <c r="D225" s="102" t="s">
        <v>299</v>
      </c>
      <c r="E225" s="102"/>
      <c r="F225" s="102"/>
      <c r="G225" s="102"/>
      <c r="H225" s="102"/>
      <c r="I225" s="115"/>
      <c r="J225" s="119"/>
    </row>
    <row r="226" spans="2:10" ht="15.75" thickBot="1" x14ac:dyDescent="0.3">
      <c r="B226" s="1612" t="s">
        <v>0</v>
      </c>
      <c r="C226" s="1613" t="s">
        <v>1</v>
      </c>
      <c r="D226" s="1061" t="s">
        <v>839</v>
      </c>
      <c r="E226" s="1061" t="s">
        <v>470</v>
      </c>
      <c r="F226" s="1061" t="s">
        <v>471</v>
      </c>
      <c r="G226" s="1061" t="s">
        <v>2</v>
      </c>
      <c r="H226" s="1061" t="s">
        <v>298</v>
      </c>
      <c r="I226" s="1060" t="s">
        <v>116</v>
      </c>
      <c r="J226" s="1777" t="s">
        <v>117</v>
      </c>
    </row>
    <row r="227" spans="2:10" s="101" customFormat="1" ht="18" outlineLevel="1" x14ac:dyDescent="0.25">
      <c r="B227" s="1466" t="s">
        <v>1712</v>
      </c>
      <c r="C227" s="1467" t="s">
        <v>2543</v>
      </c>
      <c r="D227" s="952">
        <v>250</v>
      </c>
      <c r="E227" s="952">
        <v>0</v>
      </c>
      <c r="F227" s="952" t="s">
        <v>1253</v>
      </c>
      <c r="G227" s="953" t="s">
        <v>847</v>
      </c>
      <c r="H227" s="952">
        <v>0</v>
      </c>
      <c r="I227" s="1713"/>
      <c r="J227" s="954"/>
    </row>
    <row r="228" spans="2:10" s="101" customFormat="1" ht="18" outlineLevel="1" x14ac:dyDescent="0.25">
      <c r="B228" s="1468" t="s">
        <v>1713</v>
      </c>
      <c r="C228" s="1469" t="s">
        <v>2544</v>
      </c>
      <c r="D228" s="955">
        <v>1</v>
      </c>
      <c r="E228" s="608">
        <v>0</v>
      </c>
      <c r="F228" s="607" t="s">
        <v>1253</v>
      </c>
      <c r="G228" s="606" t="s">
        <v>847</v>
      </c>
      <c r="H228" s="607">
        <v>2</v>
      </c>
      <c r="I228" s="1632"/>
      <c r="J228" s="609"/>
    </row>
    <row r="229" spans="2:10" s="101" customFormat="1" ht="18" outlineLevel="1" x14ac:dyDescent="0.25">
      <c r="B229" s="1470" t="s">
        <v>4356</v>
      </c>
      <c r="C229" s="1471" t="s">
        <v>2545</v>
      </c>
      <c r="D229" s="607">
        <v>150</v>
      </c>
      <c r="E229" s="608">
        <v>0</v>
      </c>
      <c r="F229" s="608" t="s">
        <v>1253</v>
      </c>
      <c r="G229" s="606" t="s">
        <v>847</v>
      </c>
      <c r="H229" s="608">
        <v>0</v>
      </c>
      <c r="I229" s="1632"/>
      <c r="J229" s="609"/>
    </row>
    <row r="230" spans="2:10" s="101" customFormat="1" ht="18" outlineLevel="1" x14ac:dyDescent="0.25">
      <c r="B230" s="1470" t="s">
        <v>4357</v>
      </c>
      <c r="C230" s="1469" t="s">
        <v>2546</v>
      </c>
      <c r="D230" s="955">
        <v>1</v>
      </c>
      <c r="E230" s="608">
        <v>0</v>
      </c>
      <c r="F230" s="608" t="s">
        <v>1253</v>
      </c>
      <c r="G230" s="606" t="s">
        <v>847</v>
      </c>
      <c r="H230" s="608">
        <v>2</v>
      </c>
      <c r="I230" s="1632"/>
      <c r="J230" s="609"/>
    </row>
    <row r="231" spans="2:10" s="101" customFormat="1" ht="18" outlineLevel="1" x14ac:dyDescent="0.25">
      <c r="B231" s="1468" t="s">
        <v>3882</v>
      </c>
      <c r="C231" s="1471" t="s">
        <v>3883</v>
      </c>
      <c r="D231" s="607">
        <v>100</v>
      </c>
      <c r="E231" s="608">
        <v>0</v>
      </c>
      <c r="F231" s="608" t="s">
        <v>1253</v>
      </c>
      <c r="G231" s="606" t="s">
        <v>847</v>
      </c>
      <c r="H231" s="608">
        <v>0</v>
      </c>
      <c r="I231" s="1632"/>
      <c r="J231" s="609"/>
    </row>
    <row r="232" spans="2:10" s="101" customFormat="1" ht="18" outlineLevel="1" x14ac:dyDescent="0.25">
      <c r="B232" s="1468" t="s">
        <v>3884</v>
      </c>
      <c r="C232" s="1471" t="s">
        <v>3885</v>
      </c>
      <c r="D232" s="607">
        <v>10</v>
      </c>
      <c r="E232" s="608">
        <v>0</v>
      </c>
      <c r="F232" s="608" t="s">
        <v>1253</v>
      </c>
      <c r="G232" s="606" t="s">
        <v>847</v>
      </c>
      <c r="H232" s="608">
        <v>0</v>
      </c>
      <c r="I232" s="1632"/>
      <c r="J232" s="609"/>
    </row>
    <row r="233" spans="2:10" s="101" customFormat="1" ht="18" outlineLevel="1" x14ac:dyDescent="0.25">
      <c r="B233" s="1468" t="s">
        <v>3886</v>
      </c>
      <c r="C233" s="1471" t="s">
        <v>3887</v>
      </c>
      <c r="D233" s="607">
        <v>100</v>
      </c>
      <c r="E233" s="608">
        <v>0</v>
      </c>
      <c r="F233" s="608" t="s">
        <v>1253</v>
      </c>
      <c r="G233" s="606" t="s">
        <v>847</v>
      </c>
      <c r="H233" s="608">
        <v>0</v>
      </c>
      <c r="I233" s="1632"/>
      <c r="J233" s="609"/>
    </row>
    <row r="234" spans="2:10" s="101" customFormat="1" ht="18" outlineLevel="1" x14ac:dyDescent="0.25">
      <c r="B234" s="1472" t="s">
        <v>1714</v>
      </c>
      <c r="C234" s="1473" t="s">
        <v>2547</v>
      </c>
      <c r="D234" s="605">
        <v>2</v>
      </c>
      <c r="E234" s="606">
        <v>0</v>
      </c>
      <c r="F234" s="606" t="s">
        <v>1253</v>
      </c>
      <c r="G234" s="606" t="s">
        <v>847</v>
      </c>
      <c r="H234" s="606">
        <v>1</v>
      </c>
      <c r="I234" s="1633"/>
      <c r="J234" s="705"/>
    </row>
    <row r="235" spans="2:10" s="101" customFormat="1" ht="18" outlineLevel="1" x14ac:dyDescent="0.25">
      <c r="B235" s="1468" t="s">
        <v>3076</v>
      </c>
      <c r="C235" s="1471" t="s">
        <v>3077</v>
      </c>
      <c r="D235" s="607">
        <v>-100</v>
      </c>
      <c r="E235" s="608" t="s">
        <v>2188</v>
      </c>
      <c r="F235" s="608" t="s">
        <v>1253</v>
      </c>
      <c r="G235" s="606" t="s">
        <v>2145</v>
      </c>
      <c r="H235" s="608">
        <v>0</v>
      </c>
      <c r="I235" s="1632"/>
      <c r="J235" s="609"/>
    </row>
    <row r="236" spans="2:10" s="101" customFormat="1" ht="18" outlineLevel="1" x14ac:dyDescent="0.25">
      <c r="B236" s="1472" t="s">
        <v>3078</v>
      </c>
      <c r="C236" s="1473" t="s">
        <v>3079</v>
      </c>
      <c r="D236" s="605">
        <v>0.1</v>
      </c>
      <c r="E236" s="606">
        <v>0</v>
      </c>
      <c r="F236" s="606" t="s">
        <v>1253</v>
      </c>
      <c r="G236" s="606" t="s">
        <v>1990</v>
      </c>
      <c r="H236" s="606">
        <v>2</v>
      </c>
      <c r="I236" s="1633"/>
      <c r="J236" s="705"/>
    </row>
    <row r="237" spans="2:10" s="101" customFormat="1" ht="18" outlineLevel="1" x14ac:dyDescent="0.25">
      <c r="B237" s="1470" t="s">
        <v>4358</v>
      </c>
      <c r="C237" s="1474" t="s">
        <v>2549</v>
      </c>
      <c r="D237" s="956">
        <v>0.01</v>
      </c>
      <c r="E237" s="606">
        <v>0</v>
      </c>
      <c r="F237" s="608" t="s">
        <v>1253</v>
      </c>
      <c r="G237" s="608" t="s">
        <v>886</v>
      </c>
      <c r="H237" s="608">
        <v>3</v>
      </c>
      <c r="I237" s="1632"/>
      <c r="J237" s="609"/>
    </row>
    <row r="238" spans="2:10" s="101" customFormat="1" ht="18" outlineLevel="1" x14ac:dyDescent="0.25">
      <c r="B238" s="1847" t="s">
        <v>4991</v>
      </c>
      <c r="C238" s="1848" t="s">
        <v>4992</v>
      </c>
      <c r="D238" s="1904">
        <v>1</v>
      </c>
      <c r="E238" s="1892">
        <v>0</v>
      </c>
      <c r="F238" s="1893">
        <v>2</v>
      </c>
      <c r="G238" s="1845" t="s">
        <v>282</v>
      </c>
      <c r="H238" s="1845">
        <v>2</v>
      </c>
      <c r="I238" s="1280"/>
      <c r="J238" s="1846" t="s">
        <v>4980</v>
      </c>
    </row>
    <row r="239" spans="2:10" s="101" customFormat="1" ht="18" outlineLevel="1" x14ac:dyDescent="0.25">
      <c r="B239" s="1470" t="s">
        <v>4359</v>
      </c>
      <c r="C239" s="1474" t="s">
        <v>3888</v>
      </c>
      <c r="D239" s="956">
        <v>0.1</v>
      </c>
      <c r="E239" s="606">
        <v>0</v>
      </c>
      <c r="F239" s="608" t="s">
        <v>1253</v>
      </c>
      <c r="G239" s="608" t="s">
        <v>886</v>
      </c>
      <c r="H239" s="608">
        <v>3</v>
      </c>
      <c r="I239" s="1632"/>
      <c r="J239" s="609"/>
    </row>
    <row r="240" spans="2:10" s="101" customFormat="1" ht="18" outlineLevel="1" x14ac:dyDescent="0.25">
      <c r="B240" s="1470" t="s">
        <v>4360</v>
      </c>
      <c r="C240" s="1469" t="s">
        <v>2550</v>
      </c>
      <c r="D240" s="955">
        <v>0.1</v>
      </c>
      <c r="E240" s="606">
        <v>0</v>
      </c>
      <c r="F240" s="608" t="s">
        <v>1253</v>
      </c>
      <c r="G240" s="608" t="s">
        <v>886</v>
      </c>
      <c r="H240" s="608">
        <v>2</v>
      </c>
      <c r="I240" s="1632"/>
      <c r="J240" s="609"/>
    </row>
    <row r="241" spans="2:10" s="101" customFormat="1" ht="18" outlineLevel="1" x14ac:dyDescent="0.25">
      <c r="B241" s="1475" t="s">
        <v>3151</v>
      </c>
      <c r="C241" s="1476" t="s">
        <v>4734</v>
      </c>
      <c r="D241" s="963">
        <v>2</v>
      </c>
      <c r="E241" s="964">
        <v>0</v>
      </c>
      <c r="F241" s="964" t="s">
        <v>1253</v>
      </c>
      <c r="G241" s="964" t="s">
        <v>847</v>
      </c>
      <c r="H241" s="964">
        <v>1</v>
      </c>
      <c r="I241" s="1634"/>
      <c r="J241" s="965"/>
    </row>
    <row r="242" spans="2:10" s="101" customFormat="1" ht="18" outlineLevel="1" x14ac:dyDescent="0.25">
      <c r="B242" s="1477" t="s">
        <v>2542</v>
      </c>
      <c r="C242" s="1478" t="s">
        <v>2548</v>
      </c>
      <c r="D242" s="219">
        <v>50</v>
      </c>
      <c r="E242" s="218">
        <v>0</v>
      </c>
      <c r="F242" s="218" t="s">
        <v>1253</v>
      </c>
      <c r="G242" s="218" t="s">
        <v>847</v>
      </c>
      <c r="H242" s="218">
        <v>1</v>
      </c>
      <c r="I242" s="1635"/>
      <c r="J242" s="332"/>
    </row>
    <row r="243" spans="2:10" s="101" customFormat="1" ht="18" outlineLevel="1" x14ac:dyDescent="0.25">
      <c r="B243" s="1479" t="s">
        <v>3152</v>
      </c>
      <c r="C243" s="1480" t="s">
        <v>3153</v>
      </c>
      <c r="D243" s="667">
        <v>50</v>
      </c>
      <c r="E243" s="666">
        <v>0</v>
      </c>
      <c r="F243" s="666" t="s">
        <v>1253</v>
      </c>
      <c r="G243" s="666" t="s">
        <v>847</v>
      </c>
      <c r="H243" s="666">
        <v>1</v>
      </c>
      <c r="I243" s="1636"/>
      <c r="J243" s="706"/>
    </row>
    <row r="244" spans="2:10" s="101" customFormat="1" ht="18.75" outlineLevel="1" thickBot="1" x14ac:dyDescent="0.3">
      <c r="B244" s="1481" t="s">
        <v>3154</v>
      </c>
      <c r="C244" s="1482" t="s">
        <v>3155</v>
      </c>
      <c r="D244" s="334">
        <v>0.2</v>
      </c>
      <c r="E244" s="424">
        <v>0</v>
      </c>
      <c r="F244" s="333" t="s">
        <v>1253</v>
      </c>
      <c r="G244" s="333" t="s">
        <v>3140</v>
      </c>
      <c r="H244" s="333">
        <v>3</v>
      </c>
      <c r="I244" s="1637"/>
      <c r="J244" s="627"/>
    </row>
    <row r="245" spans="2:10" s="101" customFormat="1" ht="15.75" thickBot="1" x14ac:dyDescent="0.3">
      <c r="B245" s="502"/>
      <c r="C245" s="1347"/>
      <c r="D245" s="106"/>
      <c r="E245" s="105"/>
      <c r="F245" s="105"/>
      <c r="G245" s="105"/>
      <c r="H245" s="105"/>
      <c r="I245" s="103"/>
      <c r="J245" s="119"/>
    </row>
    <row r="246" spans="2:10" s="101" customFormat="1" ht="15.75" thickBot="1" x14ac:dyDescent="0.3">
      <c r="B246" s="502"/>
      <c r="C246" s="1483" t="s">
        <v>4361</v>
      </c>
      <c r="D246" s="102" t="s">
        <v>299</v>
      </c>
      <c r="E246" s="102"/>
      <c r="F246" s="102"/>
      <c r="G246" s="102"/>
      <c r="H246" s="102"/>
      <c r="I246" s="115"/>
      <c r="J246" s="119"/>
    </row>
    <row r="247" spans="2:10" ht="15.75" thickBot="1" x14ac:dyDescent="0.3">
      <c r="B247" s="1612" t="s">
        <v>0</v>
      </c>
      <c r="C247" s="1613" t="s">
        <v>1</v>
      </c>
      <c r="D247" s="1061" t="s">
        <v>839</v>
      </c>
      <c r="E247" s="1061" t="s">
        <v>470</v>
      </c>
      <c r="F247" s="1061" t="s">
        <v>471</v>
      </c>
      <c r="G247" s="1061" t="s">
        <v>2</v>
      </c>
      <c r="H247" s="1061" t="s">
        <v>298</v>
      </c>
      <c r="I247" s="1060" t="s">
        <v>116</v>
      </c>
      <c r="J247" s="1777" t="s">
        <v>117</v>
      </c>
    </row>
    <row r="248" spans="2:10" s="101" customFormat="1" ht="18" outlineLevel="1" x14ac:dyDescent="0.25">
      <c r="B248" s="1484" t="s">
        <v>4362</v>
      </c>
      <c r="C248" s="1485" t="s">
        <v>4363</v>
      </c>
      <c r="D248" s="1084">
        <v>75</v>
      </c>
      <c r="E248" s="1084">
        <v>0</v>
      </c>
      <c r="F248" s="1084" t="s">
        <v>1253</v>
      </c>
      <c r="G248" s="1085" t="s">
        <v>847</v>
      </c>
      <c r="H248" s="1084">
        <v>0</v>
      </c>
      <c r="I248" s="1714"/>
      <c r="J248" s="1086"/>
    </row>
    <row r="249" spans="2:10" s="101" customFormat="1" ht="18" outlineLevel="1" x14ac:dyDescent="0.25">
      <c r="B249" s="1486" t="s">
        <v>4364</v>
      </c>
      <c r="C249" s="1487" t="s">
        <v>4365</v>
      </c>
      <c r="D249" s="1062">
        <v>1</v>
      </c>
      <c r="E249" s="1087">
        <v>0</v>
      </c>
      <c r="F249" s="1063" t="s">
        <v>1253</v>
      </c>
      <c r="G249" s="1088" t="s">
        <v>847</v>
      </c>
      <c r="H249" s="1063">
        <v>2</v>
      </c>
      <c r="I249" s="1102"/>
      <c r="J249" s="1089"/>
    </row>
    <row r="250" spans="2:10" s="101" customFormat="1" ht="18" outlineLevel="1" x14ac:dyDescent="0.25">
      <c r="B250" s="1486" t="s">
        <v>4366</v>
      </c>
      <c r="C250" s="1488" t="s">
        <v>4367</v>
      </c>
      <c r="D250" s="1063">
        <v>175</v>
      </c>
      <c r="E250" s="1087">
        <v>0</v>
      </c>
      <c r="F250" s="1087" t="s">
        <v>1253</v>
      </c>
      <c r="G250" s="1088" t="s">
        <v>847</v>
      </c>
      <c r="H250" s="1087">
        <v>0</v>
      </c>
      <c r="I250" s="1102"/>
      <c r="J250" s="1089"/>
    </row>
    <row r="251" spans="2:10" s="101" customFormat="1" ht="18" outlineLevel="1" x14ac:dyDescent="0.25">
      <c r="B251" s="1486" t="s">
        <v>4368</v>
      </c>
      <c r="C251" s="1487" t="s">
        <v>4369</v>
      </c>
      <c r="D251" s="1062">
        <v>1</v>
      </c>
      <c r="E251" s="1087">
        <v>0</v>
      </c>
      <c r="F251" s="1087" t="s">
        <v>1253</v>
      </c>
      <c r="G251" s="1088" t="s">
        <v>847</v>
      </c>
      <c r="H251" s="1087">
        <v>2</v>
      </c>
      <c r="I251" s="1102"/>
      <c r="J251" s="1089"/>
    </row>
    <row r="252" spans="2:10" s="101" customFormat="1" ht="18" outlineLevel="1" x14ac:dyDescent="0.25">
      <c r="B252" s="1486" t="s">
        <v>4370</v>
      </c>
      <c r="C252" s="1488" t="s">
        <v>4371</v>
      </c>
      <c r="D252" s="1063">
        <v>100</v>
      </c>
      <c r="E252" s="1087">
        <v>0</v>
      </c>
      <c r="F252" s="1087" t="s">
        <v>1253</v>
      </c>
      <c r="G252" s="1088" t="s">
        <v>847</v>
      </c>
      <c r="H252" s="1087">
        <v>0</v>
      </c>
      <c r="I252" s="1102"/>
      <c r="J252" s="1089"/>
    </row>
    <row r="253" spans="2:10" s="101" customFormat="1" ht="18" outlineLevel="1" x14ac:dyDescent="0.25">
      <c r="B253" s="1486" t="s">
        <v>4372</v>
      </c>
      <c r="C253" s="1488" t="s">
        <v>4373</v>
      </c>
      <c r="D253" s="1063">
        <v>10</v>
      </c>
      <c r="E253" s="1087">
        <v>0</v>
      </c>
      <c r="F253" s="1087" t="s">
        <v>1253</v>
      </c>
      <c r="G253" s="1088" t="s">
        <v>847</v>
      </c>
      <c r="H253" s="1087">
        <v>0</v>
      </c>
      <c r="I253" s="1102"/>
      <c r="J253" s="1089"/>
    </row>
    <row r="254" spans="2:10" s="101" customFormat="1" ht="18" outlineLevel="1" x14ac:dyDescent="0.25">
      <c r="B254" s="1486" t="s">
        <v>4374</v>
      </c>
      <c r="C254" s="1488" t="s">
        <v>4375</v>
      </c>
      <c r="D254" s="1063">
        <v>100</v>
      </c>
      <c r="E254" s="1087">
        <v>0</v>
      </c>
      <c r="F254" s="1087" t="s">
        <v>1253</v>
      </c>
      <c r="G254" s="1088" t="s">
        <v>847</v>
      </c>
      <c r="H254" s="1087">
        <v>0</v>
      </c>
      <c r="I254" s="1102"/>
      <c r="J254" s="1089"/>
    </row>
    <row r="255" spans="2:10" s="101" customFormat="1" ht="18" outlineLevel="1" x14ac:dyDescent="0.25">
      <c r="B255" s="1486" t="s">
        <v>4376</v>
      </c>
      <c r="C255" s="1487" t="s">
        <v>4377</v>
      </c>
      <c r="D255" s="1062">
        <v>0.1</v>
      </c>
      <c r="E255" s="1088">
        <v>0</v>
      </c>
      <c r="F255" s="1087" t="s">
        <v>1253</v>
      </c>
      <c r="G255" s="1087" t="s">
        <v>886</v>
      </c>
      <c r="H255" s="1087">
        <v>2</v>
      </c>
      <c r="I255" s="1102"/>
      <c r="J255" s="1089"/>
    </row>
    <row r="256" spans="2:10" s="101" customFormat="1" ht="18" outlineLevel="1" x14ac:dyDescent="0.25">
      <c r="B256" s="1486" t="s">
        <v>4378</v>
      </c>
      <c r="C256" s="1489" t="s">
        <v>4379</v>
      </c>
      <c r="D256" s="1090">
        <v>1E-3</v>
      </c>
      <c r="E256" s="1088">
        <v>0</v>
      </c>
      <c r="F256" s="1087" t="s">
        <v>1253</v>
      </c>
      <c r="G256" s="1087" t="s">
        <v>886</v>
      </c>
      <c r="H256" s="1087">
        <v>3</v>
      </c>
      <c r="I256" s="1102"/>
      <c r="J256" s="1089"/>
    </row>
    <row r="257" spans="2:10" s="101" customFormat="1" ht="18" outlineLevel="1" x14ac:dyDescent="0.25">
      <c r="B257" s="1849" t="s">
        <v>4993</v>
      </c>
      <c r="C257" s="1850" t="s">
        <v>4994</v>
      </c>
      <c r="D257" s="1786">
        <v>2</v>
      </c>
      <c r="E257" s="1894">
        <v>0</v>
      </c>
      <c r="F257" s="1895">
        <v>2</v>
      </c>
      <c r="G257" s="1851" t="s">
        <v>282</v>
      </c>
      <c r="H257" s="1851">
        <v>2</v>
      </c>
      <c r="I257" s="1141"/>
      <c r="J257" s="1852" t="s">
        <v>4980</v>
      </c>
    </row>
    <row r="258" spans="2:10" s="101" customFormat="1" ht="18.75" outlineLevel="1" thickBot="1" x14ac:dyDescent="0.3">
      <c r="B258" s="1490" t="s">
        <v>4380</v>
      </c>
      <c r="C258" s="1491" t="s">
        <v>4381</v>
      </c>
      <c r="D258" s="1091">
        <v>0.1</v>
      </c>
      <c r="E258" s="1092">
        <v>0</v>
      </c>
      <c r="F258" s="1093" t="s">
        <v>1253</v>
      </c>
      <c r="G258" s="1093" t="s">
        <v>886</v>
      </c>
      <c r="H258" s="1093">
        <v>3</v>
      </c>
      <c r="I258" s="1105"/>
      <c r="J258" s="1094"/>
    </row>
    <row r="259" spans="2:10" s="101" customFormat="1" ht="15.75" thickBot="1" x14ac:dyDescent="0.3">
      <c r="B259" s="502"/>
      <c r="C259" s="1347"/>
      <c r="D259" s="106"/>
      <c r="E259" s="105"/>
      <c r="F259" s="105"/>
      <c r="G259" s="105"/>
      <c r="H259" s="105"/>
      <c r="I259" s="103"/>
      <c r="J259" s="119"/>
    </row>
    <row r="260" spans="2:10" s="101" customFormat="1" ht="15.75" thickBot="1" x14ac:dyDescent="0.3">
      <c r="B260" s="502"/>
      <c r="C260" s="1430" t="s">
        <v>3156</v>
      </c>
      <c r="D260" s="102" t="s">
        <v>299</v>
      </c>
      <c r="E260" s="102"/>
      <c r="F260" s="102"/>
      <c r="G260" s="102"/>
      <c r="H260" s="102"/>
      <c r="I260" s="115"/>
      <c r="J260" s="119"/>
    </row>
    <row r="261" spans="2:10" ht="15.75" thickBot="1" x14ac:dyDescent="0.3">
      <c r="B261" s="1612" t="s">
        <v>0</v>
      </c>
      <c r="C261" s="1613" t="s">
        <v>1</v>
      </c>
      <c r="D261" s="1061" t="s">
        <v>839</v>
      </c>
      <c r="E261" s="1061" t="s">
        <v>470</v>
      </c>
      <c r="F261" s="1061" t="s">
        <v>471</v>
      </c>
      <c r="G261" s="1061" t="s">
        <v>2</v>
      </c>
      <c r="H261" s="1061" t="s">
        <v>298</v>
      </c>
      <c r="I261" s="1060" t="s">
        <v>116</v>
      </c>
      <c r="J261" s="1777" t="s">
        <v>117</v>
      </c>
    </row>
    <row r="262" spans="2:10" s="101" customFormat="1" ht="18" outlineLevel="1" x14ac:dyDescent="0.25">
      <c r="B262" s="1492" t="s">
        <v>3157</v>
      </c>
      <c r="C262" s="1493" t="s">
        <v>3158</v>
      </c>
      <c r="D262" s="709">
        <v>1</v>
      </c>
      <c r="E262" s="709">
        <v>0</v>
      </c>
      <c r="F262" s="710" t="s">
        <v>1253</v>
      </c>
      <c r="G262" s="709" t="s">
        <v>443</v>
      </c>
      <c r="H262" s="711">
        <v>2</v>
      </c>
      <c r="I262" s="1638"/>
      <c r="J262" s="1715">
        <v>1</v>
      </c>
    </row>
    <row r="263" spans="2:10" s="101" customFormat="1" ht="18" outlineLevel="1" x14ac:dyDescent="0.25">
      <c r="B263" s="1494" t="s">
        <v>3159</v>
      </c>
      <c r="C263" s="1495" t="s">
        <v>3160</v>
      </c>
      <c r="D263" s="712">
        <v>1</v>
      </c>
      <c r="E263" s="712">
        <v>0</v>
      </c>
      <c r="F263" s="713" t="s">
        <v>1253</v>
      </c>
      <c r="G263" s="712" t="s">
        <v>443</v>
      </c>
      <c r="H263" s="714">
        <v>2</v>
      </c>
      <c r="I263" s="1639"/>
      <c r="J263" s="1716">
        <v>1</v>
      </c>
    </row>
    <row r="264" spans="2:10" s="101" customFormat="1" ht="18" outlineLevel="1" x14ac:dyDescent="0.25">
      <c r="B264" s="1494" t="s">
        <v>3161</v>
      </c>
      <c r="C264" s="1495" t="s">
        <v>3162</v>
      </c>
      <c r="D264" s="712">
        <v>100</v>
      </c>
      <c r="E264" s="712">
        <v>0</v>
      </c>
      <c r="F264" s="713" t="s">
        <v>1253</v>
      </c>
      <c r="G264" s="713" t="s">
        <v>884</v>
      </c>
      <c r="H264" s="714">
        <v>1</v>
      </c>
      <c r="I264" s="1639"/>
      <c r="J264" s="1716"/>
    </row>
    <row r="265" spans="2:10" s="101" customFormat="1" ht="18" outlineLevel="1" x14ac:dyDescent="0.25">
      <c r="B265" s="1494" t="s">
        <v>3163</v>
      </c>
      <c r="C265" s="1495" t="s">
        <v>3164</v>
      </c>
      <c r="D265" s="712">
        <v>0.1</v>
      </c>
      <c r="E265" s="712">
        <v>0</v>
      </c>
      <c r="F265" s="713" t="s">
        <v>1253</v>
      </c>
      <c r="G265" s="712" t="s">
        <v>1990</v>
      </c>
      <c r="H265" s="714">
        <v>2</v>
      </c>
      <c r="I265" s="1639"/>
      <c r="J265" s="1716"/>
    </row>
    <row r="266" spans="2:10" s="101" customFormat="1" ht="18" outlineLevel="1" x14ac:dyDescent="0.25">
      <c r="B266" s="1494" t="s">
        <v>3165</v>
      </c>
      <c r="C266" s="1495" t="s">
        <v>3166</v>
      </c>
      <c r="D266" s="712">
        <v>0.1</v>
      </c>
      <c r="E266" s="712">
        <v>0</v>
      </c>
      <c r="F266" s="713" t="s">
        <v>1253</v>
      </c>
      <c r="G266" s="712" t="s">
        <v>5183</v>
      </c>
      <c r="H266" s="714">
        <v>2</v>
      </c>
      <c r="I266" s="1639"/>
      <c r="J266" s="1716">
        <v>0.1</v>
      </c>
    </row>
    <row r="267" spans="2:10" s="101" customFormat="1" ht="18" outlineLevel="1" x14ac:dyDescent="0.25">
      <c r="B267" s="1494" t="s">
        <v>3167</v>
      </c>
      <c r="C267" s="1495" t="s">
        <v>3168</v>
      </c>
      <c r="D267" s="712">
        <v>0.01</v>
      </c>
      <c r="E267" s="712">
        <v>0</v>
      </c>
      <c r="F267" s="713" t="s">
        <v>1253</v>
      </c>
      <c r="G267" s="715" t="s">
        <v>1864</v>
      </c>
      <c r="H267" s="714">
        <v>3</v>
      </c>
      <c r="I267" s="1639"/>
      <c r="J267" s="1716"/>
    </row>
    <row r="268" spans="2:10" s="101" customFormat="1" ht="18" outlineLevel="1" x14ac:dyDescent="0.25">
      <c r="B268" s="1494" t="s">
        <v>3169</v>
      </c>
      <c r="C268" s="1495" t="s">
        <v>3170</v>
      </c>
      <c r="D268" s="712">
        <v>50</v>
      </c>
      <c r="E268" s="712">
        <v>0</v>
      </c>
      <c r="F268" s="713" t="s">
        <v>1253</v>
      </c>
      <c r="G268" s="712" t="s">
        <v>443</v>
      </c>
      <c r="H268" s="714">
        <v>0</v>
      </c>
      <c r="I268" s="1639"/>
      <c r="J268" s="1716"/>
    </row>
    <row r="269" spans="2:10" s="101" customFormat="1" ht="18" outlineLevel="1" x14ac:dyDescent="0.25">
      <c r="B269" s="1494" t="s">
        <v>3171</v>
      </c>
      <c r="C269" s="1495" t="s">
        <v>3172</v>
      </c>
      <c r="D269" s="712">
        <v>0.33</v>
      </c>
      <c r="E269" s="712">
        <v>0</v>
      </c>
      <c r="F269" s="713" t="s">
        <v>1253</v>
      </c>
      <c r="G269" s="715" t="s">
        <v>1990</v>
      </c>
      <c r="H269" s="714">
        <v>2</v>
      </c>
      <c r="I269" s="1639"/>
      <c r="J269" s="1716"/>
    </row>
    <row r="270" spans="2:10" s="101" customFormat="1" ht="18" outlineLevel="1" x14ac:dyDescent="0.25">
      <c r="B270" s="1494" t="s">
        <v>3561</v>
      </c>
      <c r="C270" s="1495" t="s">
        <v>3565</v>
      </c>
      <c r="D270" s="712">
        <v>-100</v>
      </c>
      <c r="E270" s="712" t="s">
        <v>2188</v>
      </c>
      <c r="F270" s="713" t="s">
        <v>1253</v>
      </c>
      <c r="G270" s="712" t="s">
        <v>2145</v>
      </c>
      <c r="H270" s="714">
        <v>0</v>
      </c>
      <c r="I270" s="1639"/>
      <c r="J270" s="1716"/>
    </row>
    <row r="271" spans="2:10" s="101" customFormat="1" ht="18.75" outlineLevel="1" thickBot="1" x14ac:dyDescent="0.3">
      <c r="B271" s="1496" t="s">
        <v>3562</v>
      </c>
      <c r="C271" s="1497" t="s">
        <v>3566</v>
      </c>
      <c r="D271" s="630">
        <v>0.1</v>
      </c>
      <c r="E271" s="630">
        <v>0</v>
      </c>
      <c r="F271" s="631" t="s">
        <v>1253</v>
      </c>
      <c r="G271" s="630" t="s">
        <v>1990</v>
      </c>
      <c r="H271" s="632">
        <v>2</v>
      </c>
      <c r="I271" s="1640"/>
      <c r="J271" s="1717"/>
    </row>
    <row r="272" spans="2:10" s="101" customFormat="1" ht="15.75" thickBot="1" x14ac:dyDescent="0.3">
      <c r="B272" s="502"/>
      <c r="C272" s="502"/>
      <c r="D272" s="102"/>
      <c r="E272" s="102"/>
      <c r="F272" s="102"/>
      <c r="G272" s="102"/>
      <c r="H272" s="102"/>
      <c r="I272" s="115"/>
      <c r="J272" s="119"/>
    </row>
    <row r="273" spans="2:10" s="101" customFormat="1" ht="15.75" thickBot="1" x14ac:dyDescent="0.3">
      <c r="B273" s="502"/>
      <c r="C273" s="1452" t="s">
        <v>301</v>
      </c>
      <c r="D273" s="102" t="s">
        <v>299</v>
      </c>
      <c r="E273" s="102"/>
      <c r="F273" s="102"/>
      <c r="G273" s="102"/>
      <c r="H273" s="102"/>
      <c r="I273" s="115"/>
      <c r="J273" s="119"/>
    </row>
    <row r="274" spans="2:10" ht="15.75" thickBot="1" x14ac:dyDescent="0.3">
      <c r="B274" s="1612" t="s">
        <v>0</v>
      </c>
      <c r="C274" s="1613" t="s">
        <v>1</v>
      </c>
      <c r="D274" s="1061" t="s">
        <v>839</v>
      </c>
      <c r="E274" s="1061" t="s">
        <v>470</v>
      </c>
      <c r="F274" s="1061" t="s">
        <v>471</v>
      </c>
      <c r="G274" s="1061" t="s">
        <v>2</v>
      </c>
      <c r="H274" s="1061" t="s">
        <v>298</v>
      </c>
      <c r="I274" s="1060" t="s">
        <v>116</v>
      </c>
      <c r="J274" s="1777" t="s">
        <v>117</v>
      </c>
    </row>
    <row r="275" spans="2:10" s="101" customFormat="1" ht="18" outlineLevel="1" x14ac:dyDescent="0.25">
      <c r="B275" s="1498" t="s">
        <v>1929</v>
      </c>
      <c r="C275" s="1499" t="s">
        <v>2551</v>
      </c>
      <c r="D275" s="425">
        <v>5.0000000000000001E-3</v>
      </c>
      <c r="E275" s="426">
        <v>0</v>
      </c>
      <c r="F275" s="426" t="s">
        <v>1253</v>
      </c>
      <c r="G275" s="426" t="s">
        <v>884</v>
      </c>
      <c r="H275" s="426">
        <v>3</v>
      </c>
      <c r="I275" s="1641"/>
      <c r="J275" s="1718"/>
    </row>
    <row r="276" spans="2:10" s="101" customFormat="1" ht="18" outlineLevel="1" x14ac:dyDescent="0.25">
      <c r="B276" s="239" t="s">
        <v>1930</v>
      </c>
      <c r="C276" s="1500" t="s">
        <v>2552</v>
      </c>
      <c r="D276" s="120">
        <v>2E-3</v>
      </c>
      <c r="E276" s="117">
        <v>0</v>
      </c>
      <c r="F276" s="117" t="s">
        <v>1253</v>
      </c>
      <c r="G276" s="117" t="s">
        <v>886</v>
      </c>
      <c r="H276" s="117">
        <v>3</v>
      </c>
      <c r="I276" s="1642"/>
      <c r="J276" s="1719"/>
    </row>
    <row r="277" spans="2:10" s="101" customFormat="1" ht="18" outlineLevel="1" x14ac:dyDescent="0.25">
      <c r="B277" s="1501" t="s">
        <v>3173</v>
      </c>
      <c r="C277" s="1500" t="s">
        <v>3174</v>
      </c>
      <c r="D277" s="668">
        <v>2E-3</v>
      </c>
      <c r="E277" s="669">
        <v>0</v>
      </c>
      <c r="F277" s="669" t="s">
        <v>1253</v>
      </c>
      <c r="G277" s="669" t="s">
        <v>3140</v>
      </c>
      <c r="H277" s="669">
        <v>3</v>
      </c>
      <c r="I277" s="1643"/>
      <c r="J277" s="1720"/>
    </row>
    <row r="278" spans="2:10" s="101" customFormat="1" ht="18" outlineLevel="1" x14ac:dyDescent="0.25">
      <c r="B278" s="1502" t="s">
        <v>1931</v>
      </c>
      <c r="C278" s="1503" t="s">
        <v>2553</v>
      </c>
      <c r="D278" s="427">
        <v>1.2</v>
      </c>
      <c r="E278" s="117">
        <v>0</v>
      </c>
      <c r="F278" s="428" t="s">
        <v>1253</v>
      </c>
      <c r="G278" s="428" t="s">
        <v>1603</v>
      </c>
      <c r="H278" s="428">
        <v>1</v>
      </c>
      <c r="I278" s="1644"/>
      <c r="J278" s="1721"/>
    </row>
    <row r="279" spans="2:10" s="101" customFormat="1" ht="18" outlineLevel="1" x14ac:dyDescent="0.25">
      <c r="B279" s="239" t="s">
        <v>1932</v>
      </c>
      <c r="C279" s="505" t="s">
        <v>2554</v>
      </c>
      <c r="D279" s="86">
        <v>0.1</v>
      </c>
      <c r="E279" s="117">
        <v>0</v>
      </c>
      <c r="F279" s="86" t="s">
        <v>1253</v>
      </c>
      <c r="G279" s="86" t="s">
        <v>2937</v>
      </c>
      <c r="H279" s="86">
        <v>1</v>
      </c>
      <c r="I279" s="77"/>
      <c r="J279" s="367"/>
    </row>
    <row r="280" spans="2:10" s="101" customFormat="1" ht="18" outlineLevel="1" x14ac:dyDescent="0.25">
      <c r="B280" s="239" t="s">
        <v>1933</v>
      </c>
      <c r="C280" s="505" t="s">
        <v>2555</v>
      </c>
      <c r="D280" s="86">
        <v>0.1</v>
      </c>
      <c r="E280" s="117">
        <v>0</v>
      </c>
      <c r="F280" s="86" t="s">
        <v>1253</v>
      </c>
      <c r="G280" s="86" t="s">
        <v>2938</v>
      </c>
      <c r="H280" s="86">
        <v>1</v>
      </c>
      <c r="I280" s="77"/>
      <c r="J280" s="367"/>
    </row>
    <row r="281" spans="2:10" s="101" customFormat="1" ht="18" outlineLevel="1" x14ac:dyDescent="0.25">
      <c r="B281" s="1504" t="s">
        <v>4154</v>
      </c>
      <c r="C281" s="1505" t="s">
        <v>4155</v>
      </c>
      <c r="D281" s="1043">
        <v>1E-4</v>
      </c>
      <c r="E281" s="1044">
        <v>0</v>
      </c>
      <c r="F281" s="1043" t="s">
        <v>1253</v>
      </c>
      <c r="G281" s="1043" t="s">
        <v>1607</v>
      </c>
      <c r="H281" s="1043">
        <v>4</v>
      </c>
      <c r="I281" s="1042"/>
      <c r="J281" s="1173"/>
    </row>
    <row r="282" spans="2:10" s="101" customFormat="1" ht="18" outlineLevel="1" x14ac:dyDescent="0.25">
      <c r="B282" s="1504" t="s">
        <v>4156</v>
      </c>
      <c r="C282" s="1505" t="s">
        <v>4157</v>
      </c>
      <c r="D282" s="1043">
        <v>1E-4</v>
      </c>
      <c r="E282" s="1044">
        <v>0</v>
      </c>
      <c r="F282" s="1043" t="s">
        <v>1253</v>
      </c>
      <c r="G282" s="1043" t="s">
        <v>1609</v>
      </c>
      <c r="H282" s="1043">
        <v>4</v>
      </c>
      <c r="I282" s="1042"/>
      <c r="J282" s="1173"/>
    </row>
    <row r="283" spans="2:10" s="101" customFormat="1" ht="18" outlineLevel="1" x14ac:dyDescent="0.25">
      <c r="B283" s="239" t="s">
        <v>1717</v>
      </c>
      <c r="C283" s="1506" t="s">
        <v>2556</v>
      </c>
      <c r="D283" s="121">
        <v>0.5</v>
      </c>
      <c r="E283" s="117">
        <v>0</v>
      </c>
      <c r="F283" s="117" t="s">
        <v>1253</v>
      </c>
      <c r="G283" s="122" t="s">
        <v>1990</v>
      </c>
      <c r="H283" s="117">
        <v>2</v>
      </c>
      <c r="I283" s="1642"/>
      <c r="J283" s="1719"/>
    </row>
    <row r="284" spans="2:10" s="101" customFormat="1" ht="18" outlineLevel="1" x14ac:dyDescent="0.25">
      <c r="B284" s="239" t="s">
        <v>1718</v>
      </c>
      <c r="C284" s="1506" t="s">
        <v>2557</v>
      </c>
      <c r="D284" s="121">
        <v>0.25</v>
      </c>
      <c r="E284" s="117">
        <v>0</v>
      </c>
      <c r="F284" s="117" t="s">
        <v>1253</v>
      </c>
      <c r="G284" s="122" t="s">
        <v>1990</v>
      </c>
      <c r="H284" s="117">
        <v>2</v>
      </c>
      <c r="I284" s="1642"/>
      <c r="J284" s="1719"/>
    </row>
    <row r="285" spans="2:10" s="101" customFormat="1" ht="18" outlineLevel="1" x14ac:dyDescent="0.25">
      <c r="B285" s="239" t="s">
        <v>1951</v>
      </c>
      <c r="C285" s="1506" t="s">
        <v>2560</v>
      </c>
      <c r="D285" s="121">
        <v>5</v>
      </c>
      <c r="E285" s="117">
        <v>0</v>
      </c>
      <c r="F285" s="117" t="s">
        <v>1253</v>
      </c>
      <c r="G285" s="122" t="s">
        <v>1990</v>
      </c>
      <c r="H285" s="117">
        <v>1</v>
      </c>
      <c r="I285" s="1642"/>
      <c r="J285" s="1719"/>
    </row>
    <row r="286" spans="2:10" s="101" customFormat="1" ht="18" outlineLevel="1" x14ac:dyDescent="0.25">
      <c r="B286" s="239" t="s">
        <v>1952</v>
      </c>
      <c r="C286" s="1506" t="s">
        <v>2561</v>
      </c>
      <c r="D286" s="121">
        <v>10</v>
      </c>
      <c r="E286" s="117">
        <v>0</v>
      </c>
      <c r="F286" s="117" t="s">
        <v>1253</v>
      </c>
      <c r="G286" s="122" t="s">
        <v>1990</v>
      </c>
      <c r="H286" s="117">
        <v>1</v>
      </c>
      <c r="I286" s="1642"/>
      <c r="J286" s="1719"/>
    </row>
    <row r="287" spans="2:10" s="101" customFormat="1" ht="18" outlineLevel="1" x14ac:dyDescent="0.25">
      <c r="B287" s="239" t="s">
        <v>2106</v>
      </c>
      <c r="C287" s="1506" t="s">
        <v>2562</v>
      </c>
      <c r="D287" s="121">
        <v>10</v>
      </c>
      <c r="E287" s="117">
        <v>0</v>
      </c>
      <c r="F287" s="117" t="s">
        <v>1253</v>
      </c>
      <c r="G287" s="122" t="s">
        <v>1990</v>
      </c>
      <c r="H287" s="117">
        <v>1</v>
      </c>
      <c r="I287" s="1642"/>
      <c r="J287" s="1719"/>
    </row>
    <row r="288" spans="2:10" s="101" customFormat="1" ht="18" outlineLevel="1" x14ac:dyDescent="0.25">
      <c r="B288" s="239" t="s">
        <v>1164</v>
      </c>
      <c r="C288" s="505" t="s">
        <v>2563</v>
      </c>
      <c r="D288" s="86">
        <v>3</v>
      </c>
      <c r="E288" s="86">
        <v>0</v>
      </c>
      <c r="F288" s="86" t="s">
        <v>1253</v>
      </c>
      <c r="G288" s="86" t="s">
        <v>377</v>
      </c>
      <c r="H288" s="86">
        <v>1</v>
      </c>
      <c r="I288" s="77"/>
      <c r="J288" s="367"/>
    </row>
    <row r="289" spans="1:16" s="101" customFormat="1" ht="18.75" outlineLevel="1" thickBot="1" x14ac:dyDescent="0.3">
      <c r="B289" s="444" t="s">
        <v>1165</v>
      </c>
      <c r="C289" s="1507" t="s">
        <v>2564</v>
      </c>
      <c r="D289" s="91">
        <v>11</v>
      </c>
      <c r="E289" s="91">
        <v>0</v>
      </c>
      <c r="F289" s="91" t="s">
        <v>1253</v>
      </c>
      <c r="G289" s="91" t="s">
        <v>377</v>
      </c>
      <c r="H289" s="91">
        <v>1</v>
      </c>
      <c r="I289" s="124"/>
      <c r="J289" s="1722"/>
    </row>
    <row r="290" spans="1:16" s="101" customFormat="1" ht="15.75" thickBot="1" x14ac:dyDescent="0.3">
      <c r="B290" s="502"/>
      <c r="C290" s="1347"/>
      <c r="D290" s="106"/>
      <c r="E290" s="105"/>
      <c r="F290" s="105"/>
      <c r="G290" s="105"/>
      <c r="H290" s="105"/>
      <c r="I290" s="103"/>
      <c r="J290" s="119"/>
    </row>
    <row r="291" spans="1:16" s="101" customFormat="1" ht="15.75" thickBot="1" x14ac:dyDescent="0.3">
      <c r="B291" s="502"/>
      <c r="C291" s="1452" t="s">
        <v>300</v>
      </c>
      <c r="D291" s="102" t="s">
        <v>299</v>
      </c>
      <c r="E291" s="102"/>
      <c r="F291" s="102"/>
      <c r="G291" s="102"/>
      <c r="H291" s="102"/>
      <c r="I291" s="115"/>
      <c r="J291" s="119"/>
    </row>
    <row r="292" spans="1:16" s="101" customFormat="1" ht="15.75" thickBot="1" x14ac:dyDescent="0.3">
      <c r="B292" s="1422" t="s">
        <v>0</v>
      </c>
      <c r="C292" s="1423" t="s">
        <v>1</v>
      </c>
      <c r="D292" s="125" t="s">
        <v>839</v>
      </c>
      <c r="E292" s="125" t="s">
        <v>470</v>
      </c>
      <c r="F292" s="125" t="s">
        <v>471</v>
      </c>
      <c r="G292" s="125" t="s">
        <v>2</v>
      </c>
      <c r="H292" s="125" t="s">
        <v>298</v>
      </c>
      <c r="I292" s="1696" t="s">
        <v>116</v>
      </c>
      <c r="J292" s="1697" t="s">
        <v>117</v>
      </c>
    </row>
    <row r="293" spans="1:16" s="101" customFormat="1" ht="18" outlineLevel="1" x14ac:dyDescent="0.25">
      <c r="B293" s="3004" t="s">
        <v>5879</v>
      </c>
      <c r="C293" s="3005" t="s">
        <v>5880</v>
      </c>
      <c r="D293" s="2841">
        <v>3</v>
      </c>
      <c r="E293" s="463">
        <v>0</v>
      </c>
      <c r="F293" s="463" t="s">
        <v>1253</v>
      </c>
      <c r="G293" s="463" t="s">
        <v>847</v>
      </c>
      <c r="H293" s="463">
        <v>1</v>
      </c>
      <c r="I293" s="1645" t="s">
        <v>5702</v>
      </c>
      <c r="J293" s="1723"/>
    </row>
    <row r="294" spans="1:16" s="3003" customFormat="1" ht="18" outlineLevel="1" x14ac:dyDescent="0.25">
      <c r="A294" s="101"/>
      <c r="B294" s="2845" t="s">
        <v>5876</v>
      </c>
      <c r="C294" s="2846" t="s">
        <v>5877</v>
      </c>
      <c r="D294" s="2841">
        <v>1</v>
      </c>
      <c r="E294" s="2842">
        <v>0</v>
      </c>
      <c r="F294" s="2842" t="s">
        <v>1253</v>
      </c>
      <c r="G294" s="2842" t="s">
        <v>847</v>
      </c>
      <c r="H294" s="2842">
        <v>1</v>
      </c>
      <c r="I294" s="2843" t="s">
        <v>5878</v>
      </c>
      <c r="J294" s="2844"/>
      <c r="K294" s="101"/>
      <c r="L294" s="101"/>
      <c r="M294" s="101"/>
      <c r="N294" s="101"/>
      <c r="O294" s="101"/>
      <c r="P294" s="101"/>
    </row>
    <row r="295" spans="1:16" s="101" customFormat="1" ht="18" outlineLevel="1" x14ac:dyDescent="0.25">
      <c r="B295" s="1508" t="s">
        <v>1715</v>
      </c>
      <c r="C295" s="1509" t="s">
        <v>2558</v>
      </c>
      <c r="D295" s="2841">
        <v>0.5</v>
      </c>
      <c r="E295" s="364">
        <v>0</v>
      </c>
      <c r="F295" s="364" t="s">
        <v>1253</v>
      </c>
      <c r="G295" s="364" t="s">
        <v>1990</v>
      </c>
      <c r="H295" s="364">
        <v>2</v>
      </c>
      <c r="I295" s="1646"/>
      <c r="J295" s="1724"/>
    </row>
    <row r="296" spans="1:16" s="101" customFormat="1" ht="18" outlineLevel="1" x14ac:dyDescent="0.25">
      <c r="B296" s="1508" t="s">
        <v>1716</v>
      </c>
      <c r="C296" s="1509" t="s">
        <v>2559</v>
      </c>
      <c r="D296" s="2841">
        <v>0.2</v>
      </c>
      <c r="E296" s="364">
        <v>0</v>
      </c>
      <c r="F296" s="364" t="s">
        <v>1253</v>
      </c>
      <c r="G296" s="364" t="s">
        <v>1990</v>
      </c>
      <c r="H296" s="364">
        <v>2</v>
      </c>
      <c r="I296" s="1646"/>
      <c r="J296" s="1724"/>
    </row>
    <row r="297" spans="1:16" s="101" customFormat="1" ht="18" outlineLevel="1" x14ac:dyDescent="0.25">
      <c r="B297" s="2845" t="s">
        <v>853</v>
      </c>
      <c r="C297" s="2846" t="s">
        <v>2566</v>
      </c>
      <c r="D297" s="2841">
        <v>0.5</v>
      </c>
      <c r="E297" s="2842">
        <v>0</v>
      </c>
      <c r="F297" s="2842" t="s">
        <v>1253</v>
      </c>
      <c r="G297" s="2842" t="s">
        <v>847</v>
      </c>
      <c r="H297" s="2842">
        <v>1</v>
      </c>
      <c r="I297" s="2843"/>
      <c r="J297" s="2844"/>
    </row>
    <row r="298" spans="1:16" s="101" customFormat="1" ht="18" outlineLevel="1" x14ac:dyDescent="0.25">
      <c r="B298" s="2845" t="s">
        <v>5532</v>
      </c>
      <c r="C298" s="2846" t="s">
        <v>5533</v>
      </c>
      <c r="D298" s="2841">
        <v>1000</v>
      </c>
      <c r="E298" s="2842">
        <v>0</v>
      </c>
      <c r="F298" s="2842" t="s">
        <v>1253</v>
      </c>
      <c r="G298" s="2842" t="s">
        <v>847</v>
      </c>
      <c r="H298" s="2842">
        <v>1</v>
      </c>
      <c r="I298" s="2843"/>
      <c r="J298" s="2844"/>
    </row>
    <row r="299" spans="1:16" s="101" customFormat="1" ht="18" outlineLevel="1" x14ac:dyDescent="0.25">
      <c r="B299" s="2845" t="s">
        <v>5534</v>
      </c>
      <c r="C299" s="2846" t="s">
        <v>5535</v>
      </c>
      <c r="D299" s="2841">
        <v>1000</v>
      </c>
      <c r="E299" s="2842">
        <v>0</v>
      </c>
      <c r="F299" s="2842" t="s">
        <v>1253</v>
      </c>
      <c r="G299" s="2842" t="s">
        <v>847</v>
      </c>
      <c r="H299" s="2842">
        <v>1</v>
      </c>
      <c r="I299" s="2843"/>
      <c r="J299" s="2844"/>
    </row>
    <row r="300" spans="1:16" s="101" customFormat="1" ht="18" outlineLevel="1" x14ac:dyDescent="0.25">
      <c r="B300" s="2845" t="s">
        <v>5536</v>
      </c>
      <c r="C300" s="2846" t="s">
        <v>5537</v>
      </c>
      <c r="D300" s="2841">
        <v>5</v>
      </c>
      <c r="E300" s="2842">
        <v>0</v>
      </c>
      <c r="F300" s="2842" t="s">
        <v>1253</v>
      </c>
      <c r="G300" s="2842" t="s">
        <v>377</v>
      </c>
      <c r="H300" s="2842">
        <v>1</v>
      </c>
      <c r="I300" s="2843"/>
      <c r="J300" s="2844"/>
    </row>
    <row r="301" spans="1:16" s="101" customFormat="1" ht="18" outlineLevel="1" x14ac:dyDescent="0.25">
      <c r="B301" s="2845" t="s">
        <v>5538</v>
      </c>
      <c r="C301" s="2846" t="s">
        <v>5539</v>
      </c>
      <c r="D301" s="2841">
        <v>9</v>
      </c>
      <c r="E301" s="2842">
        <v>0</v>
      </c>
      <c r="F301" s="2842" t="s">
        <v>1253</v>
      </c>
      <c r="G301" s="2842" t="s">
        <v>377</v>
      </c>
      <c r="H301" s="2842">
        <v>1</v>
      </c>
      <c r="I301" s="2843"/>
      <c r="J301" s="2844"/>
    </row>
    <row r="302" spans="1:16" s="101" customFormat="1" ht="18" outlineLevel="1" x14ac:dyDescent="0.25">
      <c r="B302" s="2845" t="s">
        <v>5540</v>
      </c>
      <c r="C302" s="2846" t="s">
        <v>5541</v>
      </c>
      <c r="D302" s="2841">
        <v>5</v>
      </c>
      <c r="E302" s="2842">
        <v>0</v>
      </c>
      <c r="F302" s="2842" t="s">
        <v>1253</v>
      </c>
      <c r="G302" s="2842" t="s">
        <v>377</v>
      </c>
      <c r="H302" s="2842">
        <v>1</v>
      </c>
      <c r="I302" s="2843"/>
      <c r="J302" s="2844"/>
    </row>
    <row r="303" spans="1:16" s="101" customFormat="1" ht="18" outlineLevel="1" x14ac:dyDescent="0.25">
      <c r="B303" s="2845" t="s">
        <v>5542</v>
      </c>
      <c r="C303" s="2846" t="s">
        <v>5543</v>
      </c>
      <c r="D303" s="2841">
        <v>9</v>
      </c>
      <c r="E303" s="2842">
        <v>0</v>
      </c>
      <c r="F303" s="2842" t="s">
        <v>1253</v>
      </c>
      <c r="G303" s="2842" t="s">
        <v>377</v>
      </c>
      <c r="H303" s="2842">
        <v>1</v>
      </c>
      <c r="I303" s="2843"/>
      <c r="J303" s="2844"/>
    </row>
    <row r="304" spans="1:16" s="101" customFormat="1" ht="18" outlineLevel="1" x14ac:dyDescent="0.25">
      <c r="B304" s="1510" t="s">
        <v>1934</v>
      </c>
      <c r="C304" s="1512" t="s">
        <v>2567</v>
      </c>
      <c r="D304" s="112">
        <v>0.05</v>
      </c>
      <c r="E304" s="108">
        <v>0</v>
      </c>
      <c r="F304" s="108" t="s">
        <v>1253</v>
      </c>
      <c r="G304" s="108" t="s">
        <v>2176</v>
      </c>
      <c r="H304" s="108">
        <v>2</v>
      </c>
      <c r="I304" s="109"/>
      <c r="J304" s="1725"/>
    </row>
    <row r="305" spans="1:16" s="101" customFormat="1" ht="18" outlineLevel="1" x14ac:dyDescent="0.25">
      <c r="B305" s="2670" t="s">
        <v>5382</v>
      </c>
      <c r="C305" s="2671" t="s">
        <v>5383</v>
      </c>
      <c r="D305" s="2667">
        <v>500</v>
      </c>
      <c r="E305" s="1894">
        <v>0</v>
      </c>
      <c r="F305" s="1894" t="s">
        <v>1253</v>
      </c>
      <c r="G305" s="1894" t="s">
        <v>848</v>
      </c>
      <c r="H305" s="1894">
        <v>0</v>
      </c>
      <c r="I305" s="2668"/>
      <c r="J305" s="2669"/>
    </row>
    <row r="306" spans="1:16" s="101" customFormat="1" ht="18" outlineLevel="1" x14ac:dyDescent="0.25">
      <c r="B306" s="2670" t="s">
        <v>5384</v>
      </c>
      <c r="C306" s="2671" t="s">
        <v>5385</v>
      </c>
      <c r="D306" s="2667">
        <v>0.1</v>
      </c>
      <c r="E306" s="1894">
        <v>0</v>
      </c>
      <c r="F306" s="1894">
        <v>2</v>
      </c>
      <c r="G306" s="1894" t="s">
        <v>282</v>
      </c>
      <c r="H306" s="1894">
        <v>2</v>
      </c>
      <c r="I306" s="2668"/>
      <c r="J306" s="2669" t="s">
        <v>5381</v>
      </c>
    </row>
    <row r="307" spans="1:16" s="101" customFormat="1" ht="18" outlineLevel="1" x14ac:dyDescent="0.25">
      <c r="B307" s="2832" t="s">
        <v>5386</v>
      </c>
      <c r="C307" s="2847" t="s">
        <v>5550</v>
      </c>
      <c r="D307" s="2871">
        <v>5</v>
      </c>
      <c r="E307" s="2835">
        <v>0</v>
      </c>
      <c r="F307" s="2835" t="s">
        <v>1253</v>
      </c>
      <c r="G307" s="2835" t="s">
        <v>848</v>
      </c>
      <c r="H307" s="2835">
        <v>1</v>
      </c>
      <c r="I307" s="2836"/>
      <c r="J307" s="2837"/>
    </row>
    <row r="308" spans="1:16" s="101" customFormat="1" ht="18" outlineLevel="1" x14ac:dyDescent="0.25">
      <c r="B308" s="2832" t="s">
        <v>5387</v>
      </c>
      <c r="C308" s="2847" t="s">
        <v>5550</v>
      </c>
      <c r="D308" s="2871">
        <v>1</v>
      </c>
      <c r="E308" s="2835">
        <v>0</v>
      </c>
      <c r="F308" s="2835" t="s">
        <v>1253</v>
      </c>
      <c r="G308" s="2835" t="s">
        <v>848</v>
      </c>
      <c r="H308" s="2835">
        <v>1</v>
      </c>
      <c r="I308" s="2836"/>
      <c r="J308" s="2837"/>
    </row>
    <row r="309" spans="1:16" s="101" customFormat="1" ht="18" outlineLevel="1" x14ac:dyDescent="0.25">
      <c r="B309" s="2832" t="s">
        <v>5544</v>
      </c>
      <c r="C309" s="2847" t="s">
        <v>5545</v>
      </c>
      <c r="D309" s="2871">
        <v>5</v>
      </c>
      <c r="E309" s="2835">
        <v>0</v>
      </c>
      <c r="F309" s="2835" t="s">
        <v>1253</v>
      </c>
      <c r="G309" s="2835" t="s">
        <v>848</v>
      </c>
      <c r="H309" s="2835">
        <v>1</v>
      </c>
      <c r="I309" s="2836"/>
      <c r="J309" s="2837"/>
    </row>
    <row r="310" spans="1:16" s="101" customFormat="1" ht="18" outlineLevel="1" x14ac:dyDescent="0.25">
      <c r="B310" s="2832" t="s">
        <v>5546</v>
      </c>
      <c r="C310" s="2847" t="s">
        <v>5545</v>
      </c>
      <c r="D310" s="2871">
        <v>1</v>
      </c>
      <c r="E310" s="2835">
        <v>0</v>
      </c>
      <c r="F310" s="2835" t="s">
        <v>1253</v>
      </c>
      <c r="G310" s="2835" t="s">
        <v>848</v>
      </c>
      <c r="H310" s="2835">
        <v>1</v>
      </c>
      <c r="I310" s="2836"/>
      <c r="J310" s="2837"/>
    </row>
    <row r="311" spans="1:16" s="101" customFormat="1" ht="18" outlineLevel="1" x14ac:dyDescent="0.25">
      <c r="B311" s="2832" t="s">
        <v>5547</v>
      </c>
      <c r="C311" s="2847" t="s">
        <v>5548</v>
      </c>
      <c r="D311" s="2871">
        <v>5</v>
      </c>
      <c r="E311" s="2835">
        <v>0</v>
      </c>
      <c r="F311" s="2835" t="s">
        <v>1253</v>
      </c>
      <c r="G311" s="2835" t="s">
        <v>848</v>
      </c>
      <c r="H311" s="2835">
        <v>1</v>
      </c>
      <c r="I311" s="2836"/>
      <c r="J311" s="2837"/>
    </row>
    <row r="312" spans="1:16" s="101" customFormat="1" ht="18" outlineLevel="1" x14ac:dyDescent="0.25">
      <c r="B312" s="2832" t="s">
        <v>5549</v>
      </c>
      <c r="C312" s="2847" t="s">
        <v>5548</v>
      </c>
      <c r="D312" s="2871">
        <v>1</v>
      </c>
      <c r="E312" s="2835">
        <v>0</v>
      </c>
      <c r="F312" s="2835" t="s">
        <v>1253</v>
      </c>
      <c r="G312" s="2835" t="s">
        <v>848</v>
      </c>
      <c r="H312" s="2835">
        <v>1</v>
      </c>
      <c r="I312" s="2836"/>
      <c r="J312" s="2837"/>
    </row>
    <row r="313" spans="1:16" s="101" customFormat="1" ht="18" outlineLevel="1" x14ac:dyDescent="0.25">
      <c r="B313" s="2670" t="s">
        <v>5388</v>
      </c>
      <c r="C313" s="2672" t="s">
        <v>5389</v>
      </c>
      <c r="D313" s="2872">
        <v>500</v>
      </c>
      <c r="E313" s="1894">
        <v>0</v>
      </c>
      <c r="F313" s="1894" t="s">
        <v>1253</v>
      </c>
      <c r="G313" s="1894" t="s">
        <v>848</v>
      </c>
      <c r="H313" s="1894">
        <v>1</v>
      </c>
      <c r="I313" s="2668"/>
      <c r="J313" s="2669" t="s">
        <v>5390</v>
      </c>
    </row>
    <row r="314" spans="1:16" s="3003" customFormat="1" ht="30" outlineLevel="1" x14ac:dyDescent="0.25">
      <c r="A314" s="101"/>
      <c r="B314" s="2832" t="s">
        <v>5881</v>
      </c>
      <c r="C314" s="2847" t="s">
        <v>5882</v>
      </c>
      <c r="D314" s="2872">
        <v>500</v>
      </c>
      <c r="E314" s="2835">
        <v>0</v>
      </c>
      <c r="F314" s="2835" t="s">
        <v>1253</v>
      </c>
      <c r="G314" s="2835" t="s">
        <v>848</v>
      </c>
      <c r="H314" s="2835">
        <v>4</v>
      </c>
      <c r="I314" s="2836"/>
      <c r="J314" s="2837" t="s">
        <v>5390</v>
      </c>
      <c r="K314" s="101"/>
      <c r="L314" s="101"/>
      <c r="M314" s="101"/>
      <c r="N314" s="101"/>
      <c r="O314" s="101"/>
      <c r="P314" s="101"/>
    </row>
    <row r="315" spans="1:16" s="101" customFormat="1" ht="18" outlineLevel="1" x14ac:dyDescent="0.25">
      <c r="B315" s="2670" t="s">
        <v>5391</v>
      </c>
      <c r="C315" s="2672" t="s">
        <v>5392</v>
      </c>
      <c r="D315" s="2872">
        <v>500</v>
      </c>
      <c r="E315" s="1894">
        <v>0</v>
      </c>
      <c r="F315" s="1894" t="s">
        <v>1253</v>
      </c>
      <c r="G315" s="1894" t="s">
        <v>848</v>
      </c>
      <c r="H315" s="1894">
        <v>1</v>
      </c>
      <c r="I315" s="2668"/>
      <c r="J315" s="2669"/>
    </row>
    <row r="316" spans="1:16" s="101" customFormat="1" ht="18" outlineLevel="1" x14ac:dyDescent="0.25">
      <c r="B316" s="1510" t="s">
        <v>854</v>
      </c>
      <c r="C316" s="1512" t="s">
        <v>2568</v>
      </c>
      <c r="D316" s="112">
        <v>0.05</v>
      </c>
      <c r="E316" s="108">
        <v>0</v>
      </c>
      <c r="F316" s="108" t="s">
        <v>1253</v>
      </c>
      <c r="G316" s="108" t="s">
        <v>847</v>
      </c>
      <c r="H316" s="108">
        <v>2</v>
      </c>
      <c r="I316" s="109"/>
      <c r="J316" s="1725"/>
    </row>
    <row r="317" spans="1:16" s="101" customFormat="1" ht="18" outlineLevel="1" x14ac:dyDescent="0.25">
      <c r="B317" s="1510" t="s">
        <v>1741</v>
      </c>
      <c r="C317" s="1512" t="s">
        <v>2569</v>
      </c>
      <c r="D317" s="112">
        <v>0.5</v>
      </c>
      <c r="E317" s="108">
        <v>0</v>
      </c>
      <c r="F317" s="108" t="s">
        <v>1253</v>
      </c>
      <c r="G317" s="108" t="s">
        <v>847</v>
      </c>
      <c r="H317" s="108">
        <v>2</v>
      </c>
      <c r="I317" s="109"/>
      <c r="J317" s="1725"/>
    </row>
    <row r="318" spans="1:16" s="101" customFormat="1" ht="18" outlineLevel="1" x14ac:dyDescent="0.25">
      <c r="B318" s="1510" t="s">
        <v>1742</v>
      </c>
      <c r="C318" s="1513" t="s">
        <v>2570</v>
      </c>
      <c r="D318" s="111">
        <v>7.0000000000000001E-3</v>
      </c>
      <c r="E318" s="108">
        <v>0</v>
      </c>
      <c r="F318" s="108" t="s">
        <v>1253</v>
      </c>
      <c r="G318" s="108" t="s">
        <v>847</v>
      </c>
      <c r="H318" s="108">
        <v>3</v>
      </c>
      <c r="I318" s="109"/>
      <c r="J318" s="1725"/>
    </row>
    <row r="319" spans="1:16" s="101" customFormat="1" ht="18" outlineLevel="1" x14ac:dyDescent="0.25">
      <c r="B319" s="2269" t="s">
        <v>5172</v>
      </c>
      <c r="C319" s="2265" t="s">
        <v>5173</v>
      </c>
      <c r="D319" s="2270">
        <v>9.9999999999999995E-7</v>
      </c>
      <c r="E319" s="2266">
        <v>0</v>
      </c>
      <c r="F319" s="2266" t="s">
        <v>1253</v>
      </c>
      <c r="G319" s="2266" t="s">
        <v>847</v>
      </c>
      <c r="H319" s="2266">
        <v>6</v>
      </c>
      <c r="I319" s="2267"/>
      <c r="J319" s="2268"/>
    </row>
    <row r="320" spans="1:16" s="101" customFormat="1" ht="18" outlineLevel="1" x14ac:dyDescent="0.25">
      <c r="B320" s="2269" t="s">
        <v>5190</v>
      </c>
      <c r="C320" s="2265" t="s">
        <v>5202</v>
      </c>
      <c r="D320" s="2287">
        <v>10</v>
      </c>
      <c r="E320" s="2266">
        <v>0</v>
      </c>
      <c r="F320" s="2266" t="s">
        <v>1253</v>
      </c>
      <c r="G320" s="2266" t="s">
        <v>848</v>
      </c>
      <c r="H320" s="2266">
        <v>0</v>
      </c>
      <c r="I320" s="2267"/>
      <c r="J320" s="2268"/>
    </row>
    <row r="321" spans="1:15" s="101" customFormat="1" ht="18" outlineLevel="1" x14ac:dyDescent="0.25">
      <c r="B321" s="1510" t="s">
        <v>855</v>
      </c>
      <c r="C321" s="1509" t="s">
        <v>2571</v>
      </c>
      <c r="D321" s="110">
        <v>1</v>
      </c>
      <c r="E321" s="108">
        <v>0</v>
      </c>
      <c r="F321" s="108" t="s">
        <v>1253</v>
      </c>
      <c r="G321" s="108" t="s">
        <v>847</v>
      </c>
      <c r="H321" s="108">
        <v>1</v>
      </c>
      <c r="I321" s="109"/>
      <c r="J321" s="1725"/>
    </row>
    <row r="322" spans="1:15" s="101" customFormat="1" ht="18" outlineLevel="1" x14ac:dyDescent="0.25">
      <c r="B322" s="1510" t="s">
        <v>2565</v>
      </c>
      <c r="C322" s="1511" t="s">
        <v>2933</v>
      </c>
      <c r="D322" s="114">
        <v>5.0000000000000001E-4</v>
      </c>
      <c r="E322" s="108">
        <v>0</v>
      </c>
      <c r="F322" s="108" t="s">
        <v>1253</v>
      </c>
      <c r="G322" s="108" t="s">
        <v>850</v>
      </c>
      <c r="H322" s="108">
        <v>4</v>
      </c>
      <c r="I322" s="109"/>
      <c r="J322" s="1725"/>
    </row>
    <row r="323" spans="1:15" s="127" customFormat="1" ht="18" outlineLevel="1" x14ac:dyDescent="0.25">
      <c r="B323" s="1510" t="s">
        <v>2369</v>
      </c>
      <c r="C323" s="1513" t="s">
        <v>2572</v>
      </c>
      <c r="D323" s="111">
        <v>1E-3</v>
      </c>
      <c r="E323" s="108">
        <v>0</v>
      </c>
      <c r="F323" s="108" t="s">
        <v>1253</v>
      </c>
      <c r="G323" s="108" t="s">
        <v>850</v>
      </c>
      <c r="H323" s="108">
        <v>3</v>
      </c>
      <c r="I323" s="109"/>
      <c r="J323" s="1725"/>
      <c r="K323" s="101"/>
      <c r="L323" s="101"/>
      <c r="M323" s="101"/>
      <c r="N323" s="101"/>
      <c r="O323" s="101"/>
    </row>
    <row r="324" spans="1:15" s="101" customFormat="1" ht="18" outlineLevel="1" x14ac:dyDescent="0.25">
      <c r="B324" s="1510" t="s">
        <v>2368</v>
      </c>
      <c r="C324" s="1511" t="s">
        <v>2573</v>
      </c>
      <c r="D324" s="114">
        <v>1E-3</v>
      </c>
      <c r="E324" s="108">
        <v>0</v>
      </c>
      <c r="F324" s="108" t="s">
        <v>1253</v>
      </c>
      <c r="G324" s="108" t="s">
        <v>850</v>
      </c>
      <c r="H324" s="108">
        <v>3</v>
      </c>
      <c r="I324" s="109"/>
      <c r="J324" s="1725"/>
    </row>
    <row r="325" spans="1:15" s="127" customFormat="1" ht="18" outlineLevel="1" x14ac:dyDescent="0.25">
      <c r="B325" s="1510" t="s">
        <v>3175</v>
      </c>
      <c r="C325" s="1513" t="s">
        <v>3176</v>
      </c>
      <c r="D325" s="111">
        <v>5.0000000000000001E-4</v>
      </c>
      <c r="E325" s="108">
        <v>0</v>
      </c>
      <c r="F325" s="108" t="s">
        <v>1253</v>
      </c>
      <c r="G325" s="108" t="s">
        <v>3177</v>
      </c>
      <c r="H325" s="108">
        <v>4</v>
      </c>
      <c r="I325" s="109"/>
      <c r="J325" s="1725"/>
      <c r="K325" s="101"/>
      <c r="L325" s="101"/>
      <c r="M325" s="101"/>
      <c r="N325" s="101"/>
      <c r="O325" s="101"/>
    </row>
    <row r="326" spans="1:15" s="101" customFormat="1" ht="18" outlineLevel="1" x14ac:dyDescent="0.25">
      <c r="B326" s="2832" t="s">
        <v>3178</v>
      </c>
      <c r="C326" s="2833" t="s">
        <v>3179</v>
      </c>
      <c r="D326" s="2834">
        <v>1E-3</v>
      </c>
      <c r="E326" s="2835">
        <v>0</v>
      </c>
      <c r="F326" s="2835" t="s">
        <v>1253</v>
      </c>
      <c r="G326" s="2835" t="s">
        <v>3177</v>
      </c>
      <c r="H326" s="2835">
        <v>3</v>
      </c>
      <c r="I326" s="2836"/>
      <c r="J326" s="2837"/>
    </row>
    <row r="327" spans="1:15" s="101" customFormat="1" ht="18" outlineLevel="1" x14ac:dyDescent="0.25">
      <c r="B327" s="2823" t="s">
        <v>5518</v>
      </c>
      <c r="C327" s="2824" t="s">
        <v>5519</v>
      </c>
      <c r="D327" s="2825">
        <v>3.36</v>
      </c>
      <c r="E327" s="2826">
        <v>0</v>
      </c>
      <c r="F327" s="2826" t="s">
        <v>1253</v>
      </c>
      <c r="G327" s="2826" t="s">
        <v>443</v>
      </c>
      <c r="H327" s="2826">
        <v>2</v>
      </c>
      <c r="I327" s="2826"/>
      <c r="J327" s="2827" t="s">
        <v>5520</v>
      </c>
    </row>
    <row r="328" spans="1:15" s="101" customFormat="1" ht="18" outlineLevel="1" x14ac:dyDescent="0.25">
      <c r="B328" s="2823" t="s">
        <v>5521</v>
      </c>
      <c r="C328" s="2824" t="s">
        <v>5522</v>
      </c>
      <c r="D328" s="2825">
        <v>3.36</v>
      </c>
      <c r="E328" s="2826">
        <v>0</v>
      </c>
      <c r="F328" s="2826" t="s">
        <v>1253</v>
      </c>
      <c r="G328" s="2826" t="s">
        <v>443</v>
      </c>
      <c r="H328" s="2826">
        <v>2</v>
      </c>
      <c r="I328" s="2826"/>
      <c r="J328" s="2827" t="s">
        <v>5520</v>
      </c>
    </row>
    <row r="329" spans="1:15" s="101" customFormat="1" ht="18" outlineLevel="1" x14ac:dyDescent="0.25">
      <c r="B329" s="2823" t="s">
        <v>5523</v>
      </c>
      <c r="C329" s="2824" t="s">
        <v>5524</v>
      </c>
      <c r="D329" s="2825">
        <v>5000</v>
      </c>
      <c r="E329" s="2826">
        <v>0</v>
      </c>
      <c r="F329" s="2826" t="s">
        <v>1253</v>
      </c>
      <c r="G329" s="2826" t="s">
        <v>5525</v>
      </c>
      <c r="H329" s="2826">
        <v>0</v>
      </c>
      <c r="I329" s="2826"/>
      <c r="J329" s="2827" t="s">
        <v>5526</v>
      </c>
    </row>
    <row r="330" spans="1:15" s="101" customFormat="1" ht="18.75" outlineLevel="1" thickBot="1" x14ac:dyDescent="0.3">
      <c r="B330" s="2828" t="s">
        <v>5527</v>
      </c>
      <c r="C330" s="2829" t="s">
        <v>5528</v>
      </c>
      <c r="D330" s="2830">
        <v>20000</v>
      </c>
      <c r="E330" s="2831">
        <v>0</v>
      </c>
      <c r="F330" s="2831" t="s">
        <v>1253</v>
      </c>
      <c r="G330" s="2831" t="s">
        <v>5525</v>
      </c>
      <c r="H330" s="2831">
        <v>0</v>
      </c>
      <c r="I330" s="2831"/>
      <c r="J330" s="626" t="s">
        <v>5529</v>
      </c>
    </row>
    <row r="331" spans="1:15" s="101" customFormat="1" ht="15.75" thickBot="1" x14ac:dyDescent="0.3">
      <c r="B331" s="502"/>
      <c r="C331" s="502"/>
      <c r="D331" s="102"/>
      <c r="E331" s="102"/>
      <c r="F331" s="102"/>
      <c r="G331" s="102"/>
      <c r="H331" s="102"/>
      <c r="I331" s="115"/>
      <c r="J331" s="119"/>
    </row>
    <row r="332" spans="1:15" s="101" customFormat="1" ht="15.75" thickBot="1" x14ac:dyDescent="0.3">
      <c r="B332" s="502"/>
      <c r="C332" s="1514" t="s">
        <v>1192</v>
      </c>
      <c r="D332" s="102" t="s">
        <v>299</v>
      </c>
      <c r="E332" s="102"/>
      <c r="F332" s="102"/>
      <c r="G332" s="102"/>
      <c r="H332" s="102"/>
      <c r="I332" s="115"/>
      <c r="J332" s="119"/>
    </row>
    <row r="333" spans="1:15" s="101" customFormat="1" ht="15.75" thickBot="1" x14ac:dyDescent="0.3">
      <c r="B333" s="1348" t="s">
        <v>0</v>
      </c>
      <c r="C333" s="1349" t="s">
        <v>1</v>
      </c>
      <c r="D333" s="304" t="s">
        <v>839</v>
      </c>
      <c r="E333" s="304" t="s">
        <v>470</v>
      </c>
      <c r="F333" s="304" t="s">
        <v>471</v>
      </c>
      <c r="G333" s="304" t="s">
        <v>2</v>
      </c>
      <c r="H333" s="304" t="s">
        <v>298</v>
      </c>
      <c r="I333" s="302" t="s">
        <v>116</v>
      </c>
      <c r="J333" s="1665" t="s">
        <v>117</v>
      </c>
    </row>
    <row r="334" spans="1:15" s="101" customFormat="1" ht="18.75" outlineLevel="1" thickBot="1" x14ac:dyDescent="0.3">
      <c r="A334" s="101" t="s">
        <v>4099</v>
      </c>
      <c r="B334" s="1515" t="s">
        <v>1193</v>
      </c>
      <c r="C334" s="199" t="s">
        <v>2576</v>
      </c>
      <c r="D334" s="194">
        <v>0.4</v>
      </c>
      <c r="E334" s="194">
        <v>0</v>
      </c>
      <c r="F334" s="194">
        <v>1</v>
      </c>
      <c r="G334" s="196" t="s">
        <v>1990</v>
      </c>
      <c r="H334" s="196">
        <v>2</v>
      </c>
      <c r="I334" s="195"/>
      <c r="J334" s="1726"/>
    </row>
    <row r="335" spans="1:15" s="101" customFormat="1" ht="15.75" thickBot="1" x14ac:dyDescent="0.3">
      <c r="B335" s="502"/>
      <c r="C335" s="502"/>
      <c r="D335" s="102"/>
      <c r="E335" s="102"/>
      <c r="F335" s="102"/>
      <c r="G335" s="102"/>
      <c r="H335" s="102"/>
      <c r="I335" s="115"/>
      <c r="J335" s="119"/>
    </row>
    <row r="336" spans="1:15" s="101" customFormat="1" ht="15.75" thickBot="1" x14ac:dyDescent="0.3">
      <c r="B336" s="502"/>
      <c r="C336" s="1452" t="s">
        <v>275</v>
      </c>
      <c r="D336" s="102" t="s">
        <v>299</v>
      </c>
      <c r="E336" s="102"/>
      <c r="F336" s="102"/>
      <c r="G336" s="102"/>
      <c r="H336" s="102"/>
      <c r="I336" s="115"/>
      <c r="J336" s="119"/>
    </row>
    <row r="337" spans="2:10" ht="15.75" thickBot="1" x14ac:dyDescent="0.3">
      <c r="B337" s="1612" t="s">
        <v>0</v>
      </c>
      <c r="C337" s="1613" t="s">
        <v>1</v>
      </c>
      <c r="D337" s="1061" t="s">
        <v>839</v>
      </c>
      <c r="E337" s="1061" t="s">
        <v>470</v>
      </c>
      <c r="F337" s="1061" t="s">
        <v>471</v>
      </c>
      <c r="G337" s="1061" t="s">
        <v>2</v>
      </c>
      <c r="H337" s="1061" t="s">
        <v>298</v>
      </c>
      <c r="I337" s="1060" t="s">
        <v>116</v>
      </c>
      <c r="J337" s="1777" t="s">
        <v>117</v>
      </c>
    </row>
    <row r="338" spans="2:10" s="101" customFormat="1" ht="18" outlineLevel="1" x14ac:dyDescent="0.25">
      <c r="B338" s="1516" t="s">
        <v>856</v>
      </c>
      <c r="C338" s="1517" t="s">
        <v>1236</v>
      </c>
      <c r="D338" s="234">
        <v>1.04</v>
      </c>
      <c r="E338" s="234">
        <v>0</v>
      </c>
      <c r="F338" s="234" t="s">
        <v>1253</v>
      </c>
      <c r="G338" s="234" t="s">
        <v>1990</v>
      </c>
      <c r="H338" s="235">
        <v>3</v>
      </c>
      <c r="I338" s="233"/>
      <c r="J338" s="1727"/>
    </row>
    <row r="339" spans="2:10" s="101" customFormat="1" ht="18" outlineLevel="1" x14ac:dyDescent="0.25">
      <c r="B339" s="1518" t="s">
        <v>857</v>
      </c>
      <c r="C339" s="1519" t="s">
        <v>1229</v>
      </c>
      <c r="D339" s="220">
        <v>1.04</v>
      </c>
      <c r="E339" s="220">
        <v>0</v>
      </c>
      <c r="F339" s="220" t="s">
        <v>1253</v>
      </c>
      <c r="G339" s="220" t="s">
        <v>1990</v>
      </c>
      <c r="H339" s="221">
        <v>3</v>
      </c>
      <c r="I339" s="222"/>
      <c r="J339" s="1728"/>
    </row>
    <row r="340" spans="2:10" s="101" customFormat="1" ht="18" outlineLevel="1" x14ac:dyDescent="0.25">
      <c r="B340" s="1518" t="s">
        <v>858</v>
      </c>
      <c r="C340" s="1519" t="s">
        <v>1237</v>
      </c>
      <c r="D340" s="220">
        <v>1.03</v>
      </c>
      <c r="E340" s="220">
        <v>0</v>
      </c>
      <c r="F340" s="220" t="s">
        <v>1253</v>
      </c>
      <c r="G340" s="220" t="s">
        <v>1990</v>
      </c>
      <c r="H340" s="221">
        <v>3</v>
      </c>
      <c r="I340" s="222"/>
      <c r="J340" s="1728"/>
    </row>
    <row r="341" spans="2:10" s="101" customFormat="1" ht="18" outlineLevel="1" x14ac:dyDescent="0.25">
      <c r="B341" s="1518" t="s">
        <v>859</v>
      </c>
      <c r="C341" s="1519" t="s">
        <v>1238</v>
      </c>
      <c r="D341" s="220">
        <v>1.06</v>
      </c>
      <c r="E341" s="220">
        <v>0</v>
      </c>
      <c r="F341" s="220" t="s">
        <v>1253</v>
      </c>
      <c r="G341" s="220" t="s">
        <v>1990</v>
      </c>
      <c r="H341" s="221">
        <v>3</v>
      </c>
      <c r="I341" s="222"/>
      <c r="J341" s="1728"/>
    </row>
    <row r="342" spans="2:10" s="101" customFormat="1" ht="18" outlineLevel="1" x14ac:dyDescent="0.25">
      <c r="B342" s="1518" t="s">
        <v>860</v>
      </c>
      <c r="C342" s="1519" t="s">
        <v>1239</v>
      </c>
      <c r="D342" s="220">
        <v>1.03</v>
      </c>
      <c r="E342" s="220">
        <v>0</v>
      </c>
      <c r="F342" s="220" t="s">
        <v>1253</v>
      </c>
      <c r="G342" s="220" t="s">
        <v>1990</v>
      </c>
      <c r="H342" s="221">
        <v>3</v>
      </c>
      <c r="I342" s="222"/>
      <c r="J342" s="1728"/>
    </row>
    <row r="343" spans="2:10" s="101" customFormat="1" ht="18" outlineLevel="1" x14ac:dyDescent="0.25">
      <c r="B343" s="1377" t="s">
        <v>4736</v>
      </c>
      <c r="C343" s="1378" t="s">
        <v>4735</v>
      </c>
      <c r="D343" s="453">
        <v>1.04</v>
      </c>
      <c r="E343" s="453">
        <v>0</v>
      </c>
      <c r="F343" s="453" t="s">
        <v>1253</v>
      </c>
      <c r="G343" s="453" t="s">
        <v>1990</v>
      </c>
      <c r="H343" s="454">
        <v>3</v>
      </c>
      <c r="I343" s="452"/>
      <c r="J343" s="1729"/>
    </row>
    <row r="344" spans="2:10" s="101" customFormat="1" ht="18" outlineLevel="1" x14ac:dyDescent="0.25">
      <c r="B344" s="1377" t="s">
        <v>1721</v>
      </c>
      <c r="C344" s="1520" t="s">
        <v>1240</v>
      </c>
      <c r="D344" s="453">
        <v>1.04</v>
      </c>
      <c r="E344" s="453">
        <v>0</v>
      </c>
      <c r="F344" s="453" t="s">
        <v>1253</v>
      </c>
      <c r="G344" s="453" t="s">
        <v>1990</v>
      </c>
      <c r="H344" s="454">
        <v>3</v>
      </c>
      <c r="I344" s="452"/>
      <c r="J344" s="1729"/>
    </row>
    <row r="345" spans="2:10" s="101" customFormat="1" ht="18" outlineLevel="1" x14ac:dyDescent="0.25">
      <c r="B345" s="1521" t="s">
        <v>2574</v>
      </c>
      <c r="C345" s="1522" t="s">
        <v>2575</v>
      </c>
      <c r="D345" s="542">
        <v>1.04</v>
      </c>
      <c r="E345" s="542">
        <v>0</v>
      </c>
      <c r="F345" s="542" t="s">
        <v>1253</v>
      </c>
      <c r="G345" s="542" t="s">
        <v>1990</v>
      </c>
      <c r="H345" s="543">
        <v>3</v>
      </c>
      <c r="I345" s="533"/>
      <c r="J345" s="1730"/>
    </row>
    <row r="346" spans="2:10" s="101" customFormat="1" ht="18" outlineLevel="1" x14ac:dyDescent="0.25">
      <c r="B346" s="1523" t="s">
        <v>4382</v>
      </c>
      <c r="C346" s="1524" t="s">
        <v>4383</v>
      </c>
      <c r="D346" s="1098">
        <v>1.04</v>
      </c>
      <c r="E346" s="1096">
        <v>0</v>
      </c>
      <c r="F346" s="1096" t="s">
        <v>1253</v>
      </c>
      <c r="G346" s="1096" t="s">
        <v>1990</v>
      </c>
      <c r="H346" s="1097">
        <v>3</v>
      </c>
      <c r="I346" s="1095"/>
      <c r="J346" s="1731"/>
    </row>
    <row r="347" spans="2:10" s="101" customFormat="1" ht="18" outlineLevel="1" x14ac:dyDescent="0.25">
      <c r="B347" s="1377" t="s">
        <v>861</v>
      </c>
      <c r="C347" s="1520" t="s">
        <v>1241</v>
      </c>
      <c r="D347" s="453">
        <v>1.04</v>
      </c>
      <c r="E347" s="453">
        <v>0</v>
      </c>
      <c r="F347" s="453" t="s">
        <v>1253</v>
      </c>
      <c r="G347" s="453" t="s">
        <v>1990</v>
      </c>
      <c r="H347" s="454">
        <v>3</v>
      </c>
      <c r="I347" s="452"/>
      <c r="J347" s="1729"/>
    </row>
    <row r="348" spans="2:10" s="101" customFormat="1" ht="18" outlineLevel="1" x14ac:dyDescent="0.25">
      <c r="B348" s="1377" t="s">
        <v>4738</v>
      </c>
      <c r="C348" s="1378" t="s">
        <v>4737</v>
      </c>
      <c r="D348" s="453">
        <v>1.03</v>
      </c>
      <c r="E348" s="453">
        <v>0</v>
      </c>
      <c r="F348" s="453" t="s">
        <v>1253</v>
      </c>
      <c r="G348" s="453" t="s">
        <v>1990</v>
      </c>
      <c r="H348" s="454">
        <v>3</v>
      </c>
      <c r="I348" s="452"/>
      <c r="J348" s="1729"/>
    </row>
    <row r="349" spans="2:10" s="101" customFormat="1" ht="18" outlineLevel="1" x14ac:dyDescent="0.25">
      <c r="B349" s="1377" t="s">
        <v>4739</v>
      </c>
      <c r="C349" s="2985" t="s">
        <v>5811</v>
      </c>
      <c r="D349" s="453">
        <v>1.0640000000000001</v>
      </c>
      <c r="E349" s="453">
        <v>0</v>
      </c>
      <c r="F349" s="453" t="s">
        <v>1253</v>
      </c>
      <c r="G349" s="453" t="s">
        <v>1990</v>
      </c>
      <c r="H349" s="454">
        <v>3</v>
      </c>
      <c r="I349" s="452"/>
      <c r="J349" s="395" t="s">
        <v>2127</v>
      </c>
    </row>
    <row r="350" spans="2:10" s="101" customFormat="1" ht="18" outlineLevel="1" x14ac:dyDescent="0.25">
      <c r="B350" s="1377" t="s">
        <v>2117</v>
      </c>
      <c r="C350" s="1520" t="s">
        <v>1242</v>
      </c>
      <c r="D350" s="966">
        <v>1.03</v>
      </c>
      <c r="E350" s="453">
        <v>0</v>
      </c>
      <c r="F350" s="453" t="s">
        <v>1253</v>
      </c>
      <c r="G350" s="453" t="s">
        <v>1990</v>
      </c>
      <c r="H350" s="454">
        <v>3</v>
      </c>
      <c r="I350" s="452"/>
      <c r="J350" s="1729"/>
    </row>
    <row r="351" spans="2:10" s="101" customFormat="1" ht="18" outlineLevel="1" x14ac:dyDescent="0.25">
      <c r="B351" s="2978" t="s">
        <v>5800</v>
      </c>
      <c r="C351" s="2979" t="s">
        <v>1241</v>
      </c>
      <c r="D351" s="967">
        <v>1.0720000000000001</v>
      </c>
      <c r="E351" s="231">
        <v>0</v>
      </c>
      <c r="F351" s="231" t="s">
        <v>1253</v>
      </c>
      <c r="G351" s="231" t="s">
        <v>1990</v>
      </c>
      <c r="H351" s="232">
        <v>3</v>
      </c>
      <c r="I351" s="230"/>
      <c r="J351" s="1732"/>
    </row>
    <row r="352" spans="2:10" s="101" customFormat="1" ht="18" outlineLevel="1" x14ac:dyDescent="0.25">
      <c r="B352" s="1396" t="s">
        <v>2267</v>
      </c>
      <c r="C352" s="1525" t="s">
        <v>2268</v>
      </c>
      <c r="D352" s="968">
        <v>1.0720000000000001</v>
      </c>
      <c r="E352" s="210">
        <v>0</v>
      </c>
      <c r="F352" s="210" t="s">
        <v>1253</v>
      </c>
      <c r="G352" s="210" t="s">
        <v>1990</v>
      </c>
      <c r="H352" s="229">
        <v>3</v>
      </c>
      <c r="I352" s="209"/>
      <c r="J352" s="1733"/>
    </row>
    <row r="353" spans="2:10" s="101" customFormat="1" ht="18" outlineLevel="1" x14ac:dyDescent="0.25">
      <c r="B353" s="1396" t="s">
        <v>2269</v>
      </c>
      <c r="C353" s="1525" t="s">
        <v>2270</v>
      </c>
      <c r="D353" s="228">
        <v>1.03</v>
      </c>
      <c r="E353" s="210">
        <v>0</v>
      </c>
      <c r="F353" s="210" t="s">
        <v>1253</v>
      </c>
      <c r="G353" s="210" t="s">
        <v>1990</v>
      </c>
      <c r="H353" s="229">
        <v>3</v>
      </c>
      <c r="I353" s="209"/>
      <c r="J353" s="1733"/>
    </row>
    <row r="354" spans="2:10" s="101" customFormat="1" ht="18" outlineLevel="1" x14ac:dyDescent="0.25">
      <c r="B354" s="1396" t="s">
        <v>2271</v>
      </c>
      <c r="C354" s="1525" t="s">
        <v>2272</v>
      </c>
      <c r="D354" s="228">
        <v>1.06</v>
      </c>
      <c r="E354" s="210">
        <v>0</v>
      </c>
      <c r="F354" s="210" t="s">
        <v>1253</v>
      </c>
      <c r="G354" s="210" t="s">
        <v>1990</v>
      </c>
      <c r="H354" s="229">
        <v>3</v>
      </c>
      <c r="I354" s="209"/>
      <c r="J354" s="1733"/>
    </row>
    <row r="355" spans="2:10" s="101" customFormat="1" ht="18" outlineLevel="1" x14ac:dyDescent="0.25">
      <c r="B355" s="1396" t="s">
        <v>2273</v>
      </c>
      <c r="C355" s="1525" t="s">
        <v>2274</v>
      </c>
      <c r="D355" s="228">
        <v>1.03</v>
      </c>
      <c r="E355" s="210">
        <v>0</v>
      </c>
      <c r="F355" s="210" t="s">
        <v>1253</v>
      </c>
      <c r="G355" s="210" t="s">
        <v>1990</v>
      </c>
      <c r="H355" s="229">
        <v>3</v>
      </c>
      <c r="I355" s="209"/>
      <c r="J355" s="1733"/>
    </row>
    <row r="356" spans="2:10" s="101" customFormat="1" ht="18" outlineLevel="1" x14ac:dyDescent="0.25">
      <c r="B356" s="1412" t="s">
        <v>2275</v>
      </c>
      <c r="C356" s="1526" t="s">
        <v>2276</v>
      </c>
      <c r="D356" s="491">
        <v>1.01</v>
      </c>
      <c r="E356" s="488">
        <v>0</v>
      </c>
      <c r="F356" s="488" t="s">
        <v>1253</v>
      </c>
      <c r="G356" s="488" t="s">
        <v>1990</v>
      </c>
      <c r="H356" s="492">
        <v>3</v>
      </c>
      <c r="I356" s="487"/>
      <c r="J356" s="1693"/>
    </row>
    <row r="357" spans="2:10" s="101" customFormat="1" ht="18" outlineLevel="1" x14ac:dyDescent="0.25">
      <c r="B357" s="1412" t="s">
        <v>2277</v>
      </c>
      <c r="C357" s="1526" t="s">
        <v>2278</v>
      </c>
      <c r="D357" s="491">
        <v>1.03</v>
      </c>
      <c r="E357" s="488">
        <v>0</v>
      </c>
      <c r="F357" s="488" t="s">
        <v>1253</v>
      </c>
      <c r="G357" s="488" t="s">
        <v>1990</v>
      </c>
      <c r="H357" s="492">
        <v>3</v>
      </c>
      <c r="I357" s="487"/>
      <c r="J357" s="1693"/>
    </row>
    <row r="358" spans="2:10" s="101" customFormat="1" ht="18" outlineLevel="1" x14ac:dyDescent="0.25">
      <c r="B358" s="1441" t="s">
        <v>3180</v>
      </c>
      <c r="C358" s="1440" t="s">
        <v>3181</v>
      </c>
      <c r="D358" s="670">
        <v>1.04</v>
      </c>
      <c r="E358" s="671">
        <v>0</v>
      </c>
      <c r="F358" s="671" t="s">
        <v>1253</v>
      </c>
      <c r="G358" s="671" t="s">
        <v>1990</v>
      </c>
      <c r="H358" s="672">
        <v>3</v>
      </c>
      <c r="I358" s="1647"/>
      <c r="J358" s="1734"/>
    </row>
    <row r="359" spans="2:10" s="101" customFormat="1" ht="18" outlineLevel="1" x14ac:dyDescent="0.25">
      <c r="B359" s="1441" t="s">
        <v>3182</v>
      </c>
      <c r="C359" s="1440" t="s">
        <v>3183</v>
      </c>
      <c r="D359" s="670">
        <v>1.04</v>
      </c>
      <c r="E359" s="671">
        <v>0</v>
      </c>
      <c r="F359" s="671" t="s">
        <v>1253</v>
      </c>
      <c r="G359" s="671" t="s">
        <v>1990</v>
      </c>
      <c r="H359" s="672">
        <v>3</v>
      </c>
      <c r="I359" s="1647"/>
      <c r="J359" s="1734"/>
    </row>
    <row r="360" spans="2:10" s="101" customFormat="1" ht="18" outlineLevel="1" x14ac:dyDescent="0.25">
      <c r="B360" s="1441" t="s">
        <v>3184</v>
      </c>
      <c r="C360" s="1440" t="s">
        <v>3185</v>
      </c>
      <c r="D360" s="670">
        <v>1.04</v>
      </c>
      <c r="E360" s="671">
        <v>0</v>
      </c>
      <c r="F360" s="671" t="s">
        <v>1253</v>
      </c>
      <c r="G360" s="671" t="s">
        <v>1990</v>
      </c>
      <c r="H360" s="672">
        <v>3</v>
      </c>
      <c r="I360" s="1647"/>
      <c r="J360" s="1734"/>
    </row>
    <row r="361" spans="2:10" s="101" customFormat="1" ht="18" outlineLevel="1" x14ac:dyDescent="0.25">
      <c r="B361" s="1441" t="s">
        <v>3186</v>
      </c>
      <c r="C361" s="1440" t="s">
        <v>3187</v>
      </c>
      <c r="D361" s="670">
        <v>1.04</v>
      </c>
      <c r="E361" s="671">
        <v>0</v>
      </c>
      <c r="F361" s="671" t="s">
        <v>1253</v>
      </c>
      <c r="G361" s="671" t="s">
        <v>1990</v>
      </c>
      <c r="H361" s="672">
        <v>3</v>
      </c>
      <c r="I361" s="1647"/>
      <c r="J361" s="1734"/>
    </row>
    <row r="362" spans="2:10" s="101" customFormat="1" ht="18" outlineLevel="1" x14ac:dyDescent="0.25">
      <c r="B362" s="1448" t="s">
        <v>3188</v>
      </c>
      <c r="C362" s="1449" t="s">
        <v>3189</v>
      </c>
      <c r="D362" s="673">
        <v>1.04</v>
      </c>
      <c r="E362" s="674">
        <v>0</v>
      </c>
      <c r="F362" s="674" t="s">
        <v>1253</v>
      </c>
      <c r="G362" s="674" t="s">
        <v>1990</v>
      </c>
      <c r="H362" s="675">
        <v>3</v>
      </c>
      <c r="I362" s="1648"/>
      <c r="J362" s="1735"/>
    </row>
    <row r="363" spans="2:10" s="101" customFormat="1" ht="18" outlineLevel="1" x14ac:dyDescent="0.25">
      <c r="B363" s="1448" t="s">
        <v>3190</v>
      </c>
      <c r="C363" s="1449" t="s">
        <v>3191</v>
      </c>
      <c r="D363" s="673">
        <v>1.04</v>
      </c>
      <c r="E363" s="674">
        <v>0</v>
      </c>
      <c r="F363" s="674" t="s">
        <v>1253</v>
      </c>
      <c r="G363" s="674" t="s">
        <v>1990</v>
      </c>
      <c r="H363" s="675">
        <v>3</v>
      </c>
      <c r="I363" s="1648"/>
      <c r="J363" s="1735"/>
    </row>
    <row r="364" spans="2:10" s="101" customFormat="1" ht="18" outlineLevel="1" x14ac:dyDescent="0.25">
      <c r="B364" s="1448" t="s">
        <v>3192</v>
      </c>
      <c r="C364" s="1449" t="s">
        <v>3193</v>
      </c>
      <c r="D364" s="673">
        <v>1.04</v>
      </c>
      <c r="E364" s="674">
        <v>0</v>
      </c>
      <c r="F364" s="674" t="s">
        <v>1253</v>
      </c>
      <c r="G364" s="674" t="s">
        <v>1990</v>
      </c>
      <c r="H364" s="675">
        <v>3</v>
      </c>
      <c r="I364" s="1648"/>
      <c r="J364" s="1735"/>
    </row>
    <row r="365" spans="2:10" s="101" customFormat="1" ht="18" outlineLevel="1" x14ac:dyDescent="0.25">
      <c r="B365" s="1527" t="s">
        <v>862</v>
      </c>
      <c r="C365" s="1528" t="s">
        <v>1243</v>
      </c>
      <c r="D365" s="357">
        <v>1.03</v>
      </c>
      <c r="E365" s="357">
        <v>0</v>
      </c>
      <c r="F365" s="357" t="s">
        <v>1253</v>
      </c>
      <c r="G365" s="357" t="s">
        <v>1990</v>
      </c>
      <c r="H365" s="358">
        <v>3</v>
      </c>
      <c r="I365" s="356"/>
      <c r="J365" s="1736"/>
    </row>
    <row r="366" spans="2:10" s="101" customFormat="1" ht="18" outlineLevel="1" x14ac:dyDescent="0.25">
      <c r="B366" s="1527" t="s">
        <v>863</v>
      </c>
      <c r="C366" s="1528" t="s">
        <v>1244</v>
      </c>
      <c r="D366" s="357">
        <v>1.03</v>
      </c>
      <c r="E366" s="357">
        <v>0</v>
      </c>
      <c r="F366" s="357" t="s">
        <v>1253</v>
      </c>
      <c r="G366" s="357" t="s">
        <v>1990</v>
      </c>
      <c r="H366" s="358">
        <v>3</v>
      </c>
      <c r="I366" s="356"/>
      <c r="J366" s="1736"/>
    </row>
    <row r="367" spans="2:10" s="101" customFormat="1" ht="18" outlineLevel="1" x14ac:dyDescent="0.25">
      <c r="B367" s="1426" t="s">
        <v>864</v>
      </c>
      <c r="C367" s="1529" t="s">
        <v>1245</v>
      </c>
      <c r="D367" s="354">
        <v>1.03</v>
      </c>
      <c r="E367" s="354">
        <v>0</v>
      </c>
      <c r="F367" s="354" t="s">
        <v>1253</v>
      </c>
      <c r="G367" s="354" t="s">
        <v>1990</v>
      </c>
      <c r="H367" s="355">
        <v>3</v>
      </c>
      <c r="I367" s="353"/>
      <c r="J367" s="1737"/>
    </row>
    <row r="368" spans="2:10" s="101" customFormat="1" ht="18" outlineLevel="1" x14ac:dyDescent="0.25">
      <c r="B368" s="1426" t="s">
        <v>865</v>
      </c>
      <c r="C368" s="1529" t="s">
        <v>1246</v>
      </c>
      <c r="D368" s="354">
        <v>1.03</v>
      </c>
      <c r="E368" s="354">
        <v>0</v>
      </c>
      <c r="F368" s="354" t="s">
        <v>1253</v>
      </c>
      <c r="G368" s="354" t="s">
        <v>1990</v>
      </c>
      <c r="H368" s="355">
        <v>3</v>
      </c>
      <c r="I368" s="353"/>
      <c r="J368" s="1737"/>
    </row>
    <row r="369" spans="2:10" s="101" customFormat="1" ht="18" outlineLevel="1" x14ac:dyDescent="0.25">
      <c r="B369" s="2383" t="s">
        <v>5297</v>
      </c>
      <c r="C369" s="2319" t="s">
        <v>5298</v>
      </c>
      <c r="D369" s="2386">
        <v>1.04</v>
      </c>
      <c r="E369" s="2386">
        <v>0</v>
      </c>
      <c r="F369" s="2386" t="s">
        <v>1253</v>
      </c>
      <c r="G369" s="2386" t="s">
        <v>1990</v>
      </c>
      <c r="H369" s="2387">
        <v>3</v>
      </c>
      <c r="I369" s="2319"/>
      <c r="J369" s="2388"/>
    </row>
    <row r="370" spans="2:10" s="101" customFormat="1" ht="18" outlineLevel="1" x14ac:dyDescent="0.25">
      <c r="B370" s="2383" t="s">
        <v>5299</v>
      </c>
      <c r="C370" s="2319" t="s">
        <v>5300</v>
      </c>
      <c r="D370" s="2386">
        <v>1.03</v>
      </c>
      <c r="E370" s="2386">
        <v>0</v>
      </c>
      <c r="F370" s="2386" t="s">
        <v>1253</v>
      </c>
      <c r="G370" s="2386" t="s">
        <v>1990</v>
      </c>
      <c r="H370" s="2387">
        <v>3</v>
      </c>
      <c r="I370" s="2319"/>
      <c r="J370" s="2388"/>
    </row>
    <row r="371" spans="2:10" s="101" customFormat="1" ht="18" outlineLevel="1" x14ac:dyDescent="0.25">
      <c r="B371" s="1530" t="s">
        <v>866</v>
      </c>
      <c r="C371" s="1531" t="s">
        <v>1230</v>
      </c>
      <c r="D371" s="224">
        <v>1.03</v>
      </c>
      <c r="E371" s="224">
        <v>0</v>
      </c>
      <c r="F371" s="224" t="s">
        <v>1253</v>
      </c>
      <c r="G371" s="224" t="s">
        <v>1990</v>
      </c>
      <c r="H371" s="113">
        <v>3</v>
      </c>
      <c r="I371" s="265"/>
      <c r="J371" s="1738"/>
    </row>
    <row r="372" spans="2:10" s="101" customFormat="1" ht="18" outlineLevel="1" x14ac:dyDescent="0.25">
      <c r="B372" s="2852" t="s">
        <v>5551</v>
      </c>
      <c r="C372" s="2836" t="s">
        <v>5552</v>
      </c>
      <c r="D372" s="2848">
        <v>1.03</v>
      </c>
      <c r="E372" s="2848">
        <v>0</v>
      </c>
      <c r="F372" s="2848" t="s">
        <v>1253</v>
      </c>
      <c r="G372" s="2848" t="s">
        <v>1990</v>
      </c>
      <c r="H372" s="2849">
        <v>3</v>
      </c>
      <c r="I372" s="2850"/>
      <c r="J372" s="2851"/>
    </row>
    <row r="373" spans="2:10" s="101" customFormat="1" ht="18" outlineLevel="1" x14ac:dyDescent="0.25">
      <c r="B373" s="2852" t="s">
        <v>5553</v>
      </c>
      <c r="C373" s="2836" t="s">
        <v>5554</v>
      </c>
      <c r="D373" s="2848">
        <v>1.03</v>
      </c>
      <c r="E373" s="2848">
        <v>0</v>
      </c>
      <c r="F373" s="2848" t="s">
        <v>1253</v>
      </c>
      <c r="G373" s="2848" t="s">
        <v>1990</v>
      </c>
      <c r="H373" s="2849">
        <v>3</v>
      </c>
      <c r="I373" s="2850"/>
      <c r="J373" s="2851"/>
    </row>
    <row r="374" spans="2:10" s="101" customFormat="1" ht="18" outlineLevel="1" x14ac:dyDescent="0.25">
      <c r="B374" s="1530" t="s">
        <v>867</v>
      </c>
      <c r="C374" s="1531" t="s">
        <v>1231</v>
      </c>
      <c r="D374" s="224">
        <v>1.03</v>
      </c>
      <c r="E374" s="224">
        <v>0</v>
      </c>
      <c r="F374" s="224" t="s">
        <v>1253</v>
      </c>
      <c r="G374" s="224" t="s">
        <v>1990</v>
      </c>
      <c r="H374" s="113">
        <v>3</v>
      </c>
      <c r="I374" s="265"/>
      <c r="J374" s="1738"/>
    </row>
    <row r="375" spans="2:10" s="101" customFormat="1" ht="18" outlineLevel="1" x14ac:dyDescent="0.25">
      <c r="B375" s="1530" t="s">
        <v>868</v>
      </c>
      <c r="C375" s="1531" t="s">
        <v>1232</v>
      </c>
      <c r="D375" s="224">
        <v>1.03</v>
      </c>
      <c r="E375" s="224">
        <v>0</v>
      </c>
      <c r="F375" s="224" t="s">
        <v>1253</v>
      </c>
      <c r="G375" s="224" t="s">
        <v>1990</v>
      </c>
      <c r="H375" s="113">
        <v>3</v>
      </c>
      <c r="I375" s="265"/>
      <c r="J375" s="1738"/>
    </row>
    <row r="376" spans="2:10" s="101" customFormat="1" ht="18" outlineLevel="1" x14ac:dyDescent="0.25">
      <c r="B376" s="1530" t="s">
        <v>1740</v>
      </c>
      <c r="C376" s="1531" t="s">
        <v>1233</v>
      </c>
      <c r="D376" s="224">
        <v>1.03</v>
      </c>
      <c r="E376" s="224">
        <v>0</v>
      </c>
      <c r="F376" s="224" t="s">
        <v>1253</v>
      </c>
      <c r="G376" s="224" t="s">
        <v>1990</v>
      </c>
      <c r="H376" s="113">
        <v>3</v>
      </c>
      <c r="I376" s="265"/>
      <c r="J376" s="1738"/>
    </row>
    <row r="377" spans="2:10" s="101" customFormat="1" ht="18" outlineLevel="1" x14ac:dyDescent="0.25">
      <c r="B377" s="1530" t="s">
        <v>1739</v>
      </c>
      <c r="C377" s="1531" t="s">
        <v>1234</v>
      </c>
      <c r="D377" s="224">
        <v>1.03</v>
      </c>
      <c r="E377" s="224">
        <v>0</v>
      </c>
      <c r="F377" s="224" t="s">
        <v>1253</v>
      </c>
      <c r="G377" s="224" t="s">
        <v>1990</v>
      </c>
      <c r="H377" s="113">
        <v>3</v>
      </c>
      <c r="I377" s="265"/>
      <c r="J377" s="1738"/>
    </row>
    <row r="378" spans="2:10" s="101" customFormat="1" ht="18" outlineLevel="1" x14ac:dyDescent="0.25">
      <c r="B378" s="2271" t="s">
        <v>5174</v>
      </c>
      <c r="C378" s="2272" t="s">
        <v>5175</v>
      </c>
      <c r="D378" s="2273">
        <v>1.03</v>
      </c>
      <c r="E378" s="2273">
        <v>0</v>
      </c>
      <c r="F378" s="2273" t="s">
        <v>1253</v>
      </c>
      <c r="G378" s="2273" t="s">
        <v>1990</v>
      </c>
      <c r="H378" s="2274">
        <v>3</v>
      </c>
      <c r="I378" s="2275"/>
      <c r="J378" s="2276"/>
    </row>
    <row r="379" spans="2:10" s="101" customFormat="1" ht="18" outlineLevel="1" x14ac:dyDescent="0.25">
      <c r="B379" s="1530" t="s">
        <v>869</v>
      </c>
      <c r="C379" s="1531" t="s">
        <v>1235</v>
      </c>
      <c r="D379" s="224">
        <v>1.03</v>
      </c>
      <c r="E379" s="224">
        <v>0</v>
      </c>
      <c r="F379" s="224" t="s">
        <v>1253</v>
      </c>
      <c r="G379" s="224" t="s">
        <v>1990</v>
      </c>
      <c r="H379" s="113">
        <v>3</v>
      </c>
      <c r="I379" s="265"/>
      <c r="J379" s="1738"/>
    </row>
    <row r="380" spans="2:10" s="101" customFormat="1" ht="18" outlineLevel="1" x14ac:dyDescent="0.25">
      <c r="B380" s="1532" t="s">
        <v>2835</v>
      </c>
      <c r="C380" s="1533" t="s">
        <v>1363</v>
      </c>
      <c r="D380" s="226">
        <v>1.04</v>
      </c>
      <c r="E380" s="226">
        <v>0</v>
      </c>
      <c r="F380" s="226" t="s">
        <v>1253</v>
      </c>
      <c r="G380" s="226" t="s">
        <v>1990</v>
      </c>
      <c r="H380" s="227">
        <v>3</v>
      </c>
      <c r="I380" s="266"/>
      <c r="J380" s="1739"/>
    </row>
    <row r="381" spans="2:10" s="101" customFormat="1" ht="18" outlineLevel="1" x14ac:dyDescent="0.25">
      <c r="B381" s="1534" t="s">
        <v>3553</v>
      </c>
      <c r="C381" s="1535" t="s">
        <v>3554</v>
      </c>
      <c r="D381" s="676">
        <v>1.04</v>
      </c>
      <c r="E381" s="665">
        <v>0</v>
      </c>
      <c r="F381" s="677" t="s">
        <v>1253</v>
      </c>
      <c r="G381" s="677" t="s">
        <v>1990</v>
      </c>
      <c r="H381" s="678">
        <v>3</v>
      </c>
      <c r="I381" s="572"/>
      <c r="J381" s="1740"/>
    </row>
    <row r="382" spans="2:10" s="101" customFormat="1" ht="18" outlineLevel="1" x14ac:dyDescent="0.25">
      <c r="B382" s="1532" t="s">
        <v>1720</v>
      </c>
      <c r="C382" s="1533" t="s">
        <v>1364</v>
      </c>
      <c r="D382" s="226">
        <v>1.04</v>
      </c>
      <c r="E382" s="226">
        <v>0</v>
      </c>
      <c r="F382" s="226" t="s">
        <v>1253</v>
      </c>
      <c r="G382" s="226" t="s">
        <v>1990</v>
      </c>
      <c r="H382" s="227">
        <v>3</v>
      </c>
      <c r="I382" s="266"/>
      <c r="J382" s="1739"/>
    </row>
    <row r="383" spans="2:10" s="101" customFormat="1" ht="18" outlineLevel="1" x14ac:dyDescent="0.25">
      <c r="B383" s="1534" t="s">
        <v>3555</v>
      </c>
      <c r="C383" s="1535" t="s">
        <v>3556</v>
      </c>
      <c r="D383" s="676">
        <v>1</v>
      </c>
      <c r="E383" s="665">
        <v>0</v>
      </c>
      <c r="F383" s="677" t="s">
        <v>1253</v>
      </c>
      <c r="G383" s="677" t="s">
        <v>1990</v>
      </c>
      <c r="H383" s="678">
        <v>3</v>
      </c>
      <c r="I383" s="572"/>
      <c r="J383" s="1740"/>
    </row>
    <row r="384" spans="2:10" s="101" customFormat="1" ht="18.75" outlineLevel="1" thickBot="1" x14ac:dyDescent="0.3">
      <c r="B384" s="1536" t="s">
        <v>890</v>
      </c>
      <c r="C384" s="199" t="s">
        <v>280</v>
      </c>
      <c r="D384" s="198">
        <v>20</v>
      </c>
      <c r="E384" s="198">
        <v>1</v>
      </c>
      <c r="F384" s="198">
        <v>60</v>
      </c>
      <c r="G384" s="198" t="s">
        <v>889</v>
      </c>
      <c r="H384" s="194">
        <v>1</v>
      </c>
      <c r="I384" s="195"/>
      <c r="J384" s="1741"/>
    </row>
    <row r="385" spans="2:14" s="101" customFormat="1" ht="15.75" thickBot="1" x14ac:dyDescent="0.3">
      <c r="B385" s="502"/>
      <c r="C385" s="1362"/>
      <c r="E385" s="105"/>
      <c r="F385" s="105"/>
      <c r="G385" s="105"/>
      <c r="H385" s="105"/>
      <c r="I385" s="103"/>
      <c r="J385" s="119"/>
    </row>
    <row r="386" spans="2:14" s="101" customFormat="1" ht="15.75" thickBot="1" x14ac:dyDescent="0.3">
      <c r="B386" s="502"/>
      <c r="C386" s="1452" t="s">
        <v>982</v>
      </c>
      <c r="D386" s="102" t="s">
        <v>315</v>
      </c>
      <c r="E386" s="102"/>
      <c r="F386" s="102"/>
      <c r="G386" s="102"/>
      <c r="H386" s="102"/>
      <c r="I386" s="115"/>
      <c r="J386" s="119"/>
    </row>
    <row r="387" spans="2:14" ht="15.75" thickBot="1" x14ac:dyDescent="0.3">
      <c r="B387" s="1612" t="s">
        <v>0</v>
      </c>
      <c r="C387" s="1613" t="s">
        <v>1</v>
      </c>
      <c r="D387" s="1061" t="s">
        <v>839</v>
      </c>
      <c r="E387" s="1061" t="s">
        <v>470</v>
      </c>
      <c r="F387" s="1061" t="s">
        <v>471</v>
      </c>
      <c r="G387" s="1061" t="s">
        <v>2</v>
      </c>
      <c r="H387" s="1061" t="s">
        <v>298</v>
      </c>
      <c r="I387" s="1060" t="s">
        <v>116</v>
      </c>
      <c r="J387" s="1777" t="s">
        <v>117</v>
      </c>
    </row>
    <row r="388" spans="2:14" s="101" customFormat="1" ht="18" outlineLevel="1" x14ac:dyDescent="0.25">
      <c r="B388" s="1537" t="s">
        <v>1722</v>
      </c>
      <c r="C388" s="1538" t="s">
        <v>2577</v>
      </c>
      <c r="D388" s="360">
        <v>0.6</v>
      </c>
      <c r="E388" s="2252">
        <v>0</v>
      </c>
      <c r="F388" s="2252">
        <v>1</v>
      </c>
      <c r="G388" s="2253" t="s">
        <v>2128</v>
      </c>
      <c r="H388" s="361">
        <v>2</v>
      </c>
      <c r="I388" s="1649"/>
      <c r="J388" s="1742"/>
      <c r="M388" s="102"/>
      <c r="N388" s="102"/>
    </row>
    <row r="389" spans="2:14" s="101" customFormat="1" ht="18" outlineLevel="1" x14ac:dyDescent="0.25">
      <c r="B389" s="211" t="s">
        <v>1723</v>
      </c>
      <c r="C389" s="1350" t="s">
        <v>2578</v>
      </c>
      <c r="D389" s="185">
        <v>0.45</v>
      </c>
      <c r="E389" s="2254">
        <v>0</v>
      </c>
      <c r="F389" s="2254">
        <v>1</v>
      </c>
      <c r="G389" s="2254" t="s">
        <v>2128</v>
      </c>
      <c r="H389" s="185">
        <v>2</v>
      </c>
      <c r="I389" s="1614"/>
      <c r="J389" s="1661"/>
      <c r="L389" s="105"/>
      <c r="M389" s="118"/>
      <c r="N389" s="118"/>
    </row>
    <row r="390" spans="2:14" s="101" customFormat="1" ht="18" outlineLevel="1" x14ac:dyDescent="0.25">
      <c r="B390" s="211" t="s">
        <v>1724</v>
      </c>
      <c r="C390" s="1350" t="s">
        <v>2579</v>
      </c>
      <c r="D390" s="185">
        <v>0.67</v>
      </c>
      <c r="E390" s="2254">
        <v>0</v>
      </c>
      <c r="F390" s="2254">
        <v>1</v>
      </c>
      <c r="G390" s="2254" t="s">
        <v>2128</v>
      </c>
      <c r="H390" s="185">
        <v>2</v>
      </c>
      <c r="I390" s="1614"/>
      <c r="J390" s="1661"/>
      <c r="L390" s="105"/>
      <c r="M390" s="118"/>
      <c r="N390" s="118"/>
    </row>
    <row r="391" spans="2:14" s="101" customFormat="1" ht="18" outlineLevel="1" x14ac:dyDescent="0.25">
      <c r="B391" s="211" t="s">
        <v>1725</v>
      </c>
      <c r="C391" s="1350" t="s">
        <v>2580</v>
      </c>
      <c r="D391" s="185">
        <v>0.54</v>
      </c>
      <c r="E391" s="2254">
        <v>0</v>
      </c>
      <c r="F391" s="2254">
        <v>1</v>
      </c>
      <c r="G391" s="2254" t="s">
        <v>2128</v>
      </c>
      <c r="H391" s="185">
        <v>2</v>
      </c>
      <c r="I391" s="1614"/>
      <c r="J391" s="1661"/>
      <c r="L391" s="105"/>
      <c r="M391" s="118"/>
      <c r="N391" s="118"/>
    </row>
    <row r="392" spans="2:14" s="101" customFormat="1" ht="18" outlineLevel="1" x14ac:dyDescent="0.25">
      <c r="B392" s="211" t="s">
        <v>1726</v>
      </c>
      <c r="C392" s="1350" t="s">
        <v>2581</v>
      </c>
      <c r="D392" s="186">
        <v>0.1</v>
      </c>
      <c r="E392" s="2255">
        <v>0</v>
      </c>
      <c r="F392" s="2254">
        <v>1</v>
      </c>
      <c r="G392" s="2254" t="s">
        <v>2128</v>
      </c>
      <c r="H392" s="185">
        <v>2</v>
      </c>
      <c r="I392" s="1614"/>
      <c r="J392" s="1661"/>
      <c r="L392" s="105"/>
      <c r="M392" s="118"/>
      <c r="N392" s="118"/>
    </row>
    <row r="393" spans="2:14" s="101" customFormat="1" ht="18" outlineLevel="1" x14ac:dyDescent="0.25">
      <c r="B393" s="211" t="s">
        <v>2154</v>
      </c>
      <c r="C393" s="1350" t="s">
        <v>2582</v>
      </c>
      <c r="D393" s="185">
        <v>0.35</v>
      </c>
      <c r="E393" s="2254">
        <v>0</v>
      </c>
      <c r="F393" s="2254">
        <v>1</v>
      </c>
      <c r="G393" s="2254" t="s">
        <v>2128</v>
      </c>
      <c r="H393" s="185">
        <v>2</v>
      </c>
      <c r="I393" s="1614"/>
      <c r="J393" s="1661"/>
      <c r="L393" s="105"/>
      <c r="M393" s="118"/>
      <c r="N393" s="118"/>
    </row>
    <row r="394" spans="2:14" s="101" customFormat="1" ht="18" outlineLevel="1" x14ac:dyDescent="0.25">
      <c r="B394" s="211" t="s">
        <v>2155</v>
      </c>
      <c r="C394" s="1350" t="s">
        <v>2583</v>
      </c>
      <c r="D394" s="185">
        <v>0.1</v>
      </c>
      <c r="E394" s="2254">
        <v>0</v>
      </c>
      <c r="F394" s="2254">
        <v>1</v>
      </c>
      <c r="G394" s="2254" t="s">
        <v>2128</v>
      </c>
      <c r="H394" s="185">
        <v>2</v>
      </c>
      <c r="I394" s="1614"/>
      <c r="J394" s="1661"/>
      <c r="L394" s="105"/>
      <c r="M394" s="118"/>
      <c r="N394" s="118"/>
    </row>
    <row r="395" spans="2:14" s="101" customFormat="1" ht="18" outlineLevel="1" x14ac:dyDescent="0.25">
      <c r="B395" s="211" t="s">
        <v>1727</v>
      </c>
      <c r="C395" s="1350" t="s">
        <v>2584</v>
      </c>
      <c r="D395" s="186">
        <v>0.4</v>
      </c>
      <c r="E395" s="2255">
        <v>0</v>
      </c>
      <c r="F395" s="2254">
        <v>1</v>
      </c>
      <c r="G395" s="2254" t="s">
        <v>2128</v>
      </c>
      <c r="H395" s="185">
        <v>2</v>
      </c>
      <c r="I395" s="1614"/>
      <c r="J395" s="1661"/>
    </row>
    <row r="396" spans="2:14" s="101" customFormat="1" ht="18" outlineLevel="1" x14ac:dyDescent="0.25">
      <c r="B396" s="211" t="s">
        <v>870</v>
      </c>
      <c r="C396" s="1350" t="s">
        <v>2585</v>
      </c>
      <c r="D396" s="186">
        <v>0.4</v>
      </c>
      <c r="E396" s="2255">
        <v>0</v>
      </c>
      <c r="F396" s="2254">
        <v>1</v>
      </c>
      <c r="G396" s="2254" t="s">
        <v>2128</v>
      </c>
      <c r="H396" s="185">
        <v>2</v>
      </c>
      <c r="I396" s="1614"/>
      <c r="J396" s="1661"/>
    </row>
    <row r="397" spans="2:14" s="101" customFormat="1" ht="18" outlineLevel="1" x14ac:dyDescent="0.25">
      <c r="B397" s="2980" t="s">
        <v>5801</v>
      </c>
      <c r="C397" s="2981" t="s">
        <v>5802</v>
      </c>
      <c r="D397" s="1170">
        <v>0.63900000000000001</v>
      </c>
      <c r="E397" s="2256">
        <v>0</v>
      </c>
      <c r="F397" s="2256">
        <v>1</v>
      </c>
      <c r="G397" s="2256" t="s">
        <v>5158</v>
      </c>
      <c r="H397" s="1170">
        <v>3</v>
      </c>
      <c r="I397" s="1169"/>
      <c r="J397" s="1743"/>
    </row>
    <row r="398" spans="2:14" s="101" customFormat="1" ht="18" outlineLevel="1" x14ac:dyDescent="0.25">
      <c r="B398" s="2980" t="s">
        <v>5803</v>
      </c>
      <c r="C398" s="2981" t="s">
        <v>5804</v>
      </c>
      <c r="D398" s="1170">
        <v>0.52</v>
      </c>
      <c r="E398" s="2256">
        <v>0</v>
      </c>
      <c r="F398" s="2256">
        <v>1</v>
      </c>
      <c r="G398" s="2256" t="s">
        <v>5158</v>
      </c>
      <c r="H398" s="1170">
        <v>2</v>
      </c>
      <c r="I398" s="1169"/>
      <c r="J398" s="1743"/>
    </row>
    <row r="399" spans="2:14" s="101" customFormat="1" ht="18" outlineLevel="1" x14ac:dyDescent="0.25">
      <c r="B399" s="1540" t="s">
        <v>4740</v>
      </c>
      <c r="C399" s="1368" t="s">
        <v>4741</v>
      </c>
      <c r="D399" s="1184">
        <v>0.1</v>
      </c>
      <c r="E399" s="2257">
        <v>0</v>
      </c>
      <c r="F399" s="2256">
        <v>1</v>
      </c>
      <c r="G399" s="2256" t="s">
        <v>5158</v>
      </c>
      <c r="H399" s="1170">
        <v>2</v>
      </c>
      <c r="I399" s="1169"/>
      <c r="J399" s="1743"/>
      <c r="L399" s="105"/>
      <c r="M399" s="118"/>
      <c r="N399" s="118"/>
    </row>
    <row r="400" spans="2:14" s="101" customFormat="1" ht="18" outlineLevel="1" x14ac:dyDescent="0.25">
      <c r="B400" s="1540" t="s">
        <v>4742</v>
      </c>
      <c r="C400" s="1368" t="s">
        <v>4743</v>
      </c>
      <c r="D400" s="1170">
        <v>0.35</v>
      </c>
      <c r="E400" s="2256">
        <v>0</v>
      </c>
      <c r="F400" s="2256">
        <v>1</v>
      </c>
      <c r="G400" s="2256" t="s">
        <v>5158</v>
      </c>
      <c r="H400" s="1170">
        <v>2</v>
      </c>
      <c r="I400" s="1169"/>
      <c r="J400" s="1743"/>
      <c r="L400" s="105"/>
      <c r="M400" s="118"/>
      <c r="N400" s="118"/>
    </row>
    <row r="401" spans="2:15" s="101" customFormat="1" ht="18" outlineLevel="1" x14ac:dyDescent="0.25">
      <c r="B401" s="1540" t="s">
        <v>4744</v>
      </c>
      <c r="C401" s="1368" t="s">
        <v>4745</v>
      </c>
      <c r="D401" s="1170">
        <v>0.1</v>
      </c>
      <c r="E401" s="2256">
        <v>0</v>
      </c>
      <c r="F401" s="2256">
        <v>1</v>
      </c>
      <c r="G401" s="2256" t="s">
        <v>5158</v>
      </c>
      <c r="H401" s="1170">
        <v>2</v>
      </c>
      <c r="I401" s="1169"/>
      <c r="J401" s="1743"/>
      <c r="L401" s="105"/>
      <c r="M401" s="118"/>
      <c r="N401" s="118"/>
    </row>
    <row r="402" spans="2:15" s="101" customFormat="1" ht="18" outlineLevel="1" x14ac:dyDescent="0.25">
      <c r="B402" s="1539" t="s">
        <v>4746</v>
      </c>
      <c r="C402" s="1368" t="s">
        <v>4747</v>
      </c>
      <c r="D402" s="1170">
        <v>0.33</v>
      </c>
      <c r="E402" s="2256">
        <v>0</v>
      </c>
      <c r="F402" s="2256">
        <v>1</v>
      </c>
      <c r="G402" s="2256" t="s">
        <v>5159</v>
      </c>
      <c r="H402" s="1170">
        <v>2</v>
      </c>
      <c r="I402" s="1169"/>
      <c r="J402" s="1743"/>
    </row>
    <row r="403" spans="2:15" s="101" customFormat="1" ht="18" outlineLevel="1" x14ac:dyDescent="0.25">
      <c r="B403" s="1539" t="s">
        <v>4748</v>
      </c>
      <c r="C403" s="1368" t="s">
        <v>4749</v>
      </c>
      <c r="D403" s="1170">
        <v>0.23</v>
      </c>
      <c r="E403" s="2256">
        <v>0</v>
      </c>
      <c r="F403" s="2256">
        <v>1</v>
      </c>
      <c r="G403" s="2256" t="s">
        <v>5159</v>
      </c>
      <c r="H403" s="1170">
        <v>2</v>
      </c>
      <c r="I403" s="1169"/>
      <c r="J403" s="1743"/>
    </row>
    <row r="404" spans="2:15" s="101" customFormat="1" ht="18" outlineLevel="1" x14ac:dyDescent="0.25">
      <c r="B404" s="1540" t="s">
        <v>879</v>
      </c>
      <c r="C404" s="1368" t="s">
        <v>2586</v>
      </c>
      <c r="D404" s="1170">
        <v>0.65</v>
      </c>
      <c r="E404" s="2256">
        <v>0</v>
      </c>
      <c r="F404" s="2256">
        <v>1</v>
      </c>
      <c r="G404" s="2256" t="s">
        <v>5160</v>
      </c>
      <c r="H404" s="1170">
        <v>2</v>
      </c>
      <c r="I404" s="1169"/>
      <c r="J404" s="1743"/>
    </row>
    <row r="405" spans="2:15" s="101" customFormat="1" ht="18" outlineLevel="1" x14ac:dyDescent="0.25">
      <c r="B405" s="1540" t="s">
        <v>880</v>
      </c>
      <c r="C405" s="1368" t="s">
        <v>272</v>
      </c>
      <c r="D405" s="1197">
        <f>(30+31+3*16)/31</f>
        <v>3.5161290322580645</v>
      </c>
      <c r="E405" s="2258">
        <v>0</v>
      </c>
      <c r="F405" s="2256">
        <v>10</v>
      </c>
      <c r="G405" s="2256" t="s">
        <v>5161</v>
      </c>
      <c r="H405" s="1170">
        <v>1</v>
      </c>
      <c r="I405" s="1169"/>
      <c r="J405" s="1743"/>
    </row>
    <row r="406" spans="2:15" s="101" customFormat="1" ht="18" outlineLevel="1" x14ac:dyDescent="0.25">
      <c r="B406" s="2982" t="s">
        <v>5805</v>
      </c>
      <c r="C406" s="2983" t="s">
        <v>5806</v>
      </c>
      <c r="D406" s="1190">
        <v>0.6</v>
      </c>
      <c r="E406" s="2259">
        <v>0</v>
      </c>
      <c r="F406" s="2259">
        <v>1</v>
      </c>
      <c r="G406" s="2259" t="s">
        <v>2128</v>
      </c>
      <c r="H406" s="1190">
        <v>3</v>
      </c>
      <c r="I406" s="1198"/>
      <c r="J406" s="1744"/>
    </row>
    <row r="407" spans="2:15" s="101" customFormat="1" ht="18" outlineLevel="1" x14ac:dyDescent="0.25">
      <c r="B407" s="2982" t="s">
        <v>5807</v>
      </c>
      <c r="C407" s="2983" t="s">
        <v>5808</v>
      </c>
      <c r="D407" s="1190">
        <v>0.5</v>
      </c>
      <c r="E407" s="2259">
        <v>0</v>
      </c>
      <c r="F407" s="2259">
        <v>1</v>
      </c>
      <c r="G407" s="2259" t="s">
        <v>2128</v>
      </c>
      <c r="H407" s="1190">
        <v>2</v>
      </c>
      <c r="I407" s="1198"/>
      <c r="J407" s="1744"/>
    </row>
    <row r="408" spans="2:15" s="101" customFormat="1" ht="18" outlineLevel="1" x14ac:dyDescent="0.25">
      <c r="B408" s="1242" t="s">
        <v>2279</v>
      </c>
      <c r="C408" s="1541" t="s">
        <v>2589</v>
      </c>
      <c r="D408" s="494">
        <v>0.15</v>
      </c>
      <c r="E408" s="2260">
        <v>0</v>
      </c>
      <c r="F408" s="2260">
        <v>1</v>
      </c>
      <c r="G408" s="2260" t="s">
        <v>5162</v>
      </c>
      <c r="H408" s="494">
        <v>2</v>
      </c>
      <c r="I408" s="1650"/>
      <c r="J408" s="1745"/>
      <c r="L408" s="495"/>
      <c r="M408" s="495"/>
      <c r="N408" s="495"/>
      <c r="O408" s="495"/>
    </row>
    <row r="409" spans="2:15" s="101" customFormat="1" ht="18" outlineLevel="1" x14ac:dyDescent="0.25">
      <c r="B409" s="1241" t="s">
        <v>2280</v>
      </c>
      <c r="C409" s="1541" t="s">
        <v>2590</v>
      </c>
      <c r="D409" s="188">
        <v>0.09</v>
      </c>
      <c r="E409" s="2260">
        <v>0</v>
      </c>
      <c r="F409" s="2260">
        <v>1</v>
      </c>
      <c r="G409" s="2260" t="s">
        <v>5162</v>
      </c>
      <c r="H409" s="188">
        <v>2</v>
      </c>
      <c r="I409" s="1651"/>
      <c r="J409" s="1746"/>
      <c r="L409" s="495"/>
      <c r="M409" s="495"/>
      <c r="N409" s="495"/>
      <c r="O409" s="495"/>
    </row>
    <row r="410" spans="2:15" s="127" customFormat="1" ht="18" outlineLevel="1" x14ac:dyDescent="0.25">
      <c r="B410" s="1542" t="s">
        <v>2281</v>
      </c>
      <c r="C410" s="1543" t="s">
        <v>2591</v>
      </c>
      <c r="D410" s="496">
        <v>1.32</v>
      </c>
      <c r="E410" s="2261">
        <v>0</v>
      </c>
      <c r="F410" s="2261">
        <v>10</v>
      </c>
      <c r="G410" s="2261" t="s">
        <v>5163</v>
      </c>
      <c r="H410" s="497">
        <v>2</v>
      </c>
      <c r="I410" s="1747"/>
      <c r="J410" s="1748"/>
      <c r="K410" s="101"/>
      <c r="L410" s="495"/>
      <c r="M410" s="495"/>
      <c r="N410" s="495"/>
      <c r="O410" s="495"/>
    </row>
    <row r="411" spans="2:15" s="127" customFormat="1" ht="18" outlineLevel="1" x14ac:dyDescent="0.25">
      <c r="B411" s="1542" t="s">
        <v>2282</v>
      </c>
      <c r="C411" s="1543" t="s">
        <v>2592</v>
      </c>
      <c r="D411" s="496">
        <v>0.26</v>
      </c>
      <c r="E411" s="2261">
        <v>0</v>
      </c>
      <c r="F411" s="2261">
        <v>1</v>
      </c>
      <c r="G411" s="2261" t="s">
        <v>5164</v>
      </c>
      <c r="H411" s="497">
        <v>2</v>
      </c>
      <c r="I411" s="1747"/>
      <c r="J411" s="1748"/>
      <c r="K411" s="101"/>
      <c r="L411" s="495"/>
      <c r="M411" s="495"/>
      <c r="N411" s="495"/>
      <c r="O411" s="495"/>
    </row>
    <row r="412" spans="2:15" s="101" customFormat="1" ht="18" outlineLevel="1" x14ac:dyDescent="0.25">
      <c r="B412" s="1417" t="s">
        <v>872</v>
      </c>
      <c r="C412" s="1544" t="s">
        <v>2587</v>
      </c>
      <c r="D412" s="359">
        <v>0.1</v>
      </c>
      <c r="E412" s="2262">
        <v>0</v>
      </c>
      <c r="F412" s="2262">
        <v>1</v>
      </c>
      <c r="G412" s="2263" t="s">
        <v>2128</v>
      </c>
      <c r="H412" s="251">
        <v>2</v>
      </c>
      <c r="I412" s="1652"/>
      <c r="J412" s="1749"/>
    </row>
    <row r="413" spans="2:15" s="101" customFormat="1" ht="18" outlineLevel="1" x14ac:dyDescent="0.25">
      <c r="B413" s="1545" t="s">
        <v>871</v>
      </c>
      <c r="C413" s="1546" t="s">
        <v>2588</v>
      </c>
      <c r="D413" s="681">
        <v>0.1</v>
      </c>
      <c r="E413" s="681">
        <v>0</v>
      </c>
      <c r="F413" s="681">
        <v>1</v>
      </c>
      <c r="G413" s="681" t="s">
        <v>2128</v>
      </c>
      <c r="H413" s="682">
        <v>2</v>
      </c>
      <c r="I413" s="680"/>
      <c r="J413" s="1750"/>
    </row>
    <row r="414" spans="2:15" s="101" customFormat="1" ht="18" outlineLevel="1" x14ac:dyDescent="0.25">
      <c r="B414" s="1547" t="s">
        <v>3194</v>
      </c>
      <c r="C414" s="1548" t="s">
        <v>3195</v>
      </c>
      <c r="D414" s="740">
        <v>3.7999999999999999E-2</v>
      </c>
      <c r="E414" s="740">
        <v>0</v>
      </c>
      <c r="F414" s="740">
        <v>1</v>
      </c>
      <c r="G414" s="740" t="s">
        <v>2022</v>
      </c>
      <c r="H414" s="740">
        <v>3</v>
      </c>
      <c r="I414" s="739"/>
      <c r="J414" s="1751" t="s">
        <v>3196</v>
      </c>
      <c r="L414" s="495"/>
      <c r="M414" s="495"/>
      <c r="N414" s="495"/>
      <c r="O414" s="495"/>
    </row>
    <row r="415" spans="2:15" s="101" customFormat="1" ht="18" outlineLevel="1" x14ac:dyDescent="0.25">
      <c r="B415" s="1448" t="s">
        <v>3197</v>
      </c>
      <c r="C415" s="1549" t="s">
        <v>3198</v>
      </c>
      <c r="D415" s="662">
        <v>0.32800000000000001</v>
      </c>
      <c r="E415" s="662">
        <v>0</v>
      </c>
      <c r="F415" s="662">
        <v>1</v>
      </c>
      <c r="G415" s="740" t="s">
        <v>2022</v>
      </c>
      <c r="H415" s="662">
        <v>3</v>
      </c>
      <c r="I415" s="679"/>
      <c r="J415" s="1752" t="s">
        <v>3199</v>
      </c>
      <c r="L415" s="495"/>
      <c r="M415" s="495"/>
      <c r="N415" s="495"/>
      <c r="O415" s="495"/>
    </row>
    <row r="416" spans="2:15" s="101" customFormat="1" ht="18" outlineLevel="1" x14ac:dyDescent="0.25">
      <c r="B416" s="1448" t="s">
        <v>3200</v>
      </c>
      <c r="C416" s="1549" t="s">
        <v>3201</v>
      </c>
      <c r="D416" s="662">
        <v>0.11600000000000001</v>
      </c>
      <c r="E416" s="662">
        <v>0</v>
      </c>
      <c r="F416" s="662">
        <v>1</v>
      </c>
      <c r="G416" s="740" t="s">
        <v>2022</v>
      </c>
      <c r="H416" s="662">
        <v>3</v>
      </c>
      <c r="I416" s="679"/>
      <c r="J416" s="1753" t="s">
        <v>3196</v>
      </c>
      <c r="L416" s="495"/>
      <c r="M416" s="495"/>
      <c r="N416" s="495"/>
      <c r="O416" s="495"/>
    </row>
    <row r="417" spans="2:15" s="101" customFormat="1" ht="18" outlineLevel="1" x14ac:dyDescent="0.25">
      <c r="B417" s="1448" t="s">
        <v>3202</v>
      </c>
      <c r="C417" s="1549" t="s">
        <v>3203</v>
      </c>
      <c r="D417" s="662">
        <v>0.32800000000000001</v>
      </c>
      <c r="E417" s="662">
        <v>0</v>
      </c>
      <c r="F417" s="662">
        <v>1</v>
      </c>
      <c r="G417" s="740" t="s">
        <v>2022</v>
      </c>
      <c r="H417" s="662">
        <v>3</v>
      </c>
      <c r="I417" s="679"/>
      <c r="J417" s="1752" t="s">
        <v>3199</v>
      </c>
      <c r="L417" s="495"/>
      <c r="M417" s="495"/>
      <c r="N417" s="495"/>
      <c r="O417" s="495"/>
    </row>
    <row r="418" spans="2:15" s="101" customFormat="1" ht="18" outlineLevel="1" x14ac:dyDescent="0.25">
      <c r="B418" s="1441" t="s">
        <v>3204</v>
      </c>
      <c r="C418" s="1550" t="s">
        <v>3205</v>
      </c>
      <c r="D418" s="653">
        <v>3.5000000000000003E-2</v>
      </c>
      <c r="E418" s="653">
        <v>0</v>
      </c>
      <c r="F418" s="653">
        <v>1</v>
      </c>
      <c r="G418" s="653" t="s">
        <v>2128</v>
      </c>
      <c r="H418" s="653">
        <v>3</v>
      </c>
      <c r="I418" s="655"/>
      <c r="J418" s="1754" t="s">
        <v>3206</v>
      </c>
      <c r="L418" s="495"/>
      <c r="M418" s="495"/>
      <c r="N418" s="495"/>
      <c r="O418" s="495"/>
    </row>
    <row r="419" spans="2:15" s="101" customFormat="1" ht="18.75" outlineLevel="1" thickBot="1" x14ac:dyDescent="0.3">
      <c r="B419" s="1442" t="s">
        <v>3207</v>
      </c>
      <c r="C419" s="1551" t="s">
        <v>3208</v>
      </c>
      <c r="D419" s="728">
        <v>5.0999999999999997E-2</v>
      </c>
      <c r="E419" s="728">
        <v>0</v>
      </c>
      <c r="F419" s="728">
        <v>1</v>
      </c>
      <c r="G419" s="728" t="s">
        <v>2128</v>
      </c>
      <c r="H419" s="728">
        <v>3</v>
      </c>
      <c r="I419" s="612"/>
      <c r="J419" s="1755" t="s">
        <v>3206</v>
      </c>
      <c r="L419" s="495"/>
      <c r="M419" s="495"/>
      <c r="N419" s="495"/>
      <c r="O419" s="495"/>
    </row>
    <row r="420" spans="2:15" ht="15.75" thickBot="1" x14ac:dyDescent="0.3">
      <c r="C420" s="1347"/>
      <c r="D420" s="105"/>
      <c r="E420" s="105"/>
      <c r="F420" s="105"/>
      <c r="G420" s="105"/>
      <c r="H420" s="105"/>
      <c r="I420" s="103"/>
      <c r="J420" s="119"/>
      <c r="K420" s="101"/>
      <c r="L420" s="105"/>
      <c r="M420" s="118"/>
      <c r="N420" s="118"/>
      <c r="O420" s="101"/>
    </row>
    <row r="421" spans="2:15" ht="15.75" thickBot="1" x14ac:dyDescent="0.3">
      <c r="C421" s="1552" t="s">
        <v>799</v>
      </c>
      <c r="D421" s="102" t="s">
        <v>315</v>
      </c>
      <c r="J421" s="119"/>
      <c r="K421" s="101"/>
      <c r="L421" s="105"/>
      <c r="M421" s="118"/>
      <c r="N421" s="118"/>
      <c r="O421" s="101"/>
    </row>
    <row r="422" spans="2:15" ht="15.75" thickBot="1" x14ac:dyDescent="0.3">
      <c r="B422" s="1553" t="s">
        <v>0</v>
      </c>
      <c r="C422" s="1554" t="s">
        <v>1</v>
      </c>
      <c r="D422" s="139" t="s">
        <v>839</v>
      </c>
      <c r="E422" s="139" t="s">
        <v>470</v>
      </c>
      <c r="F422" s="139" t="s">
        <v>471</v>
      </c>
      <c r="G422" s="139" t="s">
        <v>2</v>
      </c>
      <c r="H422" s="139" t="s">
        <v>298</v>
      </c>
      <c r="I422" s="156" t="s">
        <v>116</v>
      </c>
      <c r="J422" s="1756" t="s">
        <v>117</v>
      </c>
      <c r="K422" s="101"/>
      <c r="L422" s="105"/>
      <c r="M422" s="118"/>
      <c r="N422" s="118"/>
      <c r="O422" s="101"/>
    </row>
    <row r="423" spans="2:15" s="101" customFormat="1" ht="18.75" outlineLevel="1" x14ac:dyDescent="0.25">
      <c r="B423" s="1555" t="s">
        <v>873</v>
      </c>
      <c r="C423" s="1556" t="s">
        <v>2596</v>
      </c>
      <c r="D423" s="116">
        <v>0.08</v>
      </c>
      <c r="E423" s="116">
        <v>0</v>
      </c>
      <c r="F423" s="116">
        <v>0.5</v>
      </c>
      <c r="G423" s="581" t="s">
        <v>2939</v>
      </c>
      <c r="H423" s="116">
        <v>2</v>
      </c>
      <c r="I423" s="1653"/>
      <c r="J423" s="1757"/>
    </row>
    <row r="424" spans="2:15" s="101" customFormat="1" ht="18" outlineLevel="1" x14ac:dyDescent="0.25">
      <c r="B424" s="1557" t="s">
        <v>874</v>
      </c>
      <c r="C424" s="1558" t="s">
        <v>276</v>
      </c>
      <c r="D424" s="510">
        <v>7.0000000000000007E-2</v>
      </c>
      <c r="E424" s="511">
        <v>0</v>
      </c>
      <c r="F424" s="511">
        <v>0.5</v>
      </c>
      <c r="G424" s="511" t="s">
        <v>1889</v>
      </c>
      <c r="H424" s="511">
        <v>3</v>
      </c>
      <c r="I424" s="1654"/>
      <c r="J424" s="1758"/>
    </row>
    <row r="425" spans="2:15" s="101" customFormat="1" ht="18" outlineLevel="1" x14ac:dyDescent="0.25">
      <c r="B425" s="2331" t="s">
        <v>5229</v>
      </c>
      <c r="C425" s="2332" t="s">
        <v>5230</v>
      </c>
      <c r="D425" s="2330">
        <v>7.0000000000000007E-2</v>
      </c>
      <c r="E425" s="1787">
        <v>0</v>
      </c>
      <c r="F425" s="1787">
        <v>0.5</v>
      </c>
      <c r="G425" s="1787" t="s">
        <v>5231</v>
      </c>
      <c r="H425" s="1787">
        <v>3</v>
      </c>
      <c r="I425" s="1788"/>
      <c r="J425" s="2333"/>
      <c r="K425" s="118"/>
    </row>
    <row r="426" spans="2:15" s="101" customFormat="1" ht="18" outlineLevel="1" x14ac:dyDescent="0.25">
      <c r="B426" s="1557" t="s">
        <v>2132</v>
      </c>
      <c r="C426" s="1558" t="s">
        <v>2133</v>
      </c>
      <c r="D426" s="510">
        <v>0.06</v>
      </c>
      <c r="E426" s="511">
        <v>0</v>
      </c>
      <c r="F426" s="511">
        <v>0.5</v>
      </c>
      <c r="G426" s="511" t="s">
        <v>1889</v>
      </c>
      <c r="H426" s="511">
        <v>3</v>
      </c>
      <c r="I426" s="1654"/>
      <c r="J426" s="1758"/>
    </row>
    <row r="427" spans="2:15" s="101" customFormat="1" ht="18" outlineLevel="1" x14ac:dyDescent="0.25">
      <c r="B427" s="1557" t="s">
        <v>1121</v>
      </c>
      <c r="C427" s="1558" t="s">
        <v>2597</v>
      </c>
      <c r="D427" s="510">
        <v>0.01</v>
      </c>
      <c r="E427" s="511">
        <v>0</v>
      </c>
      <c r="F427" s="511">
        <v>0.5</v>
      </c>
      <c r="G427" s="511" t="s">
        <v>1889</v>
      </c>
      <c r="H427" s="511">
        <v>3</v>
      </c>
      <c r="I427" s="1654"/>
      <c r="J427" s="1789" t="s">
        <v>4956</v>
      </c>
      <c r="K427" s="118"/>
      <c r="L427" s="118"/>
    </row>
    <row r="428" spans="2:15" s="101" customFormat="1" ht="18" outlineLevel="1" x14ac:dyDescent="0.25">
      <c r="B428" s="1557" t="s">
        <v>1056</v>
      </c>
      <c r="C428" s="1558" t="s">
        <v>2598</v>
      </c>
      <c r="D428" s="510">
        <v>0.01</v>
      </c>
      <c r="E428" s="511">
        <v>0</v>
      </c>
      <c r="F428" s="511">
        <v>0.1</v>
      </c>
      <c r="G428" s="511" t="s">
        <v>1889</v>
      </c>
      <c r="H428" s="511">
        <v>3</v>
      </c>
      <c r="I428" s="1654"/>
      <c r="J428" s="1758"/>
      <c r="K428" s="118"/>
      <c r="L428" s="118"/>
    </row>
    <row r="429" spans="2:15" s="101" customFormat="1" ht="18" outlineLevel="1" x14ac:dyDescent="0.25">
      <c r="B429" s="1557" t="s">
        <v>1122</v>
      </c>
      <c r="C429" s="1558" t="s">
        <v>2599</v>
      </c>
      <c r="D429" s="510">
        <v>0.01</v>
      </c>
      <c r="E429" s="511">
        <v>0</v>
      </c>
      <c r="F429" s="511">
        <v>0.1</v>
      </c>
      <c r="G429" s="511" t="s">
        <v>1889</v>
      </c>
      <c r="H429" s="511">
        <v>3</v>
      </c>
      <c r="I429" s="1654"/>
      <c r="J429" s="1789" t="s">
        <v>4957</v>
      </c>
      <c r="K429" s="118"/>
      <c r="L429" s="118"/>
    </row>
    <row r="430" spans="2:15" s="101" customFormat="1" ht="18" outlineLevel="1" x14ac:dyDescent="0.25">
      <c r="B430" s="1557" t="s">
        <v>1365</v>
      </c>
      <c r="C430" s="1559" t="s">
        <v>2600</v>
      </c>
      <c r="D430" s="512">
        <v>5.7075504823359977E-2</v>
      </c>
      <c r="E430" s="511">
        <v>0</v>
      </c>
      <c r="F430" s="511">
        <v>1</v>
      </c>
      <c r="G430" s="511" t="s">
        <v>1894</v>
      </c>
      <c r="H430" s="511">
        <v>2</v>
      </c>
      <c r="I430" s="1654"/>
      <c r="J430" s="1789" t="s">
        <v>1983</v>
      </c>
    </row>
    <row r="431" spans="2:15" s="101" customFormat="1" ht="18" outlineLevel="1" x14ac:dyDescent="0.25">
      <c r="B431" s="1560" t="s">
        <v>875</v>
      </c>
      <c r="C431" s="1561" t="s">
        <v>277</v>
      </c>
      <c r="D431" s="513">
        <v>0.02</v>
      </c>
      <c r="E431" s="514">
        <v>0</v>
      </c>
      <c r="F431" s="514">
        <v>0.1</v>
      </c>
      <c r="G431" s="514" t="s">
        <v>1890</v>
      </c>
      <c r="H431" s="514">
        <v>3</v>
      </c>
      <c r="I431" s="1655"/>
      <c r="J431" s="1759"/>
    </row>
    <row r="432" spans="2:15" s="101" customFormat="1" ht="18" outlineLevel="1" x14ac:dyDescent="0.25">
      <c r="B432" s="2338" t="s">
        <v>5232</v>
      </c>
      <c r="C432" s="2339" t="s">
        <v>5233</v>
      </c>
      <c r="D432" s="2334">
        <v>0.02</v>
      </c>
      <c r="E432" s="2335">
        <v>0</v>
      </c>
      <c r="F432" s="2335">
        <v>0.1</v>
      </c>
      <c r="G432" s="2335" t="s">
        <v>5234</v>
      </c>
      <c r="H432" s="2335">
        <v>3</v>
      </c>
      <c r="I432" s="2336"/>
      <c r="J432" s="2337"/>
      <c r="K432" s="118"/>
    </row>
    <row r="433" spans="2:12" s="101" customFormat="1" ht="18" outlineLevel="1" x14ac:dyDescent="0.25">
      <c r="B433" s="1560" t="s">
        <v>1057</v>
      </c>
      <c r="C433" s="1561" t="s">
        <v>2601</v>
      </c>
      <c r="D433" s="1821">
        <v>2E-3</v>
      </c>
      <c r="E433" s="514">
        <v>0</v>
      </c>
      <c r="F433" s="514">
        <v>0.1</v>
      </c>
      <c r="G433" s="514" t="s">
        <v>1890</v>
      </c>
      <c r="H433" s="514">
        <v>3</v>
      </c>
      <c r="I433" s="1655"/>
      <c r="J433" s="1822" t="s">
        <v>4958</v>
      </c>
      <c r="K433" s="118"/>
      <c r="L433" s="118"/>
    </row>
    <row r="434" spans="2:12" s="101" customFormat="1" ht="18" outlineLevel="1" x14ac:dyDescent="0.25">
      <c r="B434" s="1560" t="s">
        <v>1058</v>
      </c>
      <c r="C434" s="1561" t="s">
        <v>2602</v>
      </c>
      <c r="D434" s="1821">
        <v>2E-3</v>
      </c>
      <c r="E434" s="514">
        <v>0</v>
      </c>
      <c r="F434" s="514">
        <v>0.1</v>
      </c>
      <c r="G434" s="514" t="s">
        <v>1890</v>
      </c>
      <c r="H434" s="514">
        <v>3</v>
      </c>
      <c r="I434" s="1655"/>
      <c r="J434" s="1822" t="s">
        <v>4958</v>
      </c>
      <c r="K434" s="118"/>
      <c r="L434" s="118"/>
    </row>
    <row r="435" spans="2:12" s="101" customFormat="1" ht="18" outlineLevel="1" x14ac:dyDescent="0.25">
      <c r="B435" s="1560" t="s">
        <v>1059</v>
      </c>
      <c r="C435" s="1561" t="s">
        <v>2603</v>
      </c>
      <c r="D435" s="513">
        <v>2E-3</v>
      </c>
      <c r="E435" s="514">
        <v>0</v>
      </c>
      <c r="F435" s="514">
        <v>0.1</v>
      </c>
      <c r="G435" s="514" t="s">
        <v>1890</v>
      </c>
      <c r="H435" s="514">
        <v>3</v>
      </c>
      <c r="I435" s="1655"/>
      <c r="J435" s="1759"/>
      <c r="K435" s="118"/>
      <c r="L435" s="118"/>
    </row>
    <row r="436" spans="2:12" s="101" customFormat="1" ht="18" outlineLevel="1" x14ac:dyDescent="0.25">
      <c r="B436" s="1560" t="s">
        <v>878</v>
      </c>
      <c r="C436" s="1562" t="s">
        <v>2604</v>
      </c>
      <c r="D436" s="515">
        <v>0.12621410566683836</v>
      </c>
      <c r="E436" s="514">
        <v>0</v>
      </c>
      <c r="F436" s="514">
        <v>1</v>
      </c>
      <c r="G436" s="514" t="s">
        <v>1895</v>
      </c>
      <c r="H436" s="514">
        <v>2</v>
      </c>
      <c r="I436" s="1655"/>
      <c r="J436" s="1853" t="s">
        <v>1984</v>
      </c>
    </row>
    <row r="437" spans="2:12" s="101" customFormat="1" ht="18" outlineLevel="1" x14ac:dyDescent="0.25">
      <c r="B437" s="1560" t="s">
        <v>1366</v>
      </c>
      <c r="C437" s="1562" t="s">
        <v>2605</v>
      </c>
      <c r="D437" s="515">
        <v>0.16206538757887573</v>
      </c>
      <c r="E437" s="514">
        <v>0</v>
      </c>
      <c r="F437" s="514">
        <v>1</v>
      </c>
      <c r="G437" s="514" t="s">
        <v>1895</v>
      </c>
      <c r="H437" s="514">
        <v>2</v>
      </c>
      <c r="I437" s="1655"/>
      <c r="J437" s="1853" t="s">
        <v>1985</v>
      </c>
    </row>
    <row r="438" spans="2:12" s="101" customFormat="1" ht="18" outlineLevel="1" x14ac:dyDescent="0.25">
      <c r="B438" s="1563" t="s">
        <v>4669</v>
      </c>
      <c r="C438" s="1564" t="s">
        <v>4670</v>
      </c>
      <c r="D438" s="1167">
        <v>0.179988070070871</v>
      </c>
      <c r="E438" s="1168">
        <v>0</v>
      </c>
      <c r="F438" s="1168">
        <v>1</v>
      </c>
      <c r="G438" s="1168" t="s">
        <v>1895</v>
      </c>
      <c r="H438" s="1168">
        <v>2</v>
      </c>
      <c r="I438" s="1656"/>
      <c r="J438" s="1853" t="s">
        <v>5059</v>
      </c>
    </row>
    <row r="439" spans="2:12" s="101" customFormat="1" ht="18" outlineLevel="1" x14ac:dyDescent="0.25">
      <c r="B439" s="1560" t="s">
        <v>1371</v>
      </c>
      <c r="C439" s="1562" t="s">
        <v>2606</v>
      </c>
      <c r="D439" s="515">
        <v>0.1234998580474381</v>
      </c>
      <c r="E439" s="514">
        <v>0</v>
      </c>
      <c r="F439" s="514">
        <v>1</v>
      </c>
      <c r="G439" s="514" t="s">
        <v>1895</v>
      </c>
      <c r="H439" s="514">
        <v>2</v>
      </c>
      <c r="I439" s="1655"/>
      <c r="J439" s="1853" t="s">
        <v>1986</v>
      </c>
    </row>
    <row r="440" spans="2:12" s="101" customFormat="1" ht="18" outlineLevel="1" x14ac:dyDescent="0.25">
      <c r="B440" s="1565" t="s">
        <v>3209</v>
      </c>
      <c r="C440" s="1455" t="s">
        <v>3210</v>
      </c>
      <c r="D440" s="650">
        <v>0.01</v>
      </c>
      <c r="E440" s="650">
        <v>0</v>
      </c>
      <c r="F440" s="650">
        <v>0.1</v>
      </c>
      <c r="G440" s="650" t="s">
        <v>3211</v>
      </c>
      <c r="H440" s="650">
        <v>3</v>
      </c>
      <c r="I440" s="539"/>
      <c r="J440" s="1760"/>
    </row>
    <row r="441" spans="2:12" s="101" customFormat="1" ht="18" outlineLevel="1" x14ac:dyDescent="0.25">
      <c r="B441" s="1565" t="s">
        <v>5294</v>
      </c>
      <c r="C441" s="1455" t="s">
        <v>5295</v>
      </c>
      <c r="D441" s="650">
        <v>0.01</v>
      </c>
      <c r="E441" s="650">
        <v>0</v>
      </c>
      <c r="F441" s="650">
        <v>0.1</v>
      </c>
      <c r="G441" s="650" t="s">
        <v>3211</v>
      </c>
      <c r="H441" s="650">
        <v>3</v>
      </c>
      <c r="I441" s="539"/>
      <c r="J441" s="1760"/>
    </row>
    <row r="442" spans="2:12" s="101" customFormat="1" ht="18" outlineLevel="1" x14ac:dyDescent="0.25">
      <c r="B442" s="1565" t="s">
        <v>3580</v>
      </c>
      <c r="C442" s="1566" t="s">
        <v>3581</v>
      </c>
      <c r="D442" s="846">
        <v>1.5E-3</v>
      </c>
      <c r="E442" s="650">
        <v>0</v>
      </c>
      <c r="F442" s="650">
        <v>0.1</v>
      </c>
      <c r="G442" s="650" t="s">
        <v>3211</v>
      </c>
      <c r="H442" s="650">
        <v>3</v>
      </c>
      <c r="I442" s="539"/>
      <c r="J442" s="1760"/>
      <c r="K442" s="118"/>
      <c r="L442" s="118"/>
    </row>
    <row r="443" spans="2:12" s="101" customFormat="1" ht="18" outlineLevel="1" x14ac:dyDescent="0.25">
      <c r="B443" s="1565" t="s">
        <v>3576</v>
      </c>
      <c r="C443" s="1566" t="s">
        <v>3579</v>
      </c>
      <c r="D443" s="846">
        <v>1.5E-3</v>
      </c>
      <c r="E443" s="650">
        <v>0</v>
      </c>
      <c r="F443" s="650">
        <v>0.1</v>
      </c>
      <c r="G443" s="650" t="s">
        <v>3211</v>
      </c>
      <c r="H443" s="650">
        <v>3</v>
      </c>
      <c r="I443" s="539"/>
      <c r="J443" s="1760"/>
      <c r="K443" s="118"/>
      <c r="L443" s="118"/>
    </row>
    <row r="444" spans="2:12" s="101" customFormat="1" ht="18" outlineLevel="1" x14ac:dyDescent="0.25">
      <c r="B444" s="1565" t="s">
        <v>3574</v>
      </c>
      <c r="C444" s="1566" t="s">
        <v>3577</v>
      </c>
      <c r="D444" s="846">
        <v>1.5E-3</v>
      </c>
      <c r="E444" s="650">
        <v>0</v>
      </c>
      <c r="F444" s="650">
        <v>0.1</v>
      </c>
      <c r="G444" s="650" t="s">
        <v>3211</v>
      </c>
      <c r="H444" s="650">
        <v>3</v>
      </c>
      <c r="I444" s="539"/>
      <c r="J444" s="1760"/>
      <c r="K444" s="118"/>
      <c r="L444" s="118"/>
    </row>
    <row r="445" spans="2:12" s="101" customFormat="1" ht="18" outlineLevel="1" x14ac:dyDescent="0.25">
      <c r="B445" s="1565" t="s">
        <v>3575</v>
      </c>
      <c r="C445" s="1566" t="s">
        <v>3578</v>
      </c>
      <c r="D445" s="846">
        <v>1.5E-3</v>
      </c>
      <c r="E445" s="650">
        <v>0</v>
      </c>
      <c r="F445" s="650">
        <v>0.1</v>
      </c>
      <c r="G445" s="650" t="s">
        <v>3211</v>
      </c>
      <c r="H445" s="650">
        <v>3</v>
      </c>
      <c r="I445" s="539"/>
      <c r="J445" s="1760"/>
      <c r="K445" s="118"/>
      <c r="L445" s="118"/>
    </row>
    <row r="446" spans="2:12" s="101" customFormat="1" ht="18" outlineLevel="1" x14ac:dyDescent="0.25">
      <c r="B446" s="1565" t="s">
        <v>3582</v>
      </c>
      <c r="C446" s="1566" t="s">
        <v>3584</v>
      </c>
      <c r="D446" s="846">
        <v>1.5E-3</v>
      </c>
      <c r="E446" s="650">
        <v>0</v>
      </c>
      <c r="F446" s="650">
        <v>0.1</v>
      </c>
      <c r="G446" s="650" t="s">
        <v>3211</v>
      </c>
      <c r="H446" s="650">
        <v>3</v>
      </c>
      <c r="I446" s="539"/>
      <c r="J446" s="1760"/>
      <c r="K446" s="118"/>
      <c r="L446" s="118"/>
    </row>
    <row r="447" spans="2:12" s="101" customFormat="1" ht="18" outlineLevel="1" x14ac:dyDescent="0.25">
      <c r="B447" s="1565" t="s">
        <v>3583</v>
      </c>
      <c r="C447" s="1566" t="s">
        <v>3585</v>
      </c>
      <c r="D447" s="846">
        <v>1.5E-3</v>
      </c>
      <c r="E447" s="650">
        <v>0</v>
      </c>
      <c r="F447" s="650">
        <v>0.1</v>
      </c>
      <c r="G447" s="650" t="s">
        <v>3211</v>
      </c>
      <c r="H447" s="650">
        <v>3</v>
      </c>
      <c r="I447" s="539"/>
      <c r="J447" s="1760"/>
      <c r="K447" s="118"/>
      <c r="L447" s="118"/>
    </row>
    <row r="448" spans="2:12" s="101" customFormat="1" ht="18" outlineLevel="1" x14ac:dyDescent="0.25">
      <c r="B448" s="1565" t="s">
        <v>3212</v>
      </c>
      <c r="C448" s="1566" t="s">
        <v>3213</v>
      </c>
      <c r="D448" s="846">
        <f>A_MS/M_MFeS</f>
        <v>0.36474803776589693</v>
      </c>
      <c r="E448" s="650">
        <v>0</v>
      </c>
      <c r="F448" s="650">
        <v>1</v>
      </c>
      <c r="G448" s="650" t="s">
        <v>3214</v>
      </c>
      <c r="H448" s="650">
        <v>2</v>
      </c>
      <c r="I448" s="539"/>
      <c r="J448" s="1760"/>
      <c r="K448" s="118"/>
      <c r="L448" s="118"/>
    </row>
    <row r="449" spans="2:12" s="101" customFormat="1" ht="18" outlineLevel="1" x14ac:dyDescent="0.25">
      <c r="B449" s="1567" t="s">
        <v>2593</v>
      </c>
      <c r="C449" s="1559" t="s">
        <v>2608</v>
      </c>
      <c r="D449" s="512">
        <v>1.8</v>
      </c>
      <c r="E449" s="511">
        <v>0</v>
      </c>
      <c r="F449" s="511">
        <v>5</v>
      </c>
      <c r="G449" s="511" t="s">
        <v>1891</v>
      </c>
      <c r="H449" s="511">
        <v>2</v>
      </c>
      <c r="I449" s="1761" t="s">
        <v>2171</v>
      </c>
      <c r="J449" s="1758"/>
      <c r="K449" s="118"/>
      <c r="L449" s="118"/>
    </row>
    <row r="450" spans="2:12" s="101" customFormat="1" ht="18" outlineLevel="1" x14ac:dyDescent="0.25">
      <c r="B450" s="1567" t="s">
        <v>2594</v>
      </c>
      <c r="C450" s="1559" t="s">
        <v>2609</v>
      </c>
      <c r="D450" s="512">
        <v>1.3</v>
      </c>
      <c r="E450" s="511">
        <v>0</v>
      </c>
      <c r="F450" s="511">
        <v>5</v>
      </c>
      <c r="G450" s="511" t="s">
        <v>1891</v>
      </c>
      <c r="H450" s="511">
        <v>2</v>
      </c>
      <c r="I450" s="1761" t="s">
        <v>3926</v>
      </c>
      <c r="J450" s="1758"/>
      <c r="K450" s="118"/>
      <c r="L450" s="118"/>
    </row>
    <row r="451" spans="2:12" s="101" customFormat="1" ht="18" outlineLevel="1" x14ac:dyDescent="0.25">
      <c r="B451" s="1567" t="s">
        <v>2595</v>
      </c>
      <c r="C451" s="1559" t="s">
        <v>2616</v>
      </c>
      <c r="D451" s="512">
        <v>1.42</v>
      </c>
      <c r="E451" s="511">
        <v>0</v>
      </c>
      <c r="F451" s="511">
        <v>5</v>
      </c>
      <c r="G451" s="511" t="s">
        <v>1891</v>
      </c>
      <c r="H451" s="511">
        <v>2</v>
      </c>
      <c r="I451" s="1761"/>
      <c r="J451" s="1758"/>
      <c r="K451" s="118"/>
      <c r="L451" s="118"/>
    </row>
    <row r="452" spans="2:12" s="101" customFormat="1" ht="18" outlineLevel="1" x14ac:dyDescent="0.25">
      <c r="B452" s="1567" t="s">
        <v>876</v>
      </c>
      <c r="C452" s="1559" t="s">
        <v>2607</v>
      </c>
      <c r="D452" s="512">
        <v>1.42</v>
      </c>
      <c r="E452" s="511">
        <v>0</v>
      </c>
      <c r="F452" s="511">
        <v>5</v>
      </c>
      <c r="G452" s="511" t="s">
        <v>1891</v>
      </c>
      <c r="H452" s="511">
        <v>2</v>
      </c>
      <c r="I452" s="1761"/>
      <c r="J452" s="1758"/>
      <c r="K452" s="118"/>
    </row>
    <row r="453" spans="2:12" s="101" customFormat="1" ht="18" outlineLevel="1" x14ac:dyDescent="0.25">
      <c r="B453" s="1567" t="s">
        <v>1141</v>
      </c>
      <c r="C453" s="1559" t="s">
        <v>2610</v>
      </c>
      <c r="D453" s="512">
        <v>1.0660000000000001</v>
      </c>
      <c r="E453" s="511">
        <v>0</v>
      </c>
      <c r="F453" s="511">
        <v>5</v>
      </c>
      <c r="G453" s="511" t="s">
        <v>1892</v>
      </c>
      <c r="H453" s="511">
        <v>2</v>
      </c>
      <c r="I453" s="1654"/>
      <c r="J453" s="1758"/>
      <c r="K453" s="118"/>
      <c r="L453" s="118"/>
    </row>
    <row r="454" spans="2:12" s="101" customFormat="1" ht="18" outlineLevel="1" x14ac:dyDescent="0.25">
      <c r="B454" s="1567" t="s">
        <v>1142</v>
      </c>
      <c r="C454" s="1559" t="s">
        <v>2611</v>
      </c>
      <c r="D454" s="512">
        <v>1.0660000000000001</v>
      </c>
      <c r="E454" s="511">
        <v>0</v>
      </c>
      <c r="F454" s="511">
        <v>5</v>
      </c>
      <c r="G454" s="511" t="s">
        <v>1892</v>
      </c>
      <c r="H454" s="511">
        <v>2</v>
      </c>
      <c r="I454" s="1654"/>
      <c r="J454" s="1758"/>
      <c r="K454" s="118"/>
      <c r="L454" s="118"/>
    </row>
    <row r="455" spans="2:12" s="101" customFormat="1" ht="18" outlineLevel="1" x14ac:dyDescent="0.25">
      <c r="B455" s="1567" t="s">
        <v>1143</v>
      </c>
      <c r="C455" s="1559" t="s">
        <v>2612</v>
      </c>
      <c r="D455" s="512">
        <v>0.92600000000000005</v>
      </c>
      <c r="E455" s="511">
        <v>0</v>
      </c>
      <c r="F455" s="511">
        <v>5</v>
      </c>
      <c r="G455" s="511" t="s">
        <v>1892</v>
      </c>
      <c r="H455" s="511">
        <v>2</v>
      </c>
      <c r="I455" s="1654"/>
      <c r="J455" s="1758"/>
      <c r="K455" s="118"/>
      <c r="L455" s="118"/>
    </row>
    <row r="456" spans="2:12" s="101" customFormat="1" ht="18" outlineLevel="1" x14ac:dyDescent="0.25">
      <c r="B456" s="1567" t="s">
        <v>1144</v>
      </c>
      <c r="C456" s="1559" t="s">
        <v>2613</v>
      </c>
      <c r="D456" s="512">
        <v>1.8</v>
      </c>
      <c r="E456" s="511">
        <v>0</v>
      </c>
      <c r="F456" s="511">
        <v>5</v>
      </c>
      <c r="G456" s="511" t="s">
        <v>1892</v>
      </c>
      <c r="H456" s="511">
        <v>2</v>
      </c>
      <c r="I456" s="1654"/>
      <c r="J456" s="1758"/>
      <c r="K456" s="118"/>
      <c r="L456" s="118"/>
    </row>
    <row r="457" spans="2:12" s="101" customFormat="1" ht="18" outlineLevel="1" x14ac:dyDescent="0.25">
      <c r="B457" s="1567" t="s">
        <v>1145</v>
      </c>
      <c r="C457" s="1559" t="s">
        <v>2614</v>
      </c>
      <c r="D457" s="512">
        <v>1.3</v>
      </c>
      <c r="E457" s="511">
        <v>0</v>
      </c>
      <c r="F457" s="511">
        <v>5</v>
      </c>
      <c r="G457" s="511" t="s">
        <v>1892</v>
      </c>
      <c r="H457" s="511">
        <v>2</v>
      </c>
      <c r="I457" s="1654"/>
      <c r="J457" s="1758"/>
      <c r="K457" s="118"/>
      <c r="L457" s="118"/>
    </row>
    <row r="458" spans="2:12" s="101" customFormat="1" ht="18" outlineLevel="1" x14ac:dyDescent="0.25">
      <c r="B458" s="1567" t="s">
        <v>877</v>
      </c>
      <c r="C458" s="1559" t="s">
        <v>2615</v>
      </c>
      <c r="D458" s="512">
        <v>1.67</v>
      </c>
      <c r="E458" s="511">
        <v>0</v>
      </c>
      <c r="F458" s="511">
        <v>5</v>
      </c>
      <c r="G458" s="511" t="s">
        <v>1891</v>
      </c>
      <c r="H458" s="511">
        <v>2</v>
      </c>
      <c r="I458" s="1654"/>
      <c r="J458" s="1758"/>
      <c r="K458" s="118"/>
      <c r="L458" s="118"/>
    </row>
    <row r="459" spans="2:12" s="201" customFormat="1" ht="18" outlineLevel="1" x14ac:dyDescent="0.25">
      <c r="B459" s="1568" t="s">
        <v>1616</v>
      </c>
      <c r="C459" s="1561" t="s">
        <v>2617</v>
      </c>
      <c r="D459" s="515">
        <v>0.35199999999999998</v>
      </c>
      <c r="E459" s="514">
        <v>0</v>
      </c>
      <c r="F459" s="514">
        <v>5</v>
      </c>
      <c r="G459" s="516" t="s">
        <v>1893</v>
      </c>
      <c r="H459" s="514">
        <v>2</v>
      </c>
      <c r="I459" s="1762"/>
      <c r="J459" s="1759" t="s">
        <v>1960</v>
      </c>
      <c r="K459" s="202"/>
      <c r="L459" s="202"/>
    </row>
    <row r="460" spans="2:12" s="201" customFormat="1" ht="18" outlineLevel="1" x14ac:dyDescent="0.25">
      <c r="B460" s="2343" t="s">
        <v>5235</v>
      </c>
      <c r="C460" s="2344" t="s">
        <v>5236</v>
      </c>
      <c r="D460" s="2340">
        <v>0.375</v>
      </c>
      <c r="E460" s="2335">
        <v>0</v>
      </c>
      <c r="F460" s="2335">
        <v>5</v>
      </c>
      <c r="G460" s="2341" t="s">
        <v>5237</v>
      </c>
      <c r="H460" s="2335">
        <v>2</v>
      </c>
      <c r="I460" s="2342"/>
      <c r="J460" s="2337" t="s">
        <v>5238</v>
      </c>
      <c r="K460" s="202"/>
    </row>
    <row r="461" spans="2:12" s="201" customFormat="1" ht="18" outlineLevel="1" x14ac:dyDescent="0.25">
      <c r="B461" s="1568" t="s">
        <v>1955</v>
      </c>
      <c r="C461" s="1561" t="s">
        <v>2618</v>
      </c>
      <c r="D461" s="515">
        <v>0.28599999999999998</v>
      </c>
      <c r="E461" s="514">
        <v>0</v>
      </c>
      <c r="F461" s="514">
        <v>5</v>
      </c>
      <c r="G461" s="516" t="s">
        <v>1893</v>
      </c>
      <c r="H461" s="514">
        <v>2</v>
      </c>
      <c r="I461" s="1762"/>
      <c r="J461" s="1759" t="s">
        <v>1960</v>
      </c>
      <c r="K461" s="202"/>
      <c r="L461" s="202"/>
    </row>
    <row r="462" spans="2:12" s="201" customFormat="1" ht="18" outlineLevel="1" x14ac:dyDescent="0.25">
      <c r="B462" s="3010" t="s">
        <v>5885</v>
      </c>
      <c r="C462" s="3011" t="s">
        <v>5886</v>
      </c>
      <c r="D462" s="515">
        <v>0.28599999999999998</v>
      </c>
      <c r="E462" s="3006">
        <v>0</v>
      </c>
      <c r="F462" s="3006">
        <v>5</v>
      </c>
      <c r="G462" s="3007" t="s">
        <v>1893</v>
      </c>
      <c r="H462" s="3006">
        <v>2</v>
      </c>
      <c r="I462" s="3008"/>
      <c r="J462" s="3009" t="s">
        <v>1960</v>
      </c>
      <c r="K462" s="202"/>
    </row>
    <row r="463" spans="2:12" s="201" customFormat="1" ht="18" outlineLevel="1" x14ac:dyDescent="0.25">
      <c r="B463" s="1568" t="s">
        <v>1956</v>
      </c>
      <c r="C463" s="1561" t="s">
        <v>2619</v>
      </c>
      <c r="D463" s="515">
        <v>0.25</v>
      </c>
      <c r="E463" s="514">
        <v>0</v>
      </c>
      <c r="F463" s="514">
        <v>5</v>
      </c>
      <c r="G463" s="516" t="s">
        <v>1893</v>
      </c>
      <c r="H463" s="514">
        <v>2</v>
      </c>
      <c r="I463" s="1762"/>
      <c r="J463" s="1759" t="s">
        <v>2131</v>
      </c>
      <c r="K463" s="202"/>
      <c r="L463" s="202"/>
    </row>
    <row r="464" spans="2:12" s="201" customFormat="1" ht="18" outlineLevel="1" x14ac:dyDescent="0.25">
      <c r="B464" s="1568" t="s">
        <v>1953</v>
      </c>
      <c r="C464" s="1561" t="s">
        <v>2620</v>
      </c>
      <c r="D464" s="515">
        <v>0.188</v>
      </c>
      <c r="E464" s="514">
        <v>0</v>
      </c>
      <c r="F464" s="514">
        <v>5</v>
      </c>
      <c r="G464" s="516" t="s">
        <v>1893</v>
      </c>
      <c r="H464" s="514">
        <v>2</v>
      </c>
      <c r="I464" s="1762"/>
      <c r="J464" s="1759" t="s">
        <v>1957</v>
      </c>
      <c r="K464" s="202"/>
      <c r="L464" s="202"/>
    </row>
    <row r="465" spans="1:15" s="201" customFormat="1" ht="18" outlineLevel="1" x14ac:dyDescent="0.25">
      <c r="B465" s="1568" t="s">
        <v>1954</v>
      </c>
      <c r="C465" s="1561" t="s">
        <v>2621</v>
      </c>
      <c r="D465" s="515">
        <v>0.375</v>
      </c>
      <c r="E465" s="514">
        <v>0</v>
      </c>
      <c r="F465" s="514">
        <v>5</v>
      </c>
      <c r="G465" s="516" t="s">
        <v>1893</v>
      </c>
      <c r="H465" s="514">
        <v>2</v>
      </c>
      <c r="I465" s="1762"/>
      <c r="J465" s="1759" t="s">
        <v>1958</v>
      </c>
      <c r="K465" s="202"/>
      <c r="L465" s="202"/>
    </row>
    <row r="466" spans="1:15" s="201" customFormat="1" ht="18" outlineLevel="1" x14ac:dyDescent="0.25">
      <c r="B466" s="1568" t="s">
        <v>1959</v>
      </c>
      <c r="C466" s="1569" t="s">
        <v>2622</v>
      </c>
      <c r="D466" s="517">
        <v>0.33300000000000002</v>
      </c>
      <c r="E466" s="514">
        <v>0</v>
      </c>
      <c r="F466" s="514">
        <v>5</v>
      </c>
      <c r="G466" s="516" t="s">
        <v>1893</v>
      </c>
      <c r="H466" s="514">
        <v>2</v>
      </c>
      <c r="I466" s="1762"/>
      <c r="J466" s="1759" t="s">
        <v>1961</v>
      </c>
      <c r="K466" s="202"/>
      <c r="L466" s="202"/>
    </row>
    <row r="467" spans="1:15" s="101" customFormat="1" ht="18" outlineLevel="1" x14ac:dyDescent="0.25">
      <c r="B467" s="239" t="s">
        <v>2456</v>
      </c>
      <c r="C467" s="1506" t="s">
        <v>2623</v>
      </c>
      <c r="D467" s="121">
        <v>0.11</v>
      </c>
      <c r="E467" s="117">
        <v>0</v>
      </c>
      <c r="F467" s="117">
        <v>1</v>
      </c>
      <c r="G467" s="117" t="s">
        <v>2177</v>
      </c>
      <c r="H467" s="117">
        <v>2</v>
      </c>
      <c r="I467" s="1642"/>
      <c r="J467" s="1719" t="s">
        <v>1060</v>
      </c>
    </row>
    <row r="468" spans="1:15" s="101" customFormat="1" ht="18" outlineLevel="1" x14ac:dyDescent="0.25">
      <c r="B468" s="239" t="s">
        <v>1000</v>
      </c>
      <c r="C468" s="1506" t="s">
        <v>2624</v>
      </c>
      <c r="D468" s="121">
        <v>0.1</v>
      </c>
      <c r="E468" s="117">
        <v>0</v>
      </c>
      <c r="F468" s="117">
        <v>1</v>
      </c>
      <c r="G468" s="117" t="s">
        <v>1896</v>
      </c>
      <c r="H468" s="117">
        <v>2</v>
      </c>
      <c r="I468" s="1642"/>
      <c r="J468" s="1763" t="s">
        <v>4213</v>
      </c>
    </row>
    <row r="469" spans="1:15" s="101" customFormat="1" ht="18" outlineLevel="1" x14ac:dyDescent="0.25">
      <c r="B469" s="239" t="s">
        <v>1001</v>
      </c>
      <c r="C469" s="1506" t="s">
        <v>2625</v>
      </c>
      <c r="D469" s="121">
        <v>0.35</v>
      </c>
      <c r="E469" s="117">
        <v>0</v>
      </c>
      <c r="F469" s="117">
        <v>1</v>
      </c>
      <c r="G469" s="117" t="s">
        <v>1897</v>
      </c>
      <c r="H469" s="117">
        <v>2</v>
      </c>
      <c r="I469" s="1642"/>
      <c r="J469" s="1763" t="s">
        <v>4214</v>
      </c>
    </row>
    <row r="470" spans="1:15" s="101" customFormat="1" ht="18" outlineLevel="1" x14ac:dyDescent="0.25">
      <c r="B470" s="239" t="s">
        <v>1374</v>
      </c>
      <c r="C470" s="1506" t="s">
        <v>2626</v>
      </c>
      <c r="D470" s="121">
        <v>0.1</v>
      </c>
      <c r="E470" s="117">
        <v>0</v>
      </c>
      <c r="F470" s="117">
        <v>1</v>
      </c>
      <c r="G470" s="117" t="s">
        <v>1946</v>
      </c>
      <c r="H470" s="117">
        <v>2</v>
      </c>
      <c r="I470" s="1642"/>
      <c r="J470" s="1763" t="s">
        <v>4215</v>
      </c>
    </row>
    <row r="471" spans="1:15" s="101" customFormat="1" ht="18" outlineLevel="1" x14ac:dyDescent="0.25">
      <c r="A471" s="102"/>
      <c r="B471" s="1570" t="s">
        <v>1156</v>
      </c>
      <c r="C471" s="1571" t="s">
        <v>2627</v>
      </c>
      <c r="D471" s="1046">
        <f>A_MNa/(A_MNa+A_MCl)</f>
        <v>0.39337234346305527</v>
      </c>
      <c r="E471" s="1046">
        <v>0</v>
      </c>
      <c r="F471" s="1041">
        <v>1</v>
      </c>
      <c r="G471" s="1041" t="s">
        <v>1947</v>
      </c>
      <c r="H471" s="1041">
        <v>3</v>
      </c>
      <c r="I471" s="1040"/>
      <c r="J471" s="1050"/>
      <c r="K471" s="102"/>
      <c r="L471" s="102"/>
      <c r="M471" s="102"/>
      <c r="N471" s="102"/>
      <c r="O471" s="102"/>
    </row>
    <row r="472" spans="1:15" s="101" customFormat="1" ht="18" outlineLevel="1" x14ac:dyDescent="0.25">
      <c r="A472" s="102"/>
      <c r="B472" s="1572" t="s">
        <v>4158</v>
      </c>
      <c r="C472" s="1573" t="s">
        <v>4159</v>
      </c>
      <c r="D472" s="1045">
        <v>0.05</v>
      </c>
      <c r="E472" s="1045">
        <v>0</v>
      </c>
      <c r="F472" s="594">
        <v>0.14000000000000001</v>
      </c>
      <c r="G472" s="594" t="s">
        <v>4160</v>
      </c>
      <c r="H472" s="594">
        <v>3</v>
      </c>
      <c r="I472" s="593"/>
      <c r="J472" s="565"/>
      <c r="K472" s="102"/>
      <c r="L472" s="102"/>
      <c r="M472" s="102"/>
      <c r="N472" s="102"/>
      <c r="O472" s="102"/>
    </row>
    <row r="473" spans="1:15" s="101" customFormat="1" ht="18" outlineLevel="1" x14ac:dyDescent="0.25">
      <c r="A473" s="102"/>
      <c r="B473" s="1570" t="s">
        <v>4161</v>
      </c>
      <c r="C473" s="1571" t="s">
        <v>4162</v>
      </c>
      <c r="D473" s="1045">
        <v>0.05</v>
      </c>
      <c r="E473" s="1046">
        <v>0</v>
      </c>
      <c r="F473" s="1041">
        <v>0.15</v>
      </c>
      <c r="G473" s="1041" t="s">
        <v>4163</v>
      </c>
      <c r="H473" s="1041">
        <v>3</v>
      </c>
      <c r="I473" s="1040"/>
      <c r="J473" s="1050"/>
      <c r="K473" s="102"/>
      <c r="L473" s="102"/>
      <c r="M473" s="102"/>
      <c r="N473" s="102"/>
      <c r="O473" s="102"/>
    </row>
    <row r="474" spans="1:15" s="101" customFormat="1" ht="18.75" outlineLevel="1" thickBot="1" x14ac:dyDescent="0.3">
      <c r="A474" s="102"/>
      <c r="B474" s="1574" t="s">
        <v>4164</v>
      </c>
      <c r="C474" s="1575" t="s">
        <v>4165</v>
      </c>
      <c r="D474" s="1047">
        <v>0.5</v>
      </c>
      <c r="E474" s="1047">
        <v>0</v>
      </c>
      <c r="F474" s="1048">
        <v>1</v>
      </c>
      <c r="G474" s="1048" t="s">
        <v>282</v>
      </c>
      <c r="H474" s="1048">
        <v>2</v>
      </c>
      <c r="I474" s="1657"/>
      <c r="J474" s="1764"/>
      <c r="K474" s="102"/>
      <c r="L474" s="102"/>
      <c r="M474" s="102"/>
      <c r="N474" s="102"/>
      <c r="O474" s="102"/>
    </row>
    <row r="475" spans="1:15" ht="15.75" thickBot="1" x14ac:dyDescent="0.3">
      <c r="C475" s="1347"/>
      <c r="D475" s="205"/>
      <c r="E475" s="105"/>
      <c r="F475" s="105"/>
      <c r="G475" s="105"/>
      <c r="H475" s="105"/>
      <c r="I475" s="103"/>
      <c r="J475" s="119"/>
      <c r="K475" s="101"/>
      <c r="L475" s="101"/>
      <c r="M475" s="101"/>
      <c r="N475" s="101"/>
      <c r="O475" s="101"/>
    </row>
    <row r="476" spans="1:15" s="101" customFormat="1" ht="15.75" thickBot="1" x14ac:dyDescent="0.3">
      <c r="B476" s="502"/>
      <c r="C476" s="1576" t="s">
        <v>3927</v>
      </c>
      <c r="D476" s="102" t="s">
        <v>315</v>
      </c>
      <c r="E476" s="102"/>
      <c r="F476" s="102"/>
      <c r="G476" s="102"/>
      <c r="H476" s="102"/>
      <c r="I476" s="115"/>
      <c r="J476" s="119"/>
    </row>
    <row r="477" spans="1:15" ht="15.75" thickBot="1" x14ac:dyDescent="0.3">
      <c r="B477" s="1612" t="s">
        <v>0</v>
      </c>
      <c r="C477" s="1613" t="s">
        <v>1</v>
      </c>
      <c r="D477" s="1061" t="s">
        <v>839</v>
      </c>
      <c r="E477" s="1061" t="s">
        <v>470</v>
      </c>
      <c r="F477" s="1061" t="s">
        <v>471</v>
      </c>
      <c r="G477" s="1061" t="s">
        <v>2</v>
      </c>
      <c r="H477" s="1061" t="s">
        <v>298</v>
      </c>
      <c r="I477" s="1060" t="s">
        <v>116</v>
      </c>
      <c r="J477" s="1777" t="s">
        <v>117</v>
      </c>
      <c r="M477" s="102" t="s">
        <v>2976</v>
      </c>
      <c r="N477" s="102" t="s">
        <v>2977</v>
      </c>
    </row>
    <row r="478" spans="1:15" s="101" customFormat="1" ht="18" outlineLevel="1" x14ac:dyDescent="0.25">
      <c r="B478" s="1577" t="s">
        <v>2097</v>
      </c>
      <c r="C478" s="1578" t="s">
        <v>346</v>
      </c>
      <c r="D478" s="980">
        <v>0.95</v>
      </c>
      <c r="E478" s="981">
        <v>0</v>
      </c>
      <c r="F478" s="981">
        <v>1</v>
      </c>
      <c r="G478" s="982" t="s">
        <v>2940</v>
      </c>
      <c r="H478" s="981">
        <v>2</v>
      </c>
      <c r="I478" s="1658"/>
      <c r="J478" s="1765"/>
      <c r="K478" s="118"/>
      <c r="L478" s="118"/>
    </row>
    <row r="479" spans="1:15" s="101" customFormat="1" ht="18" outlineLevel="1" x14ac:dyDescent="0.25">
      <c r="B479" s="1579" t="s">
        <v>2941</v>
      </c>
      <c r="C479" s="1556" t="s">
        <v>2942</v>
      </c>
      <c r="D479" s="582">
        <v>0.9</v>
      </c>
      <c r="E479" s="983">
        <v>0</v>
      </c>
      <c r="F479" s="983">
        <v>1</v>
      </c>
      <c r="G479" s="984" t="s">
        <v>1990</v>
      </c>
      <c r="H479" s="983">
        <v>2</v>
      </c>
      <c r="I479" s="1659"/>
      <c r="J479" s="1766"/>
      <c r="K479" s="118"/>
      <c r="L479" s="118"/>
    </row>
    <row r="480" spans="1:15" s="101" customFormat="1" ht="18" outlineLevel="1" x14ac:dyDescent="0.25">
      <c r="B480" s="1579" t="s">
        <v>2943</v>
      </c>
      <c r="C480" s="1556" t="s">
        <v>2944</v>
      </c>
      <c r="D480" s="582">
        <v>0.6</v>
      </c>
      <c r="E480" s="983">
        <v>0</v>
      </c>
      <c r="F480" s="983">
        <v>1</v>
      </c>
      <c r="G480" s="984" t="s">
        <v>1990</v>
      </c>
      <c r="H480" s="983">
        <v>2</v>
      </c>
      <c r="I480" s="1659"/>
      <c r="J480" s="1766"/>
      <c r="K480" s="118"/>
      <c r="L480" s="118"/>
    </row>
    <row r="481" spans="2:16" s="101" customFormat="1" ht="18.75" outlineLevel="1" thickBot="1" x14ac:dyDescent="0.3">
      <c r="B481" s="1580" t="s">
        <v>2945</v>
      </c>
      <c r="C481" s="1581" t="s">
        <v>2946</v>
      </c>
      <c r="D481" s="985">
        <v>0.5</v>
      </c>
      <c r="E481" s="602">
        <v>0</v>
      </c>
      <c r="F481" s="602">
        <v>1</v>
      </c>
      <c r="G481" s="986" t="s">
        <v>1990</v>
      </c>
      <c r="H481" s="602">
        <v>2</v>
      </c>
      <c r="I481" s="1660"/>
      <c r="J481" s="1767"/>
      <c r="K481" s="118"/>
      <c r="L481" s="118"/>
    </row>
    <row r="482" spans="2:16" ht="15.75" thickBot="1" x14ac:dyDescent="0.3">
      <c r="C482" s="1347"/>
      <c r="D482" s="205"/>
      <c r="E482" s="105"/>
      <c r="F482" s="105"/>
      <c r="G482" s="105"/>
      <c r="H482" s="105"/>
      <c r="I482" s="103"/>
      <c r="J482" s="119"/>
      <c r="K482" s="101"/>
      <c r="L482" s="101"/>
      <c r="M482" s="101"/>
      <c r="N482" s="101"/>
      <c r="O482" s="101"/>
    </row>
    <row r="483" spans="2:16" s="101" customFormat="1" ht="15.75" thickBot="1" x14ac:dyDescent="0.3">
      <c r="B483" s="502"/>
      <c r="C483" s="1582" t="s">
        <v>1987</v>
      </c>
      <c r="D483" s="102" t="s">
        <v>315</v>
      </c>
      <c r="E483" s="102"/>
      <c r="F483" s="102"/>
      <c r="G483" s="102"/>
      <c r="H483" s="102"/>
      <c r="I483" s="115"/>
      <c r="J483" s="119"/>
    </row>
    <row r="484" spans="2:16" ht="15.75" thickBot="1" x14ac:dyDescent="0.3">
      <c r="B484" s="1612" t="s">
        <v>0</v>
      </c>
      <c r="C484" s="1613" t="s">
        <v>1</v>
      </c>
      <c r="D484" s="1061" t="s">
        <v>839</v>
      </c>
      <c r="E484" s="1061" t="s">
        <v>470</v>
      </c>
      <c r="F484" s="1061" t="s">
        <v>471</v>
      </c>
      <c r="G484" s="1061" t="s">
        <v>2</v>
      </c>
      <c r="H484" s="1061" t="s">
        <v>298</v>
      </c>
      <c r="I484" s="1060" t="s">
        <v>116</v>
      </c>
      <c r="J484" s="1777" t="s">
        <v>117</v>
      </c>
      <c r="M484" s="102" t="s">
        <v>2976</v>
      </c>
      <c r="N484" s="102" t="s">
        <v>2977</v>
      </c>
    </row>
    <row r="485" spans="2:16" s="101" customFormat="1" ht="18" outlineLevel="1" x14ac:dyDescent="0.25">
      <c r="B485" s="1583" t="s">
        <v>4384</v>
      </c>
      <c r="C485" s="1584" t="s">
        <v>881</v>
      </c>
      <c r="D485" s="212">
        <v>1.2</v>
      </c>
      <c r="E485" s="212">
        <v>0</v>
      </c>
      <c r="F485" s="212" t="s">
        <v>1253</v>
      </c>
      <c r="G485" s="311" t="s">
        <v>1898</v>
      </c>
      <c r="H485" s="212">
        <v>1</v>
      </c>
      <c r="I485" s="214"/>
      <c r="J485" s="1768"/>
      <c r="L485" s="2234" t="s">
        <v>4390</v>
      </c>
      <c r="M485" s="2235">
        <f>A_MP/A_MFe</f>
        <v>0.55463805533172172</v>
      </c>
      <c r="N485" s="2235">
        <f>A_MP/A_MAl</f>
        <v>1.1479629449808202</v>
      </c>
    </row>
    <row r="486" spans="2:16" s="101" customFormat="1" ht="18" outlineLevel="1" x14ac:dyDescent="0.25">
      <c r="B486" s="1570" t="s">
        <v>4385</v>
      </c>
      <c r="C486" s="1585" t="s">
        <v>882</v>
      </c>
      <c r="D486" s="598">
        <v>0.2</v>
      </c>
      <c r="E486" s="598">
        <v>0</v>
      </c>
      <c r="F486" s="598" t="s">
        <v>1253</v>
      </c>
      <c r="G486" s="598" t="s">
        <v>1898</v>
      </c>
      <c r="H486" s="598">
        <v>1</v>
      </c>
      <c r="I486" s="597"/>
      <c r="J486" s="587"/>
      <c r="L486" s="2234" t="s">
        <v>4393</v>
      </c>
      <c r="M486" s="2235">
        <f>(A_MFe+3*(A_MH+A_MO))/A_MFe</f>
        <v>1.9136363147998925</v>
      </c>
      <c r="N486" s="2235">
        <f>(A_MAl+3*(A_MH+A_MO))/A_MP</f>
        <v>2.5183740837269033</v>
      </c>
    </row>
    <row r="487" spans="2:16" s="101" customFormat="1" ht="18" outlineLevel="1" x14ac:dyDescent="0.25">
      <c r="B487" s="1572" t="s">
        <v>2970</v>
      </c>
      <c r="C487" s="1586" t="s">
        <v>2971</v>
      </c>
      <c r="D487" s="2232">
        <v>8.2900000000000001E-2</v>
      </c>
      <c r="E487" s="594">
        <v>0</v>
      </c>
      <c r="F487" s="594" t="s">
        <v>1253</v>
      </c>
      <c r="G487" s="594" t="s">
        <v>2972</v>
      </c>
      <c r="H487" s="594">
        <v>4</v>
      </c>
      <c r="I487" s="593"/>
      <c r="J487" s="565"/>
      <c r="L487" s="2234" t="s">
        <v>4397</v>
      </c>
      <c r="M487" s="2235">
        <f>(A_MFe+A_MP+4*A_MO)/A_MFe</f>
        <v>2.7006242671680543</v>
      </c>
      <c r="N487" s="2235">
        <f>(A_MAl+A_MP+4*A_MO)/A_MP</f>
        <v>3.9372957476893138</v>
      </c>
      <c r="O487" s="596"/>
      <c r="P487" s="119"/>
    </row>
    <row r="488" spans="2:16" s="101" customFormat="1" ht="18.75" outlineLevel="1" thickBot="1" x14ac:dyDescent="0.3">
      <c r="B488" s="444" t="s">
        <v>2973</v>
      </c>
      <c r="C488" s="1587" t="s">
        <v>2974</v>
      </c>
      <c r="D488" s="2233">
        <v>0.25286491566808916</v>
      </c>
      <c r="E488" s="595">
        <v>0</v>
      </c>
      <c r="F488" s="595" t="s">
        <v>1253</v>
      </c>
      <c r="G488" s="595" t="s">
        <v>2972</v>
      </c>
      <c r="H488" s="595">
        <v>4</v>
      </c>
      <c r="I488" s="590"/>
      <c r="J488" s="1722" t="s">
        <v>2975</v>
      </c>
      <c r="L488" s="2234" t="s">
        <v>2978</v>
      </c>
      <c r="M488" s="2235">
        <f>3*(2*A_MH+A_MO)/(2*(A_MFe+3*(A_MH+A_MO)))</f>
        <v>0.25286491566808916</v>
      </c>
      <c r="N488" s="2235">
        <f>3*(2*A_MH+A_MO)/(2*(A_MAl+3*(A_MH+A_MO)))</f>
        <v>0.34643205845069558</v>
      </c>
      <c r="O488" s="2236" t="s">
        <v>2975</v>
      </c>
      <c r="P488" s="2236" t="s">
        <v>5134</v>
      </c>
    </row>
    <row r="489" spans="2:16" ht="15.75" thickBot="1" x14ac:dyDescent="0.3">
      <c r="C489" s="1347"/>
      <c r="D489" s="205"/>
      <c r="E489" s="105"/>
      <c r="F489" s="105"/>
      <c r="G489" s="105"/>
      <c r="H489" s="105"/>
      <c r="I489" s="103"/>
      <c r="J489" s="119"/>
      <c r="K489" s="101"/>
      <c r="L489" s="2234" t="s">
        <v>2978</v>
      </c>
      <c r="M489" s="2237">
        <v>0.17</v>
      </c>
      <c r="N489" s="2238">
        <f>M489*(A_MFe+3*A_MH+3*A_MO)/(A_MAl+3*A_MH+3*A_MO)</f>
        <v>0.23290478942488754</v>
      </c>
      <c r="O489" s="119" t="s">
        <v>2979</v>
      </c>
      <c r="P489" s="119" t="s">
        <v>5135</v>
      </c>
    </row>
    <row r="490" spans="2:16" s="101" customFormat="1" ht="15.75" thickBot="1" x14ac:dyDescent="0.3">
      <c r="B490" s="502"/>
      <c r="C490" s="1588" t="s">
        <v>4386</v>
      </c>
      <c r="D490" s="102" t="s">
        <v>315</v>
      </c>
      <c r="E490" s="102"/>
      <c r="F490" s="102"/>
      <c r="G490" s="102"/>
      <c r="H490" s="102"/>
      <c r="I490" s="115"/>
      <c r="J490" s="119"/>
      <c r="L490" s="2234" t="s">
        <v>2978</v>
      </c>
      <c r="M490" s="2238">
        <f>M488-M489</f>
        <v>8.2864915668089151E-2</v>
      </c>
      <c r="N490" s="2238">
        <f>N488-N489</f>
        <v>0.11352726902580804</v>
      </c>
      <c r="O490" s="119" t="s">
        <v>5136</v>
      </c>
    </row>
    <row r="491" spans="2:16" ht="15.75" thickBot="1" x14ac:dyDescent="0.3">
      <c r="B491" s="1612" t="s">
        <v>0</v>
      </c>
      <c r="C491" s="1613" t="s">
        <v>1</v>
      </c>
      <c r="D491" s="1061" t="s">
        <v>839</v>
      </c>
      <c r="E491" s="1061" t="s">
        <v>470</v>
      </c>
      <c r="F491" s="1061" t="s">
        <v>471</v>
      </c>
      <c r="G491" s="1061" t="s">
        <v>2</v>
      </c>
      <c r="H491" s="1061" t="s">
        <v>298</v>
      </c>
      <c r="I491" s="1060" t="s">
        <v>116</v>
      </c>
      <c r="J491" s="1777" t="s">
        <v>117</v>
      </c>
    </row>
    <row r="492" spans="2:16" s="101" customFormat="1" ht="18" outlineLevel="1" x14ac:dyDescent="0.25">
      <c r="B492" s="1484" t="s">
        <v>4387</v>
      </c>
      <c r="C492" s="1589" t="s">
        <v>4388</v>
      </c>
      <c r="D492" s="1101">
        <v>1</v>
      </c>
      <c r="E492" s="1101">
        <v>0</v>
      </c>
      <c r="F492" s="1101" t="s">
        <v>1253</v>
      </c>
      <c r="G492" s="1101" t="s">
        <v>4389</v>
      </c>
      <c r="H492" s="1101">
        <v>1</v>
      </c>
      <c r="I492" s="1100"/>
      <c r="J492" s="1769"/>
      <c r="L492" s="495"/>
      <c r="M492" s="495"/>
      <c r="N492" s="495"/>
      <c r="O492" s="495"/>
      <c r="P492" s="495"/>
    </row>
    <row r="493" spans="2:16" s="101" customFormat="1" ht="18" outlineLevel="1" x14ac:dyDescent="0.25">
      <c r="B493" s="1486" t="s">
        <v>4391</v>
      </c>
      <c r="C493" s="1590" t="s">
        <v>4392</v>
      </c>
      <c r="D493" s="1087">
        <v>0.1</v>
      </c>
      <c r="E493" s="1087">
        <v>0</v>
      </c>
      <c r="F493" s="1087" t="s">
        <v>1253</v>
      </c>
      <c r="G493" s="1087" t="s">
        <v>4389</v>
      </c>
      <c r="H493" s="1087">
        <v>1</v>
      </c>
      <c r="I493" s="1102"/>
      <c r="J493" s="1089"/>
      <c r="L493" s="495"/>
      <c r="M493" s="495"/>
      <c r="N493" s="495"/>
      <c r="O493" s="495"/>
      <c r="P493" s="495"/>
    </row>
    <row r="494" spans="2:16" s="101" customFormat="1" ht="18" outlineLevel="1" x14ac:dyDescent="0.25">
      <c r="B494" s="1591" t="s">
        <v>4394</v>
      </c>
      <c r="C494" s="1592" t="s">
        <v>4395</v>
      </c>
      <c r="D494" s="2230">
        <v>0.1135</v>
      </c>
      <c r="E494" s="1104">
        <v>0</v>
      </c>
      <c r="F494" s="1104" t="s">
        <v>1253</v>
      </c>
      <c r="G494" s="1104" t="s">
        <v>4396</v>
      </c>
      <c r="H494" s="1104">
        <v>4</v>
      </c>
      <c r="I494" s="1103"/>
      <c r="J494" s="1770"/>
      <c r="L494" s="495"/>
      <c r="M494" s="495"/>
      <c r="N494" s="495"/>
      <c r="O494" s="495"/>
      <c r="P494" s="2239"/>
    </row>
    <row r="495" spans="2:16" s="101" customFormat="1" ht="18.75" outlineLevel="1" thickBot="1" x14ac:dyDescent="0.3">
      <c r="B495" s="1490" t="s">
        <v>4398</v>
      </c>
      <c r="C495" s="1593" t="s">
        <v>4399</v>
      </c>
      <c r="D495" s="2231">
        <v>0.34643205845069558</v>
      </c>
      <c r="E495" s="1093">
        <v>0</v>
      </c>
      <c r="F495" s="1093" t="s">
        <v>1253</v>
      </c>
      <c r="G495" s="1093" t="s">
        <v>4396</v>
      </c>
      <c r="H495" s="1093">
        <v>4</v>
      </c>
      <c r="I495" s="1105"/>
      <c r="J495" s="1094" t="s">
        <v>4400</v>
      </c>
      <c r="L495" s="1106"/>
      <c r="M495" s="1106"/>
      <c r="N495" s="1106"/>
      <c r="O495" s="1106"/>
      <c r="P495" s="2239"/>
    </row>
    <row r="496" spans="2:16" s="101" customFormat="1" ht="15.75" thickBot="1" x14ac:dyDescent="0.3">
      <c r="B496" s="127"/>
      <c r="C496" s="1347"/>
      <c r="D496" s="106"/>
      <c r="E496" s="105"/>
      <c r="F496" s="105"/>
      <c r="G496" s="105"/>
      <c r="H496" s="105"/>
      <c r="I496" s="103"/>
      <c r="J496" s="119"/>
    </row>
    <row r="497" spans="1:10" s="101" customFormat="1" ht="15.75" thickBot="1" x14ac:dyDescent="0.3">
      <c r="B497" s="502"/>
      <c r="C497" s="1594" t="s">
        <v>1252</v>
      </c>
      <c r="D497" s="102" t="s">
        <v>299</v>
      </c>
      <c r="E497" s="102"/>
      <c r="F497" s="102"/>
      <c r="G497" s="102"/>
      <c r="H497" s="102"/>
      <c r="I497" s="115"/>
      <c r="J497" s="119"/>
    </row>
    <row r="498" spans="1:10" s="101" customFormat="1" ht="15.75" thickBot="1" x14ac:dyDescent="0.3">
      <c r="B498" s="1595" t="s">
        <v>0</v>
      </c>
      <c r="C498" s="1445" t="s">
        <v>1</v>
      </c>
      <c r="D498" s="644" t="s">
        <v>839</v>
      </c>
      <c r="E498" s="644" t="s">
        <v>470</v>
      </c>
      <c r="F498" s="644" t="s">
        <v>471</v>
      </c>
      <c r="G498" s="644" t="s">
        <v>2</v>
      </c>
      <c r="H498" s="644" t="s">
        <v>298</v>
      </c>
      <c r="I498" s="645" t="s">
        <v>116</v>
      </c>
      <c r="J498" s="1771" t="s">
        <v>117</v>
      </c>
    </row>
    <row r="499" spans="1:10" s="101" customFormat="1" ht="18" outlineLevel="1" x14ac:dyDescent="0.35">
      <c r="B499" s="1596" t="s">
        <v>4102</v>
      </c>
      <c r="C499" s="1597" t="s">
        <v>4104</v>
      </c>
      <c r="D499" s="1013">
        <v>13</v>
      </c>
      <c r="E499" s="1013">
        <v>0</v>
      </c>
      <c r="F499" s="1013" t="s">
        <v>1253</v>
      </c>
      <c r="G499" s="1013" t="s">
        <v>3606</v>
      </c>
      <c r="H499" s="1013">
        <v>2</v>
      </c>
      <c r="I499" s="1012"/>
      <c r="J499" s="1765"/>
    </row>
    <row r="500" spans="1:10" s="101" customFormat="1" ht="18" outlineLevel="1" x14ac:dyDescent="0.35">
      <c r="B500" s="1598" t="s">
        <v>4103</v>
      </c>
      <c r="C500" s="1599" t="s">
        <v>4105</v>
      </c>
      <c r="D500" s="1014">
        <v>7.6</v>
      </c>
      <c r="E500" s="1014">
        <v>0</v>
      </c>
      <c r="F500" s="1014" t="s">
        <v>1253</v>
      </c>
      <c r="G500" s="1014" t="s">
        <v>3606</v>
      </c>
      <c r="H500" s="1014">
        <v>2</v>
      </c>
      <c r="I500" s="1011"/>
      <c r="J500" s="1772"/>
    </row>
    <row r="501" spans="1:10" s="101" customFormat="1" ht="18" outlineLevel="1" x14ac:dyDescent="0.35">
      <c r="A501" s="101" t="s">
        <v>4099</v>
      </c>
      <c r="B501" s="2345" t="s">
        <v>5239</v>
      </c>
      <c r="C501" s="1974" t="s">
        <v>5240</v>
      </c>
      <c r="D501" s="2186">
        <f>7.6 * 0.03</f>
        <v>0.22799999999999998</v>
      </c>
      <c r="E501" s="2186">
        <v>0</v>
      </c>
      <c r="F501" s="2186" t="s">
        <v>1253</v>
      </c>
      <c r="G501" s="2186" t="s">
        <v>3606</v>
      </c>
      <c r="H501" s="2186">
        <v>2</v>
      </c>
      <c r="I501" s="461"/>
      <c r="J501" s="1773"/>
    </row>
    <row r="502" spans="1:10" s="101" customFormat="1" ht="18" outlineLevel="1" x14ac:dyDescent="0.25">
      <c r="B502" s="1600" t="s">
        <v>3607</v>
      </c>
      <c r="C502" s="1556" t="s">
        <v>2630</v>
      </c>
      <c r="D502" s="643">
        <v>1</v>
      </c>
      <c r="E502" s="643">
        <v>0</v>
      </c>
      <c r="F502" s="643" t="s">
        <v>1253</v>
      </c>
      <c r="G502" s="643" t="s">
        <v>282</v>
      </c>
      <c r="H502" s="643">
        <v>2</v>
      </c>
      <c r="I502" s="461"/>
      <c r="J502" s="1773"/>
    </row>
    <row r="503" spans="1:10" s="101" customFormat="1" ht="18" outlineLevel="1" x14ac:dyDescent="0.25">
      <c r="B503" s="1601" t="s">
        <v>3608</v>
      </c>
      <c r="C503" s="1602" t="s">
        <v>2631</v>
      </c>
      <c r="D503" s="470">
        <v>1</v>
      </c>
      <c r="E503" s="643">
        <v>0</v>
      </c>
      <c r="F503" s="643" t="s">
        <v>1253</v>
      </c>
      <c r="G503" s="470" t="s">
        <v>282</v>
      </c>
      <c r="H503" s="470">
        <v>2</v>
      </c>
      <c r="I503" s="460"/>
      <c r="J503" s="1774"/>
    </row>
    <row r="504" spans="1:10" s="101" customFormat="1" ht="18" outlineLevel="1" x14ac:dyDescent="0.25">
      <c r="B504" s="1601" t="s">
        <v>3609</v>
      </c>
      <c r="C504" s="1602" t="s">
        <v>2632</v>
      </c>
      <c r="D504" s="470">
        <v>1</v>
      </c>
      <c r="E504" s="643">
        <v>0</v>
      </c>
      <c r="F504" s="643" t="s">
        <v>1253</v>
      </c>
      <c r="G504" s="470" t="s">
        <v>282</v>
      </c>
      <c r="H504" s="470">
        <v>2</v>
      </c>
      <c r="I504" s="460"/>
      <c r="J504" s="1774"/>
    </row>
    <row r="505" spans="1:10" s="101" customFormat="1" ht="18" outlineLevel="1" x14ac:dyDescent="0.25">
      <c r="B505" s="1601" t="s">
        <v>3610</v>
      </c>
      <c r="C505" s="1602" t="s">
        <v>2633</v>
      </c>
      <c r="D505" s="470">
        <v>1</v>
      </c>
      <c r="E505" s="643">
        <v>0</v>
      </c>
      <c r="F505" s="643" t="s">
        <v>1253</v>
      </c>
      <c r="G505" s="470" t="s">
        <v>282</v>
      </c>
      <c r="H505" s="470">
        <v>2</v>
      </c>
      <c r="I505" s="460"/>
      <c r="J505" s="1774"/>
    </row>
    <row r="506" spans="1:10" ht="18" outlineLevel="1" x14ac:dyDescent="0.25">
      <c r="B506" s="1600" t="s">
        <v>3611</v>
      </c>
      <c r="C506" s="1556" t="s">
        <v>3215</v>
      </c>
      <c r="D506" s="643">
        <v>1</v>
      </c>
      <c r="E506" s="643">
        <v>0</v>
      </c>
      <c r="F506" s="643" t="s">
        <v>1253</v>
      </c>
      <c r="G506" s="643" t="s">
        <v>282</v>
      </c>
      <c r="H506" s="643">
        <v>2</v>
      </c>
      <c r="I506" s="461"/>
      <c r="J506" s="1773"/>
    </row>
    <row r="507" spans="1:10" s="101" customFormat="1" ht="18" outlineLevel="1" x14ac:dyDescent="0.25">
      <c r="B507" s="1603" t="s">
        <v>3612</v>
      </c>
      <c r="C507" s="1604" t="s">
        <v>2634</v>
      </c>
      <c r="D507" s="1176">
        <v>0.05</v>
      </c>
      <c r="E507" s="1177">
        <v>0</v>
      </c>
      <c r="F507" s="1176" t="s">
        <v>1253</v>
      </c>
      <c r="G507" s="1176" t="s">
        <v>282</v>
      </c>
      <c r="H507" s="1176">
        <v>2</v>
      </c>
      <c r="I507" s="1175"/>
      <c r="J507" s="1775" t="s">
        <v>3613</v>
      </c>
    </row>
    <row r="508" spans="1:10" ht="18" outlineLevel="1" x14ac:dyDescent="0.25">
      <c r="B508" s="2185" t="s">
        <v>4672</v>
      </c>
      <c r="C508" s="1974" t="s">
        <v>5084</v>
      </c>
      <c r="D508" s="2186">
        <v>1.4E-3</v>
      </c>
      <c r="E508" s="2186">
        <v>0</v>
      </c>
      <c r="F508" s="2186" t="s">
        <v>1253</v>
      </c>
      <c r="G508" s="2186" t="s">
        <v>4673</v>
      </c>
      <c r="H508" s="2186">
        <v>4</v>
      </c>
      <c r="I508" s="2186"/>
      <c r="J508" s="2187"/>
    </row>
    <row r="509" spans="1:10" ht="18" outlineLevel="1" x14ac:dyDescent="0.25">
      <c r="B509" s="2185" t="s">
        <v>4674</v>
      </c>
      <c r="C509" s="1974" t="s">
        <v>5085</v>
      </c>
      <c r="D509" s="2186">
        <v>1</v>
      </c>
      <c r="E509" s="2186">
        <v>0</v>
      </c>
      <c r="F509" s="2186">
        <v>1</v>
      </c>
      <c r="G509" s="2186" t="s">
        <v>1990</v>
      </c>
      <c r="H509" s="2186">
        <v>1</v>
      </c>
      <c r="I509" s="2186"/>
      <c r="J509" s="2187"/>
    </row>
    <row r="510" spans="1:10" ht="18" outlineLevel="1" x14ac:dyDescent="0.25">
      <c r="B510" s="2185" t="s">
        <v>5086</v>
      </c>
      <c r="C510" s="1974" t="s">
        <v>5087</v>
      </c>
      <c r="D510" s="2186">
        <v>0.05</v>
      </c>
      <c r="E510" s="2186">
        <v>0</v>
      </c>
      <c r="F510" s="2186" t="s">
        <v>1253</v>
      </c>
      <c r="G510" s="2188" t="s">
        <v>2173</v>
      </c>
      <c r="H510" s="2186">
        <v>2</v>
      </c>
      <c r="I510" s="2186"/>
      <c r="J510" s="2187"/>
    </row>
    <row r="511" spans="1:10" ht="18" outlineLevel="1" x14ac:dyDescent="0.25">
      <c r="B511" s="2185" t="s">
        <v>5088</v>
      </c>
      <c r="C511" s="1974" t="s">
        <v>5089</v>
      </c>
      <c r="D511" s="2186">
        <v>2.5</v>
      </c>
      <c r="E511" s="2186">
        <v>0</v>
      </c>
      <c r="F511" s="2186" t="s">
        <v>1253</v>
      </c>
      <c r="G511" s="2186" t="s">
        <v>1990</v>
      </c>
      <c r="H511" s="2186">
        <v>1</v>
      </c>
      <c r="I511" s="2186"/>
      <c r="J511" s="2187"/>
    </row>
    <row r="512" spans="1:10" ht="18" outlineLevel="1" x14ac:dyDescent="0.25">
      <c r="B512" s="2185" t="s">
        <v>4675</v>
      </c>
      <c r="C512" s="1974" t="s">
        <v>5090</v>
      </c>
      <c r="D512" s="2186">
        <v>4.2</v>
      </c>
      <c r="E512" s="2186">
        <v>0</v>
      </c>
      <c r="F512" s="2186" t="s">
        <v>1253</v>
      </c>
      <c r="G512" s="2186" t="s">
        <v>1990</v>
      </c>
      <c r="H512" s="2186">
        <v>1</v>
      </c>
      <c r="I512" s="2186"/>
      <c r="J512" s="2187"/>
    </row>
    <row r="513" spans="2:10" ht="18" outlineLevel="1" x14ac:dyDescent="0.25">
      <c r="B513" s="2185" t="s">
        <v>4676</v>
      </c>
      <c r="C513" s="1974" t="s">
        <v>5091</v>
      </c>
      <c r="D513" s="2186">
        <v>7.3</v>
      </c>
      <c r="E513" s="2186">
        <v>0</v>
      </c>
      <c r="F513" s="2186" t="s">
        <v>1253</v>
      </c>
      <c r="G513" s="2186" t="s">
        <v>1990</v>
      </c>
      <c r="H513" s="2186">
        <v>1</v>
      </c>
      <c r="I513" s="2186"/>
      <c r="J513" s="2187"/>
    </row>
    <row r="514" spans="2:10" ht="18" outlineLevel="1" x14ac:dyDescent="0.25">
      <c r="B514" s="2185" t="s">
        <v>5092</v>
      </c>
      <c r="C514" s="1974" t="s">
        <v>5093</v>
      </c>
      <c r="D514" s="2186">
        <v>-0.28999999999999998</v>
      </c>
      <c r="E514" s="2189" t="s">
        <v>2188</v>
      </c>
      <c r="F514" s="2186" t="s">
        <v>1253</v>
      </c>
      <c r="G514" s="2186" t="s">
        <v>5094</v>
      </c>
      <c r="H514" s="2186">
        <v>2</v>
      </c>
      <c r="I514" s="2186"/>
      <c r="J514" s="2187"/>
    </row>
    <row r="515" spans="2:10" ht="18" outlineLevel="1" x14ac:dyDescent="0.25">
      <c r="B515" s="2185" t="s">
        <v>4677</v>
      </c>
      <c r="C515" s="1974" t="s">
        <v>5095</v>
      </c>
      <c r="D515" s="2186">
        <v>-7.1099999999999997E-2</v>
      </c>
      <c r="E515" s="2189" t="s">
        <v>2188</v>
      </c>
      <c r="F515" s="2186" t="s">
        <v>1253</v>
      </c>
      <c r="G515" s="2186" t="s">
        <v>5096</v>
      </c>
      <c r="H515" s="2186">
        <v>4</v>
      </c>
      <c r="I515" s="2186"/>
      <c r="J515" s="2187"/>
    </row>
    <row r="516" spans="2:10" ht="18" outlineLevel="1" x14ac:dyDescent="0.25">
      <c r="B516" s="2185" t="s">
        <v>4678</v>
      </c>
      <c r="C516" s="1974" t="s">
        <v>5097</v>
      </c>
      <c r="D516" s="2186">
        <v>-4.7399999999999998E-2</v>
      </c>
      <c r="E516" s="2189" t="s">
        <v>2188</v>
      </c>
      <c r="F516" s="2186" t="s">
        <v>1253</v>
      </c>
      <c r="G516" s="2186" t="s">
        <v>5098</v>
      </c>
      <c r="H516" s="2186">
        <v>4</v>
      </c>
      <c r="I516" s="2186"/>
      <c r="J516" s="2187"/>
    </row>
    <row r="517" spans="2:10" ht="18" outlineLevel="1" x14ac:dyDescent="0.25">
      <c r="B517" s="2185" t="s">
        <v>4679</v>
      </c>
      <c r="C517" s="1974" t="s">
        <v>5099</v>
      </c>
      <c r="D517" s="2186">
        <v>-7.8700000000000005E-4</v>
      </c>
      <c r="E517" s="2189" t="s">
        <v>2188</v>
      </c>
      <c r="F517" s="2186" t="s">
        <v>1253</v>
      </c>
      <c r="G517" s="2186" t="s">
        <v>5100</v>
      </c>
      <c r="H517" s="2186">
        <v>6</v>
      </c>
      <c r="I517" s="2186"/>
      <c r="J517" s="2187"/>
    </row>
    <row r="518" spans="2:10" ht="18" outlineLevel="1" x14ac:dyDescent="0.25">
      <c r="B518" s="2185" t="s">
        <v>4680</v>
      </c>
      <c r="C518" s="1974" t="s">
        <v>5101</v>
      </c>
      <c r="D518" s="2186">
        <v>2.3199999999999998E-2</v>
      </c>
      <c r="E518" s="2189" t="s">
        <v>2188</v>
      </c>
      <c r="F518" s="2186" t="s">
        <v>1253</v>
      </c>
      <c r="G518" s="2186" t="s">
        <v>5098</v>
      </c>
      <c r="H518" s="2186">
        <v>4</v>
      </c>
      <c r="I518" s="2186"/>
      <c r="J518" s="2187"/>
    </row>
    <row r="519" spans="2:10" ht="18.75" outlineLevel="1" thickBot="1" x14ac:dyDescent="0.3">
      <c r="B519" s="2190" t="s">
        <v>4681</v>
      </c>
      <c r="C519" s="2191" t="s">
        <v>5102</v>
      </c>
      <c r="D519" s="2192">
        <v>0.877</v>
      </c>
      <c r="E519" s="2192">
        <v>0</v>
      </c>
      <c r="F519" s="2192" t="s">
        <v>1253</v>
      </c>
      <c r="G519" s="2192" t="s">
        <v>1990</v>
      </c>
      <c r="H519" s="2192">
        <v>3</v>
      </c>
      <c r="I519" s="2192"/>
      <c r="J519" s="2193"/>
    </row>
    <row r="520" spans="2:10" ht="15.75" thickBot="1" x14ac:dyDescent="0.3">
      <c r="B520" s="115"/>
      <c r="C520" s="155"/>
      <c r="I520" s="102"/>
      <c r="J520" s="102"/>
    </row>
    <row r="521" spans="2:10" ht="15.75" thickBot="1" x14ac:dyDescent="0.3">
      <c r="C521" s="469" t="s">
        <v>2142</v>
      </c>
      <c r="D521" s="102" t="s">
        <v>299</v>
      </c>
      <c r="J521" s="119"/>
    </row>
    <row r="522" spans="2:10" ht="15.75" thickBot="1" x14ac:dyDescent="0.3">
      <c r="B522" s="1612" t="s">
        <v>0</v>
      </c>
      <c r="C522" s="1613" t="s">
        <v>1</v>
      </c>
      <c r="D522" s="1061" t="s">
        <v>839</v>
      </c>
      <c r="E522" s="1061" t="s">
        <v>470</v>
      </c>
      <c r="F522" s="1061" t="s">
        <v>471</v>
      </c>
      <c r="G522" s="1061" t="s">
        <v>2</v>
      </c>
      <c r="H522" s="1061" t="s">
        <v>298</v>
      </c>
      <c r="I522" s="1060" t="s">
        <v>116</v>
      </c>
      <c r="J522" s="1777" t="s">
        <v>117</v>
      </c>
    </row>
    <row r="523" spans="2:10" ht="18" outlineLevel="1" x14ac:dyDescent="0.25">
      <c r="B523" s="1605" t="s">
        <v>2143</v>
      </c>
      <c r="C523" s="1606" t="s">
        <v>2144</v>
      </c>
      <c r="D523" s="466">
        <v>-300</v>
      </c>
      <c r="E523" s="466" t="s">
        <v>2188</v>
      </c>
      <c r="F523" s="466" t="s">
        <v>1253</v>
      </c>
      <c r="G523" s="466" t="s">
        <v>2145</v>
      </c>
      <c r="H523" s="466"/>
      <c r="I523" s="465"/>
      <c r="J523" s="1776"/>
    </row>
    <row r="524" spans="2:10" ht="18" outlineLevel="1" x14ac:dyDescent="0.25">
      <c r="B524" s="239" t="s">
        <v>2178</v>
      </c>
      <c r="C524" s="73" t="s">
        <v>2179</v>
      </c>
      <c r="D524" s="86">
        <v>300</v>
      </c>
      <c r="E524" s="86">
        <v>0</v>
      </c>
      <c r="F524" s="86" t="s">
        <v>1253</v>
      </c>
      <c r="G524" s="86" t="s">
        <v>2145</v>
      </c>
      <c r="H524" s="86"/>
      <c r="I524" s="77"/>
      <c r="J524" s="367"/>
    </row>
    <row r="525" spans="2:10" ht="18" outlineLevel="1" x14ac:dyDescent="0.25">
      <c r="B525" s="239" t="s">
        <v>2180</v>
      </c>
      <c r="C525" s="73" t="s">
        <v>2181</v>
      </c>
      <c r="D525" s="86">
        <v>70</v>
      </c>
      <c r="E525" s="86">
        <v>0</v>
      </c>
      <c r="F525" s="86" t="s">
        <v>1253</v>
      </c>
      <c r="G525" s="86" t="s">
        <v>2145</v>
      </c>
      <c r="H525" s="86"/>
      <c r="I525" s="77"/>
      <c r="J525" s="367"/>
    </row>
    <row r="526" spans="2:10" ht="18" outlineLevel="1" x14ac:dyDescent="0.25">
      <c r="B526" s="239" t="s">
        <v>2146</v>
      </c>
      <c r="C526" s="73" t="s">
        <v>2147</v>
      </c>
      <c r="D526" s="86">
        <v>0.05</v>
      </c>
      <c r="E526" s="86">
        <v>0</v>
      </c>
      <c r="F526" s="86" t="s">
        <v>1253</v>
      </c>
      <c r="G526" s="86" t="s">
        <v>2173</v>
      </c>
      <c r="H526" s="86"/>
      <c r="I526" s="77"/>
      <c r="J526" s="367"/>
    </row>
    <row r="527" spans="2:10" ht="18" outlineLevel="1" x14ac:dyDescent="0.25">
      <c r="B527" s="239" t="s">
        <v>2148</v>
      </c>
      <c r="C527" s="73" t="s">
        <v>2149</v>
      </c>
      <c r="D527" s="86">
        <v>0.1</v>
      </c>
      <c r="E527" s="86">
        <v>0</v>
      </c>
      <c r="F527" s="86" t="s">
        <v>1253</v>
      </c>
      <c r="G527" s="86" t="s">
        <v>884</v>
      </c>
      <c r="H527" s="86"/>
      <c r="I527" s="77"/>
      <c r="J527" s="367"/>
    </row>
    <row r="528" spans="2:10" ht="18.75" outlineLevel="1" thickBot="1" x14ac:dyDescent="0.3">
      <c r="B528" s="149" t="s">
        <v>6018</v>
      </c>
      <c r="C528" s="2772" t="s">
        <v>6019</v>
      </c>
      <c r="D528" s="3081">
        <v>0.05</v>
      </c>
      <c r="E528" s="3081">
        <v>0</v>
      </c>
      <c r="F528" s="3081" t="s">
        <v>1253</v>
      </c>
      <c r="G528" s="3081" t="s">
        <v>1180</v>
      </c>
      <c r="H528" s="3081"/>
      <c r="I528" s="2772"/>
      <c r="J528" s="1722"/>
    </row>
    <row r="529" spans="1:10" ht="15.75" thickBot="1" x14ac:dyDescent="0.3"/>
    <row r="530" spans="1:10" ht="15.75" thickBot="1" x14ac:dyDescent="0.3">
      <c r="A530" s="101"/>
      <c r="B530" s="115"/>
      <c r="C530" s="2673" t="s">
        <v>5393</v>
      </c>
      <c r="D530" s="102" t="s">
        <v>317</v>
      </c>
      <c r="J530" s="119"/>
    </row>
    <row r="531" spans="1:10" s="101" customFormat="1" ht="15.75" thickBot="1" x14ac:dyDescent="0.3">
      <c r="B531" s="2674" t="s">
        <v>0</v>
      </c>
      <c r="C531" s="2675" t="s">
        <v>1</v>
      </c>
      <c r="D531" s="2676" t="s">
        <v>839</v>
      </c>
      <c r="E531" s="2676" t="s">
        <v>470</v>
      </c>
      <c r="F531" s="2676" t="s">
        <v>471</v>
      </c>
      <c r="G531" s="2676" t="s">
        <v>2</v>
      </c>
      <c r="H531" s="2676" t="s">
        <v>298</v>
      </c>
      <c r="I531" s="2675" t="s">
        <v>116</v>
      </c>
      <c r="J531" s="2677" t="s">
        <v>117</v>
      </c>
    </row>
    <row r="532" spans="1:10" s="115" customFormat="1" ht="18.75" outlineLevel="1" thickBot="1" x14ac:dyDescent="0.3">
      <c r="B532" s="2678" t="s">
        <v>3921</v>
      </c>
      <c r="C532" s="2679" t="s">
        <v>3909</v>
      </c>
      <c r="D532" s="2680">
        <v>7</v>
      </c>
      <c r="E532" s="2681">
        <v>0</v>
      </c>
      <c r="F532" s="2681">
        <v>14</v>
      </c>
      <c r="G532" s="2680" t="s">
        <v>377</v>
      </c>
      <c r="H532" s="2682">
        <v>1</v>
      </c>
      <c r="I532" s="2679"/>
      <c r="J532" s="2683" t="s">
        <v>5394</v>
      </c>
    </row>
    <row r="533" spans="1:10" s="115" customFormat="1" ht="18" outlineLevel="1" x14ac:dyDescent="0.25">
      <c r="B533" s="2678" t="s">
        <v>4942</v>
      </c>
      <c r="C533" s="2679" t="s">
        <v>4953</v>
      </c>
      <c r="D533" s="2680">
        <v>0.02</v>
      </c>
      <c r="E533" s="2681">
        <v>0</v>
      </c>
      <c r="F533" s="2681" t="s">
        <v>1253</v>
      </c>
      <c r="G533" s="2680" t="s">
        <v>380</v>
      </c>
      <c r="H533" s="2682">
        <v>1</v>
      </c>
      <c r="I533" s="2679"/>
      <c r="J533" s="2683" t="s">
        <v>5395</v>
      </c>
    </row>
    <row r="534" spans="1:10" s="115" customFormat="1" ht="18" outlineLevel="1" x14ac:dyDescent="0.25">
      <c r="B534" s="2684" t="s">
        <v>4943</v>
      </c>
      <c r="C534" s="1817" t="s">
        <v>4954</v>
      </c>
      <c r="D534" s="1818">
        <v>0.1</v>
      </c>
      <c r="E534" s="1819">
        <v>0</v>
      </c>
      <c r="F534" s="1819" t="s">
        <v>1253</v>
      </c>
      <c r="G534" s="1818" t="s">
        <v>380</v>
      </c>
      <c r="H534" s="1820">
        <v>1</v>
      </c>
      <c r="I534" s="1817"/>
      <c r="J534" s="2685" t="s">
        <v>5395</v>
      </c>
    </row>
    <row r="535" spans="1:10" s="115" customFormat="1" ht="18.75" outlineLevel="1" thickBot="1" x14ac:dyDescent="0.3">
      <c r="B535" s="1810" t="s">
        <v>4951</v>
      </c>
      <c r="C535" s="2686" t="s">
        <v>4952</v>
      </c>
      <c r="D535" s="2687">
        <v>0.1</v>
      </c>
      <c r="E535" s="2688">
        <v>0</v>
      </c>
      <c r="F535" s="2688" t="s">
        <v>1253</v>
      </c>
      <c r="G535" s="2687" t="s">
        <v>380</v>
      </c>
      <c r="H535" s="2689">
        <v>1</v>
      </c>
      <c r="I535" s="2686"/>
      <c r="J535" s="1811" t="s">
        <v>5395</v>
      </c>
    </row>
    <row r="536" spans="1:10" s="115" customFormat="1" ht="18" outlineLevel="1" x14ac:dyDescent="0.25">
      <c r="B536" s="2690" t="s">
        <v>1868</v>
      </c>
      <c r="C536" s="2691" t="s">
        <v>4153</v>
      </c>
      <c r="D536" s="2692">
        <v>0.2</v>
      </c>
      <c r="E536" s="2693">
        <v>0</v>
      </c>
      <c r="F536" s="2693">
        <v>1</v>
      </c>
      <c r="G536" s="2692" t="s">
        <v>380</v>
      </c>
      <c r="H536" s="2694">
        <v>3</v>
      </c>
      <c r="I536" s="2691"/>
      <c r="J536" s="2695" t="s">
        <v>1869</v>
      </c>
    </row>
    <row r="537" spans="1:10" s="115" customFormat="1" ht="18.75" outlineLevel="1" thickBot="1" x14ac:dyDescent="0.3">
      <c r="B537" s="930" t="s">
        <v>3849</v>
      </c>
      <c r="C537" s="2696" t="s">
        <v>3850</v>
      </c>
      <c r="D537" s="2697">
        <v>-1E-3</v>
      </c>
      <c r="E537" s="2698" t="s">
        <v>2188</v>
      </c>
      <c r="F537" s="2698" t="s">
        <v>1253</v>
      </c>
      <c r="G537" s="2697" t="s">
        <v>1990</v>
      </c>
      <c r="H537" s="2699">
        <v>3</v>
      </c>
      <c r="I537" s="2696"/>
      <c r="J537" s="406"/>
    </row>
    <row r="538" spans="1:10" ht="15.75" thickBot="1" x14ac:dyDescent="0.3"/>
    <row r="539" spans="1:10" ht="15.75" thickBot="1" x14ac:dyDescent="0.3">
      <c r="A539" s="101"/>
      <c r="C539" s="1588" t="s">
        <v>4401</v>
      </c>
      <c r="D539" s="102" t="s">
        <v>317</v>
      </c>
      <c r="J539" s="119"/>
    </row>
    <row r="540" spans="1:10" ht="15.75" thickBot="1" x14ac:dyDescent="0.3">
      <c r="B540" s="1612" t="s">
        <v>0</v>
      </c>
      <c r="C540" s="1613" t="s">
        <v>1</v>
      </c>
      <c r="D540" s="1061" t="s">
        <v>839</v>
      </c>
      <c r="E540" s="1061" t="s">
        <v>470</v>
      </c>
      <c r="F540" s="1061" t="s">
        <v>471</v>
      </c>
      <c r="G540" s="1061" t="s">
        <v>2</v>
      </c>
      <c r="H540" s="1061" t="s">
        <v>298</v>
      </c>
      <c r="I540" s="1060" t="s">
        <v>116</v>
      </c>
      <c r="J540" s="1777" t="s">
        <v>117</v>
      </c>
    </row>
    <row r="541" spans="1:10" s="115" customFormat="1" ht="18" outlineLevel="1" x14ac:dyDescent="0.25">
      <c r="B541" s="1610" t="s">
        <v>4402</v>
      </c>
      <c r="C541" s="2289" t="s">
        <v>5193</v>
      </c>
      <c r="D541" s="1108">
        <v>0.33444800000000002</v>
      </c>
      <c r="E541" s="1109" t="s">
        <v>2188</v>
      </c>
      <c r="F541" s="1109" t="s">
        <v>1253</v>
      </c>
      <c r="G541" s="1108" t="s">
        <v>4403</v>
      </c>
      <c r="H541" s="1110">
        <v>6</v>
      </c>
      <c r="I541" s="1107"/>
      <c r="J541" s="1111"/>
    </row>
    <row r="542" spans="1:10" s="115" customFormat="1" ht="18.75" outlineLevel="1" thickBot="1" x14ac:dyDescent="0.3">
      <c r="B542" s="1608" t="s">
        <v>4404</v>
      </c>
      <c r="C542" s="2290" t="s">
        <v>5194</v>
      </c>
      <c r="D542" s="931">
        <v>2.42475</v>
      </c>
      <c r="E542" s="932" t="s">
        <v>2188</v>
      </c>
      <c r="F542" s="932" t="s">
        <v>1253</v>
      </c>
      <c r="G542" s="931" t="s">
        <v>4405</v>
      </c>
      <c r="H542" s="933">
        <v>6</v>
      </c>
      <c r="I542" s="870"/>
      <c r="J542" s="406"/>
    </row>
    <row r="543" spans="1:10" ht="15.75" thickBot="1" x14ac:dyDescent="0.3"/>
    <row r="544" spans="1:10" ht="15.75" thickBot="1" x14ac:dyDescent="0.3">
      <c r="C544" s="1611" t="s">
        <v>4242</v>
      </c>
      <c r="D544" s="102" t="s">
        <v>315</v>
      </c>
      <c r="J544" s="119"/>
    </row>
    <row r="545" spans="2:10" ht="15.75" thickBot="1" x14ac:dyDescent="0.3">
      <c r="B545" s="1612" t="s">
        <v>0</v>
      </c>
      <c r="C545" s="1613" t="s">
        <v>1</v>
      </c>
      <c r="D545" s="1061" t="s">
        <v>839</v>
      </c>
      <c r="E545" s="1061" t="s">
        <v>470</v>
      </c>
      <c r="F545" s="1061" t="s">
        <v>471</v>
      </c>
      <c r="G545" s="1061" t="s">
        <v>2</v>
      </c>
      <c r="H545" s="1061" t="s">
        <v>298</v>
      </c>
      <c r="I545" s="1060" t="s">
        <v>116</v>
      </c>
      <c r="J545" s="1777" t="s">
        <v>117</v>
      </c>
    </row>
    <row r="546" spans="2:10" ht="18.75" outlineLevel="1" thickBot="1" x14ac:dyDescent="0.3">
      <c r="B546" s="3047" t="s">
        <v>4243</v>
      </c>
      <c r="C546" s="3048" t="s">
        <v>5968</v>
      </c>
      <c r="D546" s="3049">
        <v>4</v>
      </c>
      <c r="E546" s="3050">
        <v>0</v>
      </c>
      <c r="F546" s="3050">
        <v>9</v>
      </c>
      <c r="G546" s="3050" t="s">
        <v>4241</v>
      </c>
      <c r="H546" s="3050">
        <v>2</v>
      </c>
      <c r="I546" s="3051"/>
      <c r="J546" s="1795" t="s">
        <v>5969</v>
      </c>
    </row>
    <row r="547" spans="2:10" ht="15.75" thickBot="1" x14ac:dyDescent="0.3"/>
    <row r="548" spans="2:10" ht="15.75" thickBot="1" x14ac:dyDescent="0.3">
      <c r="C548" s="1611" t="s">
        <v>4244</v>
      </c>
      <c r="D548" s="102" t="s">
        <v>315</v>
      </c>
      <c r="J548" s="119"/>
    </row>
    <row r="549" spans="2:10" ht="15.75" thickBot="1" x14ac:dyDescent="0.3">
      <c r="B549" s="1612" t="s">
        <v>0</v>
      </c>
      <c r="C549" s="1613" t="s">
        <v>1</v>
      </c>
      <c r="D549" s="1061" t="s">
        <v>839</v>
      </c>
      <c r="E549" s="1061" t="s">
        <v>470</v>
      </c>
      <c r="F549" s="1061" t="s">
        <v>471</v>
      </c>
      <c r="G549" s="1061" t="s">
        <v>2</v>
      </c>
      <c r="H549" s="1061" t="s">
        <v>298</v>
      </c>
      <c r="I549" s="1060" t="s">
        <v>116</v>
      </c>
      <c r="J549" s="1777" t="s">
        <v>117</v>
      </c>
    </row>
    <row r="550" spans="2:10" ht="18.75" outlineLevel="1" thickBot="1" x14ac:dyDescent="0.3">
      <c r="B550" s="1778" t="s">
        <v>4245</v>
      </c>
      <c r="C550" s="1779" t="s">
        <v>4246</v>
      </c>
      <c r="D550" s="1780">
        <v>5.1999999999999998E-2</v>
      </c>
      <c r="E550" s="1781">
        <v>0</v>
      </c>
      <c r="F550" s="1781">
        <v>5</v>
      </c>
      <c r="G550" s="1781" t="s">
        <v>4241</v>
      </c>
      <c r="H550" s="1781">
        <v>2</v>
      </c>
      <c r="I550" s="1782"/>
      <c r="J550" s="1783" t="s">
        <v>4247</v>
      </c>
    </row>
    <row r="551" spans="2:10" ht="18" outlineLevel="1" x14ac:dyDescent="0.25">
      <c r="B551" s="3015" t="s">
        <v>5887</v>
      </c>
      <c r="C551" s="3016" t="s">
        <v>5888</v>
      </c>
      <c r="D551" s="1780">
        <v>5.1999999999999998E-2</v>
      </c>
      <c r="E551" s="3012">
        <v>0</v>
      </c>
      <c r="F551" s="3012">
        <v>5</v>
      </c>
      <c r="G551" s="3012" t="s">
        <v>4241</v>
      </c>
      <c r="H551" s="3012">
        <v>2</v>
      </c>
      <c r="I551" s="3013"/>
      <c r="J551" s="3014"/>
    </row>
    <row r="552" spans="2:10" ht="18" outlineLevel="1" x14ac:dyDescent="0.25">
      <c r="B552" s="1784" t="s">
        <v>4248</v>
      </c>
      <c r="C552" s="1785" t="s">
        <v>4249</v>
      </c>
      <c r="D552" s="1786">
        <v>5.1999999999999998E-2</v>
      </c>
      <c r="E552" s="1787">
        <v>0</v>
      </c>
      <c r="F552" s="1787">
        <v>5</v>
      </c>
      <c r="G552" s="1787" t="s">
        <v>4241</v>
      </c>
      <c r="H552" s="1787">
        <v>2</v>
      </c>
      <c r="I552" s="1788"/>
      <c r="J552" s="1789"/>
    </row>
    <row r="553" spans="2:10" ht="18" outlineLevel="1" x14ac:dyDescent="0.25">
      <c r="B553" s="1784" t="s">
        <v>4250</v>
      </c>
      <c r="C553" s="1785" t="s">
        <v>4251</v>
      </c>
      <c r="D553" s="1786">
        <v>5.1999999999999998E-2</v>
      </c>
      <c r="E553" s="1787">
        <v>0</v>
      </c>
      <c r="F553" s="1787">
        <v>5</v>
      </c>
      <c r="G553" s="1787" t="s">
        <v>4241</v>
      </c>
      <c r="H553" s="1787">
        <v>2</v>
      </c>
      <c r="I553" s="1788"/>
      <c r="J553" s="1789"/>
    </row>
    <row r="554" spans="2:10" ht="18" outlineLevel="1" x14ac:dyDescent="0.25">
      <c r="B554" s="1784" t="s">
        <v>4252</v>
      </c>
      <c r="C554" s="1785" t="s">
        <v>4253</v>
      </c>
      <c r="D554" s="1786">
        <v>5.1999999999999998E-2</v>
      </c>
      <c r="E554" s="1787">
        <v>0</v>
      </c>
      <c r="F554" s="1787">
        <v>5</v>
      </c>
      <c r="G554" s="1787" t="s">
        <v>4241</v>
      </c>
      <c r="H554" s="1787">
        <v>2</v>
      </c>
      <c r="I554" s="1788"/>
      <c r="J554" s="1789"/>
    </row>
    <row r="555" spans="2:10" ht="18" outlineLevel="1" x14ac:dyDescent="0.25">
      <c r="B555" s="1784" t="s">
        <v>4254</v>
      </c>
      <c r="C555" s="1785" t="s">
        <v>4255</v>
      </c>
      <c r="D555" s="1786">
        <v>5.1999999999999998E-2</v>
      </c>
      <c r="E555" s="1787">
        <v>0</v>
      </c>
      <c r="F555" s="1787">
        <v>5</v>
      </c>
      <c r="G555" s="1787" t="s">
        <v>4241</v>
      </c>
      <c r="H555" s="1787">
        <v>2</v>
      </c>
      <c r="I555" s="1788"/>
      <c r="J555" s="1789"/>
    </row>
    <row r="556" spans="2:10" ht="18" outlineLevel="1" x14ac:dyDescent="0.25">
      <c r="B556" s="1784" t="s">
        <v>4256</v>
      </c>
      <c r="C556" s="1785" t="s">
        <v>4257</v>
      </c>
      <c r="D556" s="1786">
        <v>5.1999999999999998E-2</v>
      </c>
      <c r="E556" s="1787">
        <v>0</v>
      </c>
      <c r="F556" s="1787">
        <v>5</v>
      </c>
      <c r="G556" s="1787" t="s">
        <v>4241</v>
      </c>
      <c r="H556" s="1787">
        <v>2</v>
      </c>
      <c r="I556" s="1788"/>
      <c r="J556" s="1789"/>
    </row>
    <row r="557" spans="2:10" ht="18" outlineLevel="1" x14ac:dyDescent="0.25">
      <c r="B557" s="1784" t="s">
        <v>4258</v>
      </c>
      <c r="C557" s="1785" t="s">
        <v>4259</v>
      </c>
      <c r="D557" s="1786">
        <v>5.1999999999999998E-2</v>
      </c>
      <c r="E557" s="1787">
        <v>0</v>
      </c>
      <c r="F557" s="1787">
        <v>5</v>
      </c>
      <c r="G557" s="1787" t="s">
        <v>4241</v>
      </c>
      <c r="H557" s="1787">
        <v>2</v>
      </c>
      <c r="I557" s="1788"/>
      <c r="J557" s="1789"/>
    </row>
    <row r="558" spans="2:10" ht="18.75" outlineLevel="1" thickBot="1" x14ac:dyDescent="0.3">
      <c r="B558" s="1790" t="s">
        <v>4260</v>
      </c>
      <c r="C558" s="1791" t="s">
        <v>4261</v>
      </c>
      <c r="D558" s="1792">
        <v>5.1999999999999998E-2</v>
      </c>
      <c r="E558" s="1793">
        <v>0</v>
      </c>
      <c r="F558" s="1793">
        <v>5</v>
      </c>
      <c r="G558" s="1793" t="s">
        <v>4241</v>
      </c>
      <c r="H558" s="1793">
        <v>2</v>
      </c>
      <c r="I558" s="1794"/>
      <c r="J558" s="1795"/>
    </row>
    <row r="559" spans="2:10" ht="15.75" thickBot="1" x14ac:dyDescent="0.3"/>
    <row r="560" spans="2:10" ht="15.75" thickBot="1" x14ac:dyDescent="0.3">
      <c r="C560" s="1611" t="s">
        <v>4262</v>
      </c>
      <c r="D560" s="102" t="s">
        <v>315</v>
      </c>
      <c r="J560" s="119"/>
    </row>
    <row r="561" spans="2:10" ht="15.75" thickBot="1" x14ac:dyDescent="0.3">
      <c r="B561" s="1612" t="s">
        <v>0</v>
      </c>
      <c r="C561" s="1613" t="s">
        <v>1</v>
      </c>
      <c r="D561" s="1061" t="s">
        <v>839</v>
      </c>
      <c r="E561" s="1061" t="s">
        <v>470</v>
      </c>
      <c r="F561" s="1061" t="s">
        <v>471</v>
      </c>
      <c r="G561" s="1061" t="s">
        <v>2</v>
      </c>
      <c r="H561" s="1061" t="s">
        <v>298</v>
      </c>
      <c r="I561" s="1060" t="s">
        <v>116</v>
      </c>
      <c r="J561" s="1777" t="s">
        <v>117</v>
      </c>
    </row>
    <row r="562" spans="2:10" ht="18.75" outlineLevel="1" thickBot="1" x14ac:dyDescent="0.3">
      <c r="B562" s="1778" t="s">
        <v>4263</v>
      </c>
      <c r="C562" s="1779" t="s">
        <v>4264</v>
      </c>
      <c r="D562" s="1780">
        <v>0.11</v>
      </c>
      <c r="E562" s="1781">
        <v>0</v>
      </c>
      <c r="F562" s="1781">
        <v>5</v>
      </c>
      <c r="G562" s="1781" t="s">
        <v>4241</v>
      </c>
      <c r="H562" s="1781">
        <v>2</v>
      </c>
      <c r="I562" s="1782"/>
      <c r="J562" s="1783" t="s">
        <v>4265</v>
      </c>
    </row>
    <row r="563" spans="2:10" ht="18" outlineLevel="1" x14ac:dyDescent="0.25">
      <c r="B563" s="3015" t="s">
        <v>5889</v>
      </c>
      <c r="C563" s="3016" t="s">
        <v>5890</v>
      </c>
      <c r="D563" s="1780">
        <v>0.11</v>
      </c>
      <c r="E563" s="3012">
        <v>0</v>
      </c>
      <c r="F563" s="3012">
        <v>5</v>
      </c>
      <c r="G563" s="3012" t="s">
        <v>4241</v>
      </c>
      <c r="H563" s="3012">
        <v>2</v>
      </c>
      <c r="I563" s="3013"/>
      <c r="J563" s="3014"/>
    </row>
    <row r="564" spans="2:10" ht="18" outlineLevel="1" x14ac:dyDescent="0.25">
      <c r="B564" s="1784" t="s">
        <v>4266</v>
      </c>
      <c r="C564" s="1785" t="s">
        <v>4267</v>
      </c>
      <c r="D564" s="1786">
        <v>0.11</v>
      </c>
      <c r="E564" s="1787">
        <v>0</v>
      </c>
      <c r="F564" s="1787">
        <v>5</v>
      </c>
      <c r="G564" s="1787" t="s">
        <v>4241</v>
      </c>
      <c r="H564" s="1787">
        <v>2</v>
      </c>
      <c r="I564" s="1788"/>
      <c r="J564" s="1789"/>
    </row>
    <row r="565" spans="2:10" ht="18" outlineLevel="1" x14ac:dyDescent="0.25">
      <c r="B565" s="1784" t="s">
        <v>4268</v>
      </c>
      <c r="C565" s="1785" t="s">
        <v>4269</v>
      </c>
      <c r="D565" s="1786">
        <v>0.11</v>
      </c>
      <c r="E565" s="1787">
        <v>0</v>
      </c>
      <c r="F565" s="1787">
        <v>5</v>
      </c>
      <c r="G565" s="1787" t="s">
        <v>4241</v>
      </c>
      <c r="H565" s="1787">
        <v>2</v>
      </c>
      <c r="I565" s="1788"/>
      <c r="J565" s="1789"/>
    </row>
    <row r="566" spans="2:10" ht="18" outlineLevel="1" x14ac:dyDescent="0.25">
      <c r="B566" s="1784" t="s">
        <v>4270</v>
      </c>
      <c r="C566" s="1785" t="s">
        <v>4271</v>
      </c>
      <c r="D566" s="1786">
        <v>0.11</v>
      </c>
      <c r="E566" s="1787">
        <v>0</v>
      </c>
      <c r="F566" s="1787">
        <v>5</v>
      </c>
      <c r="G566" s="1787" t="s">
        <v>4241</v>
      </c>
      <c r="H566" s="1787">
        <v>2</v>
      </c>
      <c r="I566" s="1788"/>
      <c r="J566" s="1789"/>
    </row>
    <row r="567" spans="2:10" ht="18" outlineLevel="1" x14ac:dyDescent="0.25">
      <c r="B567" s="1784" t="s">
        <v>4272</v>
      </c>
      <c r="C567" s="1785" t="s">
        <v>4273</v>
      </c>
      <c r="D567" s="1786">
        <v>0.17</v>
      </c>
      <c r="E567" s="1787">
        <v>0</v>
      </c>
      <c r="F567" s="1787">
        <v>5</v>
      </c>
      <c r="G567" s="1787" t="s">
        <v>4241</v>
      </c>
      <c r="H567" s="1787">
        <v>2</v>
      </c>
      <c r="I567" s="1788"/>
      <c r="J567" s="1789" t="s">
        <v>4274</v>
      </c>
    </row>
    <row r="568" spans="2:10" ht="18.75" outlineLevel="1" thickBot="1" x14ac:dyDescent="0.3">
      <c r="B568" s="1790" t="s">
        <v>4275</v>
      </c>
      <c r="C568" s="1791" t="s">
        <v>4276</v>
      </c>
      <c r="D568" s="1792">
        <v>0.33</v>
      </c>
      <c r="E568" s="1793">
        <v>0</v>
      </c>
      <c r="F568" s="1793">
        <v>5</v>
      </c>
      <c r="G568" s="1793" t="s">
        <v>4241</v>
      </c>
      <c r="H568" s="1793">
        <v>2</v>
      </c>
      <c r="I568" s="1794"/>
      <c r="J568" s="1795" t="s">
        <v>4277</v>
      </c>
    </row>
    <row r="569" spans="2:10" ht="15.75" thickBot="1" x14ac:dyDescent="0.3">
      <c r="B569" s="115"/>
      <c r="C569" s="115"/>
    </row>
    <row r="570" spans="2:10" ht="15.75" thickBot="1" x14ac:dyDescent="0.3">
      <c r="B570" s="115"/>
      <c r="C570" s="2673" t="s">
        <v>5696</v>
      </c>
      <c r="D570" s="102" t="s">
        <v>315</v>
      </c>
      <c r="J570" s="119"/>
    </row>
    <row r="571" spans="2:10" ht="15.75" thickBot="1" x14ac:dyDescent="0.3">
      <c r="B571" s="2674" t="s">
        <v>0</v>
      </c>
      <c r="C571" s="2675" t="s">
        <v>1</v>
      </c>
      <c r="D571" s="2676" t="s">
        <v>839</v>
      </c>
      <c r="E571" s="2676" t="s">
        <v>470</v>
      </c>
      <c r="F571" s="2676" t="s">
        <v>471</v>
      </c>
      <c r="G571" s="2676" t="s">
        <v>2</v>
      </c>
      <c r="H571" s="2676" t="s">
        <v>298</v>
      </c>
      <c r="I571" s="2675" t="s">
        <v>116</v>
      </c>
      <c r="J571" s="2677" t="s">
        <v>117</v>
      </c>
    </row>
    <row r="572" spans="2:10" ht="15.75" outlineLevel="1" thickBot="1" x14ac:dyDescent="0.3">
      <c r="B572" s="2912" t="s">
        <v>5699</v>
      </c>
      <c r="C572" s="2913" t="s">
        <v>5697</v>
      </c>
      <c r="D572" s="2914">
        <v>8.0000000000000002E-3</v>
      </c>
      <c r="E572" s="2915">
        <v>0</v>
      </c>
      <c r="F572" s="2915">
        <v>1</v>
      </c>
      <c r="G572" s="2915" t="s">
        <v>5698</v>
      </c>
      <c r="H572" s="2915">
        <v>3</v>
      </c>
      <c r="I572" s="2909"/>
      <c r="J572" s="2916"/>
    </row>
  </sheetData>
  <phoneticPr fontId="39" type="noConversion"/>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O10"/>
  <sheetViews>
    <sheetView showGridLines="0" zoomScaleNormal="100" workbookViewId="0"/>
  </sheetViews>
  <sheetFormatPr baseColWidth="10" defaultColWidth="9.140625" defaultRowHeight="15" x14ac:dyDescent="0.25"/>
  <cols>
    <col min="1" max="1" width="9.140625" style="3069"/>
    <col min="2" max="2" width="7.5703125" style="3069" bestFit="1" customWidth="1"/>
    <col min="3" max="3" width="43.5703125" style="3069" bestFit="1" customWidth="1"/>
    <col min="4" max="4" width="11.5703125" style="3069" bestFit="1" customWidth="1"/>
    <col min="5" max="5" width="13.7109375" style="3069" bestFit="1" customWidth="1"/>
    <col min="6" max="6" width="14.28515625" style="3069" bestFit="1" customWidth="1"/>
    <col min="7" max="7" width="10.5703125" style="3069" bestFit="1" customWidth="1"/>
    <col min="8" max="8" width="10.7109375" style="3069" bestFit="1" customWidth="1"/>
    <col min="9" max="9" width="10.7109375" style="3069" customWidth="1"/>
    <col min="10" max="10" width="9.140625" style="3069"/>
    <col min="11" max="11" width="9.5703125" style="3069" bestFit="1" customWidth="1"/>
    <col min="12" max="12" width="6.7109375" style="3069" customWidth="1"/>
    <col min="13" max="13" width="9" style="3069" bestFit="1" customWidth="1"/>
    <col min="14" max="14" width="5" style="3069" bestFit="1" customWidth="1"/>
    <col min="15" max="15" width="18.28515625" style="3069" bestFit="1" customWidth="1"/>
    <col min="16" max="16384" width="9.140625" style="3069"/>
  </cols>
  <sheetData>
    <row r="1" spans="2:15" ht="15.75" thickBot="1" x14ac:dyDescent="0.3"/>
    <row r="2" spans="2:15" s="1057" customFormat="1" ht="15.75" thickBot="1" x14ac:dyDescent="0.3">
      <c r="B2" s="1056"/>
      <c r="C2" s="3053" t="s">
        <v>4218</v>
      </c>
      <c r="D2" s="1056"/>
      <c r="E2" s="1056"/>
      <c r="F2" s="1056"/>
      <c r="G2" s="1056"/>
      <c r="H2" s="1056"/>
      <c r="I2" s="1056"/>
      <c r="J2" s="1056"/>
    </row>
    <row r="3" spans="2:15" s="1056" customFormat="1" ht="30.75" thickBot="1" x14ac:dyDescent="0.3">
      <c r="B3" s="3054" t="s">
        <v>0</v>
      </c>
      <c r="C3" s="3055" t="s">
        <v>1</v>
      </c>
      <c r="D3" s="3056" t="s">
        <v>4219</v>
      </c>
      <c r="E3" s="3056" t="s">
        <v>4220</v>
      </c>
      <c r="F3" s="3056" t="s">
        <v>4221</v>
      </c>
      <c r="G3" s="3056" t="s">
        <v>4222</v>
      </c>
      <c r="H3" s="3056" t="s">
        <v>4238</v>
      </c>
      <c r="I3" s="3057" t="s">
        <v>4281</v>
      </c>
      <c r="J3" s="3056" t="s">
        <v>470</v>
      </c>
      <c r="K3" s="3056" t="s">
        <v>471</v>
      </c>
      <c r="L3" s="3056" t="s">
        <v>2</v>
      </c>
      <c r="M3" s="3056" t="s">
        <v>298</v>
      </c>
      <c r="N3" s="3056" t="s">
        <v>116</v>
      </c>
      <c r="O3" s="3058" t="s">
        <v>117</v>
      </c>
    </row>
    <row r="4" spans="2:15" s="1057" customFormat="1" ht="18" x14ac:dyDescent="0.25">
      <c r="B4" s="3070" t="s">
        <v>4223</v>
      </c>
      <c r="C4" s="3059" t="s">
        <v>4224</v>
      </c>
      <c r="D4" s="3060">
        <v>0.04</v>
      </c>
      <c r="E4" s="3060">
        <v>1.54</v>
      </c>
      <c r="F4" s="3071">
        <v>2.2999999999999998</v>
      </c>
      <c r="G4" s="3071">
        <v>34.700000000000003</v>
      </c>
      <c r="H4" s="3071" t="s">
        <v>1210</v>
      </c>
      <c r="I4" s="3072">
        <v>2.61</v>
      </c>
      <c r="J4" s="3060">
        <v>0</v>
      </c>
      <c r="K4" s="3060">
        <v>100</v>
      </c>
      <c r="L4" s="3061" t="s">
        <v>5971</v>
      </c>
      <c r="M4" s="3060"/>
      <c r="N4" s="3060"/>
      <c r="O4" s="3062"/>
    </row>
    <row r="5" spans="2:15" s="1057" customFormat="1" ht="18" x14ac:dyDescent="0.25">
      <c r="B5" s="3073" t="s">
        <v>4225</v>
      </c>
      <c r="C5" s="3063" t="s">
        <v>4226</v>
      </c>
      <c r="D5" s="3064" t="s">
        <v>1210</v>
      </c>
      <c r="E5" s="3064" t="s">
        <v>1210</v>
      </c>
      <c r="F5" s="3074">
        <v>0.04</v>
      </c>
      <c r="G5" s="3074">
        <v>65</v>
      </c>
      <c r="H5" s="3074" t="s">
        <v>1210</v>
      </c>
      <c r="I5" s="3074" t="s">
        <v>1210</v>
      </c>
      <c r="J5" s="3064">
        <v>0</v>
      </c>
      <c r="K5" s="3064">
        <v>100</v>
      </c>
      <c r="L5" s="3061" t="s">
        <v>5971</v>
      </c>
      <c r="M5" s="3064"/>
      <c r="N5" s="3064"/>
      <c r="O5" s="3065"/>
    </row>
    <row r="6" spans="2:15" s="1057" customFormat="1" ht="18" x14ac:dyDescent="0.25">
      <c r="B6" s="3073" t="s">
        <v>4227</v>
      </c>
      <c r="C6" s="3063" t="s">
        <v>4228</v>
      </c>
      <c r="D6" s="3064" t="s">
        <v>1210</v>
      </c>
      <c r="E6" s="3064" t="s">
        <v>1210</v>
      </c>
      <c r="F6" s="3074">
        <v>3.16</v>
      </c>
      <c r="G6" s="3074">
        <v>0.1</v>
      </c>
      <c r="H6" s="3074" t="s">
        <v>1210</v>
      </c>
      <c r="I6" s="3074" t="s">
        <v>1210</v>
      </c>
      <c r="J6" s="3064">
        <v>0</v>
      </c>
      <c r="K6" s="3064">
        <v>100</v>
      </c>
      <c r="L6" s="3061" t="s">
        <v>5971</v>
      </c>
      <c r="M6" s="3064"/>
      <c r="N6" s="3064"/>
      <c r="O6" s="3065"/>
    </row>
    <row r="7" spans="2:15" s="1057" customFormat="1" ht="18" x14ac:dyDescent="0.25">
      <c r="B7" s="3073" t="s">
        <v>4229</v>
      </c>
      <c r="C7" s="3063" t="s">
        <v>4230</v>
      </c>
      <c r="D7" s="3064">
        <v>20.95</v>
      </c>
      <c r="E7" s="3064">
        <v>18.84</v>
      </c>
      <c r="F7" s="3074" t="s">
        <v>1210</v>
      </c>
      <c r="G7" s="3074" t="s">
        <v>1210</v>
      </c>
      <c r="H7" s="3074">
        <v>97</v>
      </c>
      <c r="I7" s="3074">
        <v>5.22</v>
      </c>
      <c r="J7" s="3064">
        <v>0</v>
      </c>
      <c r="K7" s="3064">
        <v>100</v>
      </c>
      <c r="L7" s="3061" t="s">
        <v>5971</v>
      </c>
      <c r="M7" s="3064"/>
      <c r="N7" s="3064"/>
      <c r="O7" s="3065"/>
    </row>
    <row r="8" spans="2:15" s="1057" customFormat="1" ht="18" x14ac:dyDescent="0.25">
      <c r="B8" s="3073" t="s">
        <v>4231</v>
      </c>
      <c r="C8" s="3063" t="s">
        <v>4232</v>
      </c>
      <c r="D8" s="3064" t="s">
        <v>1210</v>
      </c>
      <c r="E8" s="3064" t="s">
        <v>1210</v>
      </c>
      <c r="F8" s="3074" t="s">
        <v>1210</v>
      </c>
      <c r="G8" s="3066">
        <v>0.04</v>
      </c>
      <c r="H8" s="3066" t="s">
        <v>1210</v>
      </c>
      <c r="I8" s="3066" t="s">
        <v>1210</v>
      </c>
      <c r="J8" s="3064">
        <v>0</v>
      </c>
      <c r="K8" s="3064">
        <v>100</v>
      </c>
      <c r="L8" s="3061" t="s">
        <v>5971</v>
      </c>
      <c r="M8" s="3064"/>
      <c r="N8" s="3064"/>
      <c r="O8" s="3065"/>
    </row>
    <row r="9" spans="2:15" s="1057" customFormat="1" ht="18" x14ac:dyDescent="0.25">
      <c r="B9" s="3073" t="s">
        <v>4233</v>
      </c>
      <c r="C9" s="3063" t="s">
        <v>4234</v>
      </c>
      <c r="D9" s="3064">
        <v>79.010000000000005</v>
      </c>
      <c r="E9" s="3064">
        <v>79.62</v>
      </c>
      <c r="F9" s="3074">
        <v>94.5</v>
      </c>
      <c r="G9" s="3066">
        <v>0.03</v>
      </c>
      <c r="H9" s="3066">
        <v>3</v>
      </c>
      <c r="I9" s="3066">
        <v>92.17</v>
      </c>
      <c r="J9" s="3064">
        <v>0</v>
      </c>
      <c r="K9" s="3064">
        <v>100</v>
      </c>
      <c r="L9" s="3061" t="s">
        <v>5971</v>
      </c>
      <c r="M9" s="3064"/>
      <c r="N9" s="3064"/>
      <c r="O9" s="3065"/>
    </row>
    <row r="10" spans="2:15" s="1057" customFormat="1" ht="18.75" thickBot="1" x14ac:dyDescent="0.3">
      <c r="B10" s="3075" t="s">
        <v>4235</v>
      </c>
      <c r="C10" s="3067" t="s">
        <v>4236</v>
      </c>
      <c r="D10" s="3052" t="s">
        <v>1210</v>
      </c>
      <c r="E10" s="3052" t="s">
        <v>1210</v>
      </c>
      <c r="F10" s="3076" t="s">
        <v>1210</v>
      </c>
      <c r="G10" s="3076">
        <v>0.13</v>
      </c>
      <c r="H10" s="3076" t="s">
        <v>1210</v>
      </c>
      <c r="I10" s="3076" t="s">
        <v>1210</v>
      </c>
      <c r="J10" s="3052">
        <v>0</v>
      </c>
      <c r="K10" s="3052">
        <v>100</v>
      </c>
      <c r="L10" s="3052" t="s">
        <v>5971</v>
      </c>
      <c r="M10" s="3052"/>
      <c r="N10" s="3052"/>
      <c r="O10" s="3068"/>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Munka3"/>
  <dimension ref="A1:DI298"/>
  <sheetViews>
    <sheetView showGridLines="0" zoomScaleNormal="100" workbookViewId="0">
      <pane xSplit="4" ySplit="3" topLeftCell="CV4" activePane="bottomRight" state="frozen"/>
      <selection activeCell="C6" sqref="C6"/>
      <selection pane="topRight" activeCell="C6" sqref="C6"/>
      <selection pane="bottomLeft" activeCell="C6" sqref="C6"/>
      <selection pane="bottomRight" activeCell="A2" sqref="A2"/>
    </sheetView>
  </sheetViews>
  <sheetFormatPr baseColWidth="10" defaultColWidth="9.140625" defaultRowHeight="15" x14ac:dyDescent="0.25"/>
  <cols>
    <col min="1" max="1" width="4.140625" bestFit="1" customWidth="1"/>
    <col min="2" max="2" width="5.28515625" style="68" bestFit="1" customWidth="1"/>
    <col min="3" max="3" width="7.5703125" style="68" bestFit="1" customWidth="1"/>
    <col min="4" max="4" width="54.7109375" bestFit="1" customWidth="1"/>
    <col min="5" max="5" width="36.28515625" bestFit="1" customWidth="1"/>
    <col min="6" max="6" width="17.7109375" bestFit="1" customWidth="1"/>
    <col min="7" max="7" width="13.140625" bestFit="1" customWidth="1"/>
    <col min="8" max="9" width="7" bestFit="1" customWidth="1"/>
    <col min="10" max="10" width="10.140625" customWidth="1"/>
    <col min="11" max="13" width="7" bestFit="1" customWidth="1"/>
    <col min="14" max="14" width="23.7109375" bestFit="1" customWidth="1"/>
    <col min="15" max="15" width="24.140625" bestFit="1" customWidth="1"/>
    <col min="16" max="17" width="6" bestFit="1" customWidth="1"/>
    <col min="18" max="18" width="16.140625" bestFit="1" customWidth="1"/>
    <col min="19" max="19" width="17.28515625" bestFit="1" customWidth="1"/>
    <col min="20" max="20" width="17.7109375" bestFit="1" customWidth="1"/>
    <col min="21" max="21" width="15.7109375" bestFit="1" customWidth="1"/>
    <col min="22" max="23" width="16" bestFit="1" customWidth="1"/>
    <col min="24" max="25" width="17.7109375" bestFit="1" customWidth="1"/>
    <col min="26" max="26" width="16.5703125" bestFit="1" customWidth="1"/>
    <col min="27" max="27" width="16.7109375" bestFit="1" customWidth="1"/>
    <col min="28" max="28" width="15.7109375" bestFit="1" customWidth="1"/>
    <col min="29" max="29" width="17.28515625" bestFit="1" customWidth="1"/>
    <col min="30" max="30" width="48.7109375" bestFit="1" customWidth="1"/>
    <col min="31" max="31" width="54.5703125" bestFit="1" customWidth="1"/>
    <col min="32" max="32" width="53.28515625" bestFit="1" customWidth="1"/>
    <col min="33" max="33" width="100.140625" bestFit="1" customWidth="1"/>
    <col min="34" max="34" width="12" bestFit="1" customWidth="1"/>
    <col min="35" max="35" width="12.7109375" bestFit="1" customWidth="1"/>
    <col min="36" max="36" width="9.7109375" bestFit="1" customWidth="1"/>
    <col min="37" max="37" width="7.28515625" bestFit="1" customWidth="1"/>
    <col min="38" max="38" width="95.7109375" bestFit="1" customWidth="1"/>
    <col min="39" max="39" width="14.7109375" bestFit="1" customWidth="1"/>
    <col min="40" max="40" width="12" bestFit="1" customWidth="1"/>
    <col min="41" max="41" width="12.7109375" bestFit="1" customWidth="1"/>
    <col min="42" max="42" width="9.7109375" bestFit="1" customWidth="1"/>
    <col min="43" max="43" width="7.28515625" bestFit="1" customWidth="1"/>
    <col min="44" max="44" width="41.28515625" bestFit="1" customWidth="1"/>
    <col min="45" max="45" width="15.140625" bestFit="1" customWidth="1"/>
    <col min="46" max="46" width="23.28515625" bestFit="1" customWidth="1"/>
    <col min="47" max="47" width="64.140625" bestFit="1" customWidth="1"/>
    <col min="48" max="48" width="104.7109375" bestFit="1" customWidth="1"/>
    <col min="49" max="49" width="75" bestFit="1" customWidth="1"/>
    <col min="50" max="50" width="127.5703125" bestFit="1" customWidth="1"/>
    <col min="51" max="51" width="37.28515625" bestFit="1" customWidth="1"/>
    <col min="52" max="52" width="38.28515625" bestFit="1" customWidth="1"/>
    <col min="53" max="53" width="21.5703125" bestFit="1" customWidth="1"/>
    <col min="54" max="54" width="20.5703125" bestFit="1" customWidth="1"/>
    <col min="55" max="55" width="46.28515625" bestFit="1" customWidth="1"/>
    <col min="56" max="56" width="18.7109375" bestFit="1" customWidth="1"/>
    <col min="57" max="57" width="14.28515625" bestFit="1" customWidth="1"/>
    <col min="58" max="58" width="22" bestFit="1" customWidth="1"/>
    <col min="59" max="59" width="21.7109375" bestFit="1" customWidth="1"/>
    <col min="60" max="60" width="18.140625" bestFit="1" customWidth="1"/>
    <col min="61" max="61" width="21.28515625" bestFit="1" customWidth="1"/>
    <col min="62" max="62" width="20.7109375" bestFit="1" customWidth="1"/>
    <col min="63" max="63" width="28.7109375" bestFit="1" customWidth="1"/>
    <col min="64" max="64" width="28.28515625" bestFit="1" customWidth="1"/>
    <col min="65" max="65" width="21.7109375" bestFit="1" customWidth="1"/>
    <col min="66" max="66" width="21.5703125" bestFit="1" customWidth="1"/>
    <col min="67" max="67" width="18.28515625" bestFit="1" customWidth="1"/>
    <col min="68" max="68" width="21.140625" bestFit="1" customWidth="1"/>
    <col min="69" max="69" width="20.7109375" bestFit="1" customWidth="1"/>
    <col min="70" max="70" width="29" bestFit="1" customWidth="1"/>
    <col min="71" max="71" width="28.7109375" bestFit="1" customWidth="1"/>
    <col min="72" max="72" width="13.140625" bestFit="1" customWidth="1"/>
    <col min="73" max="73" width="13.5703125" bestFit="1" customWidth="1"/>
    <col min="74" max="74" width="11.7109375" bestFit="1" customWidth="1"/>
    <col min="75" max="75" width="12" bestFit="1" customWidth="1"/>
    <col min="76" max="76" width="20.28515625" bestFit="1" customWidth="1"/>
    <col min="77" max="77" width="35.7109375" bestFit="1" customWidth="1"/>
    <col min="78" max="78" width="5" bestFit="1" customWidth="1"/>
    <col min="79" max="79" width="5.140625" bestFit="1" customWidth="1"/>
    <col min="80" max="80" width="4.7109375" bestFit="1" customWidth="1"/>
    <col min="81" max="81" width="5" bestFit="1" customWidth="1"/>
    <col min="82" max="82" width="2.7109375" bestFit="1" customWidth="1"/>
    <col min="83" max="83" width="6.140625" bestFit="1" customWidth="1"/>
    <col min="84" max="84" width="8.28515625" bestFit="1" customWidth="1"/>
    <col min="85" max="85" width="4.28515625" bestFit="1" customWidth="1"/>
    <col min="86" max="86" width="6" bestFit="1" customWidth="1"/>
    <col min="87" max="88" width="3.7109375" bestFit="1" customWidth="1"/>
    <col min="89" max="89" width="4.7109375" bestFit="1" customWidth="1"/>
    <col min="90" max="90" width="12.7109375" bestFit="1" customWidth="1"/>
    <col min="91" max="91" width="12" bestFit="1" customWidth="1"/>
    <col min="92" max="92" width="7" bestFit="1" customWidth="1"/>
    <col min="93" max="93" width="10" bestFit="1" customWidth="1"/>
    <col min="94" max="94" width="6.28515625" bestFit="1" customWidth="1"/>
    <col min="95" max="95" width="7.140625" bestFit="1" customWidth="1"/>
    <col min="96" max="96" width="7.28515625" bestFit="1" customWidth="1"/>
    <col min="97" max="97" width="12.7109375" bestFit="1" customWidth="1"/>
    <col min="98" max="98" width="12" bestFit="1" customWidth="1"/>
    <col min="99" max="99" width="7.5703125" bestFit="1" customWidth="1"/>
    <col min="100" max="100" width="153.7109375" style="66" customWidth="1"/>
    <col min="101" max="101" width="9.28515625" style="1154" bestFit="1" customWidth="1"/>
    <col min="102" max="102" width="25" style="4" bestFit="1" customWidth="1"/>
    <col min="103" max="103" width="18.28515625" style="4" bestFit="1" customWidth="1"/>
    <col min="104" max="104" width="7.7109375" style="76" customWidth="1"/>
    <col min="105" max="105" width="12.5703125" bestFit="1" customWidth="1"/>
    <col min="106" max="109" width="9.28515625" bestFit="1" customWidth="1"/>
  </cols>
  <sheetData>
    <row r="1" spans="1:105" s="46" customFormat="1" ht="54" customHeight="1" thickBot="1" x14ac:dyDescent="0.4">
      <c r="A1" s="47"/>
      <c r="B1" s="94"/>
      <c r="C1" s="94"/>
      <c r="BE1" s="71"/>
      <c r="BF1" s="71"/>
      <c r="BH1" s="71"/>
      <c r="BI1" s="71"/>
      <c r="BJ1" s="71"/>
      <c r="BK1" s="71"/>
      <c r="BL1" s="71"/>
      <c r="BM1" s="71"/>
      <c r="BO1" s="71"/>
      <c r="BP1" s="71"/>
      <c r="BQ1" s="71"/>
      <c r="BR1" s="71"/>
      <c r="BS1" s="71"/>
      <c r="BT1" s="71"/>
      <c r="BU1" s="71"/>
      <c r="BV1" s="71"/>
      <c r="BW1" s="71"/>
      <c r="BX1" s="71"/>
      <c r="BY1" s="71"/>
      <c r="BZ1" s="71"/>
      <c r="CA1" s="71"/>
      <c r="CB1" s="71"/>
      <c r="CC1" s="71"/>
      <c r="CD1" s="71"/>
      <c r="CE1" s="71"/>
      <c r="CF1" s="71"/>
      <c r="CG1" s="71"/>
      <c r="CH1" s="71"/>
      <c r="CI1" s="71"/>
      <c r="CJ1" s="71"/>
      <c r="CK1" s="71"/>
      <c r="CL1" s="71"/>
      <c r="CM1" s="71"/>
      <c r="CN1" s="71"/>
      <c r="CO1" s="71"/>
      <c r="CP1" s="71"/>
      <c r="CQ1" s="71"/>
      <c r="CR1" s="71"/>
      <c r="CS1" s="71"/>
      <c r="CT1" s="71"/>
      <c r="CU1" s="71"/>
      <c r="CV1" s="429"/>
      <c r="CW1" s="1152"/>
      <c r="CX1" s="129"/>
      <c r="CY1" s="129"/>
      <c r="CZ1" s="75"/>
    </row>
    <row r="2" spans="1:105" ht="18.75" customHeight="1" thickBot="1" x14ac:dyDescent="0.3">
      <c r="D2" s="1285" t="s">
        <v>128</v>
      </c>
      <c r="E2" s="639"/>
      <c r="F2" s="639"/>
      <c r="G2" s="639"/>
      <c r="H2" s="639"/>
      <c r="I2" s="639"/>
      <c r="J2" s="639"/>
      <c r="K2" s="639"/>
      <c r="L2" s="639"/>
      <c r="M2" s="639"/>
      <c r="N2" s="639"/>
      <c r="O2" s="639"/>
      <c r="P2" s="639"/>
      <c r="Q2" s="639"/>
      <c r="R2" s="639"/>
      <c r="S2" s="639"/>
      <c r="T2" s="639"/>
      <c r="U2" s="639"/>
      <c r="V2" s="639"/>
      <c r="W2" s="639"/>
      <c r="X2" s="639"/>
      <c r="Y2" s="639"/>
      <c r="Z2" s="639"/>
      <c r="AA2" s="639"/>
      <c r="AB2" s="639"/>
      <c r="AC2" s="639"/>
      <c r="AD2" s="639"/>
      <c r="AE2" s="639"/>
      <c r="AF2" s="639"/>
      <c r="AG2" s="639"/>
      <c r="AH2" s="639"/>
      <c r="AI2" s="639"/>
      <c r="AJ2" s="639"/>
      <c r="AK2" s="639"/>
      <c r="AL2" s="639"/>
      <c r="AM2" s="639"/>
      <c r="AN2" s="639"/>
      <c r="AO2" s="639"/>
      <c r="AP2" s="639"/>
      <c r="AQ2" s="639"/>
      <c r="AR2" s="639"/>
      <c r="AS2" s="639"/>
      <c r="AT2" s="639"/>
      <c r="AU2" s="639"/>
      <c r="AV2" s="639"/>
      <c r="AW2" s="639"/>
      <c r="AX2" s="639"/>
      <c r="AY2" s="639"/>
      <c r="AZ2" s="639"/>
      <c r="BA2" s="639"/>
      <c r="BB2" s="639"/>
      <c r="BC2" s="639"/>
      <c r="BD2" s="639"/>
      <c r="BE2" s="639"/>
      <c r="BF2" s="639"/>
      <c r="BG2" s="639"/>
      <c r="BH2" s="639"/>
      <c r="BI2" s="639"/>
      <c r="BJ2" s="639"/>
      <c r="BK2" s="639"/>
      <c r="BL2" s="639"/>
      <c r="BM2" s="639"/>
      <c r="BN2" s="639"/>
      <c r="BO2" s="639"/>
      <c r="BP2" s="639"/>
      <c r="BQ2" s="639"/>
      <c r="BR2" s="639"/>
      <c r="BS2" s="639"/>
      <c r="BT2" s="639"/>
      <c r="BU2" s="639"/>
      <c r="BV2" s="639"/>
      <c r="BW2" s="639"/>
      <c r="BX2" s="639"/>
      <c r="BY2" s="639"/>
      <c r="BZ2" s="639"/>
      <c r="CA2" s="639"/>
      <c r="CB2" s="639"/>
      <c r="CC2" s="639"/>
      <c r="CD2" s="639"/>
      <c r="CE2" s="639"/>
      <c r="CF2" s="639"/>
      <c r="CG2" s="639"/>
      <c r="CH2" s="639"/>
      <c r="CI2" s="639"/>
      <c r="CJ2" s="639"/>
      <c r="CK2" s="639"/>
      <c r="CL2" s="639"/>
      <c r="CM2" s="639"/>
      <c r="CN2" s="639"/>
      <c r="CO2" s="639"/>
      <c r="CP2" s="639"/>
      <c r="CQ2" s="639"/>
      <c r="CR2" s="639"/>
      <c r="CS2" s="639"/>
      <c r="CT2" s="639"/>
      <c r="CU2" s="639"/>
      <c r="CV2" s="140"/>
      <c r="CW2" s="1153"/>
      <c r="CX2" s="140"/>
      <c r="CY2" s="140"/>
    </row>
    <row r="3" spans="1:105" s="1" customFormat="1" ht="38.25" thickBot="1" x14ac:dyDescent="0.3">
      <c r="B3" s="2996" t="s">
        <v>93</v>
      </c>
      <c r="C3" s="2997" t="s">
        <v>0</v>
      </c>
      <c r="D3" s="2998" t="s">
        <v>1</v>
      </c>
      <c r="E3" s="2986" t="s">
        <v>803</v>
      </c>
      <c r="F3" s="2986" t="s">
        <v>804</v>
      </c>
      <c r="G3" s="2986" t="s">
        <v>805</v>
      </c>
      <c r="H3" s="2986" t="s">
        <v>806</v>
      </c>
      <c r="I3" s="2986" t="s">
        <v>807</v>
      </c>
      <c r="J3" s="2986" t="s">
        <v>5899</v>
      </c>
      <c r="K3" s="2986" t="s">
        <v>808</v>
      </c>
      <c r="L3" s="2986" t="s">
        <v>809</v>
      </c>
      <c r="M3" s="2986" t="s">
        <v>810</v>
      </c>
      <c r="N3" s="2986" t="s">
        <v>5816</v>
      </c>
      <c r="O3" s="2986" t="s">
        <v>5817</v>
      </c>
      <c r="P3" s="2986" t="s">
        <v>811</v>
      </c>
      <c r="Q3" s="2986" t="s">
        <v>1728</v>
      </c>
      <c r="R3" s="2986" t="s">
        <v>812</v>
      </c>
      <c r="S3" s="2986" t="s">
        <v>4751</v>
      </c>
      <c r="T3" s="2986" t="s">
        <v>813</v>
      </c>
      <c r="U3" s="2986" t="s">
        <v>2202</v>
      </c>
      <c r="V3" s="2986" t="s">
        <v>2201</v>
      </c>
      <c r="W3" s="2986" t="s">
        <v>2221</v>
      </c>
      <c r="X3" s="2986" t="s">
        <v>814</v>
      </c>
      <c r="Y3" s="2986" t="s">
        <v>815</v>
      </c>
      <c r="Z3" s="2999" t="s">
        <v>3216</v>
      </c>
      <c r="AA3" s="2999" t="s">
        <v>3218</v>
      </c>
      <c r="AB3" s="2999" t="s">
        <v>3220</v>
      </c>
      <c r="AC3" s="2986" t="s">
        <v>5260</v>
      </c>
      <c r="AD3" s="2986" t="s">
        <v>816</v>
      </c>
      <c r="AE3" s="2986" t="s">
        <v>2199</v>
      </c>
      <c r="AF3" s="2986" t="s">
        <v>2200</v>
      </c>
      <c r="AG3" s="2986" t="s">
        <v>817</v>
      </c>
      <c r="AH3" s="2986" t="s">
        <v>818</v>
      </c>
      <c r="AI3" s="2986" t="s">
        <v>820</v>
      </c>
      <c r="AJ3" s="2986" t="s">
        <v>5900</v>
      </c>
      <c r="AK3" s="2986" t="s">
        <v>821</v>
      </c>
      <c r="AL3" s="2986" t="s">
        <v>822</v>
      </c>
      <c r="AM3" s="2986" t="s">
        <v>2108</v>
      </c>
      <c r="AN3" s="2986" t="s">
        <v>823</v>
      </c>
      <c r="AO3" s="2986" t="s">
        <v>824</v>
      </c>
      <c r="AP3" s="2986" t="s">
        <v>5901</v>
      </c>
      <c r="AQ3" s="2986" t="s">
        <v>825</v>
      </c>
      <c r="AR3" s="2986" t="s">
        <v>826</v>
      </c>
      <c r="AS3" s="2986" t="s">
        <v>828</v>
      </c>
      <c r="AT3" s="2986" t="s">
        <v>829</v>
      </c>
      <c r="AU3" s="2986" t="s">
        <v>830</v>
      </c>
      <c r="AV3" s="2986" t="s">
        <v>831</v>
      </c>
      <c r="AW3" s="2986" t="s">
        <v>1158</v>
      </c>
      <c r="AX3" s="2986" t="s">
        <v>1159</v>
      </c>
      <c r="AY3" s="2986" t="s">
        <v>997</v>
      </c>
      <c r="AZ3" s="2986" t="s">
        <v>1633</v>
      </c>
      <c r="BA3" s="2986" t="s">
        <v>1043</v>
      </c>
      <c r="BB3" s="2999" t="s">
        <v>3222</v>
      </c>
      <c r="BC3" s="2999" t="s">
        <v>3225</v>
      </c>
      <c r="BD3" s="2999" t="s">
        <v>3227</v>
      </c>
      <c r="BE3" s="2986" t="s">
        <v>1597</v>
      </c>
      <c r="BF3" s="2986" t="s">
        <v>1634</v>
      </c>
      <c r="BG3" s="2986" t="s">
        <v>1635</v>
      </c>
      <c r="BH3" s="2986" t="s">
        <v>1636</v>
      </c>
      <c r="BI3" s="2986" t="s">
        <v>1637</v>
      </c>
      <c r="BJ3" s="2986" t="s">
        <v>1638</v>
      </c>
      <c r="BK3" s="2986" t="s">
        <v>1639</v>
      </c>
      <c r="BL3" s="2986" t="s">
        <v>1640</v>
      </c>
      <c r="BM3" s="2986" t="s">
        <v>4291</v>
      </c>
      <c r="BN3" s="2986" t="s">
        <v>4292</v>
      </c>
      <c r="BO3" s="2986" t="s">
        <v>4293</v>
      </c>
      <c r="BP3" s="2986" t="s">
        <v>4294</v>
      </c>
      <c r="BQ3" s="2986" t="s">
        <v>4295</v>
      </c>
      <c r="BR3" s="2986" t="s">
        <v>4296</v>
      </c>
      <c r="BS3" s="2986" t="s">
        <v>4297</v>
      </c>
      <c r="BT3" s="3000" t="s">
        <v>999</v>
      </c>
      <c r="BU3" s="3000" t="s">
        <v>1131</v>
      </c>
      <c r="BV3" s="3000" t="s">
        <v>4299</v>
      </c>
      <c r="BW3" s="3000" t="s">
        <v>354</v>
      </c>
      <c r="BX3" s="2986" t="s">
        <v>1113</v>
      </c>
      <c r="BY3" s="2999" t="s">
        <v>3229</v>
      </c>
      <c r="BZ3" s="2999" t="s">
        <v>5504</v>
      </c>
      <c r="CA3" s="2999" t="s">
        <v>5508</v>
      </c>
      <c r="CB3" s="2999" t="s">
        <v>5510</v>
      </c>
      <c r="CC3" s="2999" t="s">
        <v>5512</v>
      </c>
      <c r="CD3" s="2986" t="s">
        <v>5372</v>
      </c>
      <c r="CE3" s="3000" t="s">
        <v>4697</v>
      </c>
      <c r="CF3" s="3000" t="s">
        <v>5127</v>
      </c>
      <c r="CG3" s="2986" t="s">
        <v>1641</v>
      </c>
      <c r="CH3" s="2986" t="s">
        <v>1642</v>
      </c>
      <c r="CI3" s="2986" t="s">
        <v>1643</v>
      </c>
      <c r="CJ3" s="2986" t="s">
        <v>1644</v>
      </c>
      <c r="CK3" s="2986" t="s">
        <v>1050</v>
      </c>
      <c r="CL3" s="2986" t="s">
        <v>1645</v>
      </c>
      <c r="CM3" s="2986" t="s">
        <v>3231</v>
      </c>
      <c r="CN3" s="2986" t="s">
        <v>3649</v>
      </c>
      <c r="CO3" s="2986" t="s">
        <v>3650</v>
      </c>
      <c r="CP3" s="2986" t="s">
        <v>3651</v>
      </c>
      <c r="CQ3" s="2986" t="s">
        <v>3652</v>
      </c>
      <c r="CR3" s="2986" t="s">
        <v>3653</v>
      </c>
      <c r="CS3" s="2986" t="s">
        <v>3654</v>
      </c>
      <c r="CT3" s="2986" t="s">
        <v>3655</v>
      </c>
      <c r="CU3" s="2986" t="s">
        <v>3233</v>
      </c>
      <c r="CV3" s="2998" t="s">
        <v>1219</v>
      </c>
      <c r="CW3" s="3001" t="s">
        <v>2</v>
      </c>
      <c r="CX3" s="3001" t="s">
        <v>9</v>
      </c>
      <c r="CY3" s="3002" t="s">
        <v>116</v>
      </c>
      <c r="CZ3" s="141"/>
    </row>
    <row r="4" spans="1:105" ht="18" x14ac:dyDescent="0.25">
      <c r="B4" s="2989">
        <v>1</v>
      </c>
      <c r="C4" s="2990" t="s">
        <v>223</v>
      </c>
      <c r="D4" s="2991" t="s">
        <v>1646</v>
      </c>
      <c r="E4" s="2992" t="s">
        <v>1730</v>
      </c>
      <c r="F4" s="2993"/>
      <c r="G4" s="2993"/>
      <c r="H4" s="2993"/>
      <c r="I4" s="2993"/>
      <c r="J4" s="2993"/>
      <c r="K4" s="2993"/>
      <c r="L4" s="2993"/>
      <c r="M4" s="2993"/>
      <c r="N4" s="2993"/>
      <c r="O4" s="2993"/>
      <c r="P4" s="2993"/>
      <c r="Q4" s="2993"/>
      <c r="R4" s="2993">
        <v>1</v>
      </c>
      <c r="S4" s="2993"/>
      <c r="T4" s="2993"/>
      <c r="U4" s="2993"/>
      <c r="V4" s="2993"/>
      <c r="W4" s="2993"/>
      <c r="X4" s="2993"/>
      <c r="Y4" s="2993"/>
      <c r="Z4" s="2993"/>
      <c r="AA4" s="2993"/>
      <c r="AB4" s="2993"/>
      <c r="AC4" s="2993"/>
      <c r="AD4" s="2992" t="s">
        <v>1647</v>
      </c>
      <c r="AE4" s="2993"/>
      <c r="AF4" s="2993"/>
      <c r="AG4" s="2993"/>
      <c r="AH4" s="2993"/>
      <c r="AI4" s="2993"/>
      <c r="AJ4" s="2993"/>
      <c r="AK4" s="2993"/>
      <c r="AL4" s="2992" t="s">
        <v>1648</v>
      </c>
      <c r="AM4" s="2993"/>
      <c r="AN4" s="2993"/>
      <c r="AO4" s="2993"/>
      <c r="AP4" s="2993"/>
      <c r="AQ4" s="2993"/>
      <c r="AR4" s="2992" t="s">
        <v>1736</v>
      </c>
      <c r="AS4" s="2992"/>
      <c r="AT4" s="2992"/>
      <c r="AU4" s="2992" t="s">
        <v>1962</v>
      </c>
      <c r="AV4" s="2992" t="s">
        <v>2454</v>
      </c>
      <c r="AW4" s="2992" t="s">
        <v>4179</v>
      </c>
      <c r="AX4" s="2992" t="s">
        <v>4180</v>
      </c>
      <c r="AY4" s="2992" t="s">
        <v>4181</v>
      </c>
      <c r="AZ4" s="2992" t="s">
        <v>4182</v>
      </c>
      <c r="BA4" s="2992"/>
      <c r="BB4" s="2992"/>
      <c r="BC4" s="2992" t="s">
        <v>3235</v>
      </c>
      <c r="BD4" s="2992"/>
      <c r="BE4" s="2992"/>
      <c r="BF4" s="2992"/>
      <c r="BG4" s="2992"/>
      <c r="BH4" s="2992"/>
      <c r="BI4" s="2992"/>
      <c r="BJ4" s="2992"/>
      <c r="BK4" s="2992"/>
      <c r="BL4" s="2992"/>
      <c r="BM4" s="2992"/>
      <c r="BN4" s="2992"/>
      <c r="BO4" s="2992"/>
      <c r="BP4" s="2992"/>
      <c r="BQ4" s="2992"/>
      <c r="BR4" s="2992"/>
      <c r="BS4" s="2992"/>
      <c r="BT4" s="2992"/>
      <c r="BU4" s="2992"/>
      <c r="BV4" s="2992"/>
      <c r="BW4" s="2992"/>
      <c r="BX4" s="2992"/>
      <c r="BY4" s="2992"/>
      <c r="BZ4" s="2992"/>
      <c r="CA4" s="2992"/>
      <c r="CB4" s="2992"/>
      <c r="CC4" s="2992"/>
      <c r="CD4" s="2992"/>
      <c r="CE4" s="2992"/>
      <c r="CF4" s="2992"/>
      <c r="CG4" s="2992"/>
      <c r="CH4" s="2992"/>
      <c r="CI4" s="2992"/>
      <c r="CJ4" s="2992"/>
      <c r="CK4" s="2992"/>
      <c r="CL4" s="2992"/>
      <c r="CM4" s="2992"/>
      <c r="CN4" s="2992"/>
      <c r="CO4" s="2992"/>
      <c r="CP4" s="2992"/>
      <c r="CQ4" s="2992"/>
      <c r="CR4" s="2992"/>
      <c r="CS4" s="2992"/>
      <c r="CT4" s="2992"/>
      <c r="CU4" s="2992"/>
      <c r="CV4" s="2994" t="s">
        <v>4191</v>
      </c>
      <c r="CW4" s="2993" t="s">
        <v>2007</v>
      </c>
      <c r="CX4" s="2991"/>
      <c r="CY4" s="2995"/>
    </row>
    <row r="5" spans="1:105" ht="18" x14ac:dyDescent="0.25">
      <c r="B5" s="2484">
        <v>2</v>
      </c>
      <c r="C5" s="2398" t="s">
        <v>224</v>
      </c>
      <c r="D5" s="2399" t="s">
        <v>2226</v>
      </c>
      <c r="E5" s="2400" t="s">
        <v>1731</v>
      </c>
      <c r="F5" s="2351"/>
      <c r="G5" s="2351"/>
      <c r="H5" s="2351"/>
      <c r="I5" s="2351"/>
      <c r="J5" s="2351"/>
      <c r="K5" s="2351"/>
      <c r="L5" s="2351"/>
      <c r="M5" s="2351"/>
      <c r="N5" s="2351"/>
      <c r="O5" s="2351"/>
      <c r="P5" s="2351"/>
      <c r="Q5" s="2351"/>
      <c r="R5" s="2351">
        <v>1</v>
      </c>
      <c r="S5" s="2351"/>
      <c r="T5" s="2351"/>
      <c r="U5" s="2351"/>
      <c r="V5" s="2351"/>
      <c r="W5" s="2351"/>
      <c r="X5" s="2351"/>
      <c r="Y5" s="2351"/>
      <c r="Z5" s="2351"/>
      <c r="AA5" s="2351"/>
      <c r="AB5" s="2351"/>
      <c r="AC5" s="2351"/>
      <c r="AD5" s="2400" t="s">
        <v>1647</v>
      </c>
      <c r="AE5" s="2400" t="s">
        <v>2230</v>
      </c>
      <c r="AF5" s="2400"/>
      <c r="AG5" s="2400" t="s">
        <v>2231</v>
      </c>
      <c r="AH5" s="2351"/>
      <c r="AI5" s="2351"/>
      <c r="AJ5" s="2351"/>
      <c r="AK5" s="2351"/>
      <c r="AL5" s="2400" t="s">
        <v>1648</v>
      </c>
      <c r="AM5" s="2351"/>
      <c r="AN5" s="2351"/>
      <c r="AO5" s="2351"/>
      <c r="AP5" s="2351"/>
      <c r="AQ5" s="2351"/>
      <c r="AR5" s="2400"/>
      <c r="AS5" s="2400"/>
      <c r="AT5" s="2400"/>
      <c r="AU5" s="2400" t="s">
        <v>1963</v>
      </c>
      <c r="AV5" s="2400" t="s">
        <v>2454</v>
      </c>
      <c r="AW5" s="2400" t="s">
        <v>4179</v>
      </c>
      <c r="AX5" s="2400" t="s">
        <v>4180</v>
      </c>
      <c r="AY5" s="2400" t="s">
        <v>4181</v>
      </c>
      <c r="AZ5" s="2400" t="s">
        <v>4182</v>
      </c>
      <c r="BA5" s="2400"/>
      <c r="BB5" s="2400"/>
      <c r="BC5" s="2400" t="s">
        <v>3235</v>
      </c>
      <c r="BD5" s="2400"/>
      <c r="BE5" s="2400"/>
      <c r="BF5" s="2400"/>
      <c r="BG5" s="2400"/>
      <c r="BH5" s="2400"/>
      <c r="BI5" s="2400"/>
      <c r="BJ5" s="2400"/>
      <c r="BK5" s="2400"/>
      <c r="BL5" s="2400"/>
      <c r="BM5" s="2400"/>
      <c r="BN5" s="2400"/>
      <c r="BO5" s="2400"/>
      <c r="BP5" s="2400"/>
      <c r="BQ5" s="2400"/>
      <c r="BR5" s="2400"/>
      <c r="BS5" s="2400"/>
      <c r="BT5" s="2400"/>
      <c r="BU5" s="2400"/>
      <c r="BV5" s="2400"/>
      <c r="BW5" s="2400"/>
      <c r="BX5" s="2400"/>
      <c r="BY5" s="2400"/>
      <c r="BZ5" s="2786"/>
      <c r="CA5" s="2786"/>
      <c r="CB5" s="2786"/>
      <c r="CC5" s="2786"/>
      <c r="CD5" s="2400"/>
      <c r="CE5" s="2400"/>
      <c r="CF5" s="2400"/>
      <c r="CG5" s="2400"/>
      <c r="CH5" s="2400"/>
      <c r="CI5" s="2400"/>
      <c r="CJ5" s="2400"/>
      <c r="CK5" s="2400"/>
      <c r="CL5" s="2400"/>
      <c r="CM5" s="2400"/>
      <c r="CN5" s="2400"/>
      <c r="CO5" s="2400"/>
      <c r="CP5" s="2400"/>
      <c r="CQ5" s="2400"/>
      <c r="CR5" s="2400"/>
      <c r="CS5" s="2400"/>
      <c r="CT5" s="2400"/>
      <c r="CU5" s="2400"/>
      <c r="CV5" s="2401" t="s">
        <v>6036</v>
      </c>
      <c r="CW5" s="2351" t="s">
        <v>2007</v>
      </c>
      <c r="CX5" s="2399"/>
      <c r="CY5" s="2485"/>
    </row>
    <row r="6" spans="1:105" ht="18" x14ac:dyDescent="0.25">
      <c r="B6" s="2484">
        <v>3</v>
      </c>
      <c r="C6" s="2398" t="s">
        <v>225</v>
      </c>
      <c r="D6" s="2399" t="s">
        <v>1649</v>
      </c>
      <c r="E6" s="2400" t="s">
        <v>1731</v>
      </c>
      <c r="F6" s="2351"/>
      <c r="G6" s="2351"/>
      <c r="H6" s="2351"/>
      <c r="I6" s="2351"/>
      <c r="J6" s="2351"/>
      <c r="K6" s="2351"/>
      <c r="L6" s="2351"/>
      <c r="M6" s="2351"/>
      <c r="N6" s="2351"/>
      <c r="O6" s="2351"/>
      <c r="P6" s="2351"/>
      <c r="Q6" s="2351"/>
      <c r="R6" s="2351">
        <v>1</v>
      </c>
      <c r="S6" s="2351"/>
      <c r="T6" s="2351"/>
      <c r="U6" s="2351"/>
      <c r="V6" s="2351"/>
      <c r="W6" s="2351"/>
      <c r="X6" s="2351"/>
      <c r="Y6" s="2351"/>
      <c r="Z6" s="2351"/>
      <c r="AA6" s="2351"/>
      <c r="AB6" s="2351"/>
      <c r="AC6" s="2351"/>
      <c r="AD6" s="2400" t="s">
        <v>1647</v>
      </c>
      <c r="AE6" s="2400" t="s">
        <v>2232</v>
      </c>
      <c r="AF6" s="2400" t="s">
        <v>2233</v>
      </c>
      <c r="AG6" s="2400"/>
      <c r="AH6" s="2351"/>
      <c r="AI6" s="2351"/>
      <c r="AJ6" s="2351"/>
      <c r="AK6" s="2351"/>
      <c r="AL6" s="2400" t="s">
        <v>1648</v>
      </c>
      <c r="AM6" s="2351"/>
      <c r="AN6" s="2351"/>
      <c r="AO6" s="2351"/>
      <c r="AP6" s="2351"/>
      <c r="AQ6" s="2351"/>
      <c r="AR6" s="2400"/>
      <c r="AS6" s="2400"/>
      <c r="AT6" s="2400"/>
      <c r="AU6" s="2400" t="s">
        <v>1963</v>
      </c>
      <c r="AV6" s="2400" t="s">
        <v>2454</v>
      </c>
      <c r="AW6" s="2400" t="s">
        <v>4179</v>
      </c>
      <c r="AX6" s="2400" t="s">
        <v>4180</v>
      </c>
      <c r="AY6" s="2400" t="s">
        <v>4181</v>
      </c>
      <c r="AZ6" s="2400" t="s">
        <v>4182</v>
      </c>
      <c r="BA6" s="2400"/>
      <c r="BB6" s="2400"/>
      <c r="BC6" s="2400" t="s">
        <v>3235</v>
      </c>
      <c r="BD6" s="2400"/>
      <c r="BE6" s="2400"/>
      <c r="BF6" s="2400"/>
      <c r="BG6" s="2400"/>
      <c r="BH6" s="2400"/>
      <c r="BI6" s="2400"/>
      <c r="BJ6" s="2400"/>
      <c r="BK6" s="2400"/>
      <c r="BL6" s="2400"/>
      <c r="BM6" s="2400"/>
      <c r="BN6" s="2400"/>
      <c r="BO6" s="2400"/>
      <c r="BP6" s="2400"/>
      <c r="BQ6" s="2400"/>
      <c r="BR6" s="2400"/>
      <c r="BS6" s="2400"/>
      <c r="BT6" s="2400"/>
      <c r="BU6" s="2400"/>
      <c r="BV6" s="2400"/>
      <c r="BW6" s="2400"/>
      <c r="BX6" s="2400"/>
      <c r="BY6" s="2400"/>
      <c r="BZ6" s="2786"/>
      <c r="CA6" s="2786"/>
      <c r="CB6" s="2786"/>
      <c r="CC6" s="2786"/>
      <c r="CD6" s="2400"/>
      <c r="CE6" s="2400"/>
      <c r="CF6" s="2400"/>
      <c r="CG6" s="2400"/>
      <c r="CH6" s="2400"/>
      <c r="CI6" s="2400"/>
      <c r="CJ6" s="2400"/>
      <c r="CK6" s="2400"/>
      <c r="CL6" s="2400"/>
      <c r="CM6" s="2400"/>
      <c r="CN6" s="2400"/>
      <c r="CO6" s="2400"/>
      <c r="CP6" s="2400"/>
      <c r="CQ6" s="2400"/>
      <c r="CR6" s="2400"/>
      <c r="CS6" s="2400"/>
      <c r="CT6" s="2400"/>
      <c r="CU6" s="2400"/>
      <c r="CV6" s="2401" t="s">
        <v>5972</v>
      </c>
      <c r="CW6" s="2351" t="s">
        <v>2007</v>
      </c>
      <c r="CX6" s="2399"/>
      <c r="CY6" s="2485"/>
    </row>
    <row r="7" spans="1:105" ht="18" x14ac:dyDescent="0.25">
      <c r="B7" s="2484">
        <v>4</v>
      </c>
      <c r="C7" s="2398" t="s">
        <v>226</v>
      </c>
      <c r="D7" s="2399" t="s">
        <v>1650</v>
      </c>
      <c r="E7" s="2351"/>
      <c r="F7" s="2400" t="s">
        <v>1732</v>
      </c>
      <c r="G7" s="2351"/>
      <c r="H7" s="2351"/>
      <c r="I7" s="2351"/>
      <c r="J7" s="2351"/>
      <c r="K7" s="2351"/>
      <c r="L7" s="2351"/>
      <c r="M7" s="2351"/>
      <c r="N7" s="2351"/>
      <c r="O7" s="2351"/>
      <c r="P7" s="2351"/>
      <c r="Q7" s="2351"/>
      <c r="R7" s="2351">
        <v>1</v>
      </c>
      <c r="S7" s="2351"/>
      <c r="T7" s="2351"/>
      <c r="U7" s="2351"/>
      <c r="V7" s="2351"/>
      <c r="W7" s="2351"/>
      <c r="X7" s="2351"/>
      <c r="Y7" s="2351"/>
      <c r="Z7" s="2351"/>
      <c r="AA7" s="2351"/>
      <c r="AB7" s="2351"/>
      <c r="AC7" s="2351"/>
      <c r="AD7" s="2400" t="s">
        <v>1647</v>
      </c>
      <c r="AE7" s="2400"/>
      <c r="AF7" s="2400"/>
      <c r="AG7" s="2351"/>
      <c r="AH7" s="2351"/>
      <c r="AI7" s="2351"/>
      <c r="AJ7" s="2351"/>
      <c r="AK7" s="2351"/>
      <c r="AL7" s="2400" t="s">
        <v>1648</v>
      </c>
      <c r="AM7" s="2351"/>
      <c r="AN7" s="2351"/>
      <c r="AO7" s="2351"/>
      <c r="AP7" s="2351"/>
      <c r="AQ7" s="2351"/>
      <c r="AR7" s="2400" t="s">
        <v>1737</v>
      </c>
      <c r="AS7" s="2400"/>
      <c r="AT7" s="2400"/>
      <c r="AU7" s="2400" t="s">
        <v>1964</v>
      </c>
      <c r="AV7" s="2400" t="s">
        <v>2454</v>
      </c>
      <c r="AW7" s="2400" t="s">
        <v>4179</v>
      </c>
      <c r="AX7" s="2400" t="s">
        <v>4180</v>
      </c>
      <c r="AY7" s="2400" t="s">
        <v>4181</v>
      </c>
      <c r="AZ7" s="2400" t="s">
        <v>4182</v>
      </c>
      <c r="BA7" s="2400"/>
      <c r="BB7" s="2400"/>
      <c r="BC7" s="2400" t="s">
        <v>3592</v>
      </c>
      <c r="BD7" s="2400"/>
      <c r="BE7" s="2400"/>
      <c r="BF7" s="2400"/>
      <c r="BG7" s="2400"/>
      <c r="BH7" s="2400"/>
      <c r="BI7" s="2400"/>
      <c r="BJ7" s="2400"/>
      <c r="BK7" s="2400"/>
      <c r="BL7" s="2400"/>
      <c r="BM7" s="2400"/>
      <c r="BN7" s="2400"/>
      <c r="BO7" s="2400"/>
      <c r="BP7" s="2400"/>
      <c r="BQ7" s="2400"/>
      <c r="BR7" s="2400"/>
      <c r="BS7" s="2400"/>
      <c r="BT7" s="2400"/>
      <c r="BU7" s="2400"/>
      <c r="BV7" s="2400"/>
      <c r="BW7" s="2400"/>
      <c r="BX7" s="2400"/>
      <c r="BY7" s="2400"/>
      <c r="BZ7" s="2786"/>
      <c r="CA7" s="2786"/>
      <c r="CB7" s="2786"/>
      <c r="CC7" s="2786"/>
      <c r="CD7" s="2400"/>
      <c r="CE7" s="2400"/>
      <c r="CF7" s="2400"/>
      <c r="CG7" s="2400"/>
      <c r="CH7" s="2400"/>
      <c r="CI7" s="2400"/>
      <c r="CJ7" s="2400"/>
      <c r="CK7" s="2400"/>
      <c r="CL7" s="2400"/>
      <c r="CM7" s="2400"/>
      <c r="CN7" s="2400"/>
      <c r="CO7" s="2400"/>
      <c r="CP7" s="2400"/>
      <c r="CQ7" s="2400"/>
      <c r="CR7" s="2400"/>
      <c r="CS7" s="2400"/>
      <c r="CT7" s="2400"/>
      <c r="CU7" s="2400"/>
      <c r="CV7" s="2401" t="s">
        <v>4192</v>
      </c>
      <c r="CW7" s="2351" t="s">
        <v>2007</v>
      </c>
      <c r="CX7" s="2399"/>
      <c r="CY7" s="2485"/>
      <c r="DA7" s="74"/>
    </row>
    <row r="8" spans="1:105" ht="18" customHeight="1" x14ac:dyDescent="0.25">
      <c r="B8" s="2484">
        <v>5</v>
      </c>
      <c r="C8" s="2398" t="s">
        <v>227</v>
      </c>
      <c r="D8" s="2399" t="s">
        <v>2227</v>
      </c>
      <c r="E8" s="2351"/>
      <c r="F8" s="2400" t="s">
        <v>1733</v>
      </c>
      <c r="G8" s="2351"/>
      <c r="H8" s="2351"/>
      <c r="I8" s="2351"/>
      <c r="J8" s="2351"/>
      <c r="K8" s="2351"/>
      <c r="L8" s="2351"/>
      <c r="M8" s="2351"/>
      <c r="N8" s="2351"/>
      <c r="O8" s="2351"/>
      <c r="P8" s="2351"/>
      <c r="Q8" s="2351"/>
      <c r="R8" s="2351">
        <v>1</v>
      </c>
      <c r="S8" s="2351"/>
      <c r="T8" s="2351"/>
      <c r="U8" s="2351"/>
      <c r="V8" s="2351"/>
      <c r="W8" s="2351"/>
      <c r="X8" s="2351"/>
      <c r="Y8" s="2351"/>
      <c r="Z8" s="2351"/>
      <c r="AA8" s="2351"/>
      <c r="AB8" s="2351"/>
      <c r="AC8" s="2351"/>
      <c r="AD8" s="2400" t="s">
        <v>1647</v>
      </c>
      <c r="AE8" s="2400" t="s">
        <v>2234</v>
      </c>
      <c r="AF8" s="2400"/>
      <c r="AG8" s="2400" t="s">
        <v>2235</v>
      </c>
      <c r="AH8" s="2351"/>
      <c r="AI8" s="2351"/>
      <c r="AJ8" s="2351"/>
      <c r="AK8" s="2351"/>
      <c r="AL8" s="2400" t="s">
        <v>1648</v>
      </c>
      <c r="AM8" s="2351"/>
      <c r="AN8" s="2351"/>
      <c r="AO8" s="2351"/>
      <c r="AP8" s="2351"/>
      <c r="AQ8" s="2351"/>
      <c r="AR8" s="2400"/>
      <c r="AS8" s="2400"/>
      <c r="AT8" s="2400"/>
      <c r="AU8" s="2400" t="s">
        <v>1965</v>
      </c>
      <c r="AV8" s="2351" t="s">
        <v>2454</v>
      </c>
      <c r="AW8" s="2400" t="s">
        <v>4179</v>
      </c>
      <c r="AX8" s="2400" t="s">
        <v>4180</v>
      </c>
      <c r="AY8" s="2400" t="s">
        <v>4181</v>
      </c>
      <c r="AZ8" s="2400" t="s">
        <v>4182</v>
      </c>
      <c r="BA8" s="2400"/>
      <c r="BB8" s="2400"/>
      <c r="BC8" s="2400" t="s">
        <v>3593</v>
      </c>
      <c r="BD8" s="2400"/>
      <c r="BE8" s="2400"/>
      <c r="BF8" s="2400"/>
      <c r="BG8" s="2400"/>
      <c r="BH8" s="2400"/>
      <c r="BI8" s="2400"/>
      <c r="BJ8" s="2400"/>
      <c r="BK8" s="2400"/>
      <c r="BL8" s="2400"/>
      <c r="BM8" s="2400"/>
      <c r="BN8" s="2400"/>
      <c r="BO8" s="2400"/>
      <c r="BP8" s="2400"/>
      <c r="BQ8" s="2400"/>
      <c r="BR8" s="2400"/>
      <c r="BS8" s="2400"/>
      <c r="BT8" s="2400"/>
      <c r="BU8" s="2400"/>
      <c r="BV8" s="2400"/>
      <c r="BW8" s="2400"/>
      <c r="BX8" s="2400"/>
      <c r="BY8" s="2400"/>
      <c r="BZ8" s="2786"/>
      <c r="CA8" s="2786"/>
      <c r="CB8" s="2786"/>
      <c r="CC8" s="2786"/>
      <c r="CD8" s="2400"/>
      <c r="CE8" s="2400"/>
      <c r="CF8" s="2400"/>
      <c r="CG8" s="2400"/>
      <c r="CH8" s="2400"/>
      <c r="CI8" s="2400"/>
      <c r="CJ8" s="2400"/>
      <c r="CK8" s="2400"/>
      <c r="CL8" s="2400"/>
      <c r="CM8" s="2400"/>
      <c r="CN8" s="2400"/>
      <c r="CO8" s="2400"/>
      <c r="CP8" s="2400"/>
      <c r="CQ8" s="2400"/>
      <c r="CR8" s="2400"/>
      <c r="CS8" s="2400"/>
      <c r="CT8" s="2400"/>
      <c r="CU8" s="2400"/>
      <c r="CV8" s="2401" t="s">
        <v>4193</v>
      </c>
      <c r="CW8" s="2351" t="s">
        <v>2007</v>
      </c>
      <c r="CX8" s="2399"/>
      <c r="CY8" s="2485"/>
      <c r="DA8" s="74"/>
    </row>
    <row r="9" spans="1:105" ht="18" x14ac:dyDescent="0.25">
      <c r="B9" s="2484">
        <v>6</v>
      </c>
      <c r="C9" s="2398" t="s">
        <v>228</v>
      </c>
      <c r="D9" s="2399" t="s">
        <v>1651</v>
      </c>
      <c r="E9" s="2351"/>
      <c r="F9" s="2400" t="s">
        <v>1733</v>
      </c>
      <c r="G9" s="2351"/>
      <c r="H9" s="2351"/>
      <c r="I9" s="2351"/>
      <c r="J9" s="2351"/>
      <c r="K9" s="2351"/>
      <c r="L9" s="2351"/>
      <c r="M9" s="2351"/>
      <c r="N9" s="2351"/>
      <c r="O9" s="2351"/>
      <c r="P9" s="2351"/>
      <c r="Q9" s="2351"/>
      <c r="R9" s="2351">
        <v>1</v>
      </c>
      <c r="S9" s="2351"/>
      <c r="T9" s="2351"/>
      <c r="U9" s="2351"/>
      <c r="V9" s="2351"/>
      <c r="W9" s="2351"/>
      <c r="X9" s="2351"/>
      <c r="Y9" s="2351"/>
      <c r="Z9" s="2351"/>
      <c r="AA9" s="2351"/>
      <c r="AB9" s="2351"/>
      <c r="AC9" s="2351"/>
      <c r="AD9" s="2400" t="s">
        <v>1647</v>
      </c>
      <c r="AE9" s="2400" t="s">
        <v>2236</v>
      </c>
      <c r="AF9" s="2400" t="s">
        <v>2237</v>
      </c>
      <c r="AG9" s="2400"/>
      <c r="AH9" s="2351"/>
      <c r="AI9" s="2351"/>
      <c r="AJ9" s="2351"/>
      <c r="AK9" s="2351"/>
      <c r="AL9" s="2400" t="s">
        <v>1648</v>
      </c>
      <c r="AM9" s="2351"/>
      <c r="AN9" s="2351"/>
      <c r="AO9" s="2351"/>
      <c r="AP9" s="2351"/>
      <c r="AQ9" s="2351"/>
      <c r="AR9" s="2351"/>
      <c r="AS9" s="2351"/>
      <c r="AT9" s="2351"/>
      <c r="AU9" s="2400" t="s">
        <v>1965</v>
      </c>
      <c r="AV9" s="2400" t="s">
        <v>2454</v>
      </c>
      <c r="AW9" s="2400" t="s">
        <v>4179</v>
      </c>
      <c r="AX9" s="2400" t="s">
        <v>4180</v>
      </c>
      <c r="AY9" s="2400" t="s">
        <v>4181</v>
      </c>
      <c r="AZ9" s="2400" t="s">
        <v>4182</v>
      </c>
      <c r="BA9" s="2400"/>
      <c r="BB9" s="2400"/>
      <c r="BC9" s="2400" t="s">
        <v>3593</v>
      </c>
      <c r="BD9" s="2400"/>
      <c r="BE9" s="2400"/>
      <c r="BF9" s="2400"/>
      <c r="BG9" s="2400"/>
      <c r="BH9" s="2400"/>
      <c r="BI9" s="2400"/>
      <c r="BJ9" s="2400"/>
      <c r="BK9" s="2400"/>
      <c r="BL9" s="2400"/>
      <c r="BM9" s="2400"/>
      <c r="BN9" s="2400"/>
      <c r="BO9" s="2400"/>
      <c r="BP9" s="2400"/>
      <c r="BQ9" s="2400"/>
      <c r="BR9" s="2400"/>
      <c r="BS9" s="2400"/>
      <c r="BT9" s="2400"/>
      <c r="BU9" s="2400"/>
      <c r="BV9" s="2400"/>
      <c r="BW9" s="2400"/>
      <c r="BX9" s="2400"/>
      <c r="BY9" s="2400"/>
      <c r="BZ9" s="2786"/>
      <c r="CA9" s="2786"/>
      <c r="CB9" s="2786"/>
      <c r="CC9" s="2786"/>
      <c r="CD9" s="2400"/>
      <c r="CE9" s="2400"/>
      <c r="CF9" s="2400"/>
      <c r="CG9" s="2400"/>
      <c r="CH9" s="2400"/>
      <c r="CI9" s="2400"/>
      <c r="CJ9" s="2400"/>
      <c r="CK9" s="2400"/>
      <c r="CL9" s="2400"/>
      <c r="CM9" s="2400"/>
      <c r="CN9" s="2400"/>
      <c r="CO9" s="2400"/>
      <c r="CP9" s="2400"/>
      <c r="CQ9" s="2400"/>
      <c r="CR9" s="2400"/>
      <c r="CS9" s="2400"/>
      <c r="CT9" s="2400"/>
      <c r="CU9" s="2400"/>
      <c r="CV9" s="2401" t="s">
        <v>4194</v>
      </c>
      <c r="CW9" s="2351" t="s">
        <v>2007</v>
      </c>
      <c r="CX9" s="2399"/>
      <c r="CY9" s="2485"/>
      <c r="DA9" s="74"/>
    </row>
    <row r="10" spans="1:105" ht="18" customHeight="1" x14ac:dyDescent="0.25">
      <c r="B10" s="2484">
        <v>7</v>
      </c>
      <c r="C10" s="2398" t="s">
        <v>229</v>
      </c>
      <c r="D10" s="2399" t="s">
        <v>2159</v>
      </c>
      <c r="E10" s="2351" t="s">
        <v>2157</v>
      </c>
      <c r="F10" s="2400" t="s">
        <v>1734</v>
      </c>
      <c r="G10" s="2351"/>
      <c r="H10" s="2351"/>
      <c r="I10" s="2351"/>
      <c r="J10" s="2351"/>
      <c r="K10" s="2351"/>
      <c r="L10" s="2351"/>
      <c r="M10" s="2351"/>
      <c r="N10" s="2351"/>
      <c r="O10" s="2351"/>
      <c r="P10" s="2351"/>
      <c r="Q10" s="2351"/>
      <c r="R10" s="2351">
        <v>1</v>
      </c>
      <c r="S10" s="2351"/>
      <c r="T10" s="2351"/>
      <c r="U10" s="2351"/>
      <c r="V10" s="2351"/>
      <c r="W10" s="2351"/>
      <c r="X10" s="2351"/>
      <c r="Y10" s="2351"/>
      <c r="Z10" s="2351"/>
      <c r="AA10" s="2351"/>
      <c r="AB10" s="2351"/>
      <c r="AC10" s="2351"/>
      <c r="AD10" s="2400" t="s">
        <v>1647</v>
      </c>
      <c r="AE10" s="2351"/>
      <c r="AF10" s="2351"/>
      <c r="AG10" s="2351"/>
      <c r="AH10" s="2351"/>
      <c r="AI10" s="2351"/>
      <c r="AJ10" s="2351"/>
      <c r="AK10" s="2351"/>
      <c r="AL10" s="2400" t="s">
        <v>1648</v>
      </c>
      <c r="AM10" s="2351"/>
      <c r="AN10" s="2351"/>
      <c r="AO10" s="2351"/>
      <c r="AP10" s="2351"/>
      <c r="AQ10" s="2351"/>
      <c r="AR10" s="2351"/>
      <c r="AS10" s="2351"/>
      <c r="AT10" s="2351" t="s">
        <v>2161</v>
      </c>
      <c r="AU10" s="2351" t="s">
        <v>2163</v>
      </c>
      <c r="AV10" s="2400" t="s">
        <v>2454</v>
      </c>
      <c r="AW10" s="2400" t="s">
        <v>4179</v>
      </c>
      <c r="AX10" s="2400" t="s">
        <v>4180</v>
      </c>
      <c r="AY10" s="2400" t="s">
        <v>4181</v>
      </c>
      <c r="AZ10" s="2400" t="s">
        <v>4182</v>
      </c>
      <c r="BA10" s="2400"/>
      <c r="BB10" s="2400"/>
      <c r="BC10" s="2400" t="s">
        <v>3594</v>
      </c>
      <c r="BD10" s="2400"/>
      <c r="BE10" s="2400"/>
      <c r="BF10" s="2400"/>
      <c r="BG10" s="2400"/>
      <c r="BH10" s="2400"/>
      <c r="BI10" s="2400"/>
      <c r="BJ10" s="2400"/>
      <c r="BK10" s="2400"/>
      <c r="BL10" s="2400"/>
      <c r="BM10" s="2400"/>
      <c r="BN10" s="2400"/>
      <c r="BO10" s="2400"/>
      <c r="BP10" s="2400"/>
      <c r="BQ10" s="2400"/>
      <c r="BR10" s="2400"/>
      <c r="BS10" s="2400"/>
      <c r="BT10" s="2400"/>
      <c r="BU10" s="2400"/>
      <c r="BV10" s="2400"/>
      <c r="BW10" s="2400"/>
      <c r="BX10" s="2400"/>
      <c r="BY10" s="2400"/>
      <c r="BZ10" s="2786"/>
      <c r="CA10" s="2786"/>
      <c r="CB10" s="2786"/>
      <c r="CC10" s="2786"/>
      <c r="CD10" s="2400"/>
      <c r="CE10" s="2400"/>
      <c r="CF10" s="2400"/>
      <c r="CG10" s="2400"/>
      <c r="CH10" s="2400"/>
      <c r="CI10" s="2400"/>
      <c r="CJ10" s="2400"/>
      <c r="CK10" s="2400"/>
      <c r="CL10" s="2400"/>
      <c r="CM10" s="2400"/>
      <c r="CN10" s="2400"/>
      <c r="CO10" s="2400"/>
      <c r="CP10" s="2400"/>
      <c r="CQ10" s="2400"/>
      <c r="CR10" s="2400"/>
      <c r="CS10" s="2400"/>
      <c r="CT10" s="2400"/>
      <c r="CU10" s="2400"/>
      <c r="CV10" s="2401" t="s">
        <v>4195</v>
      </c>
      <c r="CW10" s="2351" t="s">
        <v>2007</v>
      </c>
      <c r="CX10" s="2399"/>
      <c r="CY10" s="2486"/>
    </row>
    <row r="11" spans="1:105" ht="18" customHeight="1" x14ac:dyDescent="0.25">
      <c r="B11" s="2484">
        <v>8</v>
      </c>
      <c r="C11" s="2398" t="s">
        <v>230</v>
      </c>
      <c r="D11" s="2399" t="s">
        <v>2875</v>
      </c>
      <c r="E11" s="2351" t="s">
        <v>2158</v>
      </c>
      <c r="F11" s="2400" t="s">
        <v>1734</v>
      </c>
      <c r="G11" s="2351"/>
      <c r="H11" s="2351"/>
      <c r="I11" s="2351"/>
      <c r="J11" s="2351"/>
      <c r="K11" s="2351"/>
      <c r="L11" s="2351"/>
      <c r="M11" s="2351"/>
      <c r="N11" s="2351"/>
      <c r="O11" s="2351"/>
      <c r="P11" s="2351"/>
      <c r="Q11" s="2351"/>
      <c r="R11" s="2351">
        <v>1</v>
      </c>
      <c r="S11" s="2351"/>
      <c r="T11" s="2351"/>
      <c r="U11" s="2351"/>
      <c r="V11" s="2351"/>
      <c r="W11" s="2351"/>
      <c r="X11" s="2351"/>
      <c r="Y11" s="2351"/>
      <c r="Z11" s="2351"/>
      <c r="AA11" s="2351"/>
      <c r="AB11" s="2351"/>
      <c r="AC11" s="2351"/>
      <c r="AD11" s="2400" t="s">
        <v>1647</v>
      </c>
      <c r="AE11" s="2351"/>
      <c r="AF11" s="2351"/>
      <c r="AG11" s="2351"/>
      <c r="AH11" s="2351"/>
      <c r="AI11" s="2351"/>
      <c r="AJ11" s="2351"/>
      <c r="AK11" s="2351"/>
      <c r="AL11" s="2400" t="s">
        <v>1648</v>
      </c>
      <c r="AM11" s="2351"/>
      <c r="AN11" s="2351"/>
      <c r="AO11" s="2351"/>
      <c r="AP11" s="2351"/>
      <c r="AQ11" s="2351"/>
      <c r="AR11" s="2351"/>
      <c r="AS11" s="2351"/>
      <c r="AT11" s="2351" t="s">
        <v>2162</v>
      </c>
      <c r="AU11" s="2351" t="s">
        <v>2164</v>
      </c>
      <c r="AV11" s="2400" t="s">
        <v>2454</v>
      </c>
      <c r="AW11" s="2400" t="s">
        <v>4179</v>
      </c>
      <c r="AX11" s="2400" t="s">
        <v>4180</v>
      </c>
      <c r="AY11" s="2400" t="s">
        <v>4181</v>
      </c>
      <c r="AZ11" s="2400" t="s">
        <v>4182</v>
      </c>
      <c r="BA11" s="2400"/>
      <c r="BB11" s="2400"/>
      <c r="BC11" s="2400" t="s">
        <v>3594</v>
      </c>
      <c r="BD11" s="2400"/>
      <c r="BE11" s="2400"/>
      <c r="BF11" s="2400"/>
      <c r="BG11" s="2400"/>
      <c r="BH11" s="2400"/>
      <c r="BI11" s="2400"/>
      <c r="BJ11" s="2400"/>
      <c r="BK11" s="2400"/>
      <c r="BL11" s="2400"/>
      <c r="BM11" s="2400"/>
      <c r="BN11" s="2400"/>
      <c r="BO11" s="2400"/>
      <c r="BP11" s="2400"/>
      <c r="BQ11" s="2400"/>
      <c r="BR11" s="2400"/>
      <c r="BS11" s="2400"/>
      <c r="BT11" s="2400"/>
      <c r="BU11" s="2400"/>
      <c r="BV11" s="2400"/>
      <c r="BW11" s="2400"/>
      <c r="BX11" s="2400"/>
      <c r="BY11" s="2400"/>
      <c r="BZ11" s="2786"/>
      <c r="CA11" s="2786"/>
      <c r="CB11" s="2786"/>
      <c r="CC11" s="2786"/>
      <c r="CD11" s="2400"/>
      <c r="CE11" s="2400"/>
      <c r="CF11" s="2400"/>
      <c r="CG11" s="2400"/>
      <c r="CH11" s="2400"/>
      <c r="CI11" s="2400"/>
      <c r="CJ11" s="2400"/>
      <c r="CK11" s="2400"/>
      <c r="CL11" s="2400"/>
      <c r="CM11" s="2400"/>
      <c r="CN11" s="2400"/>
      <c r="CO11" s="2400"/>
      <c r="CP11" s="2400"/>
      <c r="CQ11" s="2400"/>
      <c r="CR11" s="2400"/>
      <c r="CS11" s="2400"/>
      <c r="CT11" s="2400"/>
      <c r="CU11" s="2400"/>
      <c r="CV11" s="2401" t="s">
        <v>4196</v>
      </c>
      <c r="CW11" s="2351" t="s">
        <v>2007</v>
      </c>
      <c r="CX11" s="2399"/>
      <c r="CY11" s="2486"/>
    </row>
    <row r="12" spans="1:105" ht="18" x14ac:dyDescent="0.25">
      <c r="B12" s="2484">
        <v>9</v>
      </c>
      <c r="C12" s="2398" t="s">
        <v>231</v>
      </c>
      <c r="D12" s="2399" t="s">
        <v>1652</v>
      </c>
      <c r="E12" s="2351"/>
      <c r="F12" s="2351"/>
      <c r="G12" s="2400" t="s">
        <v>1735</v>
      </c>
      <c r="H12" s="2351"/>
      <c r="I12" s="2351"/>
      <c r="J12" s="2351"/>
      <c r="K12" s="2351"/>
      <c r="L12" s="2351"/>
      <c r="M12" s="2351"/>
      <c r="N12" s="2351"/>
      <c r="O12" s="2351"/>
      <c r="P12" s="2351"/>
      <c r="Q12" s="2351"/>
      <c r="R12" s="2351">
        <v>1</v>
      </c>
      <c r="S12" s="2351"/>
      <c r="T12" s="2351"/>
      <c r="U12" s="2351"/>
      <c r="V12" s="2351"/>
      <c r="W12" s="2351"/>
      <c r="X12" s="2351"/>
      <c r="Y12" s="2351"/>
      <c r="Z12" s="2351"/>
      <c r="AA12" s="2351"/>
      <c r="AB12" s="2351"/>
      <c r="AC12" s="2351"/>
      <c r="AD12" s="2400" t="s">
        <v>1647</v>
      </c>
      <c r="AE12" s="2351"/>
      <c r="AF12" s="2351"/>
      <c r="AG12" s="2351"/>
      <c r="AH12" s="2351"/>
      <c r="AI12" s="2351"/>
      <c r="AJ12" s="2351"/>
      <c r="AK12" s="2351"/>
      <c r="AL12" s="2400" t="s">
        <v>1648</v>
      </c>
      <c r="AM12" s="2351"/>
      <c r="AN12" s="2351"/>
      <c r="AO12" s="2351"/>
      <c r="AP12" s="2351"/>
      <c r="AQ12" s="2351"/>
      <c r="AR12" s="2400" t="s">
        <v>1738</v>
      </c>
      <c r="AS12" s="2400"/>
      <c r="AT12" s="2400"/>
      <c r="AU12" s="2400" t="s">
        <v>1967</v>
      </c>
      <c r="AV12" s="2400" t="s">
        <v>2454</v>
      </c>
      <c r="AW12" s="2400" t="s">
        <v>4179</v>
      </c>
      <c r="AX12" s="2400" t="s">
        <v>4180</v>
      </c>
      <c r="AY12" s="2400" t="s">
        <v>4181</v>
      </c>
      <c r="AZ12" s="2400" t="s">
        <v>4182</v>
      </c>
      <c r="BA12" s="2400"/>
      <c r="BB12" s="2400"/>
      <c r="BC12" s="2400" t="s">
        <v>3235</v>
      </c>
      <c r="BD12" s="2400"/>
      <c r="BE12" s="2400"/>
      <c r="BF12" s="2400"/>
      <c r="BG12" s="2400"/>
      <c r="BH12" s="2400"/>
      <c r="BI12" s="2400"/>
      <c r="BJ12" s="2400"/>
      <c r="BK12" s="2400"/>
      <c r="BL12" s="2400"/>
      <c r="BM12" s="2400"/>
      <c r="BN12" s="2400"/>
      <c r="BO12" s="2400"/>
      <c r="BP12" s="2400"/>
      <c r="BQ12" s="2400"/>
      <c r="BR12" s="2400"/>
      <c r="BS12" s="2400"/>
      <c r="BT12" s="2400"/>
      <c r="BU12" s="2400"/>
      <c r="BV12" s="2400"/>
      <c r="BW12" s="2400"/>
      <c r="BX12" s="2400"/>
      <c r="BY12" s="2400"/>
      <c r="BZ12" s="2786"/>
      <c r="CA12" s="2786"/>
      <c r="CB12" s="2786"/>
      <c r="CC12" s="2786"/>
      <c r="CD12" s="2400"/>
      <c r="CE12" s="2400"/>
      <c r="CF12" s="2400"/>
      <c r="CG12" s="2400"/>
      <c r="CH12" s="2400"/>
      <c r="CI12" s="2400"/>
      <c r="CJ12" s="2400"/>
      <c r="CK12" s="2400"/>
      <c r="CL12" s="2400"/>
      <c r="CM12" s="2400"/>
      <c r="CN12" s="2400"/>
      <c r="CO12" s="2400"/>
      <c r="CP12" s="2400"/>
      <c r="CQ12" s="2400"/>
      <c r="CR12" s="2400"/>
      <c r="CS12" s="2400"/>
      <c r="CT12" s="2400"/>
      <c r="CU12" s="2400"/>
      <c r="CV12" s="2401" t="s">
        <v>4205</v>
      </c>
      <c r="CW12" s="2351" t="s">
        <v>2007</v>
      </c>
      <c r="CX12" s="2399"/>
      <c r="CY12" s="2485"/>
    </row>
    <row r="13" spans="1:105" ht="18" x14ac:dyDescent="0.25">
      <c r="B13" s="2484">
        <v>10</v>
      </c>
      <c r="C13" s="2398" t="s">
        <v>232</v>
      </c>
      <c r="D13" s="2399" t="s">
        <v>288</v>
      </c>
      <c r="E13" s="2351"/>
      <c r="F13" s="2351"/>
      <c r="G13" s="2351"/>
      <c r="H13" s="2351"/>
      <c r="I13" s="2351"/>
      <c r="J13" s="2351" t="s">
        <v>1653</v>
      </c>
      <c r="K13" s="2351"/>
      <c r="L13" s="2351"/>
      <c r="M13" s="2351"/>
      <c r="N13" s="2351"/>
      <c r="O13" s="2351"/>
      <c r="P13" s="2351" t="s">
        <v>1654</v>
      </c>
      <c r="Q13" s="2351"/>
      <c r="R13" s="2351">
        <v>-1</v>
      </c>
      <c r="S13" s="2351"/>
      <c r="T13" s="2351"/>
      <c r="U13" s="2351"/>
      <c r="V13" s="2351"/>
      <c r="W13" s="2351"/>
      <c r="X13" s="2351"/>
      <c r="Y13" s="2351"/>
      <c r="Z13" s="2351"/>
      <c r="AA13" s="2351"/>
      <c r="AB13" s="2351"/>
      <c r="AC13" s="2351"/>
      <c r="AD13" s="2400" t="s">
        <v>2135</v>
      </c>
      <c r="AE13" s="2351"/>
      <c r="AF13" s="2351"/>
      <c r="AG13" s="2351"/>
      <c r="AH13" s="2351"/>
      <c r="AI13" s="2351"/>
      <c r="AJ13" s="2351" t="s">
        <v>1655</v>
      </c>
      <c r="AK13" s="2351"/>
      <c r="AL13" s="2351"/>
      <c r="AM13" s="2351"/>
      <c r="AN13" s="2351"/>
      <c r="AO13" s="2351"/>
      <c r="AP13" s="2351" t="s">
        <v>1656</v>
      </c>
      <c r="AQ13" s="2351"/>
      <c r="AR13" s="2351"/>
      <c r="AS13" s="2351"/>
      <c r="AT13" s="2351"/>
      <c r="AU13" s="3024" t="s">
        <v>5916</v>
      </c>
      <c r="AV13" s="3024"/>
      <c r="AW13" s="2786"/>
      <c r="AX13" s="2786"/>
      <c r="AY13" s="2786"/>
      <c r="AZ13" s="2786"/>
      <c r="BA13" s="2400"/>
      <c r="BB13" s="2400"/>
      <c r="BC13" s="2400" t="s">
        <v>3595</v>
      </c>
      <c r="BD13" s="2400"/>
      <c r="BE13" s="2400"/>
      <c r="BF13" s="2400"/>
      <c r="BG13" s="2400"/>
      <c r="BH13" s="2400"/>
      <c r="BI13" s="2400"/>
      <c r="BJ13" s="2400"/>
      <c r="BK13" s="2400"/>
      <c r="BL13" s="2400"/>
      <c r="BM13" s="2400"/>
      <c r="BN13" s="2400"/>
      <c r="BO13" s="2400"/>
      <c r="BP13" s="2400"/>
      <c r="BQ13" s="2400"/>
      <c r="BR13" s="2400"/>
      <c r="BS13" s="2400"/>
      <c r="BT13" s="2400"/>
      <c r="BU13" s="2400"/>
      <c r="BV13" s="2400"/>
      <c r="BW13" s="2400"/>
      <c r="BX13" s="2400"/>
      <c r="BY13" s="2400"/>
      <c r="BZ13" s="2786"/>
      <c r="CA13" s="2786"/>
      <c r="CB13" s="2786"/>
      <c r="CC13" s="2786"/>
      <c r="CD13" s="2400"/>
      <c r="CE13" s="2400"/>
      <c r="CF13" s="2400"/>
      <c r="CG13" s="2400"/>
      <c r="CH13" s="2400"/>
      <c r="CI13" s="2400"/>
      <c r="CJ13" s="2400"/>
      <c r="CK13" s="2400"/>
      <c r="CL13" s="2400"/>
      <c r="CM13" s="2400"/>
      <c r="CN13" s="2400"/>
      <c r="CO13" s="2400"/>
      <c r="CP13" s="2400"/>
      <c r="CQ13" s="2400"/>
      <c r="CR13" s="2400"/>
      <c r="CS13" s="2400"/>
      <c r="CT13" s="2400"/>
      <c r="CU13" s="2400"/>
      <c r="CV13" s="2401" t="s">
        <v>3000</v>
      </c>
      <c r="CW13" s="2351" t="s">
        <v>2007</v>
      </c>
      <c r="CX13" s="2399"/>
      <c r="CY13" s="2485"/>
    </row>
    <row r="14" spans="1:105" ht="18" x14ac:dyDescent="0.25">
      <c r="B14" s="2484">
        <v>11</v>
      </c>
      <c r="C14" s="2398" t="s">
        <v>233</v>
      </c>
      <c r="D14" s="2399" t="s">
        <v>2993</v>
      </c>
      <c r="E14" s="2351"/>
      <c r="F14" s="2351"/>
      <c r="G14" s="2351"/>
      <c r="H14" s="2351"/>
      <c r="I14" s="2351"/>
      <c r="J14" s="2351" t="s">
        <v>1653</v>
      </c>
      <c r="K14" s="2351"/>
      <c r="L14" s="2351"/>
      <c r="M14" s="2351"/>
      <c r="N14" s="2351"/>
      <c r="O14" s="2351"/>
      <c r="P14" s="2351"/>
      <c r="Q14" s="2351" t="s">
        <v>1654</v>
      </c>
      <c r="R14" s="2351">
        <v>-1</v>
      </c>
      <c r="S14" s="2351"/>
      <c r="T14" s="2351"/>
      <c r="U14" s="2351"/>
      <c r="V14" s="2351"/>
      <c r="W14" s="2351"/>
      <c r="X14" s="2351"/>
      <c r="Y14" s="2351"/>
      <c r="Z14" s="2351"/>
      <c r="AA14" s="2351"/>
      <c r="AB14" s="2351"/>
      <c r="AC14" s="2351"/>
      <c r="AD14" s="2400" t="s">
        <v>2135</v>
      </c>
      <c r="AE14" s="2351"/>
      <c r="AF14" s="2351"/>
      <c r="AG14" s="2351"/>
      <c r="AH14" s="2351"/>
      <c r="AI14" s="2351"/>
      <c r="AJ14" s="2351" t="s">
        <v>1655</v>
      </c>
      <c r="AK14" s="2351"/>
      <c r="AL14" s="2351"/>
      <c r="AM14" s="2351"/>
      <c r="AN14" s="2351"/>
      <c r="AO14" s="2351"/>
      <c r="AP14" s="2351" t="s">
        <v>1656</v>
      </c>
      <c r="AQ14" s="2351"/>
      <c r="AR14" s="2351"/>
      <c r="AS14" s="2351"/>
      <c r="AT14" s="2351"/>
      <c r="AU14" s="3024" t="s">
        <v>5916</v>
      </c>
      <c r="AV14" s="3024"/>
      <c r="AW14" s="2786"/>
      <c r="AX14" s="2786"/>
      <c r="AY14" s="2786"/>
      <c r="AZ14" s="2786"/>
      <c r="BA14" s="2400"/>
      <c r="BB14" s="2400"/>
      <c r="BC14" s="2400" t="s">
        <v>3595</v>
      </c>
      <c r="BD14" s="2400"/>
      <c r="BE14" s="2400"/>
      <c r="BF14" s="2400"/>
      <c r="BG14" s="2400"/>
      <c r="BH14" s="2400"/>
      <c r="BI14" s="2400"/>
      <c r="BJ14" s="2400"/>
      <c r="BK14" s="2400"/>
      <c r="BL14" s="2400"/>
      <c r="BM14" s="2400"/>
      <c r="BN14" s="2400"/>
      <c r="BO14" s="2400"/>
      <c r="BP14" s="2400"/>
      <c r="BQ14" s="2400"/>
      <c r="BR14" s="2400"/>
      <c r="BS14" s="2400"/>
      <c r="BT14" s="2400"/>
      <c r="BU14" s="2400"/>
      <c r="BV14" s="2400"/>
      <c r="BW14" s="2400"/>
      <c r="BX14" s="2400"/>
      <c r="BY14" s="2400"/>
      <c r="BZ14" s="2786"/>
      <c r="CA14" s="2786"/>
      <c r="CB14" s="2786"/>
      <c r="CC14" s="2786"/>
      <c r="CD14" s="2400"/>
      <c r="CE14" s="2400"/>
      <c r="CF14" s="2400"/>
      <c r="CG14" s="2400"/>
      <c r="CH14" s="2400"/>
      <c r="CI14" s="2400"/>
      <c r="CJ14" s="2400"/>
      <c r="CK14" s="2400"/>
      <c r="CL14" s="2400"/>
      <c r="CM14" s="2400"/>
      <c r="CN14" s="2400"/>
      <c r="CO14" s="2400"/>
      <c r="CP14" s="2400"/>
      <c r="CQ14" s="2400"/>
      <c r="CR14" s="2400"/>
      <c r="CS14" s="2400"/>
      <c r="CT14" s="2400"/>
      <c r="CU14" s="2400"/>
      <c r="CV14" s="2401" t="s">
        <v>3001</v>
      </c>
      <c r="CW14" s="2351" t="s">
        <v>2007</v>
      </c>
      <c r="CX14" s="2399"/>
      <c r="CY14" s="2485"/>
    </row>
    <row r="15" spans="1:105" ht="18" x14ac:dyDescent="0.25">
      <c r="B15" s="2487">
        <v>12</v>
      </c>
      <c r="C15" s="2402" t="s">
        <v>234</v>
      </c>
      <c r="D15" s="2403" t="s">
        <v>2228</v>
      </c>
      <c r="E15" s="2352"/>
      <c r="F15" s="2352"/>
      <c r="G15" s="2404" t="s">
        <v>1658</v>
      </c>
      <c r="H15" s="2352"/>
      <c r="I15" s="2352"/>
      <c r="J15" s="2352"/>
      <c r="K15" s="2352"/>
      <c r="L15" s="2352"/>
      <c r="M15" s="2352"/>
      <c r="N15" s="2352"/>
      <c r="O15" s="2352"/>
      <c r="P15" s="2352"/>
      <c r="Q15" s="2352"/>
      <c r="R15" s="2352"/>
      <c r="S15" s="2352"/>
      <c r="T15" s="2352">
        <v>1</v>
      </c>
      <c r="U15" s="2352"/>
      <c r="V15" s="2352"/>
      <c r="W15" s="2352"/>
      <c r="X15" s="2352"/>
      <c r="Y15" s="2352"/>
      <c r="Z15" s="2352"/>
      <c r="AA15" s="2352"/>
      <c r="AB15" s="2352"/>
      <c r="AC15" s="2352"/>
      <c r="AD15" s="2352" t="s">
        <v>1647</v>
      </c>
      <c r="AE15" s="2404" t="s">
        <v>2238</v>
      </c>
      <c r="AF15" s="2404"/>
      <c r="AG15" s="2404" t="s">
        <v>2239</v>
      </c>
      <c r="AH15" s="2352"/>
      <c r="AI15" s="2352"/>
      <c r="AJ15" s="2352"/>
      <c r="AK15" s="2352"/>
      <c r="AL15" s="2404" t="s">
        <v>1648</v>
      </c>
      <c r="AM15" s="2352"/>
      <c r="AN15" s="2352"/>
      <c r="AO15" s="2352"/>
      <c r="AP15" s="2352"/>
      <c r="AQ15" s="2352"/>
      <c r="AR15" s="2352"/>
      <c r="AS15" s="2352"/>
      <c r="AT15" s="2352"/>
      <c r="AU15" s="2404" t="s">
        <v>1966</v>
      </c>
      <c r="AV15" s="2404" t="s">
        <v>2454</v>
      </c>
      <c r="AW15" s="2404" t="s">
        <v>4179</v>
      </c>
      <c r="AX15" s="2404" t="s">
        <v>4180</v>
      </c>
      <c r="AY15" s="2404" t="s">
        <v>4181</v>
      </c>
      <c r="AZ15" s="2404" t="s">
        <v>4182</v>
      </c>
      <c r="BA15" s="2404"/>
      <c r="BB15" s="2404"/>
      <c r="BC15" s="2404" t="s">
        <v>3235</v>
      </c>
      <c r="BD15" s="2404"/>
      <c r="BE15" s="2404"/>
      <c r="BF15" s="2404"/>
      <c r="BG15" s="2404"/>
      <c r="BH15" s="2404"/>
      <c r="BI15" s="2404"/>
      <c r="BJ15" s="2404"/>
      <c r="BK15" s="2404"/>
      <c r="BL15" s="2404"/>
      <c r="BM15" s="2404"/>
      <c r="BN15" s="2404"/>
      <c r="BO15" s="2404"/>
      <c r="BP15" s="2404"/>
      <c r="BQ15" s="2404"/>
      <c r="BR15" s="2404"/>
      <c r="BS15" s="2404"/>
      <c r="BT15" s="2404"/>
      <c r="BU15" s="2404"/>
      <c r="BV15" s="2404"/>
      <c r="BW15" s="2404"/>
      <c r="BX15" s="2404"/>
      <c r="BY15" s="2404"/>
      <c r="BZ15" s="2787"/>
      <c r="CA15" s="2787"/>
      <c r="CB15" s="2787"/>
      <c r="CC15" s="2787"/>
      <c r="CD15" s="2404"/>
      <c r="CE15" s="2404"/>
      <c r="CF15" s="2404"/>
      <c r="CG15" s="2404"/>
      <c r="CH15" s="2404"/>
      <c r="CI15" s="2404"/>
      <c r="CJ15" s="2404"/>
      <c r="CK15" s="2404"/>
      <c r="CL15" s="2404"/>
      <c r="CM15" s="2404"/>
      <c r="CN15" s="2404"/>
      <c r="CO15" s="2404"/>
      <c r="CP15" s="2404"/>
      <c r="CQ15" s="2404"/>
      <c r="CR15" s="2404"/>
      <c r="CS15" s="2404"/>
      <c r="CT15" s="2404"/>
      <c r="CU15" s="2404"/>
      <c r="CV15" s="2405" t="s">
        <v>6037</v>
      </c>
      <c r="CW15" s="2352" t="s">
        <v>2007</v>
      </c>
      <c r="CX15" s="2403"/>
      <c r="CY15" s="2488"/>
    </row>
    <row r="16" spans="1:105" ht="18" x14ac:dyDescent="0.25">
      <c r="B16" s="2487">
        <v>13</v>
      </c>
      <c r="C16" s="2402" t="s">
        <v>235</v>
      </c>
      <c r="D16" s="2403" t="s">
        <v>1657</v>
      </c>
      <c r="E16" s="2352"/>
      <c r="F16" s="2352"/>
      <c r="G16" s="2404" t="s">
        <v>1658</v>
      </c>
      <c r="H16" s="2352"/>
      <c r="I16" s="2352"/>
      <c r="J16" s="2352"/>
      <c r="K16" s="2352"/>
      <c r="L16" s="2352"/>
      <c r="M16" s="2352"/>
      <c r="N16" s="2352"/>
      <c r="O16" s="2352"/>
      <c r="P16" s="2352"/>
      <c r="Q16" s="2352"/>
      <c r="R16" s="2352"/>
      <c r="S16" s="2352"/>
      <c r="T16" s="2352">
        <v>1</v>
      </c>
      <c r="U16" s="2352"/>
      <c r="V16" s="2352"/>
      <c r="W16" s="2352"/>
      <c r="X16" s="2352"/>
      <c r="Y16" s="2352"/>
      <c r="Z16" s="2352"/>
      <c r="AA16" s="2352"/>
      <c r="AB16" s="2352"/>
      <c r="AC16" s="2352"/>
      <c r="AD16" s="2352" t="s">
        <v>1647</v>
      </c>
      <c r="AE16" s="2404" t="s">
        <v>2240</v>
      </c>
      <c r="AF16" s="2404" t="s">
        <v>2241</v>
      </c>
      <c r="AG16" s="2404"/>
      <c r="AH16" s="2352"/>
      <c r="AI16" s="2352"/>
      <c r="AJ16" s="2352"/>
      <c r="AK16" s="2352"/>
      <c r="AL16" s="2404" t="s">
        <v>1648</v>
      </c>
      <c r="AM16" s="2352"/>
      <c r="AN16" s="2352"/>
      <c r="AO16" s="2352"/>
      <c r="AP16" s="2352"/>
      <c r="AQ16" s="2352"/>
      <c r="AR16" s="2352"/>
      <c r="AS16" s="2352"/>
      <c r="AT16" s="2352"/>
      <c r="AU16" s="2404" t="s">
        <v>1966</v>
      </c>
      <c r="AV16" s="2404" t="s">
        <v>2454</v>
      </c>
      <c r="AW16" s="2404" t="s">
        <v>4179</v>
      </c>
      <c r="AX16" s="2404" t="s">
        <v>4180</v>
      </c>
      <c r="AY16" s="2404" t="s">
        <v>4181</v>
      </c>
      <c r="AZ16" s="2404" t="s">
        <v>4182</v>
      </c>
      <c r="BA16" s="2404"/>
      <c r="BB16" s="2404"/>
      <c r="BC16" s="2404" t="s">
        <v>3235</v>
      </c>
      <c r="BD16" s="2404"/>
      <c r="BE16" s="2404"/>
      <c r="BF16" s="2404"/>
      <c r="BG16" s="2404"/>
      <c r="BH16" s="2404"/>
      <c r="BI16" s="2404"/>
      <c r="BJ16" s="2404"/>
      <c r="BK16" s="2404"/>
      <c r="BL16" s="2404"/>
      <c r="BM16" s="2404"/>
      <c r="BN16" s="2404"/>
      <c r="BO16" s="2404"/>
      <c r="BP16" s="2404"/>
      <c r="BQ16" s="2404"/>
      <c r="BR16" s="2404"/>
      <c r="BS16" s="2404"/>
      <c r="BT16" s="2404"/>
      <c r="BU16" s="2404"/>
      <c r="BV16" s="2404"/>
      <c r="BW16" s="2404"/>
      <c r="BX16" s="2404"/>
      <c r="BY16" s="2404"/>
      <c r="BZ16" s="2787"/>
      <c r="CA16" s="2787"/>
      <c r="CB16" s="2787"/>
      <c r="CC16" s="2787"/>
      <c r="CD16" s="2404"/>
      <c r="CE16" s="2404"/>
      <c r="CF16" s="2404"/>
      <c r="CG16" s="2404"/>
      <c r="CH16" s="2404"/>
      <c r="CI16" s="2404"/>
      <c r="CJ16" s="2404"/>
      <c r="CK16" s="2404"/>
      <c r="CL16" s="2404"/>
      <c r="CM16" s="2404"/>
      <c r="CN16" s="2404"/>
      <c r="CO16" s="2404"/>
      <c r="CP16" s="2404"/>
      <c r="CQ16" s="2404"/>
      <c r="CR16" s="2404"/>
      <c r="CS16" s="2404"/>
      <c r="CT16" s="2404"/>
      <c r="CU16" s="2404"/>
      <c r="CV16" s="2405" t="s">
        <v>5973</v>
      </c>
      <c r="CW16" s="2352" t="s">
        <v>2007</v>
      </c>
      <c r="CX16" s="2403"/>
      <c r="CY16" s="2488"/>
    </row>
    <row r="17" spans="2:105" ht="18" x14ac:dyDescent="0.25">
      <c r="B17" s="2487">
        <v>14</v>
      </c>
      <c r="C17" s="2402" t="s">
        <v>236</v>
      </c>
      <c r="D17" s="2403" t="s">
        <v>289</v>
      </c>
      <c r="E17" s="2352"/>
      <c r="F17" s="2352"/>
      <c r="G17" s="2352"/>
      <c r="H17" s="2352"/>
      <c r="I17" s="2352"/>
      <c r="J17" s="2352" t="s">
        <v>1653</v>
      </c>
      <c r="K17" s="2352"/>
      <c r="L17" s="2352"/>
      <c r="M17" s="2352"/>
      <c r="N17" s="2352"/>
      <c r="O17" s="2352"/>
      <c r="P17" s="2352" t="s">
        <v>1654</v>
      </c>
      <c r="Q17" s="2352"/>
      <c r="R17" s="2352"/>
      <c r="S17" s="2352"/>
      <c r="T17" s="2352">
        <v>-1</v>
      </c>
      <c r="U17" s="2352"/>
      <c r="V17" s="2352"/>
      <c r="W17" s="2352"/>
      <c r="X17" s="2352"/>
      <c r="Y17" s="2352"/>
      <c r="Z17" s="2352"/>
      <c r="AA17" s="2352"/>
      <c r="AB17" s="2352"/>
      <c r="AC17" s="2352"/>
      <c r="AD17" s="2352" t="s">
        <v>2135</v>
      </c>
      <c r="AE17" s="2352"/>
      <c r="AF17" s="2352"/>
      <c r="AG17" s="2352"/>
      <c r="AH17" s="2352"/>
      <c r="AI17" s="2352"/>
      <c r="AJ17" s="2352" t="s">
        <v>1655</v>
      </c>
      <c r="AK17" s="2352"/>
      <c r="AL17" s="2352"/>
      <c r="AM17" s="2352"/>
      <c r="AN17" s="2352"/>
      <c r="AO17" s="2352"/>
      <c r="AP17" s="2352" t="s">
        <v>1656</v>
      </c>
      <c r="AQ17" s="2352"/>
      <c r="AR17" s="2352"/>
      <c r="AS17" s="2352"/>
      <c r="AT17" s="2352"/>
      <c r="AU17" s="3025" t="s">
        <v>5916</v>
      </c>
      <c r="AV17" s="3025"/>
      <c r="AW17" s="2787"/>
      <c r="AX17" s="2787"/>
      <c r="AY17" s="2787"/>
      <c r="AZ17" s="2787"/>
      <c r="BA17" s="2404"/>
      <c r="BB17" s="2404"/>
      <c r="BC17" s="2404" t="s">
        <v>3595</v>
      </c>
      <c r="BD17" s="2404"/>
      <c r="BE17" s="2404"/>
      <c r="BF17" s="2404"/>
      <c r="BG17" s="2404"/>
      <c r="BH17" s="2404"/>
      <c r="BI17" s="2404"/>
      <c r="BJ17" s="2404"/>
      <c r="BK17" s="2404"/>
      <c r="BL17" s="2404"/>
      <c r="BM17" s="2404"/>
      <c r="BN17" s="2404"/>
      <c r="BO17" s="2404"/>
      <c r="BP17" s="2404"/>
      <c r="BQ17" s="2404"/>
      <c r="BR17" s="2404"/>
      <c r="BS17" s="2404"/>
      <c r="BT17" s="2404"/>
      <c r="BU17" s="2404"/>
      <c r="BV17" s="2404"/>
      <c r="BW17" s="2404"/>
      <c r="BX17" s="2404"/>
      <c r="BY17" s="2404"/>
      <c r="BZ17" s="2787"/>
      <c r="CA17" s="2787"/>
      <c r="CB17" s="2787"/>
      <c r="CC17" s="2787"/>
      <c r="CD17" s="2404"/>
      <c r="CE17" s="2404"/>
      <c r="CF17" s="2404"/>
      <c r="CG17" s="2404"/>
      <c r="CH17" s="2404"/>
      <c r="CI17" s="2404"/>
      <c r="CJ17" s="2404"/>
      <c r="CK17" s="2404"/>
      <c r="CL17" s="2404"/>
      <c r="CM17" s="2404"/>
      <c r="CN17" s="2404"/>
      <c r="CO17" s="2404"/>
      <c r="CP17" s="2404"/>
      <c r="CQ17" s="2404"/>
      <c r="CR17" s="2404"/>
      <c r="CS17" s="2404"/>
      <c r="CT17" s="2404"/>
      <c r="CU17" s="2404"/>
      <c r="CV17" s="2405" t="s">
        <v>4047</v>
      </c>
      <c r="CW17" s="2352" t="s">
        <v>2007</v>
      </c>
      <c r="CX17" s="2403"/>
      <c r="CY17" s="2488"/>
    </row>
    <row r="18" spans="2:105" ht="18" x14ac:dyDescent="0.25">
      <c r="B18" s="2487">
        <v>15</v>
      </c>
      <c r="C18" s="2402" t="s">
        <v>237</v>
      </c>
      <c r="D18" s="2403" t="s">
        <v>2994</v>
      </c>
      <c r="E18" s="2352"/>
      <c r="F18" s="2352"/>
      <c r="G18" s="2352"/>
      <c r="H18" s="2352"/>
      <c r="I18" s="2352"/>
      <c r="J18" s="2352" t="s">
        <v>1653</v>
      </c>
      <c r="K18" s="2352"/>
      <c r="L18" s="2352"/>
      <c r="M18" s="2352"/>
      <c r="N18" s="2352"/>
      <c r="O18" s="2352"/>
      <c r="P18" s="2352"/>
      <c r="Q18" s="2352" t="s">
        <v>1654</v>
      </c>
      <c r="R18" s="2352"/>
      <c r="S18" s="2352"/>
      <c r="T18" s="2352">
        <v>-1</v>
      </c>
      <c r="U18" s="2352"/>
      <c r="V18" s="2352"/>
      <c r="W18" s="2352"/>
      <c r="X18" s="2352"/>
      <c r="Y18" s="2352"/>
      <c r="Z18" s="2352"/>
      <c r="AA18" s="2352"/>
      <c r="AB18" s="2352"/>
      <c r="AC18" s="2352"/>
      <c r="AD18" s="2352" t="s">
        <v>2135</v>
      </c>
      <c r="AE18" s="2352"/>
      <c r="AF18" s="2352"/>
      <c r="AG18" s="2352"/>
      <c r="AH18" s="2352"/>
      <c r="AI18" s="2352"/>
      <c r="AJ18" s="2352" t="s">
        <v>1655</v>
      </c>
      <c r="AK18" s="2352"/>
      <c r="AL18" s="2352"/>
      <c r="AM18" s="2352"/>
      <c r="AN18" s="2352"/>
      <c r="AO18" s="2352"/>
      <c r="AP18" s="2352" t="s">
        <v>1656</v>
      </c>
      <c r="AQ18" s="2352"/>
      <c r="AR18" s="2352"/>
      <c r="AS18" s="2352"/>
      <c r="AT18" s="2352"/>
      <c r="AU18" s="3025" t="s">
        <v>5916</v>
      </c>
      <c r="AV18" s="3025"/>
      <c r="AW18" s="2787"/>
      <c r="AX18" s="2787"/>
      <c r="AY18" s="2787"/>
      <c r="AZ18" s="2787"/>
      <c r="BA18" s="2404"/>
      <c r="BB18" s="2404"/>
      <c r="BC18" s="2404" t="s">
        <v>3595</v>
      </c>
      <c r="BD18" s="2404"/>
      <c r="BE18" s="2404"/>
      <c r="BF18" s="2404"/>
      <c r="BG18" s="2404"/>
      <c r="BH18" s="2404"/>
      <c r="BI18" s="2404"/>
      <c r="BJ18" s="2404"/>
      <c r="BK18" s="2404"/>
      <c r="BL18" s="2404"/>
      <c r="BM18" s="2404"/>
      <c r="BN18" s="2404"/>
      <c r="BO18" s="2404"/>
      <c r="BP18" s="2404"/>
      <c r="BQ18" s="2404"/>
      <c r="BR18" s="2404"/>
      <c r="BS18" s="2404"/>
      <c r="BT18" s="2404"/>
      <c r="BU18" s="2404"/>
      <c r="BV18" s="2404"/>
      <c r="BW18" s="2404"/>
      <c r="BX18" s="2404"/>
      <c r="BY18" s="2404"/>
      <c r="BZ18" s="2787"/>
      <c r="CA18" s="2787"/>
      <c r="CB18" s="2787"/>
      <c r="CC18" s="2787"/>
      <c r="CD18" s="2404"/>
      <c r="CE18" s="2404"/>
      <c r="CF18" s="2404"/>
      <c r="CG18" s="2404"/>
      <c r="CH18" s="2404"/>
      <c r="CI18" s="2404"/>
      <c r="CJ18" s="2404"/>
      <c r="CK18" s="2404"/>
      <c r="CL18" s="2404"/>
      <c r="CM18" s="2404"/>
      <c r="CN18" s="2404"/>
      <c r="CO18" s="2404"/>
      <c r="CP18" s="2404"/>
      <c r="CQ18" s="2404"/>
      <c r="CR18" s="2404"/>
      <c r="CS18" s="2404"/>
      <c r="CT18" s="2404"/>
      <c r="CU18" s="2404"/>
      <c r="CV18" s="2405" t="s">
        <v>4048</v>
      </c>
      <c r="CW18" s="2352" t="s">
        <v>2007</v>
      </c>
      <c r="CX18" s="2403"/>
      <c r="CY18" s="2488"/>
    </row>
    <row r="19" spans="2:105" ht="18" x14ac:dyDescent="0.25">
      <c r="B19" s="2489">
        <v>16</v>
      </c>
      <c r="C19" s="2406" t="s">
        <v>238</v>
      </c>
      <c r="D19" s="2407" t="s">
        <v>5851</v>
      </c>
      <c r="E19" s="2353"/>
      <c r="F19" s="2353"/>
      <c r="G19" s="2353"/>
      <c r="H19" s="2353"/>
      <c r="I19" s="2353"/>
      <c r="J19" s="2353"/>
      <c r="K19" s="2353"/>
      <c r="L19" s="2353"/>
      <c r="M19" s="2353"/>
      <c r="N19" s="2408" t="s">
        <v>5858</v>
      </c>
      <c r="O19" s="2408" t="s">
        <v>5864</v>
      </c>
      <c r="P19" s="2353"/>
      <c r="Q19" s="2353"/>
      <c r="R19" s="2353"/>
      <c r="S19" s="2353">
        <v>1</v>
      </c>
      <c r="T19" s="2353"/>
      <c r="U19" s="2353"/>
      <c r="V19" s="2353"/>
      <c r="W19" s="2353"/>
      <c r="X19" s="2353"/>
      <c r="Y19" s="2353"/>
      <c r="Z19" s="2353"/>
      <c r="AA19" s="2353"/>
      <c r="AB19" s="2353"/>
      <c r="AC19" s="2353"/>
      <c r="AD19" s="2353" t="s">
        <v>1647</v>
      </c>
      <c r="AE19" s="2353"/>
      <c r="AF19" s="2353"/>
      <c r="AG19" s="2353"/>
      <c r="AH19" s="2353"/>
      <c r="AI19" s="2353"/>
      <c r="AJ19" s="2353"/>
      <c r="AK19" s="2353"/>
      <c r="AL19" s="2408" t="s">
        <v>1648</v>
      </c>
      <c r="AM19" s="2353"/>
      <c r="AN19" s="2353"/>
      <c r="AO19" s="2353"/>
      <c r="AP19" s="2353"/>
      <c r="AQ19" s="2353"/>
      <c r="AR19" s="2408" t="s">
        <v>4856</v>
      </c>
      <c r="AS19" s="2408"/>
      <c r="AT19" s="2408"/>
      <c r="AU19" s="2408" t="s">
        <v>4859</v>
      </c>
      <c r="AV19" s="2408" t="s">
        <v>2454</v>
      </c>
      <c r="AW19" s="2408" t="s">
        <v>4179</v>
      </c>
      <c r="AX19" s="2408" t="s">
        <v>4180</v>
      </c>
      <c r="AY19" s="2408" t="s">
        <v>4181</v>
      </c>
      <c r="AZ19" s="2408" t="s">
        <v>4182</v>
      </c>
      <c r="BA19" s="2409"/>
      <c r="BB19" s="2408"/>
      <c r="BC19" s="2353" t="s">
        <v>3235</v>
      </c>
      <c r="BD19" s="2408"/>
      <c r="BE19" s="2408"/>
      <c r="BF19" s="2408"/>
      <c r="BG19" s="2408"/>
      <c r="BH19" s="2408"/>
      <c r="BI19" s="2408"/>
      <c r="BJ19" s="2408"/>
      <c r="BK19" s="2408"/>
      <c r="BL19" s="2408"/>
      <c r="BM19" s="2408"/>
      <c r="BN19" s="2408"/>
      <c r="BO19" s="2408"/>
      <c r="BP19" s="2408"/>
      <c r="BQ19" s="2408"/>
      <c r="BR19" s="2408"/>
      <c r="BS19" s="2408"/>
      <c r="BT19" s="2408"/>
      <c r="BU19" s="2408"/>
      <c r="BV19" s="2408"/>
      <c r="BW19" s="2408"/>
      <c r="BX19" s="2408"/>
      <c r="BY19" s="2408"/>
      <c r="BZ19" s="2788"/>
      <c r="CA19" s="2788"/>
      <c r="CB19" s="2788"/>
      <c r="CC19" s="2788"/>
      <c r="CD19" s="2408"/>
      <c r="CE19" s="2408"/>
      <c r="CF19" s="2408"/>
      <c r="CG19" s="2408"/>
      <c r="CH19" s="2408"/>
      <c r="CI19" s="2408"/>
      <c r="CJ19" s="2408"/>
      <c r="CK19" s="2408"/>
      <c r="CL19" s="2408"/>
      <c r="CM19" s="2408"/>
      <c r="CN19" s="2408"/>
      <c r="CO19" s="2408"/>
      <c r="CP19" s="2408"/>
      <c r="CQ19" s="2408"/>
      <c r="CR19" s="2408"/>
      <c r="CS19" s="2408"/>
      <c r="CT19" s="2408"/>
      <c r="CU19" s="2408"/>
      <c r="CV19" s="2409" t="s">
        <v>4909</v>
      </c>
      <c r="CW19" s="2353" t="s">
        <v>2007</v>
      </c>
      <c r="CX19" s="2407"/>
      <c r="CY19" s="2490"/>
    </row>
    <row r="20" spans="2:105" ht="18" x14ac:dyDescent="0.25">
      <c r="B20" s="2489">
        <v>17</v>
      </c>
      <c r="C20" s="2406" t="s">
        <v>239</v>
      </c>
      <c r="D20" s="2407" t="s">
        <v>5852</v>
      </c>
      <c r="E20" s="2353"/>
      <c r="F20" s="2353"/>
      <c r="G20" s="2353"/>
      <c r="H20" s="2353"/>
      <c r="I20" s="2353"/>
      <c r="J20" s="2353"/>
      <c r="K20" s="2353"/>
      <c r="L20" s="2353"/>
      <c r="M20" s="2353"/>
      <c r="N20" s="2408" t="s">
        <v>5859</v>
      </c>
      <c r="O20" s="2408" t="s">
        <v>5865</v>
      </c>
      <c r="P20" s="2353"/>
      <c r="Q20" s="2353"/>
      <c r="R20" s="2353"/>
      <c r="S20" s="2353">
        <v>1</v>
      </c>
      <c r="T20" s="2353"/>
      <c r="U20" s="2353"/>
      <c r="V20" s="2353"/>
      <c r="W20" s="2353"/>
      <c r="X20" s="2353"/>
      <c r="Y20" s="2353"/>
      <c r="Z20" s="2353"/>
      <c r="AA20" s="2353"/>
      <c r="AB20" s="2353"/>
      <c r="AC20" s="2353"/>
      <c r="AD20" s="2353" t="s">
        <v>1647</v>
      </c>
      <c r="AE20" s="2408" t="s">
        <v>4844</v>
      </c>
      <c r="AF20" s="2408"/>
      <c r="AG20" s="2408" t="s">
        <v>4850</v>
      </c>
      <c r="AH20" s="2353"/>
      <c r="AI20" s="2353"/>
      <c r="AJ20" s="2353"/>
      <c r="AK20" s="2353"/>
      <c r="AL20" s="2408" t="s">
        <v>1648</v>
      </c>
      <c r="AM20" s="2353"/>
      <c r="AN20" s="2353"/>
      <c r="AO20" s="2353"/>
      <c r="AP20" s="2353"/>
      <c r="AQ20" s="2353"/>
      <c r="AR20" s="2408"/>
      <c r="AS20" s="2408"/>
      <c r="AT20" s="2408"/>
      <c r="AU20" s="2408" t="s">
        <v>4860</v>
      </c>
      <c r="AV20" s="2408" t="s">
        <v>2454</v>
      </c>
      <c r="AW20" s="2408" t="s">
        <v>4179</v>
      </c>
      <c r="AX20" s="2408" t="s">
        <v>4180</v>
      </c>
      <c r="AY20" s="2408" t="s">
        <v>4181</v>
      </c>
      <c r="AZ20" s="2408" t="s">
        <v>4182</v>
      </c>
      <c r="BA20" s="2409"/>
      <c r="BB20" s="2408"/>
      <c r="BC20" s="2353" t="s">
        <v>3235</v>
      </c>
      <c r="BD20" s="2408"/>
      <c r="BE20" s="2408"/>
      <c r="BF20" s="2408"/>
      <c r="BG20" s="2408"/>
      <c r="BH20" s="2408"/>
      <c r="BI20" s="2408"/>
      <c r="BJ20" s="2408"/>
      <c r="BK20" s="2408"/>
      <c r="BL20" s="2408"/>
      <c r="BM20" s="2408"/>
      <c r="BN20" s="2408"/>
      <c r="BO20" s="2408"/>
      <c r="BP20" s="2408"/>
      <c r="BQ20" s="2408"/>
      <c r="BR20" s="2408"/>
      <c r="BS20" s="2408"/>
      <c r="BT20" s="2408"/>
      <c r="BU20" s="2408"/>
      <c r="BV20" s="2408"/>
      <c r="BW20" s="2408"/>
      <c r="BX20" s="2408"/>
      <c r="BY20" s="2408"/>
      <c r="BZ20" s="2788"/>
      <c r="CA20" s="2788"/>
      <c r="CB20" s="2788"/>
      <c r="CC20" s="2788"/>
      <c r="CD20" s="2408"/>
      <c r="CE20" s="2408"/>
      <c r="CF20" s="2408"/>
      <c r="CG20" s="2408"/>
      <c r="CH20" s="2408"/>
      <c r="CI20" s="2408"/>
      <c r="CJ20" s="2408"/>
      <c r="CK20" s="2408"/>
      <c r="CL20" s="2408"/>
      <c r="CM20" s="2408"/>
      <c r="CN20" s="2408"/>
      <c r="CO20" s="2408"/>
      <c r="CP20" s="2408"/>
      <c r="CQ20" s="2408"/>
      <c r="CR20" s="2408"/>
      <c r="CS20" s="2408"/>
      <c r="CT20" s="2408"/>
      <c r="CU20" s="2408"/>
      <c r="CV20" s="2409" t="s">
        <v>4910</v>
      </c>
      <c r="CW20" s="2353" t="s">
        <v>2007</v>
      </c>
      <c r="CX20" s="2407"/>
      <c r="CY20" s="2490"/>
    </row>
    <row r="21" spans="2:105" ht="18" x14ac:dyDescent="0.25">
      <c r="B21" s="2489">
        <v>18</v>
      </c>
      <c r="C21" s="2406" t="s">
        <v>240</v>
      </c>
      <c r="D21" s="2407" t="s">
        <v>5853</v>
      </c>
      <c r="E21" s="2353"/>
      <c r="F21" s="2353"/>
      <c r="G21" s="2353"/>
      <c r="H21" s="2353"/>
      <c r="I21" s="2353"/>
      <c r="J21" s="2353"/>
      <c r="K21" s="2353"/>
      <c r="L21" s="2353"/>
      <c r="M21" s="2353"/>
      <c r="N21" s="2408" t="s">
        <v>5859</v>
      </c>
      <c r="O21" s="2408" t="s">
        <v>5865</v>
      </c>
      <c r="P21" s="2353"/>
      <c r="Q21" s="2353"/>
      <c r="R21" s="2353"/>
      <c r="S21" s="2353">
        <v>1</v>
      </c>
      <c r="T21" s="2353"/>
      <c r="U21" s="2353"/>
      <c r="V21" s="2353"/>
      <c r="W21" s="2353"/>
      <c r="X21" s="2353"/>
      <c r="Y21" s="2353"/>
      <c r="Z21" s="2353"/>
      <c r="AA21" s="2353"/>
      <c r="AB21" s="2353"/>
      <c r="AC21" s="2353"/>
      <c r="AD21" s="2353" t="s">
        <v>1647</v>
      </c>
      <c r="AE21" s="2408" t="s">
        <v>4845</v>
      </c>
      <c r="AF21" s="2408" t="s">
        <v>4848</v>
      </c>
      <c r="AG21" s="2408"/>
      <c r="AH21" s="2353"/>
      <c r="AI21" s="2353"/>
      <c r="AJ21" s="2353"/>
      <c r="AK21" s="2353"/>
      <c r="AL21" s="2408" t="s">
        <v>1648</v>
      </c>
      <c r="AM21" s="2353"/>
      <c r="AN21" s="2353"/>
      <c r="AO21" s="2353"/>
      <c r="AP21" s="2353"/>
      <c r="AQ21" s="2353"/>
      <c r="AR21" s="2353"/>
      <c r="AS21" s="2353"/>
      <c r="AT21" s="2353"/>
      <c r="AU21" s="2408" t="s">
        <v>4860</v>
      </c>
      <c r="AV21" s="2408" t="s">
        <v>2454</v>
      </c>
      <c r="AW21" s="2408" t="s">
        <v>4179</v>
      </c>
      <c r="AX21" s="2408" t="s">
        <v>4180</v>
      </c>
      <c r="AY21" s="2408" t="s">
        <v>4181</v>
      </c>
      <c r="AZ21" s="2408" t="s">
        <v>4182</v>
      </c>
      <c r="BA21" s="2409"/>
      <c r="BB21" s="2408"/>
      <c r="BC21" s="2353" t="s">
        <v>3235</v>
      </c>
      <c r="BD21" s="2408"/>
      <c r="BE21" s="2408"/>
      <c r="BF21" s="2408"/>
      <c r="BG21" s="2408"/>
      <c r="BH21" s="2408"/>
      <c r="BI21" s="2408"/>
      <c r="BJ21" s="2408"/>
      <c r="BK21" s="2408"/>
      <c r="BL21" s="2408"/>
      <c r="BM21" s="2408"/>
      <c r="BN21" s="2408"/>
      <c r="BO21" s="2408"/>
      <c r="BP21" s="2408"/>
      <c r="BQ21" s="2408"/>
      <c r="BR21" s="2408"/>
      <c r="BS21" s="2408"/>
      <c r="BT21" s="2408"/>
      <c r="BU21" s="2408"/>
      <c r="BV21" s="2408"/>
      <c r="BW21" s="2408"/>
      <c r="BX21" s="2408"/>
      <c r="BY21" s="2408"/>
      <c r="BZ21" s="2788"/>
      <c r="CA21" s="2788"/>
      <c r="CB21" s="2788"/>
      <c r="CC21" s="2788"/>
      <c r="CD21" s="2408"/>
      <c r="CE21" s="2408"/>
      <c r="CF21" s="2408"/>
      <c r="CG21" s="2408"/>
      <c r="CH21" s="2408"/>
      <c r="CI21" s="2408"/>
      <c r="CJ21" s="2408"/>
      <c r="CK21" s="2408"/>
      <c r="CL21" s="2408"/>
      <c r="CM21" s="2408"/>
      <c r="CN21" s="2408"/>
      <c r="CO21" s="2408"/>
      <c r="CP21" s="2408"/>
      <c r="CQ21" s="2408"/>
      <c r="CR21" s="2408"/>
      <c r="CS21" s="2408"/>
      <c r="CT21" s="2408"/>
      <c r="CU21" s="2408"/>
      <c r="CV21" s="2409" t="s">
        <v>4911</v>
      </c>
      <c r="CW21" s="2353" t="s">
        <v>2007</v>
      </c>
      <c r="CX21" s="2407"/>
      <c r="CY21" s="2491"/>
    </row>
    <row r="22" spans="2:105" ht="18" x14ac:dyDescent="0.25">
      <c r="B22" s="2489">
        <v>19</v>
      </c>
      <c r="C22" s="2406" t="s">
        <v>241</v>
      </c>
      <c r="D22" s="2407" t="s">
        <v>4877</v>
      </c>
      <c r="E22" s="2407"/>
      <c r="F22" s="2407"/>
      <c r="G22" s="2407"/>
      <c r="H22" s="2407"/>
      <c r="I22" s="2407"/>
      <c r="J22" s="2407"/>
      <c r="K22" s="2407"/>
      <c r="L22" s="2407"/>
      <c r="M22" s="2407"/>
      <c r="N22" s="2409"/>
      <c r="O22" s="2409"/>
      <c r="P22" s="2407"/>
      <c r="Q22" s="2407"/>
      <c r="R22" s="2407"/>
      <c r="S22" s="2408" t="s">
        <v>4840</v>
      </c>
      <c r="T22" s="2353"/>
      <c r="U22" s="2353"/>
      <c r="V22" s="2353"/>
      <c r="W22" s="2353"/>
      <c r="X22" s="2353"/>
      <c r="Y22" s="2353"/>
      <c r="Z22" s="2353"/>
      <c r="AA22" s="2353"/>
      <c r="AB22" s="2353"/>
      <c r="AC22" s="2353"/>
      <c r="AD22" s="2353" t="s">
        <v>4842</v>
      </c>
      <c r="AE22" s="2409"/>
      <c r="AF22" s="2409"/>
      <c r="AG22" s="2407"/>
      <c r="AH22" s="2407"/>
      <c r="AI22" s="2407"/>
      <c r="AJ22" s="2407"/>
      <c r="AK22" s="2407"/>
      <c r="AL22" s="2408" t="s">
        <v>4852</v>
      </c>
      <c r="AM22" s="2353">
        <v>1</v>
      </c>
      <c r="AN22" s="2407"/>
      <c r="AO22" s="2407"/>
      <c r="AP22" s="2407"/>
      <c r="AQ22" s="2407"/>
      <c r="AR22" s="2408" t="s">
        <v>4840</v>
      </c>
      <c r="AS22" s="2407"/>
      <c r="AT22" s="2407"/>
      <c r="AU22" s="2408" t="s">
        <v>4861</v>
      </c>
      <c r="AV22" s="2408" t="s">
        <v>4862</v>
      </c>
      <c r="AW22" s="2408" t="s">
        <v>4866</v>
      </c>
      <c r="AX22" s="2408" t="s">
        <v>4867</v>
      </c>
      <c r="AY22" s="2408" t="s">
        <v>4868</v>
      </c>
      <c r="AZ22" s="2408" t="s">
        <v>4869</v>
      </c>
      <c r="BA22" s="2408" t="s">
        <v>4348</v>
      </c>
      <c r="BB22" s="2408"/>
      <c r="BC22" s="2353" t="s">
        <v>4875</v>
      </c>
      <c r="BD22" s="2408"/>
      <c r="BE22" s="2408"/>
      <c r="BF22" s="2408"/>
      <c r="BG22" s="2408"/>
      <c r="BH22" s="2408"/>
      <c r="BI22" s="2408"/>
      <c r="BJ22" s="2408"/>
      <c r="BK22" s="2408"/>
      <c r="BL22" s="2408"/>
      <c r="BM22" s="2408"/>
      <c r="BN22" s="2408"/>
      <c r="BO22" s="2408"/>
      <c r="BP22" s="2408"/>
      <c r="BQ22" s="2408"/>
      <c r="BR22" s="2408"/>
      <c r="BS22" s="2408"/>
      <c r="BT22" s="2408"/>
      <c r="BU22" s="2408"/>
      <c r="BV22" s="2408"/>
      <c r="BW22" s="2408"/>
      <c r="BX22" s="2408"/>
      <c r="BY22" s="2408"/>
      <c r="BZ22" s="2788"/>
      <c r="CA22" s="2788"/>
      <c r="CB22" s="2788"/>
      <c r="CC22" s="2788"/>
      <c r="CD22" s="2408"/>
      <c r="CE22" s="2408"/>
      <c r="CF22" s="2408"/>
      <c r="CG22" s="2408"/>
      <c r="CH22" s="2408"/>
      <c r="CI22" s="2408"/>
      <c r="CJ22" s="2408"/>
      <c r="CK22" s="2408"/>
      <c r="CL22" s="2408"/>
      <c r="CM22" s="2408"/>
      <c r="CN22" s="2408"/>
      <c r="CO22" s="2408"/>
      <c r="CP22" s="2408"/>
      <c r="CQ22" s="2408"/>
      <c r="CR22" s="2408"/>
      <c r="CS22" s="2408"/>
      <c r="CT22" s="2408"/>
      <c r="CU22" s="2408"/>
      <c r="CV22" s="2409" t="s">
        <v>4928</v>
      </c>
      <c r="CW22" s="2353" t="s">
        <v>3280</v>
      </c>
      <c r="CX22" s="2407"/>
      <c r="CY22" s="2491"/>
    </row>
    <row r="23" spans="2:105" ht="18" x14ac:dyDescent="0.25">
      <c r="B23" s="2489">
        <v>20</v>
      </c>
      <c r="C23" s="2406" t="s">
        <v>242</v>
      </c>
      <c r="D23" s="2407" t="s">
        <v>4878</v>
      </c>
      <c r="E23" s="2407"/>
      <c r="F23" s="2407"/>
      <c r="G23" s="2407"/>
      <c r="H23" s="2407"/>
      <c r="I23" s="2407"/>
      <c r="J23" s="2407"/>
      <c r="K23" s="2407"/>
      <c r="L23" s="2407"/>
      <c r="M23" s="2407"/>
      <c r="N23" s="2409"/>
      <c r="O23" s="2409"/>
      <c r="P23" s="2407"/>
      <c r="Q23" s="2407"/>
      <c r="R23" s="2407"/>
      <c r="S23" s="2408" t="s">
        <v>4841</v>
      </c>
      <c r="T23" s="2353"/>
      <c r="U23" s="2353"/>
      <c r="V23" s="2353"/>
      <c r="W23" s="2353"/>
      <c r="X23" s="2353"/>
      <c r="Y23" s="2353"/>
      <c r="Z23" s="2353"/>
      <c r="AA23" s="2353"/>
      <c r="AB23" s="2353"/>
      <c r="AC23" s="2353"/>
      <c r="AD23" s="2353" t="s">
        <v>4843</v>
      </c>
      <c r="AE23" s="2408" t="s">
        <v>4846</v>
      </c>
      <c r="AF23" s="2408"/>
      <c r="AG23" s="2408" t="s">
        <v>4851</v>
      </c>
      <c r="AH23" s="2407"/>
      <c r="AI23" s="2407"/>
      <c r="AJ23" s="2407"/>
      <c r="AK23" s="2407"/>
      <c r="AL23" s="2408" t="s">
        <v>4853</v>
      </c>
      <c r="AM23" s="2353">
        <v>1</v>
      </c>
      <c r="AN23" s="2407"/>
      <c r="AO23" s="2407"/>
      <c r="AP23" s="2407"/>
      <c r="AQ23" s="2407"/>
      <c r="AR23" s="2407"/>
      <c r="AS23" s="2407"/>
      <c r="AT23" s="2407"/>
      <c r="AU23" s="2408" t="s">
        <v>4863</v>
      </c>
      <c r="AV23" s="2408" t="s">
        <v>4864</v>
      </c>
      <c r="AW23" s="2408" t="s">
        <v>4870</v>
      </c>
      <c r="AX23" s="2408" t="s">
        <v>4871</v>
      </c>
      <c r="AY23" s="2408" t="s">
        <v>4872</v>
      </c>
      <c r="AZ23" s="2408" t="s">
        <v>4873</v>
      </c>
      <c r="BA23" s="2408" t="s">
        <v>4348</v>
      </c>
      <c r="BB23" s="2408"/>
      <c r="BC23" s="2353" t="s">
        <v>4876</v>
      </c>
      <c r="BD23" s="2408"/>
      <c r="BE23" s="2408"/>
      <c r="BF23" s="2408"/>
      <c r="BG23" s="2408"/>
      <c r="BH23" s="2408"/>
      <c r="BI23" s="2408"/>
      <c r="BJ23" s="2408"/>
      <c r="BK23" s="2408"/>
      <c r="BL23" s="2408"/>
      <c r="BM23" s="2408"/>
      <c r="BN23" s="2408"/>
      <c r="BO23" s="2408"/>
      <c r="BP23" s="2408"/>
      <c r="BQ23" s="2408"/>
      <c r="BR23" s="2408"/>
      <c r="BS23" s="2408"/>
      <c r="BT23" s="2408"/>
      <c r="BU23" s="2408"/>
      <c r="BV23" s="2408"/>
      <c r="BW23" s="2408"/>
      <c r="BX23" s="2408"/>
      <c r="BY23" s="2408"/>
      <c r="BZ23" s="2788"/>
      <c r="CA23" s="2788"/>
      <c r="CB23" s="2788"/>
      <c r="CC23" s="2788"/>
      <c r="CD23" s="2408"/>
      <c r="CE23" s="2408"/>
      <c r="CF23" s="2408"/>
      <c r="CG23" s="2408"/>
      <c r="CH23" s="2408"/>
      <c r="CI23" s="2408"/>
      <c r="CJ23" s="2408"/>
      <c r="CK23" s="2408"/>
      <c r="CL23" s="2408"/>
      <c r="CM23" s="2408"/>
      <c r="CN23" s="2408"/>
      <c r="CO23" s="2408"/>
      <c r="CP23" s="2408"/>
      <c r="CQ23" s="2408"/>
      <c r="CR23" s="2408"/>
      <c r="CS23" s="2408"/>
      <c r="CT23" s="2408"/>
      <c r="CU23" s="2408"/>
      <c r="CV23" s="2409" t="s">
        <v>4929</v>
      </c>
      <c r="CW23" s="2353" t="s">
        <v>3280</v>
      </c>
      <c r="CX23" s="2407"/>
      <c r="CY23" s="2491"/>
    </row>
    <row r="24" spans="2:105" ht="18" x14ac:dyDescent="0.25">
      <c r="B24" s="2489">
        <v>21</v>
      </c>
      <c r="C24" s="2406" t="s">
        <v>243</v>
      </c>
      <c r="D24" s="2407" t="s">
        <v>4879</v>
      </c>
      <c r="E24" s="2407"/>
      <c r="F24" s="2407"/>
      <c r="G24" s="2407"/>
      <c r="H24" s="2407"/>
      <c r="I24" s="2407"/>
      <c r="J24" s="2407"/>
      <c r="K24" s="2407"/>
      <c r="L24" s="2407"/>
      <c r="M24" s="2407"/>
      <c r="N24" s="2409"/>
      <c r="O24" s="2409"/>
      <c r="P24" s="2407"/>
      <c r="Q24" s="2407"/>
      <c r="R24" s="2407"/>
      <c r="S24" s="2408" t="s">
        <v>4841</v>
      </c>
      <c r="T24" s="2353"/>
      <c r="U24" s="2353"/>
      <c r="V24" s="2353"/>
      <c r="W24" s="2353"/>
      <c r="X24" s="2353"/>
      <c r="Y24" s="2353"/>
      <c r="Z24" s="2353"/>
      <c r="AA24" s="2353"/>
      <c r="AB24" s="2353"/>
      <c r="AC24" s="2353"/>
      <c r="AD24" s="2353" t="s">
        <v>4843</v>
      </c>
      <c r="AE24" s="2408" t="s">
        <v>4847</v>
      </c>
      <c r="AF24" s="2408" t="s">
        <v>4849</v>
      </c>
      <c r="AG24" s="2407"/>
      <c r="AH24" s="2407"/>
      <c r="AI24" s="2407"/>
      <c r="AJ24" s="2407"/>
      <c r="AK24" s="2407"/>
      <c r="AL24" s="2408" t="s">
        <v>4853</v>
      </c>
      <c r="AM24" s="2353">
        <v>1</v>
      </c>
      <c r="AN24" s="2407"/>
      <c r="AO24" s="2407"/>
      <c r="AP24" s="2407"/>
      <c r="AQ24" s="2407"/>
      <c r="AR24" s="2407"/>
      <c r="AS24" s="2407"/>
      <c r="AT24" s="2407"/>
      <c r="AU24" s="2408" t="s">
        <v>4863</v>
      </c>
      <c r="AV24" s="2408" t="s">
        <v>4864</v>
      </c>
      <c r="AW24" s="2408" t="s">
        <v>4870</v>
      </c>
      <c r="AX24" s="2408" t="s">
        <v>4871</v>
      </c>
      <c r="AY24" s="2408" t="s">
        <v>4872</v>
      </c>
      <c r="AZ24" s="2408" t="s">
        <v>4873</v>
      </c>
      <c r="BA24" s="2408" t="s">
        <v>4348</v>
      </c>
      <c r="BB24" s="2408"/>
      <c r="BC24" s="2353" t="s">
        <v>4876</v>
      </c>
      <c r="BD24" s="2408"/>
      <c r="BE24" s="2408"/>
      <c r="BF24" s="2408"/>
      <c r="BG24" s="2408"/>
      <c r="BH24" s="2408"/>
      <c r="BI24" s="2408"/>
      <c r="BJ24" s="2408"/>
      <c r="BK24" s="2408"/>
      <c r="BL24" s="2408"/>
      <c r="BM24" s="2408"/>
      <c r="BN24" s="2408"/>
      <c r="BO24" s="2408"/>
      <c r="BP24" s="2408"/>
      <c r="BQ24" s="2408"/>
      <c r="BR24" s="2408"/>
      <c r="BS24" s="2408"/>
      <c r="BT24" s="2408"/>
      <c r="BU24" s="2408"/>
      <c r="BV24" s="2408"/>
      <c r="BW24" s="2408"/>
      <c r="BX24" s="2408"/>
      <c r="BY24" s="2408"/>
      <c r="BZ24" s="2788"/>
      <c r="CA24" s="2788"/>
      <c r="CB24" s="2788"/>
      <c r="CC24" s="2788"/>
      <c r="CD24" s="2408"/>
      <c r="CE24" s="2408"/>
      <c r="CF24" s="2408"/>
      <c r="CG24" s="2408"/>
      <c r="CH24" s="2408"/>
      <c r="CI24" s="2408"/>
      <c r="CJ24" s="2408"/>
      <c r="CK24" s="2408"/>
      <c r="CL24" s="2408"/>
      <c r="CM24" s="2408"/>
      <c r="CN24" s="2408"/>
      <c r="CO24" s="2408"/>
      <c r="CP24" s="2408"/>
      <c r="CQ24" s="2408"/>
      <c r="CR24" s="2408"/>
      <c r="CS24" s="2408"/>
      <c r="CT24" s="2408"/>
      <c r="CU24" s="2408"/>
      <c r="CV24" s="2409" t="s">
        <v>4930</v>
      </c>
      <c r="CW24" s="2353" t="s">
        <v>3280</v>
      </c>
      <c r="CX24" s="2407"/>
      <c r="CY24" s="2491"/>
    </row>
    <row r="25" spans="2:105" ht="18" x14ac:dyDescent="0.25">
      <c r="B25" s="2489">
        <v>22</v>
      </c>
      <c r="C25" s="2406" t="s">
        <v>244</v>
      </c>
      <c r="D25" s="2407" t="s">
        <v>1659</v>
      </c>
      <c r="E25" s="2353"/>
      <c r="F25" s="2353"/>
      <c r="G25" s="2353"/>
      <c r="H25" s="2353"/>
      <c r="I25" s="2353"/>
      <c r="J25" s="2353"/>
      <c r="K25" s="2353"/>
      <c r="L25" s="2353"/>
      <c r="M25" s="2353"/>
      <c r="N25" s="2408" t="s">
        <v>5862</v>
      </c>
      <c r="O25" s="2408"/>
      <c r="P25" s="2353"/>
      <c r="Q25" s="2353"/>
      <c r="R25" s="2353"/>
      <c r="S25" s="2353">
        <v>1</v>
      </c>
      <c r="T25" s="2353"/>
      <c r="U25" s="2353"/>
      <c r="V25" s="2353"/>
      <c r="W25" s="2353"/>
      <c r="X25" s="2353"/>
      <c r="Y25" s="2353"/>
      <c r="Z25" s="2353"/>
      <c r="AA25" s="2353"/>
      <c r="AB25" s="2353"/>
      <c r="AC25" s="2353"/>
      <c r="AD25" s="2353" t="s">
        <v>1647</v>
      </c>
      <c r="AE25" s="2353"/>
      <c r="AF25" s="2353"/>
      <c r="AG25" s="2353"/>
      <c r="AH25" s="2353"/>
      <c r="AI25" s="2353"/>
      <c r="AJ25" s="2353"/>
      <c r="AK25" s="2353"/>
      <c r="AL25" s="2408"/>
      <c r="AM25" s="2408" t="s">
        <v>1648</v>
      </c>
      <c r="AN25" s="2353"/>
      <c r="AO25" s="2353"/>
      <c r="AP25" s="2353"/>
      <c r="AQ25" s="2353"/>
      <c r="AR25" s="2408" t="s">
        <v>5872</v>
      </c>
      <c r="AS25" s="2408"/>
      <c r="AT25" s="2408"/>
      <c r="AU25" s="2408" t="s">
        <v>5874</v>
      </c>
      <c r="AV25" s="2408" t="s">
        <v>2454</v>
      </c>
      <c r="AW25" s="2408" t="s">
        <v>4179</v>
      </c>
      <c r="AX25" s="2408" t="s">
        <v>4180</v>
      </c>
      <c r="AY25" s="2408" t="s">
        <v>4187</v>
      </c>
      <c r="AZ25" s="2408" t="s">
        <v>4188</v>
      </c>
      <c r="BA25" s="2408" t="s">
        <v>1660</v>
      </c>
      <c r="BB25" s="2408"/>
      <c r="BC25" s="2408" t="s">
        <v>3235</v>
      </c>
      <c r="BD25" s="2408"/>
      <c r="BE25" s="2408"/>
      <c r="BF25" s="2408"/>
      <c r="BG25" s="2408"/>
      <c r="BH25" s="2408"/>
      <c r="BI25" s="2408"/>
      <c r="BJ25" s="2408"/>
      <c r="BK25" s="2408"/>
      <c r="BL25" s="2408"/>
      <c r="BM25" s="2408"/>
      <c r="BN25" s="2408"/>
      <c r="BO25" s="2408"/>
      <c r="BP25" s="2408"/>
      <c r="BQ25" s="2408"/>
      <c r="BR25" s="2408"/>
      <c r="BS25" s="2408"/>
      <c r="BT25" s="2408"/>
      <c r="BU25" s="2408"/>
      <c r="BV25" s="2408"/>
      <c r="BW25" s="2408"/>
      <c r="BX25" s="2408"/>
      <c r="BY25" s="2408"/>
      <c r="BZ25" s="2788"/>
      <c r="CA25" s="2788"/>
      <c r="CB25" s="2788"/>
      <c r="CC25" s="2788"/>
      <c r="CD25" s="2408"/>
      <c r="CE25" s="2408"/>
      <c r="CF25" s="2408"/>
      <c r="CG25" s="2408"/>
      <c r="CH25" s="2408"/>
      <c r="CI25" s="2408"/>
      <c r="CJ25" s="2408"/>
      <c r="CK25" s="2408"/>
      <c r="CL25" s="2408"/>
      <c r="CM25" s="2408"/>
      <c r="CN25" s="2408"/>
      <c r="CO25" s="2408"/>
      <c r="CP25" s="2408"/>
      <c r="CQ25" s="2408"/>
      <c r="CR25" s="2408"/>
      <c r="CS25" s="2408"/>
      <c r="CT25" s="2408"/>
      <c r="CU25" s="2408"/>
      <c r="CV25" s="2409" t="s">
        <v>4880</v>
      </c>
      <c r="CW25" s="2353" t="s">
        <v>2007</v>
      </c>
      <c r="CX25" s="2407"/>
      <c r="CY25" s="2491"/>
      <c r="DA25" s="74"/>
    </row>
    <row r="26" spans="2:105" ht="18" x14ac:dyDescent="0.25">
      <c r="B26" s="2489">
        <v>23</v>
      </c>
      <c r="C26" s="2406" t="s">
        <v>245</v>
      </c>
      <c r="D26" s="2407" t="s">
        <v>2229</v>
      </c>
      <c r="E26" s="2353"/>
      <c r="F26" s="2353"/>
      <c r="G26" s="2353"/>
      <c r="H26" s="2353"/>
      <c r="I26" s="2353"/>
      <c r="J26" s="2353"/>
      <c r="K26" s="2353"/>
      <c r="L26" s="2353"/>
      <c r="M26" s="2353"/>
      <c r="N26" s="2408" t="s">
        <v>5863</v>
      </c>
      <c r="O26" s="2408"/>
      <c r="P26" s="2353"/>
      <c r="Q26" s="2353"/>
      <c r="R26" s="2353"/>
      <c r="S26" s="2353">
        <v>1</v>
      </c>
      <c r="T26" s="2353"/>
      <c r="U26" s="2353"/>
      <c r="V26" s="2353"/>
      <c r="W26" s="2353"/>
      <c r="X26" s="2353"/>
      <c r="Y26" s="2353"/>
      <c r="Z26" s="2353"/>
      <c r="AA26" s="2353"/>
      <c r="AB26" s="2353"/>
      <c r="AC26" s="2353"/>
      <c r="AD26" s="2353" t="s">
        <v>1647</v>
      </c>
      <c r="AE26" s="2408" t="s">
        <v>5868</v>
      </c>
      <c r="AF26" s="2408"/>
      <c r="AG26" s="2408" t="s">
        <v>5871</v>
      </c>
      <c r="AH26" s="2353"/>
      <c r="AI26" s="2353"/>
      <c r="AJ26" s="2353"/>
      <c r="AK26" s="2353"/>
      <c r="AL26" s="2408"/>
      <c r="AM26" s="2408" t="s">
        <v>1648</v>
      </c>
      <c r="AN26" s="2353"/>
      <c r="AO26" s="2353"/>
      <c r="AP26" s="2353"/>
      <c r="AQ26" s="2353"/>
      <c r="AR26" s="2408"/>
      <c r="AS26" s="2408"/>
      <c r="AT26" s="2408"/>
      <c r="AU26" s="2408" t="s">
        <v>5875</v>
      </c>
      <c r="AV26" s="2408" t="s">
        <v>2454</v>
      </c>
      <c r="AW26" s="2408" t="s">
        <v>4179</v>
      </c>
      <c r="AX26" s="2408" t="s">
        <v>4180</v>
      </c>
      <c r="AY26" s="2408" t="s">
        <v>4187</v>
      </c>
      <c r="AZ26" s="2408" t="s">
        <v>4188</v>
      </c>
      <c r="BA26" s="2408" t="s">
        <v>1660</v>
      </c>
      <c r="BB26" s="2408"/>
      <c r="BC26" s="2408" t="s">
        <v>3235</v>
      </c>
      <c r="BD26" s="2408"/>
      <c r="BE26" s="2408"/>
      <c r="BF26" s="2408"/>
      <c r="BG26" s="2408"/>
      <c r="BH26" s="2408"/>
      <c r="BI26" s="2408"/>
      <c r="BJ26" s="2408"/>
      <c r="BK26" s="2408"/>
      <c r="BL26" s="2408"/>
      <c r="BM26" s="2408"/>
      <c r="BN26" s="2408"/>
      <c r="BO26" s="2408"/>
      <c r="BP26" s="2408"/>
      <c r="BQ26" s="2408"/>
      <c r="BR26" s="2408"/>
      <c r="BS26" s="2408"/>
      <c r="BT26" s="2408"/>
      <c r="BU26" s="2408"/>
      <c r="BV26" s="2408"/>
      <c r="BW26" s="2408"/>
      <c r="BX26" s="2408"/>
      <c r="BY26" s="2408"/>
      <c r="BZ26" s="2788"/>
      <c r="CA26" s="2788"/>
      <c r="CB26" s="2788"/>
      <c r="CC26" s="2788"/>
      <c r="CD26" s="2408"/>
      <c r="CE26" s="2408"/>
      <c r="CF26" s="2408"/>
      <c r="CG26" s="2408"/>
      <c r="CH26" s="2408"/>
      <c r="CI26" s="2408"/>
      <c r="CJ26" s="2408"/>
      <c r="CK26" s="2408"/>
      <c r="CL26" s="2408"/>
      <c r="CM26" s="2408"/>
      <c r="CN26" s="2408"/>
      <c r="CO26" s="2408"/>
      <c r="CP26" s="2408"/>
      <c r="CQ26" s="2408"/>
      <c r="CR26" s="2408"/>
      <c r="CS26" s="2408"/>
      <c r="CT26" s="2408"/>
      <c r="CU26" s="2408"/>
      <c r="CV26" s="2410" t="s">
        <v>4881</v>
      </c>
      <c r="CW26" s="2353" t="s">
        <v>2007</v>
      </c>
      <c r="CX26" s="2407"/>
      <c r="CY26" s="2491"/>
      <c r="DA26" s="74"/>
    </row>
    <row r="27" spans="2:105" ht="18" x14ac:dyDescent="0.25">
      <c r="B27" s="2489">
        <v>24</v>
      </c>
      <c r="C27" s="2406" t="s">
        <v>246</v>
      </c>
      <c r="D27" s="2407" t="s">
        <v>1661</v>
      </c>
      <c r="E27" s="2353"/>
      <c r="F27" s="2353"/>
      <c r="G27" s="2353"/>
      <c r="H27" s="2353"/>
      <c r="I27" s="2353"/>
      <c r="J27" s="2353"/>
      <c r="K27" s="2353"/>
      <c r="L27" s="2353"/>
      <c r="M27" s="2353"/>
      <c r="N27" s="2408" t="s">
        <v>5863</v>
      </c>
      <c r="O27" s="2408"/>
      <c r="P27" s="2353"/>
      <c r="Q27" s="2353"/>
      <c r="R27" s="2353"/>
      <c r="S27" s="2353">
        <v>1</v>
      </c>
      <c r="T27" s="2353"/>
      <c r="U27" s="2353"/>
      <c r="V27" s="2353"/>
      <c r="W27" s="2353"/>
      <c r="X27" s="2353"/>
      <c r="Y27" s="2353"/>
      <c r="Z27" s="2353"/>
      <c r="AA27" s="2353"/>
      <c r="AB27" s="2353"/>
      <c r="AC27" s="2353"/>
      <c r="AD27" s="2353" t="s">
        <v>1647</v>
      </c>
      <c r="AE27" s="2408" t="s">
        <v>5869</v>
      </c>
      <c r="AF27" s="2408" t="s">
        <v>5870</v>
      </c>
      <c r="AG27" s="2408"/>
      <c r="AH27" s="2353"/>
      <c r="AI27" s="2353"/>
      <c r="AJ27" s="2353"/>
      <c r="AK27" s="2353"/>
      <c r="AL27" s="2408"/>
      <c r="AM27" s="2408" t="s">
        <v>1648</v>
      </c>
      <c r="AN27" s="2353"/>
      <c r="AO27" s="2353"/>
      <c r="AP27" s="2353"/>
      <c r="AQ27" s="2353"/>
      <c r="AR27" s="2353"/>
      <c r="AS27" s="2353"/>
      <c r="AT27" s="2353"/>
      <c r="AU27" s="2408" t="s">
        <v>5875</v>
      </c>
      <c r="AV27" s="2408" t="s">
        <v>2454</v>
      </c>
      <c r="AW27" s="2408" t="s">
        <v>4179</v>
      </c>
      <c r="AX27" s="2408" t="s">
        <v>4180</v>
      </c>
      <c r="AY27" s="2408" t="s">
        <v>4187</v>
      </c>
      <c r="AZ27" s="2408" t="s">
        <v>4188</v>
      </c>
      <c r="BA27" s="2408" t="s">
        <v>1660</v>
      </c>
      <c r="BB27" s="2408"/>
      <c r="BC27" s="2408" t="s">
        <v>3235</v>
      </c>
      <c r="BD27" s="2408"/>
      <c r="BE27" s="2408"/>
      <c r="BF27" s="2408"/>
      <c r="BG27" s="2408"/>
      <c r="BH27" s="2408"/>
      <c r="BI27" s="2408"/>
      <c r="BJ27" s="2408"/>
      <c r="BK27" s="2408"/>
      <c r="BL27" s="2408"/>
      <c r="BM27" s="2408"/>
      <c r="BN27" s="2408"/>
      <c r="BO27" s="2408"/>
      <c r="BP27" s="2408"/>
      <c r="BQ27" s="2408"/>
      <c r="BR27" s="2408"/>
      <c r="BS27" s="2408"/>
      <c r="BT27" s="2408"/>
      <c r="BU27" s="2408"/>
      <c r="BV27" s="2408"/>
      <c r="BW27" s="2408"/>
      <c r="BX27" s="2408"/>
      <c r="BY27" s="2408"/>
      <c r="BZ27" s="2788"/>
      <c r="CA27" s="2788"/>
      <c r="CB27" s="2788"/>
      <c r="CC27" s="2788"/>
      <c r="CD27" s="2408"/>
      <c r="CE27" s="2408"/>
      <c r="CF27" s="2408"/>
      <c r="CG27" s="2408"/>
      <c r="CH27" s="2408"/>
      <c r="CI27" s="2408"/>
      <c r="CJ27" s="2408"/>
      <c r="CK27" s="2408"/>
      <c r="CL27" s="2408"/>
      <c r="CM27" s="2408"/>
      <c r="CN27" s="2408"/>
      <c r="CO27" s="2408"/>
      <c r="CP27" s="2408"/>
      <c r="CQ27" s="2408"/>
      <c r="CR27" s="2408"/>
      <c r="CS27" s="2408"/>
      <c r="CT27" s="2408"/>
      <c r="CU27" s="2408"/>
      <c r="CV27" s="2410" t="s">
        <v>4882</v>
      </c>
      <c r="CW27" s="2353" t="s">
        <v>2007</v>
      </c>
      <c r="CX27" s="2407"/>
      <c r="CY27" s="2491"/>
      <c r="DA27" s="74"/>
    </row>
    <row r="28" spans="2:105" ht="18" x14ac:dyDescent="0.25">
      <c r="B28" s="2489">
        <v>25</v>
      </c>
      <c r="C28" s="2406" t="s">
        <v>247</v>
      </c>
      <c r="D28" s="2407" t="s">
        <v>4886</v>
      </c>
      <c r="E28" s="2353">
        <v>-1</v>
      </c>
      <c r="F28" s="2353"/>
      <c r="G28" s="2353"/>
      <c r="H28" s="2353"/>
      <c r="I28" s="2353"/>
      <c r="J28" s="2353"/>
      <c r="K28" s="2353"/>
      <c r="L28" s="2353"/>
      <c r="M28" s="2353"/>
      <c r="N28" s="2353">
        <v>1</v>
      </c>
      <c r="O28" s="2353"/>
      <c r="P28" s="2353"/>
      <c r="Q28" s="2353"/>
      <c r="R28" s="2353"/>
      <c r="S28" s="2353"/>
      <c r="T28" s="2353"/>
      <c r="U28" s="2353"/>
      <c r="V28" s="2353"/>
      <c r="W28" s="2353"/>
      <c r="X28" s="2353"/>
      <c r="Y28" s="2353"/>
      <c r="Z28" s="2353"/>
      <c r="AA28" s="2353"/>
      <c r="AB28" s="2353"/>
      <c r="AC28" s="2353"/>
      <c r="AD28" s="2353"/>
      <c r="AE28" s="2408"/>
      <c r="AF28" s="2408"/>
      <c r="AG28" s="2408"/>
      <c r="AH28" s="2353"/>
      <c r="AI28" s="2353"/>
      <c r="AJ28" s="2353"/>
      <c r="AK28" s="2353"/>
      <c r="AL28" s="2353" t="s">
        <v>1662</v>
      </c>
      <c r="AM28" s="2408" t="s">
        <v>1663</v>
      </c>
      <c r="AN28" s="2353"/>
      <c r="AO28" s="2353"/>
      <c r="AP28" s="2353"/>
      <c r="AQ28" s="2353"/>
      <c r="AR28" s="2353"/>
      <c r="AS28" s="2353"/>
      <c r="AT28" s="2353"/>
      <c r="AU28" s="2353" t="s">
        <v>1970</v>
      </c>
      <c r="AV28" s="2353"/>
      <c r="AW28" s="2353"/>
      <c r="AX28" s="2353"/>
      <c r="AY28" s="2408" t="s">
        <v>1664</v>
      </c>
      <c r="AZ28" s="2408" t="s">
        <v>1665</v>
      </c>
      <c r="BA28" s="2408" t="s">
        <v>1666</v>
      </c>
      <c r="BB28" s="2408"/>
      <c r="BC28" s="2408"/>
      <c r="BD28" s="2408"/>
      <c r="BE28" s="2353"/>
      <c r="BF28" s="2353"/>
      <c r="BG28" s="2353"/>
      <c r="BH28" s="2353"/>
      <c r="BI28" s="2353"/>
      <c r="BJ28" s="2353"/>
      <c r="BK28" s="2353"/>
      <c r="BL28" s="2353"/>
      <c r="BM28" s="2353"/>
      <c r="BN28" s="2353"/>
      <c r="BO28" s="2353"/>
      <c r="BP28" s="2353"/>
      <c r="BQ28" s="2353"/>
      <c r="BR28" s="2353"/>
      <c r="BS28" s="2353"/>
      <c r="BT28" s="2353"/>
      <c r="BU28" s="2353"/>
      <c r="BV28" s="2353"/>
      <c r="BW28" s="2353"/>
      <c r="BX28" s="2353"/>
      <c r="BY28" s="2353"/>
      <c r="BZ28" s="2789"/>
      <c r="CA28" s="2789"/>
      <c r="CB28" s="2789"/>
      <c r="CC28" s="2789"/>
      <c r="CD28" s="2353"/>
      <c r="CE28" s="2353"/>
      <c r="CF28" s="2353"/>
      <c r="CG28" s="2353"/>
      <c r="CH28" s="2353"/>
      <c r="CI28" s="2353"/>
      <c r="CJ28" s="2353"/>
      <c r="CK28" s="2353"/>
      <c r="CL28" s="2353"/>
      <c r="CM28" s="2353"/>
      <c r="CN28" s="2353"/>
      <c r="CO28" s="2353"/>
      <c r="CP28" s="2353"/>
      <c r="CQ28" s="2353"/>
      <c r="CR28" s="2353"/>
      <c r="CS28" s="2353"/>
      <c r="CT28" s="2353"/>
      <c r="CU28" s="2353"/>
      <c r="CV28" s="2407" t="s">
        <v>4883</v>
      </c>
      <c r="CW28" s="2353" t="s">
        <v>2007</v>
      </c>
      <c r="CX28" s="2407"/>
      <c r="CY28" s="2491"/>
    </row>
    <row r="29" spans="2:105" ht="18" x14ac:dyDescent="0.25">
      <c r="B29" s="2489">
        <v>26</v>
      </c>
      <c r="C29" s="2406" t="s">
        <v>248</v>
      </c>
      <c r="D29" s="2407" t="s">
        <v>5854</v>
      </c>
      <c r="E29" s="2353">
        <v>-1</v>
      </c>
      <c r="F29" s="2353"/>
      <c r="G29" s="2353"/>
      <c r="H29" s="2353"/>
      <c r="I29" s="2353"/>
      <c r="J29" s="2353"/>
      <c r="K29" s="2353"/>
      <c r="L29" s="2353"/>
      <c r="M29" s="2353"/>
      <c r="N29" s="2353"/>
      <c r="O29" s="2353">
        <v>1</v>
      </c>
      <c r="P29" s="2353"/>
      <c r="Q29" s="2353"/>
      <c r="R29" s="2353"/>
      <c r="S29" s="2353"/>
      <c r="T29" s="2353"/>
      <c r="U29" s="2353"/>
      <c r="V29" s="2353"/>
      <c r="W29" s="2353"/>
      <c r="X29" s="2353"/>
      <c r="Y29" s="2353"/>
      <c r="Z29" s="2353"/>
      <c r="AA29" s="2353"/>
      <c r="AB29" s="2353"/>
      <c r="AC29" s="2353"/>
      <c r="AD29" s="2353"/>
      <c r="AE29" s="2408"/>
      <c r="AF29" s="2408"/>
      <c r="AG29" s="2353"/>
      <c r="AH29" s="2353"/>
      <c r="AI29" s="2353"/>
      <c r="AJ29" s="2353"/>
      <c r="AK29" s="2353"/>
      <c r="AL29" s="2353"/>
      <c r="AM29" s="2408"/>
      <c r="AN29" s="2353"/>
      <c r="AO29" s="2353"/>
      <c r="AP29" s="2353"/>
      <c r="AQ29" s="2353"/>
      <c r="AR29" s="2353"/>
      <c r="AS29" s="2353"/>
      <c r="AT29" s="2353"/>
      <c r="AU29" s="2353" t="s">
        <v>1970</v>
      </c>
      <c r="AV29" s="2408"/>
      <c r="AW29" s="2408"/>
      <c r="AX29" s="2408"/>
      <c r="AY29" s="2408"/>
      <c r="AZ29" s="2408"/>
      <c r="BA29" s="2408"/>
      <c r="BB29" s="2408"/>
      <c r="BC29" s="2408"/>
      <c r="BD29" s="2408"/>
      <c r="BE29" s="2353"/>
      <c r="BF29" s="2353"/>
      <c r="BG29" s="2353"/>
      <c r="BH29" s="2353"/>
      <c r="BI29" s="2353"/>
      <c r="BJ29" s="2353"/>
      <c r="BK29" s="2353"/>
      <c r="BL29" s="2353"/>
      <c r="BM29" s="2353"/>
      <c r="BN29" s="2353"/>
      <c r="BO29" s="2353"/>
      <c r="BP29" s="2353"/>
      <c r="BQ29" s="2353"/>
      <c r="BR29" s="2353"/>
      <c r="BS29" s="2353"/>
      <c r="BT29" s="2353"/>
      <c r="BU29" s="2353"/>
      <c r="BV29" s="2353"/>
      <c r="BW29" s="2353"/>
      <c r="BX29" s="2353"/>
      <c r="BY29" s="2353"/>
      <c r="BZ29" s="2789"/>
      <c r="CA29" s="2789"/>
      <c r="CB29" s="2789"/>
      <c r="CC29" s="2789"/>
      <c r="CD29" s="2353"/>
      <c r="CE29" s="2353"/>
      <c r="CF29" s="2353"/>
      <c r="CG29" s="2353"/>
      <c r="CH29" s="2353"/>
      <c r="CI29" s="2353"/>
      <c r="CJ29" s="2353"/>
      <c r="CK29" s="2353"/>
      <c r="CL29" s="2353"/>
      <c r="CM29" s="2353"/>
      <c r="CN29" s="2353"/>
      <c r="CO29" s="2353"/>
      <c r="CP29" s="2353"/>
      <c r="CQ29" s="2353"/>
      <c r="CR29" s="2353"/>
      <c r="CS29" s="2353"/>
      <c r="CT29" s="2353"/>
      <c r="CU29" s="2353"/>
      <c r="CV29" s="2407" t="s">
        <v>5855</v>
      </c>
      <c r="CW29" s="2353" t="s">
        <v>2007</v>
      </c>
      <c r="CX29" s="2407"/>
      <c r="CY29" s="2491"/>
    </row>
    <row r="30" spans="2:105" ht="18" x14ac:dyDescent="0.25">
      <c r="B30" s="2489">
        <v>27</v>
      </c>
      <c r="C30" s="2406" t="s">
        <v>249</v>
      </c>
      <c r="D30" s="2407" t="s">
        <v>4885</v>
      </c>
      <c r="E30" s="2353"/>
      <c r="F30" s="2353"/>
      <c r="G30" s="2353"/>
      <c r="H30" s="2353"/>
      <c r="I30" s="2353"/>
      <c r="J30" s="2353"/>
      <c r="K30" s="2353"/>
      <c r="L30" s="2353"/>
      <c r="M30" s="2353"/>
      <c r="N30" s="2408" t="s">
        <v>5860</v>
      </c>
      <c r="O30" s="2408" t="s">
        <v>5866</v>
      </c>
      <c r="P30" s="2353"/>
      <c r="Q30" s="2353"/>
      <c r="R30" s="2353"/>
      <c r="S30" s="2353"/>
      <c r="T30" s="2353"/>
      <c r="U30" s="2353"/>
      <c r="V30" s="2353"/>
      <c r="W30" s="2353"/>
      <c r="X30" s="2353"/>
      <c r="Y30" s="2353"/>
      <c r="Z30" s="2353"/>
      <c r="AA30" s="2353"/>
      <c r="AB30" s="2353"/>
      <c r="AC30" s="2353"/>
      <c r="AD30" s="2353"/>
      <c r="AE30" s="2353"/>
      <c r="AF30" s="2353"/>
      <c r="AG30" s="2353"/>
      <c r="AH30" s="2353"/>
      <c r="AI30" s="2353"/>
      <c r="AJ30" s="2353"/>
      <c r="AK30" s="2353"/>
      <c r="AL30" s="2353"/>
      <c r="AM30" s="2408"/>
      <c r="AN30" s="2353"/>
      <c r="AO30" s="2353"/>
      <c r="AP30" s="2353"/>
      <c r="AQ30" s="2353"/>
      <c r="AR30" s="2353">
        <v>-1</v>
      </c>
      <c r="AS30" s="2353"/>
      <c r="AT30" s="2353"/>
      <c r="AU30" s="2353" t="s">
        <v>4865</v>
      </c>
      <c r="AV30" s="2353"/>
      <c r="AW30" s="2353"/>
      <c r="AX30" s="2353"/>
      <c r="AY30" s="2408"/>
      <c r="AZ30" s="2408"/>
      <c r="BA30" s="2408"/>
      <c r="BB30" s="2408"/>
      <c r="BC30" s="2408"/>
      <c r="BD30" s="2408"/>
      <c r="BE30" s="2353"/>
      <c r="BF30" s="2353"/>
      <c r="BG30" s="2353"/>
      <c r="BH30" s="2353"/>
      <c r="BI30" s="2353"/>
      <c r="BJ30" s="2353"/>
      <c r="BK30" s="2353"/>
      <c r="BL30" s="2353"/>
      <c r="BM30" s="2353"/>
      <c r="BN30" s="2353"/>
      <c r="BO30" s="2353"/>
      <c r="BP30" s="2353"/>
      <c r="BQ30" s="2353"/>
      <c r="BR30" s="2353"/>
      <c r="BS30" s="2353"/>
      <c r="BT30" s="2353"/>
      <c r="BU30" s="2353"/>
      <c r="BV30" s="2353"/>
      <c r="BW30" s="2353"/>
      <c r="BX30" s="2353"/>
      <c r="BY30" s="2353"/>
      <c r="BZ30" s="2789"/>
      <c r="CA30" s="2789"/>
      <c r="CB30" s="2789"/>
      <c r="CC30" s="2789"/>
      <c r="CD30" s="2353"/>
      <c r="CE30" s="2353"/>
      <c r="CF30" s="2353"/>
      <c r="CG30" s="2353"/>
      <c r="CH30" s="2353"/>
      <c r="CI30" s="2353"/>
      <c r="CJ30" s="2353"/>
      <c r="CK30" s="2353"/>
      <c r="CL30" s="2353"/>
      <c r="CM30" s="2353"/>
      <c r="CN30" s="2353"/>
      <c r="CO30" s="2353"/>
      <c r="CP30" s="2353"/>
      <c r="CQ30" s="2353"/>
      <c r="CR30" s="2353"/>
      <c r="CS30" s="2353"/>
      <c r="CT30" s="2353"/>
      <c r="CU30" s="2353"/>
      <c r="CV30" s="2407" t="s">
        <v>4884</v>
      </c>
      <c r="CW30" s="2353" t="s">
        <v>2007</v>
      </c>
      <c r="CX30" s="2407"/>
      <c r="CY30" s="2491"/>
    </row>
    <row r="31" spans="2:105" ht="18" x14ac:dyDescent="0.25">
      <c r="B31" s="2489">
        <v>28</v>
      </c>
      <c r="C31" s="2406" t="s">
        <v>250</v>
      </c>
      <c r="D31" s="2407" t="s">
        <v>4887</v>
      </c>
      <c r="E31" s="2353"/>
      <c r="F31" s="2353"/>
      <c r="G31" s="2353"/>
      <c r="H31" s="2353"/>
      <c r="I31" s="2353"/>
      <c r="J31" s="2353"/>
      <c r="K31" s="2353"/>
      <c r="L31" s="2353"/>
      <c r="M31" s="2353"/>
      <c r="N31" s="2408" t="s">
        <v>5860</v>
      </c>
      <c r="O31" s="2408" t="s">
        <v>5866</v>
      </c>
      <c r="P31" s="2353"/>
      <c r="Q31" s="2353"/>
      <c r="R31" s="2353"/>
      <c r="S31" s="2353"/>
      <c r="T31" s="2353"/>
      <c r="U31" s="2353"/>
      <c r="V31" s="2353"/>
      <c r="W31" s="2353"/>
      <c r="X31" s="2353"/>
      <c r="Y31" s="2353"/>
      <c r="Z31" s="2353"/>
      <c r="AA31" s="2353"/>
      <c r="AB31" s="2353"/>
      <c r="AC31" s="2353"/>
      <c r="AD31" s="2353"/>
      <c r="AE31" s="2408" t="s">
        <v>2428</v>
      </c>
      <c r="AF31" s="2408"/>
      <c r="AG31" s="2408" t="s">
        <v>2429</v>
      </c>
      <c r="AH31" s="2353"/>
      <c r="AI31" s="2353"/>
      <c r="AJ31" s="2353"/>
      <c r="AK31" s="2353"/>
      <c r="AL31" s="2353"/>
      <c r="AM31" s="2408"/>
      <c r="AN31" s="2353"/>
      <c r="AO31" s="2353"/>
      <c r="AP31" s="2353"/>
      <c r="AQ31" s="2353"/>
      <c r="AR31" s="2353"/>
      <c r="AS31" s="2353"/>
      <c r="AT31" s="2353"/>
      <c r="AU31" s="2353" t="s">
        <v>4865</v>
      </c>
      <c r="AV31" s="2353"/>
      <c r="AW31" s="2353"/>
      <c r="AX31" s="2353"/>
      <c r="AY31" s="2408"/>
      <c r="AZ31" s="2408"/>
      <c r="BA31" s="2408"/>
      <c r="BB31" s="2408"/>
      <c r="BC31" s="2408"/>
      <c r="BD31" s="2408"/>
      <c r="BE31" s="2353"/>
      <c r="BF31" s="2353"/>
      <c r="BG31" s="2353"/>
      <c r="BH31" s="2353"/>
      <c r="BI31" s="2353"/>
      <c r="BJ31" s="2353"/>
      <c r="BK31" s="2353"/>
      <c r="BL31" s="2353"/>
      <c r="BM31" s="2353"/>
      <c r="BN31" s="2353"/>
      <c r="BO31" s="2353"/>
      <c r="BP31" s="2353"/>
      <c r="BQ31" s="2353"/>
      <c r="BR31" s="2353"/>
      <c r="BS31" s="2353"/>
      <c r="BT31" s="2353"/>
      <c r="BU31" s="2353"/>
      <c r="BV31" s="2353"/>
      <c r="BW31" s="2353"/>
      <c r="BX31" s="2353"/>
      <c r="BY31" s="2353"/>
      <c r="BZ31" s="2789"/>
      <c r="CA31" s="2789"/>
      <c r="CB31" s="2789"/>
      <c r="CC31" s="2789"/>
      <c r="CD31" s="2353"/>
      <c r="CE31" s="2353"/>
      <c r="CF31" s="2353"/>
      <c r="CG31" s="2353"/>
      <c r="CH31" s="2353"/>
      <c r="CI31" s="2353"/>
      <c r="CJ31" s="2353"/>
      <c r="CK31" s="2353"/>
      <c r="CL31" s="2353"/>
      <c r="CM31" s="2353"/>
      <c r="CN31" s="2353"/>
      <c r="CO31" s="2353"/>
      <c r="CP31" s="2353"/>
      <c r="CQ31" s="2353"/>
      <c r="CR31" s="2353"/>
      <c r="CS31" s="2353"/>
      <c r="CT31" s="2353"/>
      <c r="CU31" s="2353"/>
      <c r="CV31" s="2407" t="s">
        <v>4889</v>
      </c>
      <c r="CW31" s="2353" t="s">
        <v>2007</v>
      </c>
      <c r="CX31" s="2407"/>
      <c r="CY31" s="2491"/>
    </row>
    <row r="32" spans="2:105" ht="18" x14ac:dyDescent="0.25">
      <c r="B32" s="2489">
        <v>29</v>
      </c>
      <c r="C32" s="2406" t="s">
        <v>251</v>
      </c>
      <c r="D32" s="2407" t="s">
        <v>4888</v>
      </c>
      <c r="E32" s="2353"/>
      <c r="F32" s="2353"/>
      <c r="G32" s="2353"/>
      <c r="H32" s="2353"/>
      <c r="I32" s="2353"/>
      <c r="J32" s="2353"/>
      <c r="K32" s="2353"/>
      <c r="L32" s="2353"/>
      <c r="M32" s="2353"/>
      <c r="N32" s="2408" t="s">
        <v>5860</v>
      </c>
      <c r="O32" s="2408" t="s">
        <v>5866</v>
      </c>
      <c r="P32" s="2353"/>
      <c r="Q32" s="2353"/>
      <c r="R32" s="2353"/>
      <c r="S32" s="2353"/>
      <c r="T32" s="2353"/>
      <c r="U32" s="2353"/>
      <c r="V32" s="2353"/>
      <c r="W32" s="2353"/>
      <c r="X32" s="2353"/>
      <c r="Y32" s="2353"/>
      <c r="Z32" s="2353"/>
      <c r="AA32" s="2353"/>
      <c r="AB32" s="2353"/>
      <c r="AC32" s="2353"/>
      <c r="AD32" s="2353"/>
      <c r="AE32" s="2408" t="s">
        <v>2431</v>
      </c>
      <c r="AF32" s="2408" t="s">
        <v>2430</v>
      </c>
      <c r="AG32" s="2408"/>
      <c r="AH32" s="2353"/>
      <c r="AI32" s="2353"/>
      <c r="AJ32" s="2353"/>
      <c r="AK32" s="2353"/>
      <c r="AL32" s="2353"/>
      <c r="AM32" s="2408"/>
      <c r="AN32" s="2353"/>
      <c r="AO32" s="2353"/>
      <c r="AP32" s="2353"/>
      <c r="AQ32" s="2353"/>
      <c r="AR32" s="2353"/>
      <c r="AS32" s="2353"/>
      <c r="AT32" s="2353"/>
      <c r="AU32" s="2353" t="s">
        <v>4865</v>
      </c>
      <c r="AV32" s="2353"/>
      <c r="AW32" s="2353"/>
      <c r="AX32" s="2353"/>
      <c r="AY32" s="2408"/>
      <c r="AZ32" s="2408"/>
      <c r="BA32" s="2408"/>
      <c r="BB32" s="2408"/>
      <c r="BC32" s="2408"/>
      <c r="BD32" s="2408"/>
      <c r="BE32" s="2353"/>
      <c r="BF32" s="2353"/>
      <c r="BG32" s="2353"/>
      <c r="BH32" s="2353"/>
      <c r="BI32" s="2353"/>
      <c r="BJ32" s="2353"/>
      <c r="BK32" s="2353"/>
      <c r="BL32" s="2353"/>
      <c r="BM32" s="2353"/>
      <c r="BN32" s="2353"/>
      <c r="BO32" s="2353"/>
      <c r="BP32" s="2353"/>
      <c r="BQ32" s="2353"/>
      <c r="BR32" s="2353"/>
      <c r="BS32" s="2353"/>
      <c r="BT32" s="2353"/>
      <c r="BU32" s="2353"/>
      <c r="BV32" s="2353"/>
      <c r="BW32" s="2353"/>
      <c r="BX32" s="2353"/>
      <c r="BY32" s="2353"/>
      <c r="BZ32" s="2789"/>
      <c r="CA32" s="2789"/>
      <c r="CB32" s="2789"/>
      <c r="CC32" s="2789"/>
      <c r="CD32" s="2353"/>
      <c r="CE32" s="2353"/>
      <c r="CF32" s="2353"/>
      <c r="CG32" s="2353"/>
      <c r="CH32" s="2353"/>
      <c r="CI32" s="2353"/>
      <c r="CJ32" s="2353"/>
      <c r="CK32" s="2353"/>
      <c r="CL32" s="2353"/>
      <c r="CM32" s="2353"/>
      <c r="CN32" s="2353"/>
      <c r="CO32" s="2353"/>
      <c r="CP32" s="2353"/>
      <c r="CQ32" s="2353"/>
      <c r="CR32" s="2353"/>
      <c r="CS32" s="2353"/>
      <c r="CT32" s="2353"/>
      <c r="CU32" s="2353"/>
      <c r="CV32" s="2407" t="s">
        <v>4890</v>
      </c>
      <c r="CW32" s="2353" t="s">
        <v>2007</v>
      </c>
      <c r="CX32" s="2407"/>
      <c r="CY32" s="2491"/>
    </row>
    <row r="33" spans="1:105" ht="18" x14ac:dyDescent="0.25">
      <c r="B33" s="2489">
        <v>30</v>
      </c>
      <c r="C33" s="2406" t="s">
        <v>1360</v>
      </c>
      <c r="D33" s="2407" t="s">
        <v>2186</v>
      </c>
      <c r="E33" s="2353">
        <v>1</v>
      </c>
      <c r="F33" s="2353"/>
      <c r="G33" s="2353"/>
      <c r="H33" s="2353"/>
      <c r="I33" s="2353"/>
      <c r="J33" s="2353"/>
      <c r="K33" s="2353"/>
      <c r="L33" s="2353"/>
      <c r="M33" s="2353"/>
      <c r="N33" s="2353"/>
      <c r="O33" s="2353">
        <v>-1</v>
      </c>
      <c r="P33" s="2353"/>
      <c r="Q33" s="2353"/>
      <c r="R33" s="2353"/>
      <c r="S33" s="2353"/>
      <c r="T33" s="2353"/>
      <c r="U33" s="2353"/>
      <c r="V33" s="2353"/>
      <c r="W33" s="2353"/>
      <c r="X33" s="2353"/>
      <c r="Y33" s="2353"/>
      <c r="Z33" s="2353"/>
      <c r="AA33" s="2353"/>
      <c r="AB33" s="2353"/>
      <c r="AC33" s="2353"/>
      <c r="AD33" s="2353"/>
      <c r="AE33" s="2408"/>
      <c r="AF33" s="2408"/>
      <c r="AG33" s="2408"/>
      <c r="AH33" s="2353"/>
      <c r="AI33" s="2353"/>
      <c r="AJ33" s="2353"/>
      <c r="AK33" s="2353"/>
      <c r="AL33" s="2353"/>
      <c r="AM33" s="2408"/>
      <c r="AN33" s="2353"/>
      <c r="AO33" s="2353"/>
      <c r="AP33" s="2353"/>
      <c r="AQ33" s="2353"/>
      <c r="AR33" s="2353"/>
      <c r="AS33" s="2353"/>
      <c r="AT33" s="2353"/>
      <c r="AU33" s="2353" t="s">
        <v>5873</v>
      </c>
      <c r="AV33" s="2408"/>
      <c r="AW33" s="2408"/>
      <c r="AX33" s="2408"/>
      <c r="AY33" s="2408"/>
      <c r="AZ33" s="2408"/>
      <c r="BA33" s="2408"/>
      <c r="BB33" s="2408"/>
      <c r="BC33" s="2408"/>
      <c r="BD33" s="2408"/>
      <c r="BE33" s="2353"/>
      <c r="BF33" s="2353"/>
      <c r="BG33" s="2353"/>
      <c r="BH33" s="2353"/>
      <c r="BI33" s="2353"/>
      <c r="BJ33" s="2353"/>
      <c r="BK33" s="2353"/>
      <c r="BL33" s="2353"/>
      <c r="BM33" s="2353"/>
      <c r="BN33" s="2353"/>
      <c r="BO33" s="2353"/>
      <c r="BP33" s="2353"/>
      <c r="BQ33" s="2353"/>
      <c r="BR33" s="2353"/>
      <c r="BS33" s="2353"/>
      <c r="BT33" s="2353"/>
      <c r="BU33" s="2353"/>
      <c r="BV33" s="2353"/>
      <c r="BW33" s="2353"/>
      <c r="BX33" s="2353"/>
      <c r="BY33" s="2353"/>
      <c r="BZ33" s="2789"/>
      <c r="CA33" s="2789"/>
      <c r="CB33" s="2789"/>
      <c r="CC33" s="2789"/>
      <c r="CD33" s="2353"/>
      <c r="CE33" s="2353"/>
      <c r="CF33" s="2353"/>
      <c r="CG33" s="2353"/>
      <c r="CH33" s="2353"/>
      <c r="CI33" s="2353"/>
      <c r="CJ33" s="2353"/>
      <c r="CK33" s="2353"/>
      <c r="CL33" s="2353"/>
      <c r="CM33" s="2353"/>
      <c r="CN33" s="2353"/>
      <c r="CO33" s="2353"/>
      <c r="CP33" s="2353"/>
      <c r="CQ33" s="2353"/>
      <c r="CR33" s="2353"/>
      <c r="CS33" s="2353"/>
      <c r="CT33" s="2353"/>
      <c r="CU33" s="2353"/>
      <c r="CV33" s="2407" t="s">
        <v>5856</v>
      </c>
      <c r="CW33" s="2353" t="s">
        <v>2007</v>
      </c>
      <c r="CX33" s="2407"/>
      <c r="CY33" s="2491"/>
    </row>
    <row r="34" spans="1:105" ht="18" x14ac:dyDescent="0.25">
      <c r="B34" s="2489">
        <v>31</v>
      </c>
      <c r="C34" s="2406" t="s">
        <v>1361</v>
      </c>
      <c r="D34" s="2407" t="s">
        <v>2189</v>
      </c>
      <c r="E34" s="2353"/>
      <c r="F34" s="2353"/>
      <c r="G34" s="2353"/>
      <c r="H34" s="2353"/>
      <c r="I34" s="2353"/>
      <c r="J34" s="2353"/>
      <c r="K34" s="2353"/>
      <c r="L34" s="2353"/>
      <c r="M34" s="2353"/>
      <c r="N34" s="2353"/>
      <c r="O34" s="2353"/>
      <c r="P34" s="2353"/>
      <c r="Q34" s="2353"/>
      <c r="R34" s="2353"/>
      <c r="S34" s="2353"/>
      <c r="T34" s="2353"/>
      <c r="U34" s="2353"/>
      <c r="V34" s="2353"/>
      <c r="W34" s="2353"/>
      <c r="X34" s="2353"/>
      <c r="Y34" s="2353"/>
      <c r="Z34" s="2353"/>
      <c r="AA34" s="2353"/>
      <c r="AB34" s="2353"/>
      <c r="AC34" s="2353"/>
      <c r="AD34" s="2353"/>
      <c r="AE34" s="2353"/>
      <c r="AF34" s="2353"/>
      <c r="AG34" s="2353"/>
      <c r="AH34" s="2353"/>
      <c r="AI34" s="2353"/>
      <c r="AJ34" s="2353"/>
      <c r="AK34" s="2353"/>
      <c r="AL34" s="2353">
        <v>1</v>
      </c>
      <c r="AM34" s="2353">
        <v>-1</v>
      </c>
      <c r="AN34" s="2353"/>
      <c r="AO34" s="2353"/>
      <c r="AP34" s="2353"/>
      <c r="AQ34" s="2353"/>
      <c r="AR34" s="2353"/>
      <c r="AS34" s="2353"/>
      <c r="AT34" s="2353"/>
      <c r="AU34" s="2353"/>
      <c r="AV34" s="2353"/>
      <c r="AW34" s="2353"/>
      <c r="AX34" s="2353"/>
      <c r="AY34" s="2408" t="s">
        <v>1667</v>
      </c>
      <c r="AZ34" s="2408" t="s">
        <v>1668</v>
      </c>
      <c r="BA34" s="2408" t="s">
        <v>1669</v>
      </c>
      <c r="BB34" s="2408"/>
      <c r="BC34" s="2408"/>
      <c r="BD34" s="2408"/>
      <c r="BE34" s="2353"/>
      <c r="BF34" s="2353"/>
      <c r="BG34" s="2353"/>
      <c r="BH34" s="2353"/>
      <c r="BI34" s="2353"/>
      <c r="BJ34" s="2353"/>
      <c r="BK34" s="2353"/>
      <c r="BL34" s="2353"/>
      <c r="BM34" s="2353"/>
      <c r="BN34" s="2353"/>
      <c r="BO34" s="2353"/>
      <c r="BP34" s="2353"/>
      <c r="BQ34" s="2353"/>
      <c r="BR34" s="2353"/>
      <c r="BS34" s="2353"/>
      <c r="BT34" s="2353"/>
      <c r="BU34" s="2353"/>
      <c r="BV34" s="2353"/>
      <c r="BW34" s="2353"/>
      <c r="BX34" s="2353"/>
      <c r="BY34" s="2353"/>
      <c r="BZ34" s="2789"/>
      <c r="CA34" s="2789"/>
      <c r="CB34" s="2789"/>
      <c r="CC34" s="2789"/>
      <c r="CD34" s="2353"/>
      <c r="CE34" s="2353"/>
      <c r="CF34" s="2353"/>
      <c r="CG34" s="2353"/>
      <c r="CH34" s="2353"/>
      <c r="CI34" s="2353"/>
      <c r="CJ34" s="2353"/>
      <c r="CK34" s="2353"/>
      <c r="CL34" s="2353"/>
      <c r="CM34" s="2353"/>
      <c r="CN34" s="2353"/>
      <c r="CO34" s="2353"/>
      <c r="CP34" s="2353"/>
      <c r="CQ34" s="2353"/>
      <c r="CR34" s="2353"/>
      <c r="CS34" s="2353"/>
      <c r="CT34" s="2353"/>
      <c r="CU34" s="2353"/>
      <c r="CV34" s="2407" t="s">
        <v>4925</v>
      </c>
      <c r="CW34" s="2353" t="s">
        <v>2007</v>
      </c>
      <c r="CX34" s="2407"/>
      <c r="CY34" s="2491"/>
    </row>
    <row r="35" spans="1:105" ht="18" x14ac:dyDescent="0.25">
      <c r="B35" s="2489">
        <v>32</v>
      </c>
      <c r="C35" s="2406" t="s">
        <v>252</v>
      </c>
      <c r="D35" s="2407" t="s">
        <v>3569</v>
      </c>
      <c r="E35" s="2353" t="s">
        <v>4836</v>
      </c>
      <c r="F35" s="2408" t="s">
        <v>4837</v>
      </c>
      <c r="G35" s="2353"/>
      <c r="H35" s="2353"/>
      <c r="I35" s="2353"/>
      <c r="J35" s="2353"/>
      <c r="K35" s="2353"/>
      <c r="L35" s="2353"/>
      <c r="M35" s="2353"/>
      <c r="N35" s="2408">
        <v>1</v>
      </c>
      <c r="O35" s="2408"/>
      <c r="P35" s="2353"/>
      <c r="Q35" s="2353"/>
      <c r="R35" s="2353"/>
      <c r="S35" s="2353"/>
      <c r="T35" s="2353"/>
      <c r="U35" s="2353"/>
      <c r="V35" s="2353"/>
      <c r="W35" s="2353"/>
      <c r="X35" s="2353"/>
      <c r="Y35" s="2353"/>
      <c r="Z35" s="2353"/>
      <c r="AA35" s="2353"/>
      <c r="AB35" s="2353"/>
      <c r="AC35" s="2353"/>
      <c r="AD35" s="2353"/>
      <c r="AE35" s="2408"/>
      <c r="AF35" s="2408"/>
      <c r="AG35" s="2408"/>
      <c r="AH35" s="2353"/>
      <c r="AI35" s="2353"/>
      <c r="AJ35" s="2353"/>
      <c r="AK35" s="2353"/>
      <c r="AL35" s="2353"/>
      <c r="AM35" s="2408"/>
      <c r="AN35" s="2353"/>
      <c r="AO35" s="2353"/>
      <c r="AP35" s="2353"/>
      <c r="AQ35" s="2353"/>
      <c r="AR35" s="2353"/>
      <c r="AS35" s="2353"/>
      <c r="AT35" s="2353" t="s">
        <v>4857</v>
      </c>
      <c r="AU35" s="2353" t="s">
        <v>5981</v>
      </c>
      <c r="AV35" s="2408" t="s">
        <v>2454</v>
      </c>
      <c r="AW35" s="2408" t="s">
        <v>4179</v>
      </c>
      <c r="AX35" s="2408" t="s">
        <v>4180</v>
      </c>
      <c r="AY35" s="2408" t="s">
        <v>4181</v>
      </c>
      <c r="AZ35" s="2408" t="s">
        <v>4182</v>
      </c>
      <c r="BA35" s="2408"/>
      <c r="BB35" s="2408"/>
      <c r="BC35" s="2408" t="s">
        <v>5983</v>
      </c>
      <c r="BD35" s="2408"/>
      <c r="BE35" s="2408"/>
      <c r="BF35" s="2408"/>
      <c r="BG35" s="2408"/>
      <c r="BH35" s="2408"/>
      <c r="BI35" s="2408"/>
      <c r="BJ35" s="2408"/>
      <c r="BK35" s="2408"/>
      <c r="BL35" s="2408"/>
      <c r="BM35" s="2408"/>
      <c r="BN35" s="2408"/>
      <c r="BO35" s="2408"/>
      <c r="BP35" s="2408"/>
      <c r="BQ35" s="2408"/>
      <c r="BR35" s="2408"/>
      <c r="BS35" s="2408"/>
      <c r="BT35" s="2408"/>
      <c r="BU35" s="2408"/>
      <c r="BV35" s="2408"/>
      <c r="BW35" s="2408"/>
      <c r="BX35" s="2408"/>
      <c r="BY35" s="2408"/>
      <c r="BZ35" s="2788"/>
      <c r="CA35" s="2788"/>
      <c r="CB35" s="2788"/>
      <c r="CC35" s="2788"/>
      <c r="CD35" s="2408"/>
      <c r="CE35" s="2408"/>
      <c r="CF35" s="2408"/>
      <c r="CG35" s="2408"/>
      <c r="CH35" s="2408"/>
      <c r="CI35" s="2408"/>
      <c r="CJ35" s="2408"/>
      <c r="CK35" s="2408"/>
      <c r="CL35" s="2408"/>
      <c r="CM35" s="2408"/>
      <c r="CN35" s="2408"/>
      <c r="CO35" s="2408"/>
      <c r="CP35" s="2408"/>
      <c r="CQ35" s="2408"/>
      <c r="CR35" s="2408"/>
      <c r="CS35" s="2408"/>
      <c r="CT35" s="2408"/>
      <c r="CU35" s="2408"/>
      <c r="CV35" s="2407" t="s">
        <v>4891</v>
      </c>
      <c r="CW35" s="2353" t="s">
        <v>2007</v>
      </c>
      <c r="CX35" s="2407"/>
      <c r="CY35" s="2491"/>
      <c r="DA35" s="74"/>
    </row>
    <row r="36" spans="1:105" ht="18" x14ac:dyDescent="0.25">
      <c r="B36" s="2489">
        <v>33</v>
      </c>
      <c r="C36" s="2406" t="s">
        <v>253</v>
      </c>
      <c r="D36" s="2407" t="s">
        <v>3570</v>
      </c>
      <c r="E36" s="2353" t="s">
        <v>4838</v>
      </c>
      <c r="F36" s="2408" t="s">
        <v>4837</v>
      </c>
      <c r="G36" s="2353"/>
      <c r="H36" s="2353"/>
      <c r="I36" s="2353"/>
      <c r="J36" s="2353"/>
      <c r="K36" s="2353"/>
      <c r="L36" s="2353"/>
      <c r="M36" s="2353"/>
      <c r="N36" s="2408">
        <v>1</v>
      </c>
      <c r="O36" s="2408"/>
      <c r="P36" s="2353"/>
      <c r="Q36" s="2353"/>
      <c r="R36" s="2353"/>
      <c r="S36" s="2353"/>
      <c r="T36" s="2353"/>
      <c r="U36" s="2353"/>
      <c r="V36" s="2353"/>
      <c r="W36" s="2353"/>
      <c r="X36" s="2353"/>
      <c r="Y36" s="2353"/>
      <c r="Z36" s="2353"/>
      <c r="AA36" s="2353"/>
      <c r="AB36" s="2353"/>
      <c r="AC36" s="2353"/>
      <c r="AD36" s="2353"/>
      <c r="AE36" s="2408"/>
      <c r="AF36" s="2408"/>
      <c r="AG36" s="2408"/>
      <c r="AH36" s="2353"/>
      <c r="AI36" s="2353"/>
      <c r="AJ36" s="2353"/>
      <c r="AK36" s="2353"/>
      <c r="AL36" s="2353"/>
      <c r="AM36" s="2408"/>
      <c r="AN36" s="2353"/>
      <c r="AO36" s="2353"/>
      <c r="AP36" s="2353"/>
      <c r="AQ36" s="2353"/>
      <c r="AR36" s="2353"/>
      <c r="AS36" s="2353"/>
      <c r="AT36" s="2353" t="s">
        <v>4858</v>
      </c>
      <c r="AU36" s="2353" t="s">
        <v>5982</v>
      </c>
      <c r="AV36" s="2408" t="s">
        <v>2454</v>
      </c>
      <c r="AW36" s="2408" t="s">
        <v>4179</v>
      </c>
      <c r="AX36" s="2408" t="s">
        <v>4180</v>
      </c>
      <c r="AY36" s="2408" t="s">
        <v>4181</v>
      </c>
      <c r="AZ36" s="2408" t="s">
        <v>4182</v>
      </c>
      <c r="BA36" s="2408"/>
      <c r="BB36" s="2408"/>
      <c r="BC36" s="2408" t="s">
        <v>5983</v>
      </c>
      <c r="BD36" s="2408"/>
      <c r="BE36" s="2408"/>
      <c r="BF36" s="2408"/>
      <c r="BG36" s="2408"/>
      <c r="BH36" s="2408"/>
      <c r="BI36" s="2408"/>
      <c r="BJ36" s="2408"/>
      <c r="BK36" s="2408"/>
      <c r="BL36" s="2408"/>
      <c r="BM36" s="2408"/>
      <c r="BN36" s="2408"/>
      <c r="BO36" s="2408"/>
      <c r="BP36" s="2408"/>
      <c r="BQ36" s="2408"/>
      <c r="BR36" s="2408"/>
      <c r="BS36" s="2408"/>
      <c r="BT36" s="2408"/>
      <c r="BU36" s="2408"/>
      <c r="BV36" s="2408"/>
      <c r="BW36" s="2408"/>
      <c r="BX36" s="2408"/>
      <c r="BY36" s="2408"/>
      <c r="BZ36" s="2788"/>
      <c r="CA36" s="2788"/>
      <c r="CB36" s="2788"/>
      <c r="CC36" s="2788"/>
      <c r="CD36" s="2408"/>
      <c r="CE36" s="2408"/>
      <c r="CF36" s="2408"/>
      <c r="CG36" s="2408"/>
      <c r="CH36" s="2408"/>
      <c r="CI36" s="2408"/>
      <c r="CJ36" s="2408"/>
      <c r="CK36" s="2408"/>
      <c r="CL36" s="2408"/>
      <c r="CM36" s="2408"/>
      <c r="CN36" s="2408"/>
      <c r="CO36" s="2408"/>
      <c r="CP36" s="2408"/>
      <c r="CQ36" s="2408"/>
      <c r="CR36" s="2408"/>
      <c r="CS36" s="2408"/>
      <c r="CT36" s="2408"/>
      <c r="CU36" s="2408"/>
      <c r="CV36" s="2407" t="s">
        <v>4892</v>
      </c>
      <c r="CW36" s="2353" t="s">
        <v>2007</v>
      </c>
      <c r="CX36" s="2407"/>
      <c r="CY36" s="2491"/>
      <c r="DA36" s="74"/>
    </row>
    <row r="37" spans="1:105" ht="18" x14ac:dyDescent="0.25">
      <c r="B37" s="2489">
        <v>34</v>
      </c>
      <c r="C37" s="2406" t="s">
        <v>4897</v>
      </c>
      <c r="D37" s="2407" t="s">
        <v>4894</v>
      </c>
      <c r="E37" s="2408" t="s">
        <v>4839</v>
      </c>
      <c r="F37" s="2353"/>
      <c r="G37" s="2353"/>
      <c r="H37" s="2353"/>
      <c r="I37" s="2353"/>
      <c r="J37" s="2353" t="s">
        <v>1653</v>
      </c>
      <c r="K37" s="2353"/>
      <c r="L37" s="2353"/>
      <c r="M37" s="2353"/>
      <c r="N37" s="2408" t="s">
        <v>5861</v>
      </c>
      <c r="O37" s="2408" t="s">
        <v>5867</v>
      </c>
      <c r="P37" s="2353" t="s">
        <v>1654</v>
      </c>
      <c r="Q37" s="2353"/>
      <c r="R37" s="2353"/>
      <c r="S37" s="2353">
        <v>-1</v>
      </c>
      <c r="T37" s="2353"/>
      <c r="U37" s="2353"/>
      <c r="V37" s="2353"/>
      <c r="W37" s="2353"/>
      <c r="X37" s="2353"/>
      <c r="Y37" s="2353"/>
      <c r="Z37" s="2353"/>
      <c r="AA37" s="2353"/>
      <c r="AB37" s="2353"/>
      <c r="AC37" s="2353"/>
      <c r="AD37" s="2353" t="s">
        <v>2135</v>
      </c>
      <c r="AE37" s="2353"/>
      <c r="AF37" s="2353"/>
      <c r="AG37" s="2353"/>
      <c r="AH37" s="2353"/>
      <c r="AI37" s="2353"/>
      <c r="AJ37" s="2353" t="s">
        <v>1655</v>
      </c>
      <c r="AK37" s="2353"/>
      <c r="AL37" s="2408" t="s">
        <v>4854</v>
      </c>
      <c r="AM37" s="2408" t="s">
        <v>4855</v>
      </c>
      <c r="AN37" s="2353"/>
      <c r="AO37" s="2353"/>
      <c r="AP37" s="2353" t="s">
        <v>1656</v>
      </c>
      <c r="AQ37" s="2353"/>
      <c r="AR37" s="2353"/>
      <c r="AS37" s="2353"/>
      <c r="AT37" s="2353"/>
      <c r="AU37" s="2789" t="s">
        <v>5917</v>
      </c>
      <c r="AV37" s="2789"/>
      <c r="AW37" s="2788"/>
      <c r="AX37" s="2788"/>
      <c r="AY37" s="2788" t="s">
        <v>5918</v>
      </c>
      <c r="AZ37" s="2788" t="s">
        <v>5919</v>
      </c>
      <c r="BA37" s="2788" t="s">
        <v>4874</v>
      </c>
      <c r="BB37" s="2408"/>
      <c r="BC37" s="2408" t="s">
        <v>3595</v>
      </c>
      <c r="BD37" s="2408"/>
      <c r="BE37" s="2353"/>
      <c r="BF37" s="2353"/>
      <c r="BG37" s="2353"/>
      <c r="BH37" s="2353"/>
      <c r="BI37" s="2353"/>
      <c r="BJ37" s="2353"/>
      <c r="BK37" s="2353"/>
      <c r="BL37" s="2353"/>
      <c r="BM37" s="2353"/>
      <c r="BN37" s="2353"/>
      <c r="BO37" s="2353"/>
      <c r="BP37" s="2353"/>
      <c r="BQ37" s="2353"/>
      <c r="BR37" s="2353"/>
      <c r="BS37" s="2353"/>
      <c r="BT37" s="2353"/>
      <c r="BU37" s="2353"/>
      <c r="BV37" s="2353"/>
      <c r="BW37" s="2353"/>
      <c r="BX37" s="2353"/>
      <c r="BY37" s="2353"/>
      <c r="BZ37" s="2789"/>
      <c r="CA37" s="2789"/>
      <c r="CB37" s="2789"/>
      <c r="CC37" s="2789"/>
      <c r="CD37" s="2353"/>
      <c r="CE37" s="2353"/>
      <c r="CF37" s="2353"/>
      <c r="CG37" s="2353"/>
      <c r="CH37" s="2353"/>
      <c r="CI37" s="2353"/>
      <c r="CJ37" s="2353"/>
      <c r="CK37" s="2353"/>
      <c r="CL37" s="2353"/>
      <c r="CM37" s="2353"/>
      <c r="CN37" s="2353"/>
      <c r="CO37" s="2353"/>
      <c r="CP37" s="2353"/>
      <c r="CQ37" s="2353"/>
      <c r="CR37" s="2353"/>
      <c r="CS37" s="2353"/>
      <c r="CT37" s="2353"/>
      <c r="CU37" s="2353"/>
      <c r="CV37" s="2407" t="s">
        <v>4893</v>
      </c>
      <c r="CW37" s="2353" t="s">
        <v>2007</v>
      </c>
      <c r="CX37" s="2407"/>
      <c r="CY37" s="2491"/>
    </row>
    <row r="38" spans="1:105" ht="18" x14ac:dyDescent="0.25">
      <c r="B38" s="2489">
        <v>35</v>
      </c>
      <c r="C38" s="2406" t="s">
        <v>4898</v>
      </c>
      <c r="D38" s="2407" t="s">
        <v>4895</v>
      </c>
      <c r="E38" s="2408" t="s">
        <v>4839</v>
      </c>
      <c r="F38" s="2353"/>
      <c r="G38" s="2353"/>
      <c r="H38" s="2353"/>
      <c r="I38" s="2353"/>
      <c r="J38" s="2353" t="s">
        <v>1653</v>
      </c>
      <c r="K38" s="2353"/>
      <c r="L38" s="2353"/>
      <c r="M38" s="2353"/>
      <c r="N38" s="2408" t="s">
        <v>5861</v>
      </c>
      <c r="O38" s="2408" t="s">
        <v>5867</v>
      </c>
      <c r="P38" s="2353"/>
      <c r="Q38" s="2353" t="s">
        <v>1654</v>
      </c>
      <c r="R38" s="2353"/>
      <c r="S38" s="2353">
        <v>-1</v>
      </c>
      <c r="T38" s="2353"/>
      <c r="U38" s="2353"/>
      <c r="V38" s="2353"/>
      <c r="W38" s="2353"/>
      <c r="X38" s="2353"/>
      <c r="Y38" s="2353"/>
      <c r="Z38" s="2353"/>
      <c r="AA38" s="2353"/>
      <c r="AB38" s="2353"/>
      <c r="AC38" s="2353"/>
      <c r="AD38" s="2353" t="s">
        <v>2135</v>
      </c>
      <c r="AE38" s="2353"/>
      <c r="AF38" s="2353"/>
      <c r="AG38" s="2353"/>
      <c r="AH38" s="2353"/>
      <c r="AI38" s="2353"/>
      <c r="AJ38" s="2353" t="s">
        <v>1655</v>
      </c>
      <c r="AK38" s="2353"/>
      <c r="AL38" s="2408" t="s">
        <v>4854</v>
      </c>
      <c r="AM38" s="2408" t="s">
        <v>4855</v>
      </c>
      <c r="AN38" s="2353"/>
      <c r="AO38" s="2353"/>
      <c r="AP38" s="2353" t="s">
        <v>1656</v>
      </c>
      <c r="AQ38" s="2353"/>
      <c r="AR38" s="2353"/>
      <c r="AS38" s="2353"/>
      <c r="AT38" s="2353"/>
      <c r="AU38" s="2789" t="s">
        <v>5917</v>
      </c>
      <c r="AV38" s="2789"/>
      <c r="AW38" s="2788"/>
      <c r="AX38" s="2788"/>
      <c r="AY38" s="2788" t="s">
        <v>5918</v>
      </c>
      <c r="AZ38" s="2788" t="s">
        <v>5919</v>
      </c>
      <c r="BA38" s="2788" t="s">
        <v>4874</v>
      </c>
      <c r="BB38" s="2408"/>
      <c r="BC38" s="2408" t="s">
        <v>3595</v>
      </c>
      <c r="BD38" s="2408"/>
      <c r="BE38" s="2353"/>
      <c r="BF38" s="2353"/>
      <c r="BG38" s="2353"/>
      <c r="BH38" s="2353"/>
      <c r="BI38" s="2353"/>
      <c r="BJ38" s="2353"/>
      <c r="BK38" s="2353"/>
      <c r="BL38" s="2353"/>
      <c r="BM38" s="2353"/>
      <c r="BN38" s="2353"/>
      <c r="BO38" s="2353"/>
      <c r="BP38" s="2353"/>
      <c r="BQ38" s="2353"/>
      <c r="BR38" s="2353"/>
      <c r="BS38" s="2353"/>
      <c r="BT38" s="2353"/>
      <c r="BU38" s="2353"/>
      <c r="BV38" s="2353"/>
      <c r="BW38" s="2353"/>
      <c r="BX38" s="2353"/>
      <c r="BY38" s="2353"/>
      <c r="BZ38" s="2789"/>
      <c r="CA38" s="2789"/>
      <c r="CB38" s="2789"/>
      <c r="CC38" s="2789"/>
      <c r="CD38" s="2353"/>
      <c r="CE38" s="2353"/>
      <c r="CF38" s="2353"/>
      <c r="CG38" s="2353"/>
      <c r="CH38" s="2353"/>
      <c r="CI38" s="2353"/>
      <c r="CJ38" s="2353"/>
      <c r="CK38" s="2353"/>
      <c r="CL38" s="2353"/>
      <c r="CM38" s="2353"/>
      <c r="CN38" s="2353"/>
      <c r="CO38" s="2353"/>
      <c r="CP38" s="2353"/>
      <c r="CQ38" s="2353"/>
      <c r="CR38" s="2353"/>
      <c r="CS38" s="2353"/>
      <c r="CT38" s="2353"/>
      <c r="CU38" s="2353"/>
      <c r="CV38" s="2407" t="s">
        <v>5857</v>
      </c>
      <c r="CW38" s="2353" t="s">
        <v>2007</v>
      </c>
      <c r="CX38" s="2407"/>
      <c r="CY38" s="2491"/>
    </row>
    <row r="39" spans="1:105" s="66" customFormat="1" ht="18" x14ac:dyDescent="0.25">
      <c r="A39"/>
      <c r="B39" s="2492">
        <v>36</v>
      </c>
      <c r="C39" s="2411" t="s">
        <v>4899</v>
      </c>
      <c r="D39" s="2412" t="s">
        <v>5128</v>
      </c>
      <c r="E39" s="2353"/>
      <c r="F39" s="2353"/>
      <c r="G39" s="2353"/>
      <c r="H39" s="2353"/>
      <c r="I39" s="2353"/>
      <c r="J39" s="2353"/>
      <c r="K39" s="2353"/>
      <c r="L39" s="2353"/>
      <c r="M39" s="2353"/>
      <c r="N39" s="2353"/>
      <c r="O39" s="2353"/>
      <c r="P39" s="2353"/>
      <c r="Q39" s="2353"/>
      <c r="R39" s="2408"/>
      <c r="S39" s="2353"/>
      <c r="T39" s="2353"/>
      <c r="U39" s="2353"/>
      <c r="V39" s="2353"/>
      <c r="W39" s="2353"/>
      <c r="X39" s="2408"/>
      <c r="Y39" s="2353"/>
      <c r="Z39" s="2353"/>
      <c r="AA39" s="2353"/>
      <c r="AB39" s="2353"/>
      <c r="AC39" s="2353"/>
      <c r="AD39" s="2353"/>
      <c r="AE39" s="2408"/>
      <c r="AF39" s="2353"/>
      <c r="AG39" s="2353"/>
      <c r="AH39" s="2353"/>
      <c r="AI39" s="2353"/>
      <c r="AJ39" s="2353"/>
      <c r="AK39" s="2353"/>
      <c r="AL39" s="2353"/>
      <c r="AM39" s="2353"/>
      <c r="AN39" s="2353"/>
      <c r="AO39" s="2353"/>
      <c r="AP39" s="2353"/>
      <c r="AQ39" s="2353"/>
      <c r="AR39" s="2353"/>
      <c r="AS39" s="2353"/>
      <c r="AT39" s="2408"/>
      <c r="AU39" s="2353"/>
      <c r="AV39" s="2408"/>
      <c r="AW39" s="2353"/>
      <c r="AX39" s="2353"/>
      <c r="AY39" s="2408"/>
      <c r="AZ39" s="2408"/>
      <c r="BA39" s="2353"/>
      <c r="BB39" s="2408"/>
      <c r="BC39" s="2408"/>
      <c r="BD39" s="2353"/>
      <c r="BE39" s="2353"/>
      <c r="BF39" s="2408"/>
      <c r="BG39" s="2408"/>
      <c r="BH39" s="2353"/>
      <c r="BI39" s="2408"/>
      <c r="BJ39" s="2408"/>
      <c r="BK39" s="2408"/>
      <c r="BL39" s="2408"/>
      <c r="BM39" s="2408"/>
      <c r="BN39" s="2408"/>
      <c r="BO39" s="2408"/>
      <c r="BP39" s="2408"/>
      <c r="BQ39" s="2408"/>
      <c r="BR39" s="2408"/>
      <c r="BS39" s="2408"/>
      <c r="BT39" s="2408"/>
      <c r="BU39" s="2408"/>
      <c r="BV39" s="2408"/>
      <c r="BW39" s="2408"/>
      <c r="BX39" s="2408"/>
      <c r="BY39" s="2408"/>
      <c r="BZ39" s="2788"/>
      <c r="CA39" s="2788"/>
      <c r="CB39" s="2788"/>
      <c r="CC39" s="2788"/>
      <c r="CD39" s="2408"/>
      <c r="CE39" s="2408"/>
      <c r="CF39" s="2408">
        <v>1</v>
      </c>
      <c r="CG39" s="2408"/>
      <c r="CH39" s="2408"/>
      <c r="CI39" s="2408"/>
      <c r="CJ39" s="2408"/>
      <c r="CK39" s="2407"/>
      <c r="CL39" s="2407"/>
      <c r="CM39" s="2413"/>
      <c r="CN39" s="2407"/>
      <c r="CO39" s="2407"/>
      <c r="CP39" s="2413"/>
      <c r="CQ39" s="2413"/>
      <c r="CR39" s="2413"/>
      <c r="CS39" s="2413"/>
      <c r="CT39" s="2413"/>
      <c r="CU39" s="2413"/>
      <c r="CV39" s="2407" t="s">
        <v>5129</v>
      </c>
      <c r="CW39" s="2413" t="s">
        <v>5130</v>
      </c>
      <c r="CX39" s="2407"/>
      <c r="CY39" s="2491"/>
    </row>
    <row r="40" spans="1:105" ht="18" x14ac:dyDescent="0.25">
      <c r="B40" s="2493">
        <v>37</v>
      </c>
      <c r="C40" s="2414" t="s">
        <v>296</v>
      </c>
      <c r="D40" s="2415" t="s">
        <v>2215</v>
      </c>
      <c r="E40" s="2416"/>
      <c r="F40" s="2354"/>
      <c r="G40" s="2354"/>
      <c r="H40" s="2354"/>
      <c r="I40" s="2354"/>
      <c r="J40" s="2354"/>
      <c r="K40" s="2354"/>
      <c r="L40" s="2354"/>
      <c r="M40" s="2354"/>
      <c r="N40" s="2416"/>
      <c r="O40" s="2416"/>
      <c r="P40" s="2354"/>
      <c r="Q40" s="2354"/>
      <c r="R40" s="2354"/>
      <c r="S40" s="2354"/>
      <c r="T40" s="2354"/>
      <c r="U40" s="2354">
        <v>1</v>
      </c>
      <c r="V40" s="2354"/>
      <c r="W40" s="2354"/>
      <c r="X40" s="2354"/>
      <c r="Y40" s="2354"/>
      <c r="Z40" s="2354"/>
      <c r="AA40" s="2354"/>
      <c r="AB40" s="2354"/>
      <c r="AC40" s="2354"/>
      <c r="AD40" s="2354" t="s">
        <v>2210</v>
      </c>
      <c r="AE40" s="2416" t="s">
        <v>2211</v>
      </c>
      <c r="AF40" s="2416"/>
      <c r="AG40" s="2354"/>
      <c r="AH40" s="2354"/>
      <c r="AI40" s="2354"/>
      <c r="AJ40" s="2354"/>
      <c r="AK40" s="2354"/>
      <c r="AL40" s="2416" t="s">
        <v>1648</v>
      </c>
      <c r="AM40" s="2416"/>
      <c r="AN40" s="2354"/>
      <c r="AO40" s="2354"/>
      <c r="AP40" s="2354"/>
      <c r="AQ40" s="2354"/>
      <c r="AR40" s="2416" t="s">
        <v>2208</v>
      </c>
      <c r="AS40" s="2354"/>
      <c r="AT40" s="2354"/>
      <c r="AU40" s="2416" t="s">
        <v>1670</v>
      </c>
      <c r="AV40" s="2416" t="s">
        <v>2454</v>
      </c>
      <c r="AW40" s="2416" t="s">
        <v>4179</v>
      </c>
      <c r="AX40" s="2416" t="s">
        <v>4180</v>
      </c>
      <c r="AY40" s="2416" t="s">
        <v>4181</v>
      </c>
      <c r="AZ40" s="2416" t="s">
        <v>4182</v>
      </c>
      <c r="BA40" s="2417"/>
      <c r="BB40" s="2417"/>
      <c r="BC40" s="2354" t="s">
        <v>3235</v>
      </c>
      <c r="BD40" s="2417"/>
      <c r="BE40" s="2354"/>
      <c r="BF40" s="2354"/>
      <c r="BG40" s="2354"/>
      <c r="BH40" s="2354"/>
      <c r="BI40" s="2354"/>
      <c r="BJ40" s="2354"/>
      <c r="BK40" s="2354"/>
      <c r="BL40" s="2354"/>
      <c r="BM40" s="2354"/>
      <c r="BN40" s="2354"/>
      <c r="BO40" s="2354"/>
      <c r="BP40" s="2354"/>
      <c r="BQ40" s="2354"/>
      <c r="BR40" s="2354"/>
      <c r="BS40" s="2354"/>
      <c r="BT40" s="2354"/>
      <c r="BU40" s="2354"/>
      <c r="BV40" s="2354"/>
      <c r="BW40" s="2354"/>
      <c r="BX40" s="2354"/>
      <c r="BY40" s="2354"/>
      <c r="BZ40" s="2790"/>
      <c r="CA40" s="2790"/>
      <c r="CB40" s="2790"/>
      <c r="CC40" s="2790"/>
      <c r="CD40" s="2354"/>
      <c r="CE40" s="2354"/>
      <c r="CF40" s="2354"/>
      <c r="CG40" s="2354"/>
      <c r="CH40" s="2354"/>
      <c r="CI40" s="2354"/>
      <c r="CJ40" s="2354"/>
      <c r="CK40" s="2354"/>
      <c r="CL40" s="2354"/>
      <c r="CM40" s="2354"/>
      <c r="CN40" s="2354"/>
      <c r="CO40" s="2354"/>
      <c r="CP40" s="2354"/>
      <c r="CQ40" s="2354"/>
      <c r="CR40" s="2354"/>
      <c r="CS40" s="2354"/>
      <c r="CT40" s="2354"/>
      <c r="CU40" s="2354"/>
      <c r="CV40" s="2417" t="s">
        <v>5369</v>
      </c>
      <c r="CW40" s="2416" t="s">
        <v>2007</v>
      </c>
      <c r="CX40" s="2417"/>
      <c r="CY40" s="2494"/>
    </row>
    <row r="41" spans="1:105" ht="18" x14ac:dyDescent="0.25">
      <c r="B41" s="2493">
        <v>38</v>
      </c>
      <c r="C41" s="2414" t="s">
        <v>4900</v>
      </c>
      <c r="D41" s="2415" t="s">
        <v>2216</v>
      </c>
      <c r="E41" s="2416"/>
      <c r="F41" s="2354"/>
      <c r="G41" s="2354"/>
      <c r="H41" s="2354"/>
      <c r="I41" s="2354"/>
      <c r="J41" s="2354" t="s">
        <v>1653</v>
      </c>
      <c r="K41" s="2354"/>
      <c r="L41" s="2354"/>
      <c r="M41" s="2354"/>
      <c r="N41" s="2416"/>
      <c r="O41" s="2416"/>
      <c r="P41" s="2354" t="s">
        <v>1654</v>
      </c>
      <c r="Q41" s="2354"/>
      <c r="R41" s="2354"/>
      <c r="S41" s="2354"/>
      <c r="T41" s="2354"/>
      <c r="U41" s="2354">
        <v>-1</v>
      </c>
      <c r="V41" s="2354"/>
      <c r="W41" s="2354"/>
      <c r="X41" s="2354"/>
      <c r="Y41" s="2354"/>
      <c r="Z41" s="2354"/>
      <c r="AA41" s="2354"/>
      <c r="AB41" s="2354"/>
      <c r="AC41" s="2354"/>
      <c r="AD41" s="2354" t="s">
        <v>2135</v>
      </c>
      <c r="AE41" s="2354"/>
      <c r="AF41" s="2354"/>
      <c r="AG41" s="2354"/>
      <c r="AH41" s="2354"/>
      <c r="AI41" s="2354"/>
      <c r="AJ41" s="2354" t="s">
        <v>1655</v>
      </c>
      <c r="AK41" s="2354"/>
      <c r="AL41" s="2354"/>
      <c r="AM41" s="2416"/>
      <c r="AN41" s="2354"/>
      <c r="AO41" s="2354"/>
      <c r="AP41" s="2354" t="s">
        <v>1656</v>
      </c>
      <c r="AQ41" s="2354"/>
      <c r="AR41" s="2354"/>
      <c r="AS41" s="2354"/>
      <c r="AT41" s="2354"/>
      <c r="AU41" s="2790" t="s">
        <v>5916</v>
      </c>
      <c r="AV41" s="3033"/>
      <c r="AW41" s="3033"/>
      <c r="AX41" s="3033"/>
      <c r="AY41" s="3033"/>
      <c r="AZ41" s="3033"/>
      <c r="BA41" s="3033"/>
      <c r="BB41" s="2417"/>
      <c r="BC41" s="2416" t="s">
        <v>3595</v>
      </c>
      <c r="BD41" s="2417"/>
      <c r="BE41" s="2354"/>
      <c r="BF41" s="2354"/>
      <c r="BG41" s="2354"/>
      <c r="BH41" s="2354"/>
      <c r="BI41" s="2354"/>
      <c r="BJ41" s="2354"/>
      <c r="BK41" s="2354"/>
      <c r="BL41" s="2354"/>
      <c r="BM41" s="2354"/>
      <c r="BN41" s="2354"/>
      <c r="BO41" s="2354"/>
      <c r="BP41" s="2354"/>
      <c r="BQ41" s="2354"/>
      <c r="BR41" s="2354"/>
      <c r="BS41" s="2354"/>
      <c r="BT41" s="2354"/>
      <c r="BU41" s="2354"/>
      <c r="BV41" s="2354"/>
      <c r="BW41" s="2354"/>
      <c r="BX41" s="2354"/>
      <c r="BY41" s="2354"/>
      <c r="BZ41" s="2790"/>
      <c r="CA41" s="2790"/>
      <c r="CB41" s="2790"/>
      <c r="CC41" s="2790"/>
      <c r="CD41" s="2354"/>
      <c r="CE41" s="2354"/>
      <c r="CF41" s="2354"/>
      <c r="CG41" s="2354"/>
      <c r="CH41" s="2354"/>
      <c r="CI41" s="2354"/>
      <c r="CJ41" s="2354"/>
      <c r="CK41" s="2354"/>
      <c r="CL41" s="2354"/>
      <c r="CM41" s="2354"/>
      <c r="CN41" s="2354"/>
      <c r="CO41" s="2354"/>
      <c r="CP41" s="2354"/>
      <c r="CQ41" s="2354"/>
      <c r="CR41" s="2354"/>
      <c r="CS41" s="2354"/>
      <c r="CT41" s="2354"/>
      <c r="CU41" s="2354"/>
      <c r="CV41" s="2415" t="s">
        <v>4619</v>
      </c>
      <c r="CW41" s="2354" t="s">
        <v>2007</v>
      </c>
      <c r="CX41" s="2415"/>
      <c r="CY41" s="2495"/>
    </row>
    <row r="42" spans="1:105" ht="18" x14ac:dyDescent="0.25">
      <c r="B42" s="2493">
        <v>39</v>
      </c>
      <c r="C42" s="2414" t="s">
        <v>4901</v>
      </c>
      <c r="D42" s="2415" t="s">
        <v>2995</v>
      </c>
      <c r="E42" s="2416"/>
      <c r="F42" s="2354"/>
      <c r="G42" s="2354"/>
      <c r="H42" s="2354"/>
      <c r="I42" s="2354"/>
      <c r="J42" s="2354" t="s">
        <v>1653</v>
      </c>
      <c r="K42" s="2354"/>
      <c r="L42" s="2354"/>
      <c r="M42" s="2354"/>
      <c r="N42" s="2416"/>
      <c r="O42" s="2416"/>
      <c r="P42" s="2354"/>
      <c r="Q42" s="2354" t="s">
        <v>1654</v>
      </c>
      <c r="R42" s="2354"/>
      <c r="S42" s="2354"/>
      <c r="T42" s="2354"/>
      <c r="U42" s="2354">
        <v>-1</v>
      </c>
      <c r="V42" s="2354"/>
      <c r="W42" s="2354"/>
      <c r="X42" s="2354"/>
      <c r="Y42" s="2354"/>
      <c r="Z42" s="2354"/>
      <c r="AA42" s="2354"/>
      <c r="AB42" s="2354"/>
      <c r="AC42" s="2354"/>
      <c r="AD42" s="2354" t="s">
        <v>2135</v>
      </c>
      <c r="AE42" s="2354"/>
      <c r="AF42" s="2354"/>
      <c r="AG42" s="2354"/>
      <c r="AH42" s="2354"/>
      <c r="AI42" s="2354"/>
      <c r="AJ42" s="2354" t="s">
        <v>1655</v>
      </c>
      <c r="AK42" s="2354"/>
      <c r="AL42" s="2354"/>
      <c r="AM42" s="2416"/>
      <c r="AN42" s="2354"/>
      <c r="AO42" s="2354"/>
      <c r="AP42" s="2354" t="s">
        <v>1656</v>
      </c>
      <c r="AQ42" s="2354"/>
      <c r="AR42" s="2354"/>
      <c r="AS42" s="2354"/>
      <c r="AT42" s="2354"/>
      <c r="AU42" s="2790" t="s">
        <v>5916</v>
      </c>
      <c r="AV42" s="3033"/>
      <c r="AW42" s="3033"/>
      <c r="AX42" s="3033"/>
      <c r="AY42" s="3033"/>
      <c r="AZ42" s="3033"/>
      <c r="BA42" s="3033"/>
      <c r="BB42" s="2417"/>
      <c r="BC42" s="2416" t="s">
        <v>3595</v>
      </c>
      <c r="BD42" s="2417"/>
      <c r="BE42" s="2354"/>
      <c r="BF42" s="2354"/>
      <c r="BG42" s="2354"/>
      <c r="BH42" s="2354"/>
      <c r="BI42" s="2354"/>
      <c r="BJ42" s="2354"/>
      <c r="BK42" s="2354"/>
      <c r="BL42" s="2354"/>
      <c r="BM42" s="2354"/>
      <c r="BN42" s="2354"/>
      <c r="BO42" s="2354"/>
      <c r="BP42" s="2354"/>
      <c r="BQ42" s="2354"/>
      <c r="BR42" s="2354"/>
      <c r="BS42" s="2354"/>
      <c r="BT42" s="2354"/>
      <c r="BU42" s="2354"/>
      <c r="BV42" s="2354"/>
      <c r="BW42" s="2354"/>
      <c r="BX42" s="2354"/>
      <c r="BY42" s="2354"/>
      <c r="BZ42" s="2790"/>
      <c r="CA42" s="2790"/>
      <c r="CB42" s="2790"/>
      <c r="CC42" s="2790"/>
      <c r="CD42" s="2354"/>
      <c r="CE42" s="2354"/>
      <c r="CF42" s="2354"/>
      <c r="CG42" s="2354"/>
      <c r="CH42" s="2354"/>
      <c r="CI42" s="2354"/>
      <c r="CJ42" s="2354"/>
      <c r="CK42" s="2354"/>
      <c r="CL42" s="2354"/>
      <c r="CM42" s="2354"/>
      <c r="CN42" s="2354"/>
      <c r="CO42" s="2354"/>
      <c r="CP42" s="2354"/>
      <c r="CQ42" s="2354"/>
      <c r="CR42" s="2354"/>
      <c r="CS42" s="2354"/>
      <c r="CT42" s="2354"/>
      <c r="CU42" s="2354"/>
      <c r="CV42" s="2415" t="s">
        <v>4620</v>
      </c>
      <c r="CW42" s="2354" t="s">
        <v>2007</v>
      </c>
      <c r="CX42" s="2415"/>
      <c r="CY42" s="2495"/>
    </row>
    <row r="43" spans="1:105" ht="18" x14ac:dyDescent="0.25">
      <c r="B43" s="2496">
        <v>40</v>
      </c>
      <c r="C43" s="2418" t="s">
        <v>4902</v>
      </c>
      <c r="D43" s="2419" t="s">
        <v>2217</v>
      </c>
      <c r="E43" s="2355"/>
      <c r="F43" s="2355"/>
      <c r="G43" s="2355"/>
      <c r="H43" s="2355"/>
      <c r="I43" s="2355"/>
      <c r="J43" s="2355"/>
      <c r="K43" s="2355"/>
      <c r="L43" s="2355"/>
      <c r="M43" s="2355"/>
      <c r="N43" s="2355"/>
      <c r="O43" s="2355"/>
      <c r="P43" s="2355"/>
      <c r="Q43" s="2355"/>
      <c r="R43" s="2355"/>
      <c r="S43" s="2355"/>
      <c r="T43" s="2355"/>
      <c r="U43" s="2355"/>
      <c r="V43" s="2355">
        <v>1</v>
      </c>
      <c r="W43" s="2355"/>
      <c r="X43" s="2355"/>
      <c r="Y43" s="2355"/>
      <c r="Z43" s="2355"/>
      <c r="AA43" s="2355"/>
      <c r="AB43" s="2355"/>
      <c r="AC43" s="2355"/>
      <c r="AD43" s="2355" t="s">
        <v>2212</v>
      </c>
      <c r="AE43" s="2355" t="s">
        <v>2213</v>
      </c>
      <c r="AF43" s="2355" t="s">
        <v>2214</v>
      </c>
      <c r="AG43" s="2355"/>
      <c r="AH43" s="2355"/>
      <c r="AI43" s="2355"/>
      <c r="AJ43" s="2355"/>
      <c r="AK43" s="2355"/>
      <c r="AL43" s="2355" t="s">
        <v>1648</v>
      </c>
      <c r="AM43" s="2355"/>
      <c r="AN43" s="2355"/>
      <c r="AO43" s="2355"/>
      <c r="AP43" s="2355"/>
      <c r="AQ43" s="2355"/>
      <c r="AR43" s="2355" t="s">
        <v>2209</v>
      </c>
      <c r="AS43" s="2355"/>
      <c r="AT43" s="2355"/>
      <c r="AU43" s="2355" t="s">
        <v>1670</v>
      </c>
      <c r="AV43" s="2355" t="s">
        <v>2454</v>
      </c>
      <c r="AW43" s="2355" t="s">
        <v>4179</v>
      </c>
      <c r="AX43" s="2355" t="s">
        <v>4180</v>
      </c>
      <c r="AY43" s="2355" t="s">
        <v>4181</v>
      </c>
      <c r="AZ43" s="2355" t="s">
        <v>4182</v>
      </c>
      <c r="BA43" s="2355"/>
      <c r="BB43" s="2355"/>
      <c r="BC43" s="2355" t="s">
        <v>3235</v>
      </c>
      <c r="BD43" s="2355"/>
      <c r="BE43" s="2355"/>
      <c r="BF43" s="2355"/>
      <c r="BG43" s="2355"/>
      <c r="BH43" s="2355"/>
      <c r="BI43" s="2355"/>
      <c r="BJ43" s="2355"/>
      <c r="BK43" s="2355"/>
      <c r="BL43" s="2355"/>
      <c r="BM43" s="2355"/>
      <c r="BN43" s="2355"/>
      <c r="BO43" s="2355"/>
      <c r="BP43" s="2355"/>
      <c r="BQ43" s="2355"/>
      <c r="BR43" s="2355"/>
      <c r="BS43" s="2355"/>
      <c r="BT43" s="2355"/>
      <c r="BU43" s="2355"/>
      <c r="BV43" s="2355"/>
      <c r="BW43" s="2355"/>
      <c r="BX43" s="2355"/>
      <c r="BY43" s="2355"/>
      <c r="BZ43" s="2791"/>
      <c r="CA43" s="2791"/>
      <c r="CB43" s="2791"/>
      <c r="CC43" s="2791"/>
      <c r="CD43" s="2355"/>
      <c r="CE43" s="2355"/>
      <c r="CF43" s="2355"/>
      <c r="CG43" s="2355"/>
      <c r="CH43" s="2355"/>
      <c r="CI43" s="2355"/>
      <c r="CJ43" s="2355"/>
      <c r="CK43" s="2355"/>
      <c r="CL43" s="2355"/>
      <c r="CM43" s="2355"/>
      <c r="CN43" s="2355"/>
      <c r="CO43" s="2355"/>
      <c r="CP43" s="2355"/>
      <c r="CQ43" s="2355"/>
      <c r="CR43" s="2355"/>
      <c r="CS43" s="2355"/>
      <c r="CT43" s="2355"/>
      <c r="CU43" s="2355"/>
      <c r="CV43" s="2419" t="s">
        <v>5370</v>
      </c>
      <c r="CW43" s="2355" t="s">
        <v>2007</v>
      </c>
      <c r="CX43" s="2419"/>
      <c r="CY43" s="2497"/>
    </row>
    <row r="44" spans="1:105" ht="18" x14ac:dyDescent="0.25">
      <c r="B44" s="2496">
        <v>41</v>
      </c>
      <c r="C44" s="2418" t="s">
        <v>352</v>
      </c>
      <c r="D44" s="2419" t="s">
        <v>2218</v>
      </c>
      <c r="E44" s="2355"/>
      <c r="F44" s="2355"/>
      <c r="G44" s="2355"/>
      <c r="H44" s="2355"/>
      <c r="I44" s="2355"/>
      <c r="J44" s="2355" t="s">
        <v>1653</v>
      </c>
      <c r="K44" s="2355"/>
      <c r="L44" s="2355"/>
      <c r="M44" s="2355"/>
      <c r="N44" s="2355"/>
      <c r="O44" s="2355"/>
      <c r="P44" s="2355" t="s">
        <v>1654</v>
      </c>
      <c r="Q44" s="2355"/>
      <c r="R44" s="2355"/>
      <c r="S44" s="2355"/>
      <c r="T44" s="2355"/>
      <c r="U44" s="2355"/>
      <c r="V44" s="2355">
        <v>-1</v>
      </c>
      <c r="W44" s="2355"/>
      <c r="X44" s="2355"/>
      <c r="Y44" s="2355"/>
      <c r="Z44" s="2355"/>
      <c r="AA44" s="2355"/>
      <c r="AB44" s="2355"/>
      <c r="AC44" s="2355"/>
      <c r="AD44" s="2355" t="s">
        <v>2135</v>
      </c>
      <c r="AE44" s="2355"/>
      <c r="AF44" s="2355"/>
      <c r="AG44" s="2355"/>
      <c r="AH44" s="2355"/>
      <c r="AI44" s="2355"/>
      <c r="AJ44" s="2355" t="s">
        <v>1655</v>
      </c>
      <c r="AK44" s="2355"/>
      <c r="AL44" s="2355"/>
      <c r="AM44" s="2355"/>
      <c r="AN44" s="2355"/>
      <c r="AO44" s="2355"/>
      <c r="AP44" s="2355" t="s">
        <v>1656</v>
      </c>
      <c r="AQ44" s="2355"/>
      <c r="AR44" s="2355"/>
      <c r="AS44" s="2355"/>
      <c r="AT44" s="2355"/>
      <c r="AU44" s="2791" t="s">
        <v>5916</v>
      </c>
      <c r="AV44" s="2791"/>
      <c r="AW44" s="2791"/>
      <c r="AX44" s="2791"/>
      <c r="AY44" s="2791"/>
      <c r="AZ44" s="2791"/>
      <c r="BA44" s="2791"/>
      <c r="BB44" s="2355"/>
      <c r="BC44" s="2355" t="s">
        <v>3595</v>
      </c>
      <c r="BD44" s="2355"/>
      <c r="BE44" s="2355"/>
      <c r="BF44" s="2355"/>
      <c r="BG44" s="2355"/>
      <c r="BH44" s="2355"/>
      <c r="BI44" s="2355"/>
      <c r="BJ44" s="2355"/>
      <c r="BK44" s="2355"/>
      <c r="BL44" s="2355"/>
      <c r="BM44" s="2355"/>
      <c r="BN44" s="2355"/>
      <c r="BO44" s="2355"/>
      <c r="BP44" s="2355"/>
      <c r="BQ44" s="2355"/>
      <c r="BR44" s="2355"/>
      <c r="BS44" s="2355"/>
      <c r="BT44" s="2355"/>
      <c r="BU44" s="2355"/>
      <c r="BV44" s="2355"/>
      <c r="BW44" s="2355"/>
      <c r="BX44" s="2355"/>
      <c r="BY44" s="2355"/>
      <c r="BZ44" s="2791"/>
      <c r="CA44" s="2791"/>
      <c r="CB44" s="2791"/>
      <c r="CC44" s="2791"/>
      <c r="CD44" s="2355"/>
      <c r="CE44" s="2355"/>
      <c r="CF44" s="2355"/>
      <c r="CG44" s="2355"/>
      <c r="CH44" s="2355"/>
      <c r="CI44" s="2355"/>
      <c r="CJ44" s="2355"/>
      <c r="CK44" s="2355"/>
      <c r="CL44" s="2355"/>
      <c r="CM44" s="2355"/>
      <c r="CN44" s="2355"/>
      <c r="CO44" s="2355"/>
      <c r="CP44" s="2355"/>
      <c r="CQ44" s="2355"/>
      <c r="CR44" s="2355"/>
      <c r="CS44" s="2355"/>
      <c r="CT44" s="2355"/>
      <c r="CU44" s="2355"/>
      <c r="CV44" s="2419" t="s">
        <v>4621</v>
      </c>
      <c r="CW44" s="2355" t="s">
        <v>2007</v>
      </c>
      <c r="CX44" s="2419"/>
      <c r="CY44" s="2497"/>
    </row>
    <row r="45" spans="1:105" ht="18" x14ac:dyDescent="0.25">
      <c r="B45" s="2496">
        <v>42</v>
      </c>
      <c r="C45" s="2418" t="s">
        <v>4903</v>
      </c>
      <c r="D45" s="2419" t="s">
        <v>2996</v>
      </c>
      <c r="E45" s="2355"/>
      <c r="F45" s="2355"/>
      <c r="G45" s="2355"/>
      <c r="H45" s="2355"/>
      <c r="I45" s="2355"/>
      <c r="J45" s="2355" t="s">
        <v>1653</v>
      </c>
      <c r="K45" s="2355"/>
      <c r="L45" s="2355"/>
      <c r="M45" s="2355"/>
      <c r="N45" s="2355"/>
      <c r="O45" s="2355"/>
      <c r="P45" s="2355"/>
      <c r="Q45" s="2355" t="s">
        <v>1654</v>
      </c>
      <c r="R45" s="2355"/>
      <c r="S45" s="2355"/>
      <c r="T45" s="2355"/>
      <c r="U45" s="2355"/>
      <c r="V45" s="2355">
        <v>-1</v>
      </c>
      <c r="W45" s="2355"/>
      <c r="X45" s="2355"/>
      <c r="Y45" s="2355"/>
      <c r="Z45" s="2355"/>
      <c r="AA45" s="2355"/>
      <c r="AB45" s="2355"/>
      <c r="AC45" s="2355"/>
      <c r="AD45" s="2355" t="s">
        <v>2135</v>
      </c>
      <c r="AE45" s="2355"/>
      <c r="AF45" s="2355"/>
      <c r="AG45" s="2355"/>
      <c r="AH45" s="2355"/>
      <c r="AI45" s="2355"/>
      <c r="AJ45" s="2355" t="s">
        <v>1655</v>
      </c>
      <c r="AK45" s="2355"/>
      <c r="AL45" s="2355"/>
      <c r="AM45" s="2355"/>
      <c r="AN45" s="2355"/>
      <c r="AO45" s="2355"/>
      <c r="AP45" s="2355" t="s">
        <v>1656</v>
      </c>
      <c r="AQ45" s="2355"/>
      <c r="AR45" s="2355"/>
      <c r="AS45" s="2355"/>
      <c r="AT45" s="2355"/>
      <c r="AU45" s="2791" t="s">
        <v>5916</v>
      </c>
      <c r="AV45" s="2791"/>
      <c r="AW45" s="2791"/>
      <c r="AX45" s="2791"/>
      <c r="AY45" s="2791"/>
      <c r="AZ45" s="2791"/>
      <c r="BA45" s="2791"/>
      <c r="BB45" s="2355"/>
      <c r="BC45" s="2355" t="s">
        <v>3595</v>
      </c>
      <c r="BD45" s="2355"/>
      <c r="BE45" s="2355"/>
      <c r="BF45" s="2355"/>
      <c r="BG45" s="2355"/>
      <c r="BH45" s="2355"/>
      <c r="BI45" s="2355"/>
      <c r="BJ45" s="2355"/>
      <c r="BK45" s="2355"/>
      <c r="BL45" s="2355"/>
      <c r="BM45" s="2355"/>
      <c r="BN45" s="2355"/>
      <c r="BO45" s="2355"/>
      <c r="BP45" s="2355"/>
      <c r="BQ45" s="2355"/>
      <c r="BR45" s="2355"/>
      <c r="BS45" s="2355"/>
      <c r="BT45" s="2355"/>
      <c r="BU45" s="2355"/>
      <c r="BV45" s="2355"/>
      <c r="BW45" s="2355"/>
      <c r="BX45" s="2355"/>
      <c r="BY45" s="2355"/>
      <c r="BZ45" s="2791"/>
      <c r="CA45" s="2791"/>
      <c r="CB45" s="2791"/>
      <c r="CC45" s="2791"/>
      <c r="CD45" s="2355"/>
      <c r="CE45" s="2355"/>
      <c r="CF45" s="2355"/>
      <c r="CG45" s="2355"/>
      <c r="CH45" s="2355"/>
      <c r="CI45" s="2355"/>
      <c r="CJ45" s="2355"/>
      <c r="CK45" s="2355"/>
      <c r="CL45" s="2355"/>
      <c r="CM45" s="2355"/>
      <c r="CN45" s="2355"/>
      <c r="CO45" s="2355"/>
      <c r="CP45" s="2355"/>
      <c r="CQ45" s="2355"/>
      <c r="CR45" s="2355"/>
      <c r="CS45" s="2355"/>
      <c r="CT45" s="2355"/>
      <c r="CU45" s="2355"/>
      <c r="CV45" s="2419" t="s">
        <v>4622</v>
      </c>
      <c r="CW45" s="2355" t="s">
        <v>2007</v>
      </c>
      <c r="CX45" s="2419"/>
      <c r="CY45" s="2497"/>
    </row>
    <row r="46" spans="1:105" ht="18" x14ac:dyDescent="0.25">
      <c r="B46" s="2498">
        <v>43</v>
      </c>
      <c r="C46" s="2420" t="s">
        <v>4904</v>
      </c>
      <c r="D46" s="2421" t="s">
        <v>2219</v>
      </c>
      <c r="E46" s="2356"/>
      <c r="F46" s="2356"/>
      <c r="G46" s="2356"/>
      <c r="H46" s="2356"/>
      <c r="I46" s="2356"/>
      <c r="J46" s="2356"/>
      <c r="K46" s="2356"/>
      <c r="L46" s="2356"/>
      <c r="M46" s="2356"/>
      <c r="N46" s="2356"/>
      <c r="O46" s="2356"/>
      <c r="P46" s="2356"/>
      <c r="Q46" s="2356"/>
      <c r="R46" s="2356"/>
      <c r="S46" s="2356"/>
      <c r="T46" s="2356"/>
      <c r="U46" s="2356"/>
      <c r="V46" s="2356"/>
      <c r="W46" s="2356">
        <v>1</v>
      </c>
      <c r="X46" s="2356"/>
      <c r="Y46" s="2356"/>
      <c r="Z46" s="2356"/>
      <c r="AA46" s="2356"/>
      <c r="AB46" s="2356"/>
      <c r="AC46" s="2356"/>
      <c r="AD46" s="2356" t="s">
        <v>2222</v>
      </c>
      <c r="AE46" s="2356" t="s">
        <v>2223</v>
      </c>
      <c r="AF46" s="2356" t="s">
        <v>2224</v>
      </c>
      <c r="AG46" s="2356" t="s">
        <v>2225</v>
      </c>
      <c r="AH46" s="2356"/>
      <c r="AI46" s="2356"/>
      <c r="AJ46" s="2356"/>
      <c r="AK46" s="2356"/>
      <c r="AL46" s="2356" t="s">
        <v>1648</v>
      </c>
      <c r="AM46" s="2356"/>
      <c r="AN46" s="2356"/>
      <c r="AO46" s="2356"/>
      <c r="AP46" s="2356"/>
      <c r="AQ46" s="2356"/>
      <c r="AR46" s="2356"/>
      <c r="AS46" s="2356"/>
      <c r="AT46" s="2356"/>
      <c r="AU46" s="2356" t="s">
        <v>1670</v>
      </c>
      <c r="AV46" s="2356" t="s">
        <v>2454</v>
      </c>
      <c r="AW46" s="2356" t="s">
        <v>4179</v>
      </c>
      <c r="AX46" s="2356" t="s">
        <v>4180</v>
      </c>
      <c r="AY46" s="2356" t="s">
        <v>4181</v>
      </c>
      <c r="AZ46" s="2356" t="s">
        <v>4182</v>
      </c>
      <c r="BA46" s="2356"/>
      <c r="BB46" s="2356"/>
      <c r="BC46" s="2356" t="s">
        <v>3235</v>
      </c>
      <c r="BD46" s="2356"/>
      <c r="BE46" s="2356"/>
      <c r="BF46" s="2356"/>
      <c r="BG46" s="2356"/>
      <c r="BH46" s="2356"/>
      <c r="BI46" s="2356"/>
      <c r="BJ46" s="2356"/>
      <c r="BK46" s="2356"/>
      <c r="BL46" s="2356"/>
      <c r="BM46" s="2356"/>
      <c r="BN46" s="2356"/>
      <c r="BO46" s="2356"/>
      <c r="BP46" s="2356"/>
      <c r="BQ46" s="2356"/>
      <c r="BR46" s="2356"/>
      <c r="BS46" s="2356"/>
      <c r="BT46" s="2356"/>
      <c r="BU46" s="2356"/>
      <c r="BV46" s="2356"/>
      <c r="BW46" s="2356"/>
      <c r="BX46" s="2356"/>
      <c r="BY46" s="2356"/>
      <c r="BZ46" s="2792"/>
      <c r="CA46" s="2792"/>
      <c r="CB46" s="2792"/>
      <c r="CC46" s="2792"/>
      <c r="CD46" s="2356"/>
      <c r="CE46" s="2356"/>
      <c r="CF46" s="2356"/>
      <c r="CG46" s="2356"/>
      <c r="CH46" s="2356"/>
      <c r="CI46" s="2356"/>
      <c r="CJ46" s="2356"/>
      <c r="CK46" s="2356"/>
      <c r="CL46" s="2356"/>
      <c r="CM46" s="2356"/>
      <c r="CN46" s="2356"/>
      <c r="CO46" s="2356"/>
      <c r="CP46" s="2356"/>
      <c r="CQ46" s="2356"/>
      <c r="CR46" s="2356"/>
      <c r="CS46" s="2356"/>
      <c r="CT46" s="2356"/>
      <c r="CU46" s="2356"/>
      <c r="CV46" s="2422" t="s">
        <v>4197</v>
      </c>
      <c r="CW46" s="2356" t="s">
        <v>2007</v>
      </c>
      <c r="CX46" s="2422"/>
      <c r="CY46" s="2499"/>
    </row>
    <row r="47" spans="1:105" ht="18" x14ac:dyDescent="0.25">
      <c r="B47" s="2498">
        <v>44</v>
      </c>
      <c r="C47" s="2420" t="s">
        <v>846</v>
      </c>
      <c r="D47" s="2421" t="s">
        <v>2220</v>
      </c>
      <c r="E47" s="2357"/>
      <c r="F47" s="2357"/>
      <c r="G47" s="2357"/>
      <c r="H47" s="2357"/>
      <c r="I47" s="2357"/>
      <c r="J47" s="2357" t="s">
        <v>1653</v>
      </c>
      <c r="K47" s="2357"/>
      <c r="L47" s="2357"/>
      <c r="M47" s="2357"/>
      <c r="N47" s="2357"/>
      <c r="O47" s="2357"/>
      <c r="P47" s="2357" t="s">
        <v>1654</v>
      </c>
      <c r="Q47" s="2357"/>
      <c r="R47" s="2357"/>
      <c r="S47" s="2357"/>
      <c r="T47" s="2357"/>
      <c r="U47" s="2357"/>
      <c r="V47" s="2357"/>
      <c r="W47" s="2357">
        <v>-1</v>
      </c>
      <c r="X47" s="2357"/>
      <c r="Y47" s="2357"/>
      <c r="Z47" s="2357"/>
      <c r="AA47" s="2357"/>
      <c r="AB47" s="2357"/>
      <c r="AC47" s="2357"/>
      <c r="AD47" s="2357" t="s">
        <v>2135</v>
      </c>
      <c r="AE47" s="2357"/>
      <c r="AF47" s="2357"/>
      <c r="AG47" s="2357"/>
      <c r="AH47" s="2357"/>
      <c r="AI47" s="2357"/>
      <c r="AJ47" s="2357" t="s">
        <v>1655</v>
      </c>
      <c r="AK47" s="2357"/>
      <c r="AL47" s="2357"/>
      <c r="AM47" s="2357"/>
      <c r="AN47" s="2357"/>
      <c r="AO47" s="2357"/>
      <c r="AP47" s="2357" t="s">
        <v>1656</v>
      </c>
      <c r="AQ47" s="2357"/>
      <c r="AR47" s="2357"/>
      <c r="AS47" s="2357"/>
      <c r="AT47" s="2357"/>
      <c r="AU47" s="2792" t="s">
        <v>5916</v>
      </c>
      <c r="AV47" s="2793"/>
      <c r="AW47" s="2793"/>
      <c r="AX47" s="2793"/>
      <c r="AY47" s="2793"/>
      <c r="AZ47" s="2793"/>
      <c r="BA47" s="2793"/>
      <c r="BB47" s="2357"/>
      <c r="BC47" s="2357" t="s">
        <v>3595</v>
      </c>
      <c r="BD47" s="2357"/>
      <c r="BE47" s="2357"/>
      <c r="BF47" s="2357"/>
      <c r="BG47" s="2357"/>
      <c r="BH47" s="2357"/>
      <c r="BI47" s="2357"/>
      <c r="BJ47" s="2357"/>
      <c r="BK47" s="2357"/>
      <c r="BL47" s="2357"/>
      <c r="BM47" s="2357"/>
      <c r="BN47" s="2357"/>
      <c r="BO47" s="2357"/>
      <c r="BP47" s="2357"/>
      <c r="BQ47" s="2357"/>
      <c r="BR47" s="2357"/>
      <c r="BS47" s="2357"/>
      <c r="BT47" s="2357"/>
      <c r="BU47" s="2357"/>
      <c r="BV47" s="2357"/>
      <c r="BW47" s="2357"/>
      <c r="BX47" s="2357"/>
      <c r="BY47" s="2357"/>
      <c r="BZ47" s="2793"/>
      <c r="CA47" s="2793"/>
      <c r="CB47" s="2793"/>
      <c r="CC47" s="2793"/>
      <c r="CD47" s="2357"/>
      <c r="CE47" s="2357"/>
      <c r="CF47" s="2357"/>
      <c r="CG47" s="2357"/>
      <c r="CH47" s="2357"/>
      <c r="CI47" s="2357"/>
      <c r="CJ47" s="2357"/>
      <c r="CK47" s="2357"/>
      <c r="CL47" s="2357"/>
      <c r="CM47" s="2357"/>
      <c r="CN47" s="2357"/>
      <c r="CO47" s="2357"/>
      <c r="CP47" s="2357"/>
      <c r="CQ47" s="2357"/>
      <c r="CR47" s="2357"/>
      <c r="CS47" s="2357"/>
      <c r="CT47" s="2357"/>
      <c r="CU47" s="2357"/>
      <c r="CV47" s="2421" t="s">
        <v>4623</v>
      </c>
      <c r="CW47" s="2357" t="s">
        <v>2007</v>
      </c>
      <c r="CX47" s="2421"/>
      <c r="CY47" s="2500"/>
    </row>
    <row r="48" spans="1:105" ht="18" x14ac:dyDescent="0.25">
      <c r="B48" s="2498">
        <v>45</v>
      </c>
      <c r="C48" s="2420" t="s">
        <v>440</v>
      </c>
      <c r="D48" s="2421" t="s">
        <v>2997</v>
      </c>
      <c r="E48" s="2357"/>
      <c r="F48" s="2357"/>
      <c r="G48" s="2357"/>
      <c r="H48" s="2357"/>
      <c r="I48" s="2357"/>
      <c r="J48" s="2357" t="s">
        <v>1653</v>
      </c>
      <c r="K48" s="2357"/>
      <c r="L48" s="2357"/>
      <c r="M48" s="2357"/>
      <c r="N48" s="2357"/>
      <c r="O48" s="2357"/>
      <c r="P48" s="2357"/>
      <c r="Q48" s="2357" t="s">
        <v>1654</v>
      </c>
      <c r="R48" s="2357"/>
      <c r="S48" s="2357"/>
      <c r="T48" s="2357"/>
      <c r="U48" s="2357"/>
      <c r="V48" s="2357"/>
      <c r="W48" s="2357">
        <v>-1</v>
      </c>
      <c r="X48" s="2357"/>
      <c r="Y48" s="2357"/>
      <c r="Z48" s="2357"/>
      <c r="AA48" s="2357"/>
      <c r="AB48" s="2357"/>
      <c r="AC48" s="2357"/>
      <c r="AD48" s="2357" t="s">
        <v>2135</v>
      </c>
      <c r="AE48" s="2357"/>
      <c r="AF48" s="2357"/>
      <c r="AG48" s="2357"/>
      <c r="AH48" s="2357"/>
      <c r="AI48" s="2357"/>
      <c r="AJ48" s="2357" t="s">
        <v>1655</v>
      </c>
      <c r="AK48" s="2357"/>
      <c r="AL48" s="2357"/>
      <c r="AM48" s="2357"/>
      <c r="AN48" s="2357"/>
      <c r="AO48" s="2357"/>
      <c r="AP48" s="2357" t="s">
        <v>1656</v>
      </c>
      <c r="AQ48" s="2357"/>
      <c r="AR48" s="2357"/>
      <c r="AS48" s="2357"/>
      <c r="AT48" s="2357"/>
      <c r="AU48" s="2792" t="s">
        <v>5916</v>
      </c>
      <c r="AV48" s="2793"/>
      <c r="AW48" s="2793"/>
      <c r="AX48" s="2793"/>
      <c r="AY48" s="2793"/>
      <c r="AZ48" s="2793"/>
      <c r="BA48" s="2793"/>
      <c r="BB48" s="2357"/>
      <c r="BC48" s="2357" t="s">
        <v>3595</v>
      </c>
      <c r="BD48" s="2357"/>
      <c r="BE48" s="2357"/>
      <c r="BF48" s="2357"/>
      <c r="BG48" s="2357"/>
      <c r="BH48" s="2357"/>
      <c r="BI48" s="2357"/>
      <c r="BJ48" s="2357"/>
      <c r="BK48" s="2357"/>
      <c r="BL48" s="2357"/>
      <c r="BM48" s="2357"/>
      <c r="BN48" s="2357"/>
      <c r="BO48" s="2357"/>
      <c r="BP48" s="2357"/>
      <c r="BQ48" s="2357"/>
      <c r="BR48" s="2357"/>
      <c r="BS48" s="2357"/>
      <c r="BT48" s="2357"/>
      <c r="BU48" s="2357"/>
      <c r="BV48" s="2357"/>
      <c r="BW48" s="2357"/>
      <c r="BX48" s="2357"/>
      <c r="BY48" s="2357"/>
      <c r="BZ48" s="2793"/>
      <c r="CA48" s="2793"/>
      <c r="CB48" s="2793"/>
      <c r="CC48" s="2793"/>
      <c r="CD48" s="2357"/>
      <c r="CE48" s="2357"/>
      <c r="CF48" s="2357"/>
      <c r="CG48" s="2357"/>
      <c r="CH48" s="2357"/>
      <c r="CI48" s="2357"/>
      <c r="CJ48" s="2357"/>
      <c r="CK48" s="2357"/>
      <c r="CL48" s="2357"/>
      <c r="CM48" s="2357"/>
      <c r="CN48" s="2357"/>
      <c r="CO48" s="2357"/>
      <c r="CP48" s="2357"/>
      <c r="CQ48" s="2357"/>
      <c r="CR48" s="2357"/>
      <c r="CS48" s="2357"/>
      <c r="CT48" s="2357"/>
      <c r="CU48" s="2357"/>
      <c r="CV48" s="2421" t="s">
        <v>4624</v>
      </c>
      <c r="CW48" s="2357" t="s">
        <v>2007</v>
      </c>
      <c r="CX48" s="2421"/>
      <c r="CY48" s="2500"/>
    </row>
    <row r="49" spans="2:104" ht="18" x14ac:dyDescent="0.25">
      <c r="B49" s="2501">
        <v>46</v>
      </c>
      <c r="C49" s="2423" t="s">
        <v>441</v>
      </c>
      <c r="D49" s="2424" t="s">
        <v>302</v>
      </c>
      <c r="E49" s="2425" t="s">
        <v>1671</v>
      </c>
      <c r="F49" s="2358"/>
      <c r="G49" s="2358"/>
      <c r="H49" s="2358"/>
      <c r="I49" s="2358"/>
      <c r="J49" s="2358"/>
      <c r="K49" s="2358"/>
      <c r="L49" s="2358"/>
      <c r="M49" s="2358"/>
      <c r="N49" s="2358"/>
      <c r="O49" s="2358"/>
      <c r="P49" s="2358"/>
      <c r="Q49" s="2358"/>
      <c r="R49" s="2358"/>
      <c r="S49" s="2358"/>
      <c r="T49" s="2358"/>
      <c r="U49" s="2358"/>
      <c r="V49" s="2358"/>
      <c r="W49" s="2358"/>
      <c r="X49" s="2358">
        <v>1</v>
      </c>
      <c r="Y49" s="2358"/>
      <c r="Z49" s="2358"/>
      <c r="AA49" s="2358"/>
      <c r="AB49" s="2358"/>
      <c r="AC49" s="2358"/>
      <c r="AD49" s="2358" t="s">
        <v>1647</v>
      </c>
      <c r="AE49" s="2358"/>
      <c r="AF49" s="2358"/>
      <c r="AG49" s="2358"/>
      <c r="AH49" s="2358"/>
      <c r="AI49" s="2358"/>
      <c r="AJ49" s="2358"/>
      <c r="AK49" s="2358"/>
      <c r="AL49" s="2425" t="s">
        <v>1648</v>
      </c>
      <c r="AM49" s="2358"/>
      <c r="AN49" s="2358"/>
      <c r="AO49" s="2358"/>
      <c r="AP49" s="2358"/>
      <c r="AQ49" s="2358"/>
      <c r="AR49" s="2358"/>
      <c r="AS49" s="2358" t="s">
        <v>1672</v>
      </c>
      <c r="AT49" s="2358"/>
      <c r="AU49" s="2358" t="s">
        <v>2172</v>
      </c>
      <c r="AV49" s="2425" t="s">
        <v>2454</v>
      </c>
      <c r="AW49" s="2425" t="s">
        <v>4179</v>
      </c>
      <c r="AX49" s="2425" t="s">
        <v>4180</v>
      </c>
      <c r="AY49" s="2425" t="s">
        <v>4181</v>
      </c>
      <c r="AZ49" s="2425" t="s">
        <v>4182</v>
      </c>
      <c r="BA49" s="2425"/>
      <c r="BB49" s="2425"/>
      <c r="BC49" s="2425" t="s">
        <v>3235</v>
      </c>
      <c r="BD49" s="2425"/>
      <c r="BE49" s="2425"/>
      <c r="BF49" s="2425"/>
      <c r="BG49" s="2425"/>
      <c r="BH49" s="2425"/>
      <c r="BI49" s="2425"/>
      <c r="BJ49" s="2425"/>
      <c r="BK49" s="2425"/>
      <c r="BL49" s="2425"/>
      <c r="BM49" s="2425"/>
      <c r="BN49" s="2425"/>
      <c r="BO49" s="2425"/>
      <c r="BP49" s="2425"/>
      <c r="BQ49" s="2425"/>
      <c r="BR49" s="2425"/>
      <c r="BS49" s="2425"/>
      <c r="BT49" s="2425"/>
      <c r="BU49" s="2425"/>
      <c r="BV49" s="2425"/>
      <c r="BW49" s="2425"/>
      <c r="BX49" s="2425"/>
      <c r="BY49" s="2425"/>
      <c r="BZ49" s="2794"/>
      <c r="CA49" s="2794"/>
      <c r="CB49" s="2794"/>
      <c r="CC49" s="2794"/>
      <c r="CD49" s="2425"/>
      <c r="CE49" s="2425"/>
      <c r="CF49" s="2425"/>
      <c r="CG49" s="2425"/>
      <c r="CH49" s="2425"/>
      <c r="CI49" s="2425"/>
      <c r="CJ49" s="2425"/>
      <c r="CK49" s="2425"/>
      <c r="CL49" s="2425"/>
      <c r="CM49" s="2425"/>
      <c r="CN49" s="2425"/>
      <c r="CO49" s="2425"/>
      <c r="CP49" s="2425"/>
      <c r="CQ49" s="2425"/>
      <c r="CR49" s="2425"/>
      <c r="CS49" s="2425"/>
      <c r="CT49" s="2425"/>
      <c r="CU49" s="2425"/>
      <c r="CV49" s="2426" t="s">
        <v>5070</v>
      </c>
      <c r="CW49" s="2358" t="s">
        <v>2007</v>
      </c>
      <c r="CX49" s="2424" t="s">
        <v>903</v>
      </c>
      <c r="CY49" s="2502"/>
    </row>
    <row r="50" spans="2:104" ht="18" x14ac:dyDescent="0.25">
      <c r="B50" s="2501">
        <v>47</v>
      </c>
      <c r="C50" s="2423" t="s">
        <v>464</v>
      </c>
      <c r="D50" s="2424" t="s">
        <v>294</v>
      </c>
      <c r="E50" s="2358"/>
      <c r="F50" s="2358"/>
      <c r="G50" s="2358"/>
      <c r="H50" s="2358"/>
      <c r="I50" s="2358"/>
      <c r="J50" s="2358" t="s">
        <v>1653</v>
      </c>
      <c r="K50" s="2358"/>
      <c r="L50" s="2358"/>
      <c r="M50" s="2358"/>
      <c r="N50" s="2358"/>
      <c r="O50" s="2358"/>
      <c r="P50" s="2358" t="s">
        <v>1654</v>
      </c>
      <c r="Q50" s="2358"/>
      <c r="R50" s="2358"/>
      <c r="S50" s="2358"/>
      <c r="T50" s="2358"/>
      <c r="U50" s="2358"/>
      <c r="V50" s="2358"/>
      <c r="W50" s="2358"/>
      <c r="X50" s="2358">
        <v>-1</v>
      </c>
      <c r="Y50" s="2358"/>
      <c r="Z50" s="2358"/>
      <c r="AA50" s="2358"/>
      <c r="AB50" s="2358"/>
      <c r="AC50" s="2358"/>
      <c r="AD50" s="2358" t="s">
        <v>2135</v>
      </c>
      <c r="AE50" s="2358"/>
      <c r="AF50" s="2358"/>
      <c r="AG50" s="2358"/>
      <c r="AH50" s="2358"/>
      <c r="AI50" s="2358"/>
      <c r="AJ50" s="2358" t="s">
        <v>1655</v>
      </c>
      <c r="AK50" s="2358"/>
      <c r="AL50" s="2425"/>
      <c r="AM50" s="2358"/>
      <c r="AN50" s="2358"/>
      <c r="AO50" s="2358"/>
      <c r="AP50" s="2358" t="s">
        <v>1656</v>
      </c>
      <c r="AQ50" s="2358"/>
      <c r="AR50" s="2358"/>
      <c r="AS50" s="2358"/>
      <c r="AT50" s="2358"/>
      <c r="AU50" s="2795" t="s">
        <v>5916</v>
      </c>
      <c r="AV50" s="2795"/>
      <c r="AW50" s="2795"/>
      <c r="AX50" s="2795"/>
      <c r="AY50" s="2795"/>
      <c r="AZ50" s="2795"/>
      <c r="BA50" s="2358"/>
      <c r="BB50" s="2358"/>
      <c r="BC50" s="2358" t="s">
        <v>3595</v>
      </c>
      <c r="BD50" s="2358"/>
      <c r="BE50" s="2358"/>
      <c r="BF50" s="2358"/>
      <c r="BG50" s="2358"/>
      <c r="BH50" s="2358"/>
      <c r="BI50" s="2358"/>
      <c r="BJ50" s="2358"/>
      <c r="BK50" s="2358"/>
      <c r="BL50" s="2358"/>
      <c r="BM50" s="2358"/>
      <c r="BN50" s="2358"/>
      <c r="BO50" s="2358"/>
      <c r="BP50" s="2358"/>
      <c r="BQ50" s="2358"/>
      <c r="BR50" s="2358"/>
      <c r="BS50" s="2358"/>
      <c r="BT50" s="2358"/>
      <c r="BU50" s="2358"/>
      <c r="BV50" s="2358"/>
      <c r="BW50" s="2358"/>
      <c r="BX50" s="2358"/>
      <c r="BY50" s="2358"/>
      <c r="BZ50" s="2795"/>
      <c r="CA50" s="2795"/>
      <c r="CB50" s="2795"/>
      <c r="CC50" s="2795"/>
      <c r="CD50" s="2358"/>
      <c r="CE50" s="2358"/>
      <c r="CF50" s="2358"/>
      <c r="CG50" s="2358"/>
      <c r="CH50" s="2358"/>
      <c r="CI50" s="2358"/>
      <c r="CJ50" s="2358"/>
      <c r="CK50" s="2358"/>
      <c r="CL50" s="2358"/>
      <c r="CM50" s="2358"/>
      <c r="CN50" s="2358"/>
      <c r="CO50" s="2358"/>
      <c r="CP50" s="2358"/>
      <c r="CQ50" s="2358"/>
      <c r="CR50" s="2358"/>
      <c r="CS50" s="2358"/>
      <c r="CT50" s="2358"/>
      <c r="CU50" s="2358"/>
      <c r="CV50" s="2424" t="s">
        <v>4049</v>
      </c>
      <c r="CW50" s="2358" t="s">
        <v>2007</v>
      </c>
      <c r="CX50" s="2424"/>
      <c r="CY50" s="2502"/>
      <c r="CZ50"/>
    </row>
    <row r="51" spans="2:104" ht="18" x14ac:dyDescent="0.25">
      <c r="B51" s="2501">
        <v>48</v>
      </c>
      <c r="C51" s="2423" t="s">
        <v>465</v>
      </c>
      <c r="D51" s="2424" t="s">
        <v>2998</v>
      </c>
      <c r="E51" s="2358"/>
      <c r="F51" s="2358"/>
      <c r="G51" s="2358"/>
      <c r="H51" s="2358"/>
      <c r="I51" s="2358"/>
      <c r="J51" s="2358" t="s">
        <v>1653</v>
      </c>
      <c r="K51" s="2358"/>
      <c r="L51" s="2358"/>
      <c r="M51" s="2358"/>
      <c r="N51" s="2358"/>
      <c r="O51" s="2358"/>
      <c r="P51" s="2358"/>
      <c r="Q51" s="2358" t="s">
        <v>1654</v>
      </c>
      <c r="R51" s="2358"/>
      <c r="S51" s="2358"/>
      <c r="T51" s="2358"/>
      <c r="U51" s="2358"/>
      <c r="V51" s="2358"/>
      <c r="W51" s="2358"/>
      <c r="X51" s="2358">
        <v>-1</v>
      </c>
      <c r="Y51" s="2358"/>
      <c r="Z51" s="2358"/>
      <c r="AA51" s="2358"/>
      <c r="AB51" s="2358"/>
      <c r="AC51" s="2358"/>
      <c r="AD51" s="2358" t="s">
        <v>2135</v>
      </c>
      <c r="AE51" s="2358"/>
      <c r="AF51" s="2358"/>
      <c r="AG51" s="2358"/>
      <c r="AH51" s="2358"/>
      <c r="AI51" s="2358"/>
      <c r="AJ51" s="2358" t="s">
        <v>1655</v>
      </c>
      <c r="AK51" s="2358"/>
      <c r="AL51" s="2425"/>
      <c r="AM51" s="2358"/>
      <c r="AN51" s="2358"/>
      <c r="AO51" s="2358"/>
      <c r="AP51" s="2358" t="s">
        <v>1656</v>
      </c>
      <c r="AQ51" s="2358"/>
      <c r="AR51" s="2358"/>
      <c r="AS51" s="2358"/>
      <c r="AT51" s="2358"/>
      <c r="AU51" s="2795" t="s">
        <v>5916</v>
      </c>
      <c r="AV51" s="2795"/>
      <c r="AW51" s="2795"/>
      <c r="AX51" s="2795"/>
      <c r="AY51" s="2795"/>
      <c r="AZ51" s="2795"/>
      <c r="BA51" s="2358"/>
      <c r="BB51" s="2358"/>
      <c r="BC51" s="2358" t="s">
        <v>3595</v>
      </c>
      <c r="BD51" s="2358"/>
      <c r="BE51" s="2358"/>
      <c r="BF51" s="2358"/>
      <c r="BG51" s="2358"/>
      <c r="BH51" s="2358"/>
      <c r="BI51" s="2358"/>
      <c r="BJ51" s="2358"/>
      <c r="BK51" s="2358"/>
      <c r="BL51" s="2358"/>
      <c r="BM51" s="2358"/>
      <c r="BN51" s="2358"/>
      <c r="BO51" s="2358"/>
      <c r="BP51" s="2358"/>
      <c r="BQ51" s="2358"/>
      <c r="BR51" s="2358"/>
      <c r="BS51" s="2358"/>
      <c r="BT51" s="2358"/>
      <c r="BU51" s="2358"/>
      <c r="BV51" s="2358"/>
      <c r="BW51" s="2358"/>
      <c r="BX51" s="2358"/>
      <c r="BY51" s="2358"/>
      <c r="BZ51" s="2795"/>
      <c r="CA51" s="2795"/>
      <c r="CB51" s="2795"/>
      <c r="CC51" s="2795"/>
      <c r="CD51" s="2358"/>
      <c r="CE51" s="2358"/>
      <c r="CF51" s="2358"/>
      <c r="CG51" s="2358"/>
      <c r="CH51" s="2358"/>
      <c r="CI51" s="2358"/>
      <c r="CJ51" s="2358"/>
      <c r="CK51" s="2358"/>
      <c r="CL51" s="2358"/>
      <c r="CM51" s="2358"/>
      <c r="CN51" s="2358"/>
      <c r="CO51" s="2358"/>
      <c r="CP51" s="2358"/>
      <c r="CQ51" s="2358"/>
      <c r="CR51" s="2358"/>
      <c r="CS51" s="2358"/>
      <c r="CT51" s="2358"/>
      <c r="CU51" s="2358"/>
      <c r="CV51" s="2424" t="s">
        <v>4050</v>
      </c>
      <c r="CW51" s="2358" t="s">
        <v>2007</v>
      </c>
      <c r="CX51" s="2424"/>
      <c r="CY51" s="2502"/>
      <c r="CZ51"/>
    </row>
    <row r="52" spans="2:104" ht="18" x14ac:dyDescent="0.25">
      <c r="B52" s="2503">
        <v>49</v>
      </c>
      <c r="C52" s="2427" t="s">
        <v>466</v>
      </c>
      <c r="D52" s="1282" t="s">
        <v>303</v>
      </c>
      <c r="E52" s="2359"/>
      <c r="F52" s="2359"/>
      <c r="G52" s="2359"/>
      <c r="H52" s="2359"/>
      <c r="I52" s="2359"/>
      <c r="J52" s="2359"/>
      <c r="K52" s="2359"/>
      <c r="L52" s="2359"/>
      <c r="M52" s="2359"/>
      <c r="N52" s="2359"/>
      <c r="O52" s="2359"/>
      <c r="P52" s="2359"/>
      <c r="Q52" s="2359"/>
      <c r="R52" s="2359"/>
      <c r="S52" s="2359"/>
      <c r="T52" s="2359"/>
      <c r="U52" s="2359"/>
      <c r="V52" s="2359"/>
      <c r="W52" s="2359"/>
      <c r="X52" s="2359"/>
      <c r="Y52" s="2359">
        <v>1</v>
      </c>
      <c r="Z52" s="2359"/>
      <c r="AA52" s="2359"/>
      <c r="AB52" s="2359"/>
      <c r="AC52" s="2359"/>
      <c r="AD52" s="2359" t="s">
        <v>1647</v>
      </c>
      <c r="AE52" s="2359"/>
      <c r="AF52" s="2359"/>
      <c r="AG52" s="2359"/>
      <c r="AH52" s="2359"/>
      <c r="AI52" s="2359"/>
      <c r="AJ52" s="2359"/>
      <c r="AK52" s="2359"/>
      <c r="AL52" s="2428" t="s">
        <v>1648</v>
      </c>
      <c r="AM52" s="2359"/>
      <c r="AN52" s="2359"/>
      <c r="AO52" s="2359"/>
      <c r="AP52" s="2359"/>
      <c r="AQ52" s="2359"/>
      <c r="AR52" s="2359"/>
      <c r="AS52" s="2359" t="s">
        <v>1673</v>
      </c>
      <c r="AT52" s="2428" t="s">
        <v>1674</v>
      </c>
      <c r="AU52" s="2428" t="s">
        <v>1968</v>
      </c>
      <c r="AV52" s="2428" t="s">
        <v>2454</v>
      </c>
      <c r="AW52" s="2428" t="s">
        <v>4179</v>
      </c>
      <c r="AX52" s="2428" t="s">
        <v>4180</v>
      </c>
      <c r="AY52" s="2428" t="s">
        <v>4181</v>
      </c>
      <c r="AZ52" s="2428" t="s">
        <v>4182</v>
      </c>
      <c r="BA52" s="2428"/>
      <c r="BB52" s="2428"/>
      <c r="BC52" s="2428" t="s">
        <v>3235</v>
      </c>
      <c r="BD52" s="2428"/>
      <c r="BE52" s="2428"/>
      <c r="BF52" s="2428"/>
      <c r="BG52" s="2428"/>
      <c r="BH52" s="2428"/>
      <c r="BI52" s="2428"/>
      <c r="BJ52" s="2428"/>
      <c r="BK52" s="2428"/>
      <c r="BL52" s="2428"/>
      <c r="BM52" s="2428"/>
      <c r="BN52" s="2428"/>
      <c r="BO52" s="2428"/>
      <c r="BP52" s="2428"/>
      <c r="BQ52" s="2428"/>
      <c r="BR52" s="2428"/>
      <c r="BS52" s="2428"/>
      <c r="BT52" s="2428"/>
      <c r="BU52" s="2428"/>
      <c r="BV52" s="2428"/>
      <c r="BW52" s="2428"/>
      <c r="BX52" s="2428"/>
      <c r="BY52" s="2428"/>
      <c r="BZ52" s="2796"/>
      <c r="CA52" s="2796"/>
      <c r="CB52" s="2796"/>
      <c r="CC52" s="2796"/>
      <c r="CD52" s="2428"/>
      <c r="CE52" s="2428"/>
      <c r="CF52" s="2428"/>
      <c r="CG52" s="2428"/>
      <c r="CH52" s="2428"/>
      <c r="CI52" s="2428"/>
      <c r="CJ52" s="2428"/>
      <c r="CK52" s="2428"/>
      <c r="CL52" s="2428"/>
      <c r="CM52" s="2428"/>
      <c r="CN52" s="2428"/>
      <c r="CO52" s="2428"/>
      <c r="CP52" s="2428"/>
      <c r="CQ52" s="2428"/>
      <c r="CR52" s="2428"/>
      <c r="CS52" s="2428"/>
      <c r="CT52" s="2428"/>
      <c r="CU52" s="2428"/>
      <c r="CV52" s="1283" t="s">
        <v>4198</v>
      </c>
      <c r="CW52" s="2359" t="s">
        <v>2007</v>
      </c>
      <c r="CX52" s="1282" t="s">
        <v>305</v>
      </c>
      <c r="CY52" s="2504"/>
      <c r="CZ52"/>
    </row>
    <row r="53" spans="2:104" ht="18" x14ac:dyDescent="0.25">
      <c r="B53" s="2503">
        <v>50</v>
      </c>
      <c r="C53" s="2427" t="s">
        <v>2119</v>
      </c>
      <c r="D53" s="1282" t="s">
        <v>293</v>
      </c>
      <c r="E53" s="2359"/>
      <c r="F53" s="2359"/>
      <c r="G53" s="2359"/>
      <c r="H53" s="2359"/>
      <c r="I53" s="2359"/>
      <c r="J53" s="2359" t="s">
        <v>1653</v>
      </c>
      <c r="K53" s="2359"/>
      <c r="L53" s="2359"/>
      <c r="M53" s="2359"/>
      <c r="N53" s="2359"/>
      <c r="O53" s="2359"/>
      <c r="P53" s="2359" t="s">
        <v>1654</v>
      </c>
      <c r="Q53" s="2359"/>
      <c r="R53" s="2359"/>
      <c r="S53" s="2359"/>
      <c r="T53" s="2359"/>
      <c r="U53" s="2359"/>
      <c r="V53" s="2359"/>
      <c r="W53" s="2359"/>
      <c r="X53" s="2359"/>
      <c r="Y53" s="2359">
        <v>-1</v>
      </c>
      <c r="Z53" s="2359"/>
      <c r="AA53" s="2359"/>
      <c r="AB53" s="2359"/>
      <c r="AC53" s="2359"/>
      <c r="AD53" s="2359" t="s">
        <v>2135</v>
      </c>
      <c r="AE53" s="2359"/>
      <c r="AF53" s="2359"/>
      <c r="AG53" s="2359"/>
      <c r="AH53" s="2359"/>
      <c r="AI53" s="2359"/>
      <c r="AJ53" s="2359" t="s">
        <v>1655</v>
      </c>
      <c r="AK53" s="2359"/>
      <c r="AL53" s="2359"/>
      <c r="AM53" s="2359"/>
      <c r="AN53" s="2359"/>
      <c r="AO53" s="2359"/>
      <c r="AP53" s="2359" t="s">
        <v>1656</v>
      </c>
      <c r="AQ53" s="2359"/>
      <c r="AR53" s="2359"/>
      <c r="AS53" s="2359"/>
      <c r="AT53" s="2359"/>
      <c r="AU53" s="2797" t="s">
        <v>5916</v>
      </c>
      <c r="AV53" s="2797"/>
      <c r="AW53" s="2797"/>
      <c r="AX53" s="2797"/>
      <c r="AY53" s="2797"/>
      <c r="AZ53" s="2797"/>
      <c r="BA53" s="2359"/>
      <c r="BB53" s="2359"/>
      <c r="BC53" s="2359" t="s">
        <v>3595</v>
      </c>
      <c r="BD53" s="2359"/>
      <c r="BE53" s="2359"/>
      <c r="BF53" s="2359"/>
      <c r="BG53" s="2359"/>
      <c r="BH53" s="2359"/>
      <c r="BI53" s="2359"/>
      <c r="BJ53" s="2359"/>
      <c r="BK53" s="2359"/>
      <c r="BL53" s="2359"/>
      <c r="BM53" s="2359"/>
      <c r="BN53" s="2359"/>
      <c r="BO53" s="2359"/>
      <c r="BP53" s="2359"/>
      <c r="BQ53" s="2359"/>
      <c r="BR53" s="2359"/>
      <c r="BS53" s="2359"/>
      <c r="BT53" s="2359"/>
      <c r="BU53" s="2359"/>
      <c r="BV53" s="2359"/>
      <c r="BW53" s="2359"/>
      <c r="BX53" s="2359"/>
      <c r="BY53" s="2359"/>
      <c r="BZ53" s="2797"/>
      <c r="CA53" s="2797"/>
      <c r="CB53" s="2797"/>
      <c r="CC53" s="2797"/>
      <c r="CD53" s="2359"/>
      <c r="CE53" s="2359"/>
      <c r="CF53" s="2359"/>
      <c r="CG53" s="2359"/>
      <c r="CH53" s="2359"/>
      <c r="CI53" s="2359"/>
      <c r="CJ53" s="2359"/>
      <c r="CK53" s="2359"/>
      <c r="CL53" s="2359"/>
      <c r="CM53" s="2359"/>
      <c r="CN53" s="2359"/>
      <c r="CO53" s="2359"/>
      <c r="CP53" s="2359"/>
      <c r="CQ53" s="2359"/>
      <c r="CR53" s="2359"/>
      <c r="CS53" s="2359"/>
      <c r="CT53" s="2359"/>
      <c r="CU53" s="2359"/>
      <c r="CV53" s="1282" t="s">
        <v>4051</v>
      </c>
      <c r="CW53" s="2359" t="s">
        <v>2007</v>
      </c>
      <c r="CX53" s="1282"/>
      <c r="CY53" s="2504"/>
      <c r="CZ53"/>
    </row>
    <row r="54" spans="2:104" ht="18" x14ac:dyDescent="0.25">
      <c r="B54" s="2503">
        <v>51</v>
      </c>
      <c r="C54" s="2427" t="s">
        <v>2120</v>
      </c>
      <c r="D54" s="1282" t="s">
        <v>2999</v>
      </c>
      <c r="E54" s="2359"/>
      <c r="F54" s="2359"/>
      <c r="G54" s="2359"/>
      <c r="H54" s="2359"/>
      <c r="I54" s="2359"/>
      <c r="J54" s="2359" t="s">
        <v>1653</v>
      </c>
      <c r="K54" s="2359"/>
      <c r="L54" s="2359"/>
      <c r="M54" s="2359"/>
      <c r="N54" s="2359"/>
      <c r="O54" s="2359"/>
      <c r="P54" s="2359"/>
      <c r="Q54" s="2359" t="s">
        <v>1654</v>
      </c>
      <c r="R54" s="2359"/>
      <c r="S54" s="2359"/>
      <c r="T54" s="2359"/>
      <c r="U54" s="2359"/>
      <c r="V54" s="2359"/>
      <c r="W54" s="2359"/>
      <c r="X54" s="2359"/>
      <c r="Y54" s="2359">
        <v>-1</v>
      </c>
      <c r="Z54" s="2359"/>
      <c r="AA54" s="2359"/>
      <c r="AB54" s="2359"/>
      <c r="AC54" s="2359"/>
      <c r="AD54" s="2359" t="s">
        <v>2135</v>
      </c>
      <c r="AE54" s="2359"/>
      <c r="AF54" s="2359"/>
      <c r="AG54" s="2359"/>
      <c r="AH54" s="2359"/>
      <c r="AI54" s="2359"/>
      <c r="AJ54" s="2359" t="s">
        <v>1655</v>
      </c>
      <c r="AK54" s="2359"/>
      <c r="AL54" s="2359"/>
      <c r="AM54" s="2359"/>
      <c r="AN54" s="2359"/>
      <c r="AO54" s="2359"/>
      <c r="AP54" s="2359" t="s">
        <v>1656</v>
      </c>
      <c r="AQ54" s="2359"/>
      <c r="AR54" s="2359"/>
      <c r="AS54" s="2359"/>
      <c r="AT54" s="2359"/>
      <c r="AU54" s="2797" t="s">
        <v>5916</v>
      </c>
      <c r="AV54" s="2797"/>
      <c r="AW54" s="2797"/>
      <c r="AX54" s="2797"/>
      <c r="AY54" s="2797"/>
      <c r="AZ54" s="2797"/>
      <c r="BA54" s="2359"/>
      <c r="BB54" s="2359"/>
      <c r="BC54" s="2359" t="s">
        <v>3595</v>
      </c>
      <c r="BD54" s="2359"/>
      <c r="BE54" s="2359"/>
      <c r="BF54" s="2359"/>
      <c r="BG54" s="2359"/>
      <c r="BH54" s="2359"/>
      <c r="BI54" s="2359"/>
      <c r="BJ54" s="2359"/>
      <c r="BK54" s="2359"/>
      <c r="BL54" s="2359"/>
      <c r="BM54" s="2359"/>
      <c r="BN54" s="2359"/>
      <c r="BO54" s="2359"/>
      <c r="BP54" s="2359"/>
      <c r="BQ54" s="2359"/>
      <c r="BR54" s="2359"/>
      <c r="BS54" s="2359"/>
      <c r="BT54" s="2359"/>
      <c r="BU54" s="2359"/>
      <c r="BV54" s="2359"/>
      <c r="BW54" s="2359"/>
      <c r="BX54" s="2359"/>
      <c r="BY54" s="2359"/>
      <c r="BZ54" s="2797"/>
      <c r="CA54" s="2797"/>
      <c r="CB54" s="2797"/>
      <c r="CC54" s="2797"/>
      <c r="CD54" s="2359"/>
      <c r="CE54" s="2359"/>
      <c r="CF54" s="2359"/>
      <c r="CG54" s="2359"/>
      <c r="CH54" s="2359"/>
      <c r="CI54" s="2359"/>
      <c r="CJ54" s="2359"/>
      <c r="CK54" s="2359"/>
      <c r="CL54" s="2359"/>
      <c r="CM54" s="2359"/>
      <c r="CN54" s="2359"/>
      <c r="CO54" s="2359"/>
      <c r="CP54" s="2359"/>
      <c r="CQ54" s="2359"/>
      <c r="CR54" s="2359"/>
      <c r="CS54" s="2359"/>
      <c r="CT54" s="2359"/>
      <c r="CU54" s="2359"/>
      <c r="CV54" s="1282" t="s">
        <v>4052</v>
      </c>
      <c r="CW54" s="2359" t="s">
        <v>2007</v>
      </c>
      <c r="CX54" s="1282"/>
      <c r="CY54" s="2504"/>
      <c r="CZ54"/>
    </row>
    <row r="55" spans="2:104" ht="18" x14ac:dyDescent="0.35">
      <c r="B55" s="2505">
        <v>52</v>
      </c>
      <c r="C55" s="2429" t="s">
        <v>2121</v>
      </c>
      <c r="D55" s="2430" t="s">
        <v>3236</v>
      </c>
      <c r="E55" s="2431" t="s">
        <v>3237</v>
      </c>
      <c r="F55" s="2360"/>
      <c r="G55" s="2360"/>
      <c r="H55" s="2360"/>
      <c r="I55" s="2360"/>
      <c r="J55" s="2360"/>
      <c r="K55" s="2360"/>
      <c r="L55" s="2360"/>
      <c r="M55" s="2360"/>
      <c r="N55" s="2360"/>
      <c r="O55" s="2360"/>
      <c r="P55" s="2360"/>
      <c r="Q55" s="2360"/>
      <c r="R55" s="2432"/>
      <c r="S55" s="2360"/>
      <c r="T55" s="2360"/>
      <c r="U55" s="2360"/>
      <c r="V55" s="2360"/>
      <c r="W55" s="2360"/>
      <c r="X55" s="2360"/>
      <c r="Y55" s="2360"/>
      <c r="Z55" s="2360">
        <v>1</v>
      </c>
      <c r="AA55" s="2360"/>
      <c r="AB55" s="2360"/>
      <c r="AC55" s="2360"/>
      <c r="AD55" s="2431" t="s">
        <v>1647</v>
      </c>
      <c r="AE55" s="2360"/>
      <c r="AF55" s="2360"/>
      <c r="AG55" s="2360"/>
      <c r="AH55" s="2360"/>
      <c r="AI55" s="2360"/>
      <c r="AJ55" s="2360"/>
      <c r="AK55" s="2360"/>
      <c r="AL55" s="2431" t="s">
        <v>1648</v>
      </c>
      <c r="AM55" s="2360"/>
      <c r="AN55" s="2360"/>
      <c r="AO55" s="2360"/>
      <c r="AP55" s="2360"/>
      <c r="AQ55" s="2360"/>
      <c r="AR55" s="2360"/>
      <c r="AS55" s="2360"/>
      <c r="AT55" s="2360"/>
      <c r="AU55" s="2432" t="s">
        <v>3238</v>
      </c>
      <c r="AV55" s="2360" t="s">
        <v>2454</v>
      </c>
      <c r="AW55" s="2360" t="s">
        <v>4179</v>
      </c>
      <c r="AX55" s="2360" t="s">
        <v>4180</v>
      </c>
      <c r="AY55" s="2360" t="s">
        <v>4181</v>
      </c>
      <c r="AZ55" s="2360" t="s">
        <v>4182</v>
      </c>
      <c r="BA55" s="2360"/>
      <c r="BB55" s="2433" t="s">
        <v>3239</v>
      </c>
      <c r="BC55" s="2434" t="s">
        <v>3240</v>
      </c>
      <c r="BD55" s="2435"/>
      <c r="BE55" s="2360"/>
      <c r="BF55" s="2360"/>
      <c r="BG55" s="2360"/>
      <c r="BH55" s="2360"/>
      <c r="BI55" s="2360"/>
      <c r="BJ55" s="2360"/>
      <c r="BK55" s="2360"/>
      <c r="BL55" s="2360"/>
      <c r="BM55" s="2360"/>
      <c r="BN55" s="2360"/>
      <c r="BO55" s="2360"/>
      <c r="BP55" s="2360"/>
      <c r="BQ55" s="2360"/>
      <c r="BR55" s="2360"/>
      <c r="BS55" s="2360"/>
      <c r="BT55" s="2360"/>
      <c r="BU55" s="2360"/>
      <c r="BV55" s="2360"/>
      <c r="BW55" s="2360"/>
      <c r="BX55" s="2360"/>
      <c r="BY55" s="2360"/>
      <c r="BZ55" s="2798"/>
      <c r="CA55" s="2798"/>
      <c r="CB55" s="2798"/>
      <c r="CC55" s="2798"/>
      <c r="CD55" s="2360"/>
      <c r="CE55" s="2360"/>
      <c r="CF55" s="2360"/>
      <c r="CG55" s="2360"/>
      <c r="CH55" s="2360"/>
      <c r="CI55" s="2360"/>
      <c r="CJ55" s="2360"/>
      <c r="CK55" s="2360"/>
      <c r="CL55" s="2360"/>
      <c r="CM55" s="2360"/>
      <c r="CN55" s="2360"/>
      <c r="CO55" s="2360"/>
      <c r="CP55" s="2360"/>
      <c r="CQ55" s="2360"/>
      <c r="CR55" s="2360"/>
      <c r="CS55" s="2360"/>
      <c r="CT55" s="2360"/>
      <c r="CU55" s="2360"/>
      <c r="CV55" s="2430" t="s">
        <v>4625</v>
      </c>
      <c r="CW55" s="2360" t="s">
        <v>2007</v>
      </c>
      <c r="CX55" s="2430"/>
      <c r="CY55" s="2506"/>
      <c r="CZ55"/>
    </row>
    <row r="56" spans="2:104" ht="18" x14ac:dyDescent="0.35">
      <c r="B56" s="2505">
        <v>53</v>
      </c>
      <c r="C56" s="2429" t="s">
        <v>2122</v>
      </c>
      <c r="D56" s="2430" t="s">
        <v>3241</v>
      </c>
      <c r="E56" s="2360"/>
      <c r="F56" s="2360"/>
      <c r="G56" s="2360"/>
      <c r="H56" s="2360"/>
      <c r="I56" s="2360"/>
      <c r="J56" s="2360" t="s">
        <v>1653</v>
      </c>
      <c r="K56" s="2360"/>
      <c r="L56" s="2360"/>
      <c r="M56" s="2360"/>
      <c r="N56" s="2360"/>
      <c r="O56" s="2360"/>
      <c r="P56" s="2360" t="s">
        <v>1654</v>
      </c>
      <c r="Q56" s="2360"/>
      <c r="R56" s="2432"/>
      <c r="S56" s="2360"/>
      <c r="T56" s="2360"/>
      <c r="U56" s="2360"/>
      <c r="V56" s="2360"/>
      <c r="W56" s="2360"/>
      <c r="X56" s="2360"/>
      <c r="Y56" s="2360"/>
      <c r="Z56" s="2432" t="s">
        <v>1147</v>
      </c>
      <c r="AA56" s="2360"/>
      <c r="AB56" s="2360"/>
      <c r="AC56" s="2360"/>
      <c r="AD56" s="2431" t="s">
        <v>2135</v>
      </c>
      <c r="AE56" s="2360"/>
      <c r="AF56" s="2360"/>
      <c r="AG56" s="2360"/>
      <c r="AH56" s="2360"/>
      <c r="AI56" s="2360"/>
      <c r="AJ56" s="2360" t="s">
        <v>1655</v>
      </c>
      <c r="AK56" s="2360"/>
      <c r="AL56" s="2431"/>
      <c r="AM56" s="2360"/>
      <c r="AN56" s="2360"/>
      <c r="AO56" s="2360"/>
      <c r="AP56" s="2360" t="s">
        <v>1656</v>
      </c>
      <c r="AQ56" s="2360"/>
      <c r="AR56" s="2360"/>
      <c r="AS56" s="2360"/>
      <c r="AT56" s="2435"/>
      <c r="AU56" s="2360" t="s">
        <v>5916</v>
      </c>
      <c r="AV56" s="2360"/>
      <c r="AW56" s="2360"/>
      <c r="AX56" s="2360"/>
      <c r="AY56" s="2360"/>
      <c r="AZ56" s="2360"/>
      <c r="BA56" s="2360"/>
      <c r="BB56" s="2433"/>
      <c r="BC56" s="2434" t="s">
        <v>3595</v>
      </c>
      <c r="BD56" s="2435"/>
      <c r="BE56" s="2360"/>
      <c r="BF56" s="2360"/>
      <c r="BG56" s="2360"/>
      <c r="BH56" s="2360"/>
      <c r="BI56" s="2360"/>
      <c r="BJ56" s="2360"/>
      <c r="BK56" s="2360"/>
      <c r="BL56" s="2360"/>
      <c r="BM56" s="2360"/>
      <c r="BN56" s="2360"/>
      <c r="BO56" s="2360"/>
      <c r="BP56" s="2360"/>
      <c r="BQ56" s="2360"/>
      <c r="BR56" s="2360"/>
      <c r="BS56" s="2360"/>
      <c r="BT56" s="2360"/>
      <c r="BU56" s="2360"/>
      <c r="BV56" s="2360"/>
      <c r="BW56" s="2360"/>
      <c r="BX56" s="2360"/>
      <c r="BY56" s="2360"/>
      <c r="BZ56" s="2798"/>
      <c r="CA56" s="2798"/>
      <c r="CB56" s="2798"/>
      <c r="CC56" s="2798"/>
      <c r="CD56" s="2360"/>
      <c r="CE56" s="2360"/>
      <c r="CF56" s="2360"/>
      <c r="CG56" s="2360"/>
      <c r="CH56" s="2360"/>
      <c r="CI56" s="2360"/>
      <c r="CJ56" s="2360"/>
      <c r="CK56" s="2360"/>
      <c r="CL56" s="2360"/>
      <c r="CM56" s="2360"/>
      <c r="CN56" s="2360"/>
      <c r="CO56" s="2360"/>
      <c r="CP56" s="2360"/>
      <c r="CQ56" s="2360"/>
      <c r="CR56" s="2360"/>
      <c r="CS56" s="2360"/>
      <c r="CT56" s="2360"/>
      <c r="CU56" s="2360"/>
      <c r="CV56" s="2430" t="s">
        <v>4626</v>
      </c>
      <c r="CW56" s="2360" t="s">
        <v>2007</v>
      </c>
      <c r="CX56" s="2430"/>
      <c r="CY56" s="2506"/>
      <c r="CZ56"/>
    </row>
    <row r="57" spans="2:104" ht="18" x14ac:dyDescent="0.35">
      <c r="B57" s="2505">
        <v>54</v>
      </c>
      <c r="C57" s="2429" t="s">
        <v>2123</v>
      </c>
      <c r="D57" s="2430" t="s">
        <v>3272</v>
      </c>
      <c r="E57" s="2360"/>
      <c r="F57" s="2360"/>
      <c r="G57" s="2360"/>
      <c r="H57" s="2360"/>
      <c r="I57" s="2360"/>
      <c r="J57" s="2360" t="s">
        <v>1653</v>
      </c>
      <c r="K57" s="2360"/>
      <c r="L57" s="2360"/>
      <c r="M57" s="2360"/>
      <c r="N57" s="2360"/>
      <c r="O57" s="2360"/>
      <c r="P57" s="2360"/>
      <c r="Q57" s="2360" t="s">
        <v>1654</v>
      </c>
      <c r="R57" s="2432"/>
      <c r="S57" s="2360"/>
      <c r="T57" s="2360"/>
      <c r="U57" s="2360"/>
      <c r="V57" s="2360"/>
      <c r="W57" s="2360"/>
      <c r="X57" s="2360"/>
      <c r="Y57" s="2360"/>
      <c r="Z57" s="2432" t="s">
        <v>1147</v>
      </c>
      <c r="AA57" s="2360"/>
      <c r="AB57" s="2360"/>
      <c r="AC57" s="2360"/>
      <c r="AD57" s="2431" t="s">
        <v>2135</v>
      </c>
      <c r="AE57" s="2360"/>
      <c r="AF57" s="2360"/>
      <c r="AG57" s="2360"/>
      <c r="AH57" s="2360"/>
      <c r="AI57" s="2360"/>
      <c r="AJ57" s="2360" t="s">
        <v>1655</v>
      </c>
      <c r="AK57" s="2360"/>
      <c r="AL57" s="2431"/>
      <c r="AM57" s="2360"/>
      <c r="AN57" s="2360"/>
      <c r="AO57" s="2360"/>
      <c r="AP57" s="2360" t="s">
        <v>1656</v>
      </c>
      <c r="AQ57" s="2360"/>
      <c r="AR57" s="2360"/>
      <c r="AS57" s="2360"/>
      <c r="AT57" s="2435"/>
      <c r="AU57" s="2360" t="s">
        <v>5916</v>
      </c>
      <c r="AV57" s="2360"/>
      <c r="AW57" s="2360"/>
      <c r="AX57" s="2360"/>
      <c r="AY57" s="2360"/>
      <c r="AZ57" s="2360"/>
      <c r="BA57" s="2360"/>
      <c r="BB57" s="2433"/>
      <c r="BC57" s="2434" t="s">
        <v>3595</v>
      </c>
      <c r="BD57" s="2435"/>
      <c r="BE57" s="2360"/>
      <c r="BF57" s="2360"/>
      <c r="BG57" s="2360"/>
      <c r="BH57" s="2360"/>
      <c r="BI57" s="2360"/>
      <c r="BJ57" s="2360"/>
      <c r="BK57" s="2360"/>
      <c r="BL57" s="2360"/>
      <c r="BM57" s="2360"/>
      <c r="BN57" s="2360"/>
      <c r="BO57" s="2360"/>
      <c r="BP57" s="2360"/>
      <c r="BQ57" s="2360"/>
      <c r="BR57" s="2360"/>
      <c r="BS57" s="2360"/>
      <c r="BT57" s="2360"/>
      <c r="BU57" s="2360"/>
      <c r="BV57" s="2360"/>
      <c r="BW57" s="2360"/>
      <c r="BX57" s="2360"/>
      <c r="BY57" s="2360"/>
      <c r="BZ57" s="2798"/>
      <c r="CA57" s="2798"/>
      <c r="CB57" s="2798"/>
      <c r="CC57" s="2798"/>
      <c r="CD57" s="2360"/>
      <c r="CE57" s="2360"/>
      <c r="CF57" s="2360"/>
      <c r="CG57" s="2360"/>
      <c r="CH57" s="2360"/>
      <c r="CI57" s="2360"/>
      <c r="CJ57" s="2360"/>
      <c r="CK57" s="2360"/>
      <c r="CL57" s="2360"/>
      <c r="CM57" s="2360"/>
      <c r="CN57" s="2360"/>
      <c r="CO57" s="2360"/>
      <c r="CP57" s="2360"/>
      <c r="CQ57" s="2360"/>
      <c r="CR57" s="2360"/>
      <c r="CS57" s="2360"/>
      <c r="CT57" s="2360"/>
      <c r="CU57" s="2360"/>
      <c r="CV57" s="2430" t="s">
        <v>4627</v>
      </c>
      <c r="CW57" s="2360" t="s">
        <v>2007</v>
      </c>
      <c r="CX57" s="2430"/>
      <c r="CY57" s="2506"/>
      <c r="CZ57"/>
    </row>
    <row r="58" spans="2:104" ht="18" x14ac:dyDescent="0.35">
      <c r="B58" s="2507">
        <v>55</v>
      </c>
      <c r="C58" s="2436" t="s">
        <v>2124</v>
      </c>
      <c r="D58" s="2437" t="s">
        <v>3242</v>
      </c>
      <c r="E58" s="2361"/>
      <c r="F58" s="2361"/>
      <c r="G58" s="2361"/>
      <c r="H58" s="2361"/>
      <c r="I58" s="2361"/>
      <c r="J58" s="2361"/>
      <c r="K58" s="2361"/>
      <c r="L58" s="2361"/>
      <c r="M58" s="2361"/>
      <c r="N58" s="2361"/>
      <c r="O58" s="2361"/>
      <c r="P58" s="2361"/>
      <c r="Q58" s="2361"/>
      <c r="R58" s="2362"/>
      <c r="S58" s="2361"/>
      <c r="T58" s="2361"/>
      <c r="U58" s="2361"/>
      <c r="V58" s="2361"/>
      <c r="W58" s="2361"/>
      <c r="X58" s="2361"/>
      <c r="Y58" s="2361"/>
      <c r="Z58" s="2361"/>
      <c r="AA58" s="2361">
        <v>1</v>
      </c>
      <c r="AB58" s="2361"/>
      <c r="AC58" s="2361"/>
      <c r="AD58" s="2438" t="s">
        <v>1647</v>
      </c>
      <c r="AE58" s="2362"/>
      <c r="AF58" s="2362"/>
      <c r="AG58" s="2361"/>
      <c r="AH58" s="2361"/>
      <c r="AI58" s="2361"/>
      <c r="AJ58" s="2361"/>
      <c r="AK58" s="2361"/>
      <c r="AL58" s="2438" t="s">
        <v>1648</v>
      </c>
      <c r="AM58" s="2361"/>
      <c r="AN58" s="2361"/>
      <c r="AO58" s="2361"/>
      <c r="AP58" s="2361"/>
      <c r="AQ58" s="2361"/>
      <c r="AR58" s="2361"/>
      <c r="AS58" s="2361"/>
      <c r="AT58" s="2438" t="s">
        <v>3243</v>
      </c>
      <c r="AU58" s="2362" t="s">
        <v>1670</v>
      </c>
      <c r="AV58" s="2361" t="s">
        <v>2454</v>
      </c>
      <c r="AW58" s="2361" t="s">
        <v>4179</v>
      </c>
      <c r="AX58" s="2361" t="s">
        <v>4180</v>
      </c>
      <c r="AY58" s="2361" t="s">
        <v>4181</v>
      </c>
      <c r="AZ58" s="2361" t="s">
        <v>4182</v>
      </c>
      <c r="BA58" s="2361"/>
      <c r="BB58" s="2439" t="s">
        <v>3244</v>
      </c>
      <c r="BC58" s="2440" t="s">
        <v>3245</v>
      </c>
      <c r="BD58" s="2441"/>
      <c r="BE58" s="2361"/>
      <c r="BF58" s="2361"/>
      <c r="BG58" s="2361"/>
      <c r="BH58" s="2361"/>
      <c r="BI58" s="2361"/>
      <c r="BJ58" s="2361"/>
      <c r="BK58" s="2361"/>
      <c r="BL58" s="2361"/>
      <c r="BM58" s="2361"/>
      <c r="BN58" s="2361"/>
      <c r="BO58" s="2361"/>
      <c r="BP58" s="2361"/>
      <c r="BQ58" s="2361"/>
      <c r="BR58" s="2361"/>
      <c r="BS58" s="2361"/>
      <c r="BT58" s="2361"/>
      <c r="BU58" s="2361"/>
      <c r="BV58" s="2361"/>
      <c r="BW58" s="2361"/>
      <c r="BX58" s="2361"/>
      <c r="BY58" s="2361"/>
      <c r="BZ58" s="2799"/>
      <c r="CA58" s="2799"/>
      <c r="CB58" s="2799"/>
      <c r="CC58" s="2799"/>
      <c r="CD58" s="2361"/>
      <c r="CE58" s="2361"/>
      <c r="CF58" s="2361"/>
      <c r="CG58" s="2361"/>
      <c r="CH58" s="2361"/>
      <c r="CI58" s="2361"/>
      <c r="CJ58" s="2361"/>
      <c r="CK58" s="2361"/>
      <c r="CL58" s="2361"/>
      <c r="CM58" s="2361"/>
      <c r="CN58" s="2361"/>
      <c r="CO58" s="2361"/>
      <c r="CP58" s="2361"/>
      <c r="CQ58" s="2361"/>
      <c r="CR58" s="2361"/>
      <c r="CS58" s="2361"/>
      <c r="CT58" s="2361"/>
      <c r="CU58" s="2361"/>
      <c r="CV58" s="2437" t="s">
        <v>4628</v>
      </c>
      <c r="CW58" s="2361" t="s">
        <v>2007</v>
      </c>
      <c r="CX58" s="2437"/>
      <c r="CY58" s="2508"/>
      <c r="CZ58"/>
    </row>
    <row r="59" spans="2:104" ht="18" x14ac:dyDescent="0.35">
      <c r="B59" s="2507">
        <v>56</v>
      </c>
      <c r="C59" s="2436" t="s">
        <v>2125</v>
      </c>
      <c r="D59" s="2437" t="s">
        <v>3246</v>
      </c>
      <c r="E59" s="2361"/>
      <c r="F59" s="2361"/>
      <c r="G59" s="2361"/>
      <c r="H59" s="2361"/>
      <c r="I59" s="2361"/>
      <c r="J59" s="2361" t="s">
        <v>1653</v>
      </c>
      <c r="K59" s="2361"/>
      <c r="L59" s="2361"/>
      <c r="M59" s="2361"/>
      <c r="N59" s="2361"/>
      <c r="O59" s="2361"/>
      <c r="P59" s="2361" t="s">
        <v>1654</v>
      </c>
      <c r="Q59" s="2361"/>
      <c r="R59" s="2362"/>
      <c r="S59" s="2361"/>
      <c r="T59" s="2361"/>
      <c r="U59" s="2361"/>
      <c r="V59" s="2361"/>
      <c r="W59" s="2361"/>
      <c r="X59" s="2361"/>
      <c r="Y59" s="2361"/>
      <c r="Z59" s="2361"/>
      <c r="AA59" s="2362" t="s">
        <v>1147</v>
      </c>
      <c r="AB59" s="2362"/>
      <c r="AC59" s="2362"/>
      <c r="AD59" s="2438" t="s">
        <v>2135</v>
      </c>
      <c r="AE59" s="2361"/>
      <c r="AF59" s="2361"/>
      <c r="AG59" s="2361"/>
      <c r="AH59" s="2361"/>
      <c r="AI59" s="2361"/>
      <c r="AJ59" s="2361" t="s">
        <v>1655</v>
      </c>
      <c r="AK59" s="2361"/>
      <c r="AL59" s="2438"/>
      <c r="AM59" s="2361"/>
      <c r="AN59" s="2361"/>
      <c r="AO59" s="2361"/>
      <c r="AP59" s="2361" t="s">
        <v>1656</v>
      </c>
      <c r="AQ59" s="2361"/>
      <c r="AR59" s="2361"/>
      <c r="AS59" s="2361"/>
      <c r="AT59" s="2441"/>
      <c r="AU59" s="2361" t="s">
        <v>5916</v>
      </c>
      <c r="AV59" s="2361"/>
      <c r="AW59" s="2361"/>
      <c r="AX59" s="2361"/>
      <c r="AY59" s="2361"/>
      <c r="AZ59" s="2361"/>
      <c r="BA59" s="2361"/>
      <c r="BB59" s="2440"/>
      <c r="BC59" s="2440" t="s">
        <v>3595</v>
      </c>
      <c r="BD59" s="2438"/>
      <c r="BE59" s="2361"/>
      <c r="BF59" s="2361"/>
      <c r="BG59" s="2361"/>
      <c r="BH59" s="2361"/>
      <c r="BI59" s="2361"/>
      <c r="BJ59" s="2361"/>
      <c r="BK59" s="2361"/>
      <c r="BL59" s="2361"/>
      <c r="BM59" s="2361"/>
      <c r="BN59" s="2361"/>
      <c r="BO59" s="2361"/>
      <c r="BP59" s="2361"/>
      <c r="BQ59" s="2361"/>
      <c r="BR59" s="2361"/>
      <c r="BS59" s="2361"/>
      <c r="BT59" s="2361"/>
      <c r="BU59" s="2361"/>
      <c r="BV59" s="2361"/>
      <c r="BW59" s="2361"/>
      <c r="BX59" s="2361"/>
      <c r="BY59" s="2361"/>
      <c r="BZ59" s="2799"/>
      <c r="CA59" s="2799"/>
      <c r="CB59" s="2799"/>
      <c r="CC59" s="2799"/>
      <c r="CD59" s="2361"/>
      <c r="CE59" s="2361"/>
      <c r="CF59" s="2361"/>
      <c r="CG59" s="2361"/>
      <c r="CH59" s="2361"/>
      <c r="CI59" s="2361"/>
      <c r="CJ59" s="2361"/>
      <c r="CK59" s="2361"/>
      <c r="CL59" s="2361"/>
      <c r="CM59" s="2361"/>
      <c r="CN59" s="2361"/>
      <c r="CO59" s="2361"/>
      <c r="CP59" s="2361"/>
      <c r="CQ59" s="2361"/>
      <c r="CR59" s="2361"/>
      <c r="CS59" s="2361"/>
      <c r="CT59" s="2361"/>
      <c r="CU59" s="2361"/>
      <c r="CV59" s="2437" t="s">
        <v>4629</v>
      </c>
      <c r="CW59" s="2361" t="s">
        <v>2007</v>
      </c>
      <c r="CX59" s="2437"/>
      <c r="CY59" s="2508"/>
      <c r="CZ59"/>
    </row>
    <row r="60" spans="2:104" ht="18" x14ac:dyDescent="0.35">
      <c r="B60" s="2507">
        <v>57</v>
      </c>
      <c r="C60" s="2436" t="s">
        <v>2126</v>
      </c>
      <c r="D60" s="2437" t="s">
        <v>3273</v>
      </c>
      <c r="E60" s="2361"/>
      <c r="F60" s="2361"/>
      <c r="G60" s="2361"/>
      <c r="H60" s="2361"/>
      <c r="I60" s="2361"/>
      <c r="J60" s="2361" t="s">
        <v>1653</v>
      </c>
      <c r="K60" s="2361"/>
      <c r="L60" s="2361"/>
      <c r="M60" s="2361"/>
      <c r="N60" s="2361"/>
      <c r="O60" s="2361"/>
      <c r="P60" s="2361"/>
      <c r="Q60" s="2361" t="s">
        <v>1654</v>
      </c>
      <c r="R60" s="2362"/>
      <c r="S60" s="2361"/>
      <c r="T60" s="2361"/>
      <c r="U60" s="2361"/>
      <c r="V60" s="2361"/>
      <c r="W60" s="2361"/>
      <c r="X60" s="2361"/>
      <c r="Y60" s="2361"/>
      <c r="Z60" s="2361"/>
      <c r="AA60" s="2362" t="s">
        <v>1147</v>
      </c>
      <c r="AB60" s="2362"/>
      <c r="AC60" s="2362"/>
      <c r="AD60" s="2438" t="s">
        <v>2135</v>
      </c>
      <c r="AE60" s="2361"/>
      <c r="AF60" s="2361"/>
      <c r="AG60" s="2361"/>
      <c r="AH60" s="2361"/>
      <c r="AI60" s="2361"/>
      <c r="AJ60" s="2361" t="s">
        <v>1655</v>
      </c>
      <c r="AK60" s="2361"/>
      <c r="AL60" s="2438"/>
      <c r="AM60" s="2361"/>
      <c r="AN60" s="2361"/>
      <c r="AO60" s="2361"/>
      <c r="AP60" s="2361" t="s">
        <v>1656</v>
      </c>
      <c r="AQ60" s="2361"/>
      <c r="AR60" s="2361"/>
      <c r="AS60" s="2361"/>
      <c r="AT60" s="2441"/>
      <c r="AU60" s="2361" t="s">
        <v>5916</v>
      </c>
      <c r="AV60" s="2361"/>
      <c r="AW60" s="2361"/>
      <c r="AX60" s="2361"/>
      <c r="AY60" s="2361"/>
      <c r="AZ60" s="2361"/>
      <c r="BA60" s="2361"/>
      <c r="BB60" s="2440"/>
      <c r="BC60" s="2440" t="s">
        <v>3595</v>
      </c>
      <c r="BD60" s="2438"/>
      <c r="BE60" s="2361"/>
      <c r="BF60" s="2361"/>
      <c r="BG60" s="2361"/>
      <c r="BH60" s="2361"/>
      <c r="BI60" s="2361"/>
      <c r="BJ60" s="2361"/>
      <c r="BK60" s="2361"/>
      <c r="BL60" s="2361"/>
      <c r="BM60" s="2361"/>
      <c r="BN60" s="2361"/>
      <c r="BO60" s="2361"/>
      <c r="BP60" s="2361"/>
      <c r="BQ60" s="2361"/>
      <c r="BR60" s="2361"/>
      <c r="BS60" s="2361"/>
      <c r="BT60" s="2361"/>
      <c r="BU60" s="2361"/>
      <c r="BV60" s="2361"/>
      <c r="BW60" s="2361"/>
      <c r="BX60" s="2361"/>
      <c r="BY60" s="2361"/>
      <c r="BZ60" s="2799"/>
      <c r="CA60" s="2799"/>
      <c r="CB60" s="2799"/>
      <c r="CC60" s="2799"/>
      <c r="CD60" s="2361"/>
      <c r="CE60" s="2361"/>
      <c r="CF60" s="2361"/>
      <c r="CG60" s="2361"/>
      <c r="CH60" s="2361"/>
      <c r="CI60" s="2361"/>
      <c r="CJ60" s="2361"/>
      <c r="CK60" s="2361"/>
      <c r="CL60" s="2361"/>
      <c r="CM60" s="2361"/>
      <c r="CN60" s="2361"/>
      <c r="CO60" s="2361"/>
      <c r="CP60" s="2361"/>
      <c r="CQ60" s="2361"/>
      <c r="CR60" s="2361"/>
      <c r="CS60" s="2361"/>
      <c r="CT60" s="2361"/>
      <c r="CU60" s="2361"/>
      <c r="CV60" s="2437" t="s">
        <v>4630</v>
      </c>
      <c r="CW60" s="2361" t="s">
        <v>2007</v>
      </c>
      <c r="CX60" s="2437"/>
      <c r="CY60" s="2508"/>
      <c r="CZ60"/>
    </row>
    <row r="61" spans="2:104" ht="18" x14ac:dyDescent="0.35">
      <c r="B61" s="2389">
        <v>58</v>
      </c>
      <c r="C61" s="2390" t="s">
        <v>2160</v>
      </c>
      <c r="D61" s="2391" t="s">
        <v>3247</v>
      </c>
      <c r="E61" s="2392"/>
      <c r="F61" s="2392"/>
      <c r="G61" s="2392"/>
      <c r="H61" s="2392"/>
      <c r="I61" s="2392"/>
      <c r="J61" s="2392"/>
      <c r="K61" s="2392"/>
      <c r="L61" s="2392"/>
      <c r="M61" s="2392"/>
      <c r="N61" s="2392"/>
      <c r="O61" s="2392"/>
      <c r="P61" s="2392"/>
      <c r="Q61" s="2392"/>
      <c r="R61" s="2363"/>
      <c r="S61" s="2392"/>
      <c r="T61" s="2392"/>
      <c r="U61" s="2392"/>
      <c r="V61" s="2392"/>
      <c r="W61" s="2392"/>
      <c r="X61" s="2392"/>
      <c r="Y61" s="2392"/>
      <c r="Z61" s="2392"/>
      <c r="AA61" s="2363"/>
      <c r="AB61" s="2363">
        <v>1</v>
      </c>
      <c r="AC61" s="2363"/>
      <c r="AD61" s="2393" t="s">
        <v>1647</v>
      </c>
      <c r="AE61" s="2392"/>
      <c r="AF61" s="2392"/>
      <c r="AG61" s="2392"/>
      <c r="AH61" s="2392"/>
      <c r="AI61" s="2392"/>
      <c r="AJ61" s="2392"/>
      <c r="AK61" s="2392"/>
      <c r="AL61" s="2393" t="s">
        <v>1648</v>
      </c>
      <c r="AM61" s="2392"/>
      <c r="AN61" s="2392"/>
      <c r="AO61" s="2392"/>
      <c r="AP61" s="2392"/>
      <c r="AQ61" s="2392"/>
      <c r="AR61" s="2363" t="s">
        <v>3248</v>
      </c>
      <c r="AS61" s="2392"/>
      <c r="AT61" s="2394"/>
      <c r="AU61" s="2363" t="s">
        <v>1670</v>
      </c>
      <c r="AV61" s="2392" t="s">
        <v>2454</v>
      </c>
      <c r="AW61" s="2392" t="s">
        <v>4179</v>
      </c>
      <c r="AX61" s="2392" t="s">
        <v>4180</v>
      </c>
      <c r="AY61" s="2392" t="s">
        <v>4181</v>
      </c>
      <c r="AZ61" s="2392" t="s">
        <v>4182</v>
      </c>
      <c r="BA61" s="2392"/>
      <c r="BB61" s="2393" t="s">
        <v>3249</v>
      </c>
      <c r="BC61" s="2393" t="s">
        <v>3235</v>
      </c>
      <c r="BD61" s="2393" t="s">
        <v>3250</v>
      </c>
      <c r="BE61" s="2392"/>
      <c r="BF61" s="2392"/>
      <c r="BG61" s="2392"/>
      <c r="BH61" s="2392"/>
      <c r="BI61" s="2392"/>
      <c r="BJ61" s="2392"/>
      <c r="BK61" s="2392"/>
      <c r="BL61" s="2392"/>
      <c r="BM61" s="2392"/>
      <c r="BN61" s="2392"/>
      <c r="BO61" s="2392"/>
      <c r="BP61" s="2392"/>
      <c r="BQ61" s="2392"/>
      <c r="BR61" s="2392"/>
      <c r="BS61" s="2392"/>
      <c r="BT61" s="2392"/>
      <c r="BU61" s="2392"/>
      <c r="BV61" s="2392"/>
      <c r="BW61" s="2392"/>
      <c r="BX61" s="2392"/>
      <c r="BY61" s="2392"/>
      <c r="BZ61" s="2800"/>
      <c r="CA61" s="2800"/>
      <c r="CB61" s="2800"/>
      <c r="CC61" s="2800"/>
      <c r="CD61" s="2392"/>
      <c r="CE61" s="2392"/>
      <c r="CF61" s="2392"/>
      <c r="CG61" s="2392"/>
      <c r="CH61" s="2392"/>
      <c r="CI61" s="2392"/>
      <c r="CJ61" s="2392"/>
      <c r="CK61" s="2392"/>
      <c r="CL61" s="2392"/>
      <c r="CM61" s="2392"/>
      <c r="CN61" s="2392"/>
      <c r="CO61" s="2392"/>
      <c r="CP61" s="2392"/>
      <c r="CQ61" s="2392"/>
      <c r="CR61" s="2392"/>
      <c r="CS61" s="2392"/>
      <c r="CT61" s="2392"/>
      <c r="CU61" s="2392"/>
      <c r="CV61" s="2391" t="s">
        <v>4199</v>
      </c>
      <c r="CW61" s="2392" t="s">
        <v>2007</v>
      </c>
      <c r="CX61" s="2391"/>
      <c r="CY61" s="2397"/>
      <c r="CZ61"/>
    </row>
    <row r="62" spans="2:104" ht="18" x14ac:dyDescent="0.35">
      <c r="B62" s="2389">
        <v>59</v>
      </c>
      <c r="C62" s="2390" t="s">
        <v>2187</v>
      </c>
      <c r="D62" s="2391" t="s">
        <v>3251</v>
      </c>
      <c r="E62" s="2392"/>
      <c r="F62" s="2392"/>
      <c r="G62" s="2392"/>
      <c r="H62" s="2392"/>
      <c r="I62" s="2392"/>
      <c r="J62" s="2392"/>
      <c r="K62" s="2392"/>
      <c r="L62" s="2392"/>
      <c r="M62" s="2392"/>
      <c r="N62" s="2392"/>
      <c r="O62" s="2392"/>
      <c r="P62" s="2392"/>
      <c r="Q62" s="2392"/>
      <c r="R62" s="2363"/>
      <c r="S62" s="2392"/>
      <c r="T62" s="2392"/>
      <c r="U62" s="2392"/>
      <c r="V62" s="2392"/>
      <c r="W62" s="2392"/>
      <c r="X62" s="2392"/>
      <c r="Y62" s="2392"/>
      <c r="Z62" s="2392"/>
      <c r="AA62" s="2363"/>
      <c r="AB62" s="2363">
        <v>1</v>
      </c>
      <c r="AC62" s="2363"/>
      <c r="AD62" s="2393" t="s">
        <v>1647</v>
      </c>
      <c r="AE62" s="2363" t="s">
        <v>3252</v>
      </c>
      <c r="AF62" s="2363"/>
      <c r="AG62" s="2363" t="s">
        <v>3253</v>
      </c>
      <c r="AH62" s="2392"/>
      <c r="AI62" s="2392"/>
      <c r="AJ62" s="2392"/>
      <c r="AK62" s="2392"/>
      <c r="AL62" s="2393" t="s">
        <v>1648</v>
      </c>
      <c r="AM62" s="2392"/>
      <c r="AN62" s="2392"/>
      <c r="AO62" s="2392"/>
      <c r="AP62" s="2392"/>
      <c r="AQ62" s="2392"/>
      <c r="AR62" s="2392"/>
      <c r="AS62" s="2392"/>
      <c r="AT62" s="2394"/>
      <c r="AU62" s="2363" t="s">
        <v>1670</v>
      </c>
      <c r="AV62" s="2392" t="s">
        <v>2454</v>
      </c>
      <c r="AW62" s="2392" t="s">
        <v>4179</v>
      </c>
      <c r="AX62" s="2392" t="s">
        <v>4180</v>
      </c>
      <c r="AY62" s="2392" t="s">
        <v>4181</v>
      </c>
      <c r="AZ62" s="2392" t="s">
        <v>4182</v>
      </c>
      <c r="BA62" s="2392"/>
      <c r="BB62" s="2393" t="s">
        <v>3254</v>
      </c>
      <c r="BC62" s="2393" t="s">
        <v>3235</v>
      </c>
      <c r="BD62" s="2393" t="s">
        <v>3255</v>
      </c>
      <c r="BE62" s="2392"/>
      <c r="BF62" s="2392"/>
      <c r="BG62" s="2392"/>
      <c r="BH62" s="2392"/>
      <c r="BI62" s="2392"/>
      <c r="BJ62" s="2392"/>
      <c r="BK62" s="2392"/>
      <c r="BL62" s="2392"/>
      <c r="BM62" s="2392"/>
      <c r="BN62" s="2392"/>
      <c r="BO62" s="2392"/>
      <c r="BP62" s="2392"/>
      <c r="BQ62" s="2392"/>
      <c r="BR62" s="2392"/>
      <c r="BS62" s="2392"/>
      <c r="BT62" s="2392"/>
      <c r="BU62" s="2392"/>
      <c r="BV62" s="2392"/>
      <c r="BW62" s="2392"/>
      <c r="BX62" s="2392"/>
      <c r="BY62" s="2392"/>
      <c r="BZ62" s="2800"/>
      <c r="CA62" s="2800"/>
      <c r="CB62" s="2800"/>
      <c r="CC62" s="2800"/>
      <c r="CD62" s="2392"/>
      <c r="CE62" s="2392"/>
      <c r="CF62" s="2392"/>
      <c r="CG62" s="2392"/>
      <c r="CH62" s="2392"/>
      <c r="CI62" s="2392"/>
      <c r="CJ62" s="2392"/>
      <c r="CK62" s="2392"/>
      <c r="CL62" s="2392"/>
      <c r="CM62" s="2392"/>
      <c r="CN62" s="2392"/>
      <c r="CO62" s="2392"/>
      <c r="CP62" s="2392"/>
      <c r="CQ62" s="2392"/>
      <c r="CR62" s="2392"/>
      <c r="CS62" s="2392"/>
      <c r="CT62" s="2392"/>
      <c r="CU62" s="2392"/>
      <c r="CV62" s="2391" t="s">
        <v>4200</v>
      </c>
      <c r="CW62" s="2392" t="s">
        <v>2007</v>
      </c>
      <c r="CX62" s="2391"/>
      <c r="CY62" s="2397"/>
      <c r="CZ62"/>
    </row>
    <row r="63" spans="2:104" ht="18" x14ac:dyDescent="0.35">
      <c r="B63" s="2389">
        <v>60</v>
      </c>
      <c r="C63" s="2390" t="s">
        <v>2411</v>
      </c>
      <c r="D63" s="2391" t="s">
        <v>3256</v>
      </c>
      <c r="E63" s="2392"/>
      <c r="F63" s="2392"/>
      <c r="G63" s="2392"/>
      <c r="H63" s="2392"/>
      <c r="I63" s="2392"/>
      <c r="J63" s="2392"/>
      <c r="K63" s="2392"/>
      <c r="L63" s="2392"/>
      <c r="M63" s="2392"/>
      <c r="N63" s="2392"/>
      <c r="O63" s="2392"/>
      <c r="P63" s="2392"/>
      <c r="Q63" s="2392"/>
      <c r="R63" s="2363"/>
      <c r="S63" s="2392"/>
      <c r="T63" s="2392"/>
      <c r="U63" s="2392"/>
      <c r="V63" s="2392"/>
      <c r="W63" s="2392"/>
      <c r="X63" s="2392"/>
      <c r="Y63" s="2392"/>
      <c r="Z63" s="2392"/>
      <c r="AA63" s="2363"/>
      <c r="AB63" s="2363">
        <v>1</v>
      </c>
      <c r="AC63" s="2363"/>
      <c r="AD63" s="2393" t="s">
        <v>1647</v>
      </c>
      <c r="AE63" s="2363" t="s">
        <v>3257</v>
      </c>
      <c r="AF63" s="2363" t="s">
        <v>3258</v>
      </c>
      <c r="AG63" s="2363"/>
      <c r="AH63" s="2392"/>
      <c r="AI63" s="2392"/>
      <c r="AJ63" s="2392"/>
      <c r="AK63" s="2392"/>
      <c r="AL63" s="2393" t="s">
        <v>1648</v>
      </c>
      <c r="AM63" s="2392"/>
      <c r="AN63" s="2392"/>
      <c r="AO63" s="2392"/>
      <c r="AP63" s="2392"/>
      <c r="AQ63" s="2392"/>
      <c r="AR63" s="2392"/>
      <c r="AS63" s="2392"/>
      <c r="AT63" s="2394"/>
      <c r="AU63" s="2363" t="s">
        <v>1670</v>
      </c>
      <c r="AV63" s="2392" t="s">
        <v>2454</v>
      </c>
      <c r="AW63" s="2392" t="s">
        <v>4179</v>
      </c>
      <c r="AX63" s="2392" t="s">
        <v>4180</v>
      </c>
      <c r="AY63" s="2392" t="s">
        <v>4181</v>
      </c>
      <c r="AZ63" s="2392" t="s">
        <v>4182</v>
      </c>
      <c r="BA63" s="2392"/>
      <c r="BB63" s="2393" t="s">
        <v>3254</v>
      </c>
      <c r="BC63" s="2393" t="s">
        <v>3235</v>
      </c>
      <c r="BD63" s="2393" t="s">
        <v>3255</v>
      </c>
      <c r="BE63" s="2392"/>
      <c r="BF63" s="2392"/>
      <c r="BG63" s="2392"/>
      <c r="BH63" s="2392"/>
      <c r="BI63" s="2392"/>
      <c r="BJ63" s="2392"/>
      <c r="BK63" s="2392"/>
      <c r="BL63" s="2392"/>
      <c r="BM63" s="2392"/>
      <c r="BN63" s="2392"/>
      <c r="BO63" s="2392"/>
      <c r="BP63" s="2392"/>
      <c r="BQ63" s="2392"/>
      <c r="BR63" s="2392"/>
      <c r="BS63" s="2392"/>
      <c r="BT63" s="2392"/>
      <c r="BU63" s="2392"/>
      <c r="BV63" s="2392"/>
      <c r="BW63" s="2392"/>
      <c r="BX63" s="2392"/>
      <c r="BY63" s="2392"/>
      <c r="BZ63" s="2800"/>
      <c r="CA63" s="2800"/>
      <c r="CB63" s="2800"/>
      <c r="CC63" s="2800"/>
      <c r="CD63" s="2392"/>
      <c r="CE63" s="2392"/>
      <c r="CF63" s="2392"/>
      <c r="CG63" s="2392"/>
      <c r="CH63" s="2392"/>
      <c r="CI63" s="2392"/>
      <c r="CJ63" s="2392"/>
      <c r="CK63" s="2392"/>
      <c r="CL63" s="2392"/>
      <c r="CM63" s="2392"/>
      <c r="CN63" s="2392"/>
      <c r="CO63" s="2392"/>
      <c r="CP63" s="2392"/>
      <c r="CQ63" s="2392"/>
      <c r="CR63" s="2392"/>
      <c r="CS63" s="2392"/>
      <c r="CT63" s="2392"/>
      <c r="CU63" s="2392"/>
      <c r="CV63" s="2391" t="s">
        <v>4201</v>
      </c>
      <c r="CW63" s="2392" t="s">
        <v>2007</v>
      </c>
      <c r="CX63" s="2391"/>
      <c r="CY63" s="2397"/>
      <c r="CZ63"/>
    </row>
    <row r="64" spans="2:104" ht="18" x14ac:dyDescent="0.35">
      <c r="B64" s="2389">
        <v>61</v>
      </c>
      <c r="C64" s="2390" t="s">
        <v>2412</v>
      </c>
      <c r="D64" s="2391" t="s">
        <v>3259</v>
      </c>
      <c r="E64" s="2392"/>
      <c r="F64" s="2392"/>
      <c r="G64" s="2392"/>
      <c r="H64" s="2392"/>
      <c r="I64" s="2392"/>
      <c r="J64" s="2392"/>
      <c r="K64" s="2392"/>
      <c r="L64" s="2392"/>
      <c r="M64" s="2392"/>
      <c r="N64" s="2392"/>
      <c r="O64" s="2392"/>
      <c r="P64" s="2392"/>
      <c r="Q64" s="2392"/>
      <c r="R64" s="2363"/>
      <c r="S64" s="2392"/>
      <c r="T64" s="2392"/>
      <c r="U64" s="2392"/>
      <c r="V64" s="2392"/>
      <c r="W64" s="2392"/>
      <c r="X64" s="2392"/>
      <c r="Y64" s="2392"/>
      <c r="Z64" s="2392"/>
      <c r="AA64" s="2363"/>
      <c r="AB64" s="2363">
        <v>1</v>
      </c>
      <c r="AC64" s="2363"/>
      <c r="AD64" s="2393" t="s">
        <v>1647</v>
      </c>
      <c r="AE64" s="2392"/>
      <c r="AF64" s="2392"/>
      <c r="AG64" s="2392"/>
      <c r="AH64" s="2392"/>
      <c r="AI64" s="2392"/>
      <c r="AJ64" s="2392"/>
      <c r="AK64" s="2392"/>
      <c r="AL64" s="2393" t="s">
        <v>1648</v>
      </c>
      <c r="AM64" s="2392"/>
      <c r="AN64" s="2392"/>
      <c r="AO64" s="2392"/>
      <c r="AP64" s="2392"/>
      <c r="AQ64" s="2392"/>
      <c r="AR64" s="2363" t="s">
        <v>3260</v>
      </c>
      <c r="AS64" s="2392"/>
      <c r="AT64" s="2394"/>
      <c r="AU64" s="2363" t="s">
        <v>1670</v>
      </c>
      <c r="AV64" s="2392" t="s">
        <v>2454</v>
      </c>
      <c r="AW64" s="2392" t="s">
        <v>4179</v>
      </c>
      <c r="AX64" s="2392" t="s">
        <v>4180</v>
      </c>
      <c r="AY64" s="2392" t="s">
        <v>4181</v>
      </c>
      <c r="AZ64" s="2392" t="s">
        <v>4182</v>
      </c>
      <c r="BA64" s="2392"/>
      <c r="BB64" s="2396"/>
      <c r="BC64" s="2396" t="s">
        <v>3261</v>
      </c>
      <c r="BD64" s="2393" t="s">
        <v>3262</v>
      </c>
      <c r="BE64" s="2392"/>
      <c r="BF64" s="2392"/>
      <c r="BG64" s="2392"/>
      <c r="BH64" s="2392"/>
      <c r="BI64" s="2392"/>
      <c r="BJ64" s="2392"/>
      <c r="BK64" s="2392"/>
      <c r="BL64" s="2392"/>
      <c r="BM64" s="2392"/>
      <c r="BN64" s="2392"/>
      <c r="BO64" s="2392"/>
      <c r="BP64" s="2392"/>
      <c r="BQ64" s="2392"/>
      <c r="BR64" s="2392"/>
      <c r="BS64" s="2392"/>
      <c r="BT64" s="2392"/>
      <c r="BU64" s="2392"/>
      <c r="BV64" s="2392"/>
      <c r="BW64" s="2392"/>
      <c r="BX64" s="2392"/>
      <c r="BY64" s="2392"/>
      <c r="BZ64" s="2800"/>
      <c r="CA64" s="2800"/>
      <c r="CB64" s="2800"/>
      <c r="CC64" s="2800"/>
      <c r="CD64" s="2392"/>
      <c r="CE64" s="2392"/>
      <c r="CF64" s="2392"/>
      <c r="CG64" s="2392"/>
      <c r="CH64" s="2392"/>
      <c r="CI64" s="2392"/>
      <c r="CJ64" s="2392"/>
      <c r="CK64" s="2392"/>
      <c r="CL64" s="2392"/>
      <c r="CM64" s="2392"/>
      <c r="CN64" s="2392"/>
      <c r="CO64" s="2392"/>
      <c r="CP64" s="2392"/>
      <c r="CQ64" s="2392"/>
      <c r="CR64" s="2392"/>
      <c r="CS64" s="2392"/>
      <c r="CT64" s="2392"/>
      <c r="CU64" s="2392"/>
      <c r="CV64" s="2391" t="s">
        <v>4202</v>
      </c>
      <c r="CW64" s="2392" t="s">
        <v>2007</v>
      </c>
      <c r="CX64" s="2391"/>
      <c r="CY64" s="2397"/>
      <c r="CZ64"/>
    </row>
    <row r="65" spans="2:105" ht="18" x14ac:dyDescent="0.35">
      <c r="B65" s="2389">
        <v>62</v>
      </c>
      <c r="C65" s="2390" t="s">
        <v>2413</v>
      </c>
      <c r="D65" s="2391" t="s">
        <v>3263</v>
      </c>
      <c r="E65" s="2392"/>
      <c r="F65" s="2392"/>
      <c r="G65" s="2392"/>
      <c r="H65" s="2392"/>
      <c r="I65" s="2392"/>
      <c r="J65" s="2392"/>
      <c r="K65" s="2392"/>
      <c r="L65" s="2392"/>
      <c r="M65" s="2392"/>
      <c r="N65" s="2392"/>
      <c r="O65" s="2392"/>
      <c r="P65" s="2392"/>
      <c r="Q65" s="2392"/>
      <c r="R65" s="2363"/>
      <c r="S65" s="2392"/>
      <c r="T65" s="2392"/>
      <c r="U65" s="2392"/>
      <c r="V65" s="2392"/>
      <c r="W65" s="2392"/>
      <c r="X65" s="2392"/>
      <c r="Y65" s="2392"/>
      <c r="Z65" s="2392"/>
      <c r="AA65" s="2363"/>
      <c r="AB65" s="2363">
        <v>1</v>
      </c>
      <c r="AC65" s="2363"/>
      <c r="AD65" s="2393" t="s">
        <v>1647</v>
      </c>
      <c r="AE65" s="2363" t="s">
        <v>3264</v>
      </c>
      <c r="AF65" s="2363"/>
      <c r="AG65" s="2363" t="s">
        <v>3265</v>
      </c>
      <c r="AH65" s="2392"/>
      <c r="AI65" s="2392"/>
      <c r="AJ65" s="2392"/>
      <c r="AK65" s="2392"/>
      <c r="AL65" s="2393" t="s">
        <v>1648</v>
      </c>
      <c r="AM65" s="2392"/>
      <c r="AN65" s="2392"/>
      <c r="AO65" s="2392"/>
      <c r="AP65" s="2392"/>
      <c r="AQ65" s="2392"/>
      <c r="AR65" s="2363"/>
      <c r="AS65" s="2392"/>
      <c r="AT65" s="2394"/>
      <c r="AU65" s="2363" t="s">
        <v>1670</v>
      </c>
      <c r="AV65" s="2392" t="s">
        <v>2454</v>
      </c>
      <c r="AW65" s="2392" t="s">
        <v>4179</v>
      </c>
      <c r="AX65" s="2392" t="s">
        <v>4180</v>
      </c>
      <c r="AY65" s="2392" t="s">
        <v>4181</v>
      </c>
      <c r="AZ65" s="2392" t="s">
        <v>4182</v>
      </c>
      <c r="BA65" s="2392"/>
      <c r="BB65" s="2396"/>
      <c r="BC65" s="2396" t="s">
        <v>3266</v>
      </c>
      <c r="BD65" s="2393" t="s">
        <v>3267</v>
      </c>
      <c r="BE65" s="2392"/>
      <c r="BF65" s="2392"/>
      <c r="BG65" s="2392"/>
      <c r="BH65" s="2392"/>
      <c r="BI65" s="2392"/>
      <c r="BJ65" s="2392"/>
      <c r="BK65" s="2392"/>
      <c r="BL65" s="2392"/>
      <c r="BM65" s="2392"/>
      <c r="BN65" s="2392"/>
      <c r="BO65" s="2392"/>
      <c r="BP65" s="2392"/>
      <c r="BQ65" s="2392"/>
      <c r="BR65" s="2392"/>
      <c r="BS65" s="2392"/>
      <c r="BT65" s="2392"/>
      <c r="BU65" s="2392"/>
      <c r="BV65" s="2392"/>
      <c r="BW65" s="2392"/>
      <c r="BX65" s="2392"/>
      <c r="BY65" s="2392"/>
      <c r="BZ65" s="2800"/>
      <c r="CA65" s="2800"/>
      <c r="CB65" s="2800"/>
      <c r="CC65" s="2800"/>
      <c r="CD65" s="2392"/>
      <c r="CE65" s="2392"/>
      <c r="CF65" s="2392"/>
      <c r="CG65" s="2392"/>
      <c r="CH65" s="2392"/>
      <c r="CI65" s="2392"/>
      <c r="CJ65" s="2392"/>
      <c r="CK65" s="2392"/>
      <c r="CL65" s="2392"/>
      <c r="CM65" s="2392"/>
      <c r="CN65" s="2392"/>
      <c r="CO65" s="2392"/>
      <c r="CP65" s="2392"/>
      <c r="CQ65" s="2392"/>
      <c r="CR65" s="2392"/>
      <c r="CS65" s="2392"/>
      <c r="CT65" s="2392"/>
      <c r="CU65" s="2392"/>
      <c r="CV65" s="2391" t="s">
        <v>4203</v>
      </c>
      <c r="CW65" s="2392" t="s">
        <v>2007</v>
      </c>
      <c r="CX65" s="2391"/>
      <c r="CY65" s="2397"/>
      <c r="CZ65"/>
    </row>
    <row r="66" spans="2:105" ht="18" x14ac:dyDescent="0.35">
      <c r="B66" s="2389">
        <v>63</v>
      </c>
      <c r="C66" s="2390" t="s">
        <v>2414</v>
      </c>
      <c r="D66" s="2391" t="s">
        <v>3268</v>
      </c>
      <c r="E66" s="2392"/>
      <c r="F66" s="2392"/>
      <c r="G66" s="2392"/>
      <c r="H66" s="2392"/>
      <c r="I66" s="2392"/>
      <c r="J66" s="2392"/>
      <c r="K66" s="2392"/>
      <c r="L66" s="2392"/>
      <c r="M66" s="2392"/>
      <c r="N66" s="2392"/>
      <c r="O66" s="2392"/>
      <c r="P66" s="2392"/>
      <c r="Q66" s="2392"/>
      <c r="R66" s="2363"/>
      <c r="S66" s="2392"/>
      <c r="T66" s="2392"/>
      <c r="U66" s="2392"/>
      <c r="V66" s="2392"/>
      <c r="W66" s="2392"/>
      <c r="X66" s="2392"/>
      <c r="Y66" s="2392"/>
      <c r="Z66" s="2392"/>
      <c r="AA66" s="2363"/>
      <c r="AB66" s="2363">
        <v>1</v>
      </c>
      <c r="AC66" s="2363"/>
      <c r="AD66" s="2393" t="s">
        <v>1647</v>
      </c>
      <c r="AE66" s="2363" t="s">
        <v>3269</v>
      </c>
      <c r="AF66" s="2363" t="s">
        <v>3270</v>
      </c>
      <c r="AG66" s="2363"/>
      <c r="AH66" s="2392"/>
      <c r="AI66" s="2392"/>
      <c r="AJ66" s="2392"/>
      <c r="AK66" s="2392"/>
      <c r="AL66" s="2393" t="s">
        <v>1648</v>
      </c>
      <c r="AM66" s="2392"/>
      <c r="AN66" s="2392"/>
      <c r="AO66" s="2392"/>
      <c r="AP66" s="2392"/>
      <c r="AQ66" s="2392"/>
      <c r="AR66" s="2363"/>
      <c r="AS66" s="2392"/>
      <c r="AT66" s="2394"/>
      <c r="AU66" s="2363" t="s">
        <v>1670</v>
      </c>
      <c r="AV66" s="2392" t="s">
        <v>2454</v>
      </c>
      <c r="AW66" s="2392" t="s">
        <v>4179</v>
      </c>
      <c r="AX66" s="2392" t="s">
        <v>4180</v>
      </c>
      <c r="AY66" s="2392" t="s">
        <v>4181</v>
      </c>
      <c r="AZ66" s="2392" t="s">
        <v>4182</v>
      </c>
      <c r="BA66" s="2392"/>
      <c r="BB66" s="2396"/>
      <c r="BC66" s="2396" t="s">
        <v>3266</v>
      </c>
      <c r="BD66" s="2393" t="s">
        <v>3267</v>
      </c>
      <c r="BE66" s="2392"/>
      <c r="BF66" s="2392"/>
      <c r="BG66" s="2392"/>
      <c r="BH66" s="2392"/>
      <c r="BI66" s="2392"/>
      <c r="BJ66" s="2392"/>
      <c r="BK66" s="2392"/>
      <c r="BL66" s="2392"/>
      <c r="BM66" s="2392"/>
      <c r="BN66" s="2392"/>
      <c r="BO66" s="2392"/>
      <c r="BP66" s="2392"/>
      <c r="BQ66" s="2392"/>
      <c r="BR66" s="2392"/>
      <c r="BS66" s="2392"/>
      <c r="BT66" s="2392"/>
      <c r="BU66" s="2392"/>
      <c r="BV66" s="2392"/>
      <c r="BW66" s="2392"/>
      <c r="BX66" s="2392"/>
      <c r="BY66" s="2392"/>
      <c r="BZ66" s="2800"/>
      <c r="CA66" s="2800"/>
      <c r="CB66" s="2800"/>
      <c r="CC66" s="2800"/>
      <c r="CD66" s="2392"/>
      <c r="CE66" s="2392"/>
      <c r="CF66" s="2392"/>
      <c r="CG66" s="2392"/>
      <c r="CH66" s="2392"/>
      <c r="CI66" s="2392"/>
      <c r="CJ66" s="2392"/>
      <c r="CK66" s="2392"/>
      <c r="CL66" s="2392"/>
      <c r="CM66" s="2392"/>
      <c r="CN66" s="2392"/>
      <c r="CO66" s="2392"/>
      <c r="CP66" s="2392"/>
      <c r="CQ66" s="2392"/>
      <c r="CR66" s="2392"/>
      <c r="CS66" s="2392"/>
      <c r="CT66" s="2392"/>
      <c r="CU66" s="2392"/>
      <c r="CV66" s="2391" t="s">
        <v>4204</v>
      </c>
      <c r="CW66" s="2392" t="s">
        <v>2007</v>
      </c>
      <c r="CX66" s="2391"/>
      <c r="CY66" s="2397"/>
    </row>
    <row r="67" spans="2:105" ht="18" x14ac:dyDescent="0.35">
      <c r="B67" s="2389">
        <v>64</v>
      </c>
      <c r="C67" s="2390" t="s">
        <v>2415</v>
      </c>
      <c r="D67" s="2391" t="s">
        <v>3271</v>
      </c>
      <c r="E67" s="2392"/>
      <c r="F67" s="2392"/>
      <c r="G67" s="2392"/>
      <c r="H67" s="2392"/>
      <c r="I67" s="2392"/>
      <c r="J67" s="2392" t="s">
        <v>1653</v>
      </c>
      <c r="K67" s="2392"/>
      <c r="L67" s="2392"/>
      <c r="M67" s="2392"/>
      <c r="N67" s="2392"/>
      <c r="O67" s="2392"/>
      <c r="P67" s="2392" t="s">
        <v>1654</v>
      </c>
      <c r="Q67" s="2392"/>
      <c r="R67" s="2363"/>
      <c r="S67" s="2392"/>
      <c r="T67" s="2392"/>
      <c r="U67" s="2392"/>
      <c r="V67" s="2392"/>
      <c r="W67" s="2392"/>
      <c r="X67" s="2392"/>
      <c r="Y67" s="2392"/>
      <c r="Z67" s="2392"/>
      <c r="AA67" s="2363"/>
      <c r="AB67" s="2363" t="s">
        <v>1147</v>
      </c>
      <c r="AC67" s="2363"/>
      <c r="AD67" s="2393" t="s">
        <v>2135</v>
      </c>
      <c r="AE67" s="2392"/>
      <c r="AF67" s="2392"/>
      <c r="AG67" s="2392"/>
      <c r="AH67" s="2392"/>
      <c r="AI67" s="2392"/>
      <c r="AJ67" s="2392" t="s">
        <v>1655</v>
      </c>
      <c r="AK67" s="2392"/>
      <c r="AL67" s="2394"/>
      <c r="AM67" s="2392"/>
      <c r="AN67" s="2392"/>
      <c r="AO67" s="2392"/>
      <c r="AP67" s="2392" t="s">
        <v>1656</v>
      </c>
      <c r="AQ67" s="2392"/>
      <c r="AR67" s="2392"/>
      <c r="AS67" s="2392"/>
      <c r="AT67" s="2394"/>
      <c r="AU67" s="2392" t="s">
        <v>5916</v>
      </c>
      <c r="AV67" s="2392"/>
      <c r="AW67" s="2392"/>
      <c r="AX67" s="2392"/>
      <c r="AY67" s="2392"/>
      <c r="AZ67" s="2392"/>
      <c r="BA67" s="2392"/>
      <c r="BB67" s="2395"/>
      <c r="BC67" s="2396" t="s">
        <v>3595</v>
      </c>
      <c r="BD67" s="2394"/>
      <c r="BE67" s="2392"/>
      <c r="BF67" s="2392"/>
      <c r="BG67" s="2392"/>
      <c r="BH67" s="2392"/>
      <c r="BI67" s="2392"/>
      <c r="BJ67" s="2392"/>
      <c r="BK67" s="2392"/>
      <c r="BL67" s="2392"/>
      <c r="BM67" s="2392"/>
      <c r="BN67" s="2392"/>
      <c r="BO67" s="2392"/>
      <c r="BP67" s="2392"/>
      <c r="BQ67" s="2392"/>
      <c r="BR67" s="2392"/>
      <c r="BS67" s="2392"/>
      <c r="BT67" s="2392"/>
      <c r="BU67" s="2392"/>
      <c r="BV67" s="2392"/>
      <c r="BW67" s="2392"/>
      <c r="BX67" s="2392"/>
      <c r="BY67" s="2392"/>
      <c r="BZ67" s="2800"/>
      <c r="CA67" s="2800"/>
      <c r="CB67" s="2800"/>
      <c r="CC67" s="2800"/>
      <c r="CD67" s="2392"/>
      <c r="CE67" s="2392"/>
      <c r="CF67" s="2392"/>
      <c r="CG67" s="2392"/>
      <c r="CH67" s="2392"/>
      <c r="CI67" s="2392"/>
      <c r="CJ67" s="2392"/>
      <c r="CK67" s="2392"/>
      <c r="CL67" s="2392"/>
      <c r="CM67" s="2392"/>
      <c r="CN67" s="2392"/>
      <c r="CO67" s="2392"/>
      <c r="CP67" s="2392"/>
      <c r="CQ67" s="2392"/>
      <c r="CR67" s="2392"/>
      <c r="CS67" s="2392"/>
      <c r="CT67" s="2392"/>
      <c r="CU67" s="2392"/>
      <c r="CV67" s="2391" t="s">
        <v>3275</v>
      </c>
      <c r="CW67" s="2392" t="s">
        <v>2007</v>
      </c>
      <c r="CX67" s="2391"/>
      <c r="CY67" s="2397"/>
    </row>
    <row r="68" spans="2:105" ht="18" x14ac:dyDescent="0.35">
      <c r="B68" s="2389">
        <v>65</v>
      </c>
      <c r="C68" s="2390" t="s">
        <v>2416</v>
      </c>
      <c r="D68" s="2391" t="s">
        <v>3274</v>
      </c>
      <c r="E68" s="2392"/>
      <c r="F68" s="2392"/>
      <c r="G68" s="2392"/>
      <c r="H68" s="2392"/>
      <c r="I68" s="2392"/>
      <c r="J68" s="2392" t="s">
        <v>1653</v>
      </c>
      <c r="K68" s="2392"/>
      <c r="L68" s="2392"/>
      <c r="M68" s="2392"/>
      <c r="N68" s="2392"/>
      <c r="O68" s="2392"/>
      <c r="P68" s="2392"/>
      <c r="Q68" s="2392" t="s">
        <v>1654</v>
      </c>
      <c r="R68" s="2363"/>
      <c r="S68" s="2392"/>
      <c r="T68" s="2392"/>
      <c r="U68" s="2392"/>
      <c r="V68" s="2392"/>
      <c r="W68" s="2392"/>
      <c r="X68" s="2392"/>
      <c r="Y68" s="2392"/>
      <c r="Z68" s="2392"/>
      <c r="AA68" s="2363"/>
      <c r="AB68" s="2363" t="s">
        <v>1147</v>
      </c>
      <c r="AC68" s="2363"/>
      <c r="AD68" s="2393" t="s">
        <v>2135</v>
      </c>
      <c r="AE68" s="2392"/>
      <c r="AF68" s="2392"/>
      <c r="AG68" s="2392"/>
      <c r="AH68" s="2392"/>
      <c r="AI68" s="2392"/>
      <c r="AJ68" s="2392" t="s">
        <v>1655</v>
      </c>
      <c r="AK68" s="2392"/>
      <c r="AL68" s="2394"/>
      <c r="AM68" s="2392"/>
      <c r="AN68" s="2392"/>
      <c r="AO68" s="2392"/>
      <c r="AP68" s="2392" t="s">
        <v>1656</v>
      </c>
      <c r="AQ68" s="2392"/>
      <c r="AR68" s="2392"/>
      <c r="AS68" s="2392"/>
      <c r="AT68" s="2394"/>
      <c r="AU68" s="2392" t="s">
        <v>5916</v>
      </c>
      <c r="AV68" s="2392"/>
      <c r="AW68" s="2392"/>
      <c r="AX68" s="2392"/>
      <c r="AY68" s="2392"/>
      <c r="AZ68" s="2392"/>
      <c r="BA68" s="2392"/>
      <c r="BB68" s="2395"/>
      <c r="BC68" s="2396" t="s">
        <v>3595</v>
      </c>
      <c r="BD68" s="2394"/>
      <c r="BE68" s="2392"/>
      <c r="BF68" s="2392"/>
      <c r="BG68" s="2392"/>
      <c r="BH68" s="2392"/>
      <c r="BI68" s="2392"/>
      <c r="BJ68" s="2392"/>
      <c r="BK68" s="2392"/>
      <c r="BL68" s="2392"/>
      <c r="BM68" s="2392"/>
      <c r="BN68" s="2392"/>
      <c r="BO68" s="2392"/>
      <c r="BP68" s="2392"/>
      <c r="BQ68" s="2392"/>
      <c r="BR68" s="2392"/>
      <c r="BS68" s="2392"/>
      <c r="BT68" s="2392"/>
      <c r="BU68" s="2392"/>
      <c r="BV68" s="2392"/>
      <c r="BW68" s="2392"/>
      <c r="BX68" s="2392"/>
      <c r="BY68" s="2392"/>
      <c r="BZ68" s="2800"/>
      <c r="CA68" s="2800"/>
      <c r="CB68" s="2800"/>
      <c r="CC68" s="2800"/>
      <c r="CD68" s="2392"/>
      <c r="CE68" s="2392"/>
      <c r="CF68" s="2392"/>
      <c r="CG68" s="2392"/>
      <c r="CH68" s="2392"/>
      <c r="CI68" s="2392"/>
      <c r="CJ68" s="2392"/>
      <c r="CK68" s="2392"/>
      <c r="CL68" s="2392"/>
      <c r="CM68" s="2392"/>
      <c r="CN68" s="2392"/>
      <c r="CO68" s="2392"/>
      <c r="CP68" s="2392"/>
      <c r="CQ68" s="2392"/>
      <c r="CR68" s="2392"/>
      <c r="CS68" s="2392"/>
      <c r="CT68" s="2392"/>
      <c r="CU68" s="2392"/>
      <c r="CV68" s="2391" t="s">
        <v>3276</v>
      </c>
      <c r="CW68" s="2392" t="s">
        <v>2007</v>
      </c>
      <c r="CX68" s="2391"/>
      <c r="CY68" s="2397"/>
    </row>
    <row r="69" spans="2:105" ht="18" customHeight="1" x14ac:dyDescent="0.35">
      <c r="B69" s="2377">
        <v>66</v>
      </c>
      <c r="C69" s="2378" t="s">
        <v>2417</v>
      </c>
      <c r="D69" s="2376" t="s">
        <v>5261</v>
      </c>
      <c r="E69" s="2379"/>
      <c r="F69" s="2379"/>
      <c r="G69" s="2379"/>
      <c r="H69" s="2379"/>
      <c r="I69" s="2379"/>
      <c r="J69" s="2379"/>
      <c r="K69" s="2379"/>
      <c r="L69" s="2379"/>
      <c r="M69" s="2379"/>
      <c r="N69" s="2379"/>
      <c r="O69" s="2379"/>
      <c r="P69" s="2379"/>
      <c r="Q69" s="2379"/>
      <c r="R69" s="2379"/>
      <c r="S69" s="2379"/>
      <c r="T69" s="2379"/>
      <c r="U69" s="2379"/>
      <c r="V69" s="2379"/>
      <c r="W69" s="2379"/>
      <c r="X69" s="2379"/>
      <c r="Y69" s="2379"/>
      <c r="Z69" s="2379"/>
      <c r="AA69" s="2379"/>
      <c r="AB69" s="2379"/>
      <c r="AC69" s="2379">
        <v>1</v>
      </c>
      <c r="AD69" s="2379"/>
      <c r="AE69" s="2380" t="s">
        <v>5290</v>
      </c>
      <c r="AF69" s="2380" t="s">
        <v>5289</v>
      </c>
      <c r="AG69" s="2379"/>
      <c r="AH69" s="2379"/>
      <c r="AI69" s="2379"/>
      <c r="AJ69" s="2379"/>
      <c r="AK69" s="2379"/>
      <c r="AL69" s="2380" t="s">
        <v>5274</v>
      </c>
      <c r="AM69" s="2379"/>
      <c r="AN69" s="2379"/>
      <c r="AO69" s="2379"/>
      <c r="AP69" s="2379"/>
      <c r="AQ69" s="2379"/>
      <c r="AR69" s="2380" t="s">
        <v>5291</v>
      </c>
      <c r="AS69" s="2379"/>
      <c r="AT69" s="2379"/>
      <c r="AU69" s="2381" t="s">
        <v>5277</v>
      </c>
      <c r="AV69" s="2379" t="s">
        <v>2454</v>
      </c>
      <c r="AW69" s="2382" t="s">
        <v>4179</v>
      </c>
      <c r="AX69" s="2382" t="s">
        <v>4180</v>
      </c>
      <c r="AY69" s="2382" t="s">
        <v>4181</v>
      </c>
      <c r="AZ69" s="2382" t="s">
        <v>4182</v>
      </c>
      <c r="BA69" s="2379"/>
      <c r="BB69" s="2379"/>
      <c r="BC69" s="2382" t="s">
        <v>5293</v>
      </c>
      <c r="BD69" s="2379"/>
      <c r="BE69" s="2379"/>
      <c r="BF69" s="2379"/>
      <c r="BG69" s="2379"/>
      <c r="BH69" s="2379"/>
      <c r="BI69" s="2379"/>
      <c r="BJ69" s="2379"/>
      <c r="BK69" s="2379"/>
      <c r="BL69" s="2379"/>
      <c r="BM69" s="2379"/>
      <c r="BN69" s="2379"/>
      <c r="BO69" s="2379"/>
      <c r="BP69" s="2379"/>
      <c r="BQ69" s="2379"/>
      <c r="BR69" s="2379"/>
      <c r="BS69" s="2379"/>
      <c r="BT69" s="2379"/>
      <c r="BU69" s="2379"/>
      <c r="BV69" s="2379"/>
      <c r="BW69" s="2379"/>
      <c r="BX69" s="2379"/>
      <c r="BY69" s="2379"/>
      <c r="BZ69" s="2801"/>
      <c r="CA69" s="2801"/>
      <c r="CB69" s="2801"/>
      <c r="CC69" s="2801"/>
      <c r="CD69" s="2379"/>
      <c r="CE69" s="2379"/>
      <c r="CF69" s="2379"/>
      <c r="CG69" s="2379"/>
      <c r="CH69" s="2379"/>
      <c r="CI69" s="2379"/>
      <c r="CJ69" s="2379"/>
      <c r="CK69" s="2379"/>
      <c r="CL69" s="2379"/>
      <c r="CM69" s="2379"/>
      <c r="CN69" s="2379"/>
      <c r="CO69" s="2379"/>
      <c r="CP69" s="2379"/>
      <c r="CQ69" s="2379"/>
      <c r="CR69" s="2379"/>
      <c r="CS69" s="2379"/>
      <c r="CT69" s="2379"/>
      <c r="CU69" s="2379"/>
      <c r="CV69" s="2442" t="s">
        <v>5269</v>
      </c>
      <c r="CW69" s="2379" t="s">
        <v>2007</v>
      </c>
      <c r="CX69" s="2379"/>
      <c r="CY69" s="2509" t="s">
        <v>5245</v>
      </c>
      <c r="CZ69"/>
    </row>
    <row r="70" spans="2:105" ht="18" customHeight="1" x14ac:dyDescent="0.35">
      <c r="B70" s="2377">
        <v>67</v>
      </c>
      <c r="C70" s="2378" t="s">
        <v>2418</v>
      </c>
      <c r="D70" s="2376" t="s">
        <v>5262</v>
      </c>
      <c r="E70" s="2379"/>
      <c r="F70" s="2379"/>
      <c r="G70" s="2379"/>
      <c r="H70" s="2379"/>
      <c r="I70" s="2379"/>
      <c r="J70" s="2379"/>
      <c r="K70" s="2379"/>
      <c r="L70" s="2379"/>
      <c r="M70" s="2379"/>
      <c r="N70" s="2379"/>
      <c r="O70" s="2379"/>
      <c r="P70" s="2379"/>
      <c r="Q70" s="2379"/>
      <c r="R70" s="2379"/>
      <c r="S70" s="2379"/>
      <c r="T70" s="2379"/>
      <c r="U70" s="2379"/>
      <c r="V70" s="2379"/>
      <c r="W70" s="2379"/>
      <c r="X70" s="2379"/>
      <c r="Y70" s="2379"/>
      <c r="Z70" s="2379"/>
      <c r="AA70" s="2379"/>
      <c r="AB70" s="2379"/>
      <c r="AC70" s="2379">
        <v>1</v>
      </c>
      <c r="AD70" s="2380" t="s">
        <v>5272</v>
      </c>
      <c r="AE70" s="2379"/>
      <c r="AF70" s="2379"/>
      <c r="AG70" s="2379"/>
      <c r="AH70" s="2379"/>
      <c r="AI70" s="2379"/>
      <c r="AJ70" s="2379"/>
      <c r="AK70" s="2379"/>
      <c r="AL70" s="2380" t="s">
        <v>5274</v>
      </c>
      <c r="AM70" s="2379"/>
      <c r="AN70" s="2379"/>
      <c r="AO70" s="2379"/>
      <c r="AP70" s="2379"/>
      <c r="AQ70" s="2379"/>
      <c r="AR70" s="2379">
        <v>1</v>
      </c>
      <c r="AS70" s="2379"/>
      <c r="AT70" s="2379"/>
      <c r="AU70" s="2381" t="s">
        <v>5277</v>
      </c>
      <c r="AV70" s="2379" t="s">
        <v>2454</v>
      </c>
      <c r="AW70" s="2382" t="s">
        <v>4179</v>
      </c>
      <c r="AX70" s="2382" t="s">
        <v>4180</v>
      </c>
      <c r="AY70" s="2382" t="s">
        <v>4181</v>
      </c>
      <c r="AZ70" s="2382" t="s">
        <v>4182</v>
      </c>
      <c r="BA70" s="2379"/>
      <c r="BB70" s="2379"/>
      <c r="BC70" s="2382" t="s">
        <v>5293</v>
      </c>
      <c r="BD70" s="2379"/>
      <c r="BE70" s="2379"/>
      <c r="BF70" s="2379"/>
      <c r="BG70" s="2379"/>
      <c r="BH70" s="2379"/>
      <c r="BI70" s="2379"/>
      <c r="BJ70" s="2379"/>
      <c r="BK70" s="2379"/>
      <c r="BL70" s="2379"/>
      <c r="BM70" s="2379"/>
      <c r="BN70" s="2379"/>
      <c r="BO70" s="2379"/>
      <c r="BP70" s="2379"/>
      <c r="BQ70" s="2379"/>
      <c r="BR70" s="2379"/>
      <c r="BS70" s="2379"/>
      <c r="BT70" s="2379"/>
      <c r="BU70" s="2379"/>
      <c r="BV70" s="2379"/>
      <c r="BW70" s="2379"/>
      <c r="BX70" s="2379"/>
      <c r="BY70" s="2379"/>
      <c r="BZ70" s="2801"/>
      <c r="CA70" s="2801"/>
      <c r="CB70" s="2801"/>
      <c r="CC70" s="2801"/>
      <c r="CD70" s="2379"/>
      <c r="CE70" s="2379"/>
      <c r="CF70" s="2379"/>
      <c r="CG70" s="2379"/>
      <c r="CH70" s="2379"/>
      <c r="CI70" s="2379"/>
      <c r="CJ70" s="2379"/>
      <c r="CK70" s="2379"/>
      <c r="CL70" s="2379"/>
      <c r="CM70" s="2379"/>
      <c r="CN70" s="2379"/>
      <c r="CO70" s="2379"/>
      <c r="CP70" s="2379"/>
      <c r="CQ70" s="2379"/>
      <c r="CR70" s="2379"/>
      <c r="CS70" s="2379"/>
      <c r="CT70" s="2379"/>
      <c r="CU70" s="2379"/>
      <c r="CV70" s="2442" t="s">
        <v>5282</v>
      </c>
      <c r="CW70" s="2379" t="s">
        <v>2007</v>
      </c>
      <c r="CX70" s="2379"/>
      <c r="CY70" s="2509" t="s">
        <v>5245</v>
      </c>
      <c r="CZ70"/>
    </row>
    <row r="71" spans="2:105" ht="18" customHeight="1" x14ac:dyDescent="0.35">
      <c r="B71" s="2377">
        <v>68</v>
      </c>
      <c r="C71" s="2378" t="s">
        <v>2419</v>
      </c>
      <c r="D71" s="2376" t="s">
        <v>5263</v>
      </c>
      <c r="E71" s="2379"/>
      <c r="F71" s="2379"/>
      <c r="G71" s="2379"/>
      <c r="H71" s="2379"/>
      <c r="I71" s="2379"/>
      <c r="J71" s="2379"/>
      <c r="K71" s="2379"/>
      <c r="L71" s="2379"/>
      <c r="M71" s="2379"/>
      <c r="N71" s="2379"/>
      <c r="O71" s="2379"/>
      <c r="P71" s="2379"/>
      <c r="Q71" s="2379"/>
      <c r="R71" s="2379"/>
      <c r="S71" s="2379"/>
      <c r="T71" s="2379"/>
      <c r="U71" s="2379"/>
      <c r="V71" s="2379"/>
      <c r="W71" s="2379"/>
      <c r="X71" s="2379"/>
      <c r="Y71" s="2379"/>
      <c r="Z71" s="2379"/>
      <c r="AA71" s="2379"/>
      <c r="AB71" s="2379"/>
      <c r="AC71" s="2379">
        <v>-1</v>
      </c>
      <c r="AD71" s="2380" t="s">
        <v>5273</v>
      </c>
      <c r="AE71" s="2379"/>
      <c r="AF71" s="2379"/>
      <c r="AG71" s="2379"/>
      <c r="AH71" s="2379"/>
      <c r="AI71" s="2379"/>
      <c r="AJ71" s="2379"/>
      <c r="AK71" s="2379"/>
      <c r="AL71" s="2380" t="s">
        <v>5275</v>
      </c>
      <c r="AM71" s="2379"/>
      <c r="AN71" s="2379"/>
      <c r="AO71" s="2379"/>
      <c r="AP71" s="2379"/>
      <c r="AQ71" s="2379"/>
      <c r="AR71" s="2379">
        <v>-1</v>
      </c>
      <c r="AS71" s="2379"/>
      <c r="AT71" s="2379"/>
      <c r="AU71" s="3034" t="s">
        <v>5235</v>
      </c>
      <c r="AV71" s="2801"/>
      <c r="AW71" s="3035"/>
      <c r="AX71" s="3035"/>
      <c r="AY71" s="3035"/>
      <c r="AZ71" s="3035"/>
      <c r="BA71" s="2379"/>
      <c r="BB71" s="2379"/>
      <c r="BC71" s="2382" t="s">
        <v>5292</v>
      </c>
      <c r="BD71" s="2379"/>
      <c r="BE71" s="2379"/>
      <c r="BF71" s="2379"/>
      <c r="BG71" s="2379"/>
      <c r="BH71" s="2379"/>
      <c r="BI71" s="2379"/>
      <c r="BJ71" s="2379"/>
      <c r="BK71" s="2379"/>
      <c r="BL71" s="2379"/>
      <c r="BM71" s="2379"/>
      <c r="BN71" s="2379"/>
      <c r="BO71" s="2379"/>
      <c r="BP71" s="2379"/>
      <c r="BQ71" s="2379"/>
      <c r="BR71" s="2379"/>
      <c r="BS71" s="2379"/>
      <c r="BT71" s="2379"/>
      <c r="BU71" s="2379"/>
      <c r="BV71" s="2379"/>
      <c r="BW71" s="2379"/>
      <c r="BX71" s="2379"/>
      <c r="BY71" s="2379"/>
      <c r="BZ71" s="2801"/>
      <c r="CA71" s="2801"/>
      <c r="CB71" s="2801"/>
      <c r="CC71" s="2801"/>
      <c r="CD71" s="2379"/>
      <c r="CE71" s="2379"/>
      <c r="CF71" s="2379"/>
      <c r="CG71" s="2379"/>
      <c r="CH71" s="2379"/>
      <c r="CI71" s="2379"/>
      <c r="CJ71" s="2379"/>
      <c r="CK71" s="2379"/>
      <c r="CL71" s="2379"/>
      <c r="CM71" s="2379"/>
      <c r="CN71" s="2379"/>
      <c r="CO71" s="2379"/>
      <c r="CP71" s="2379"/>
      <c r="CQ71" s="2379"/>
      <c r="CR71" s="2379"/>
      <c r="CS71" s="2379"/>
      <c r="CT71" s="2379"/>
      <c r="CU71" s="2379"/>
      <c r="CV71" s="2443" t="s">
        <v>5270</v>
      </c>
      <c r="CW71" s="2379" t="s">
        <v>2007</v>
      </c>
      <c r="CX71" s="2379"/>
      <c r="CY71" s="2509" t="s">
        <v>5245</v>
      </c>
      <c r="CZ71"/>
    </row>
    <row r="72" spans="2:105" ht="18" customHeight="1" x14ac:dyDescent="0.35">
      <c r="B72" s="2377">
        <v>69</v>
      </c>
      <c r="C72" s="2378" t="s">
        <v>2420</v>
      </c>
      <c r="D72" s="2376" t="s">
        <v>5264</v>
      </c>
      <c r="E72" s="2379"/>
      <c r="F72" s="2379"/>
      <c r="G72" s="2379"/>
      <c r="H72" s="2379"/>
      <c r="I72" s="2379"/>
      <c r="J72" s="2379" t="s">
        <v>1653</v>
      </c>
      <c r="K72" s="2379"/>
      <c r="L72" s="2379"/>
      <c r="M72" s="2379"/>
      <c r="N72" s="2379"/>
      <c r="O72" s="2379"/>
      <c r="P72" s="2379" t="s">
        <v>1654</v>
      </c>
      <c r="Q72" s="2379"/>
      <c r="R72" s="2379"/>
      <c r="S72" s="2379"/>
      <c r="T72" s="2379"/>
      <c r="U72" s="2379"/>
      <c r="V72" s="2379"/>
      <c r="W72" s="2379"/>
      <c r="X72" s="2379"/>
      <c r="Y72" s="2379"/>
      <c r="Z72" s="2379"/>
      <c r="AA72" s="2379"/>
      <c r="AB72" s="2379"/>
      <c r="AC72" s="2379">
        <v>-1</v>
      </c>
      <c r="AD72" s="2380" t="s">
        <v>2135</v>
      </c>
      <c r="AE72" s="2379"/>
      <c r="AF72" s="2379"/>
      <c r="AG72" s="2379"/>
      <c r="AH72" s="2379"/>
      <c r="AI72" s="2379"/>
      <c r="AJ72" s="2379" t="s">
        <v>1655</v>
      </c>
      <c r="AK72" s="2379"/>
      <c r="AL72" s="2380" t="s">
        <v>5276</v>
      </c>
      <c r="AM72" s="2379"/>
      <c r="AN72" s="2379"/>
      <c r="AO72" s="2379"/>
      <c r="AP72" s="2379" t="s">
        <v>1656</v>
      </c>
      <c r="AQ72" s="2379"/>
      <c r="AR72" s="2379"/>
      <c r="AS72" s="2379"/>
      <c r="AT72" s="2379"/>
      <c r="AU72" s="3034" t="s">
        <v>5920</v>
      </c>
      <c r="AV72" s="2801"/>
      <c r="AW72" s="3035"/>
      <c r="AX72" s="3035"/>
      <c r="AY72" s="3035"/>
      <c r="AZ72" s="3035"/>
      <c r="BA72" s="2379"/>
      <c r="BB72" s="2379"/>
      <c r="BC72" s="2381" t="s">
        <v>5296</v>
      </c>
      <c r="BD72" s="2379"/>
      <c r="BE72" s="2379"/>
      <c r="BF72" s="2379"/>
      <c r="BG72" s="2379"/>
      <c r="BH72" s="2379"/>
      <c r="BI72" s="2379"/>
      <c r="BJ72" s="2379"/>
      <c r="BK72" s="2379"/>
      <c r="BL72" s="2379"/>
      <c r="BM72" s="2379"/>
      <c r="BN72" s="2379"/>
      <c r="BO72" s="2379"/>
      <c r="BP72" s="2379"/>
      <c r="BQ72" s="2379"/>
      <c r="BR72" s="2379"/>
      <c r="BS72" s="2379"/>
      <c r="BT72" s="2379"/>
      <c r="BU72" s="2379"/>
      <c r="BV72" s="2379"/>
      <c r="BW72" s="2379"/>
      <c r="BX72" s="2379"/>
      <c r="BY72" s="2379"/>
      <c r="BZ72" s="2801"/>
      <c r="CA72" s="2801"/>
      <c r="CB72" s="2801"/>
      <c r="CC72" s="2801"/>
      <c r="CD72" s="2379"/>
      <c r="CE72" s="2379"/>
      <c r="CF72" s="2379"/>
      <c r="CG72" s="2379"/>
      <c r="CH72" s="2379"/>
      <c r="CI72" s="2379"/>
      <c r="CJ72" s="2379"/>
      <c r="CK72" s="2379"/>
      <c r="CL72" s="2379"/>
      <c r="CM72" s="2379"/>
      <c r="CN72" s="2379"/>
      <c r="CO72" s="2379"/>
      <c r="CP72" s="2379"/>
      <c r="CQ72" s="2379"/>
      <c r="CR72" s="2379"/>
      <c r="CS72" s="2379"/>
      <c r="CT72" s="2379"/>
      <c r="CU72" s="2379"/>
      <c r="CV72" s="2443" t="s">
        <v>5271</v>
      </c>
      <c r="CW72" s="2379" t="s">
        <v>2007</v>
      </c>
      <c r="CX72" s="2379"/>
      <c r="CY72" s="2509" t="s">
        <v>5245</v>
      </c>
      <c r="CZ72"/>
    </row>
    <row r="73" spans="2:105" ht="18" x14ac:dyDescent="0.25">
      <c r="B73" s="2510">
        <v>70</v>
      </c>
      <c r="C73" s="2444" t="s">
        <v>2421</v>
      </c>
      <c r="D73" s="2445" t="s">
        <v>1675</v>
      </c>
      <c r="E73" s="2364"/>
      <c r="F73" s="2364"/>
      <c r="G73" s="2364"/>
      <c r="H73" s="2364">
        <v>-1</v>
      </c>
      <c r="I73" s="2364">
        <v>1</v>
      </c>
      <c r="J73" s="2802"/>
      <c r="K73" s="2364"/>
      <c r="L73" s="2364"/>
      <c r="M73" s="2364"/>
      <c r="N73" s="2364"/>
      <c r="O73" s="2364"/>
      <c r="P73" s="2364"/>
      <c r="Q73" s="2364"/>
      <c r="R73" s="2364"/>
      <c r="S73" s="2364"/>
      <c r="T73" s="2364"/>
      <c r="U73" s="2364"/>
      <c r="V73" s="2364"/>
      <c r="W73" s="2364"/>
      <c r="X73" s="2364"/>
      <c r="Y73" s="2364"/>
      <c r="Z73" s="2364"/>
      <c r="AA73" s="2364"/>
      <c r="AB73" s="2364"/>
      <c r="AC73" s="2364"/>
      <c r="AD73" s="2364"/>
      <c r="AE73" s="2364"/>
      <c r="AF73" s="2364"/>
      <c r="AG73" s="2364"/>
      <c r="AH73" s="2364"/>
      <c r="AI73" s="2364" t="s">
        <v>1676</v>
      </c>
      <c r="AJ73" s="2802"/>
      <c r="AK73" s="2364"/>
      <c r="AL73" s="2364"/>
      <c r="AM73" s="2364"/>
      <c r="AN73" s="2364"/>
      <c r="AO73" s="2364" t="s">
        <v>1677</v>
      </c>
      <c r="AP73" s="2802"/>
      <c r="AQ73" s="2364"/>
      <c r="AR73" s="2364"/>
      <c r="AS73" s="2364"/>
      <c r="AT73" s="2364"/>
      <c r="AU73" s="2364"/>
      <c r="AV73" s="2364"/>
      <c r="AW73" s="2364"/>
      <c r="AX73" s="2364"/>
      <c r="AY73" s="2364"/>
      <c r="AZ73" s="2364"/>
      <c r="BA73" s="2364"/>
      <c r="BB73" s="2364"/>
      <c r="BC73" s="2364" t="s">
        <v>4279</v>
      </c>
      <c r="BD73" s="2364"/>
      <c r="BE73" s="2364"/>
      <c r="BF73" s="2364"/>
      <c r="BG73" s="2364"/>
      <c r="BH73" s="2364"/>
      <c r="BI73" s="2364"/>
      <c r="BJ73" s="2364"/>
      <c r="BK73" s="2364"/>
      <c r="BL73" s="2364"/>
      <c r="BM73" s="2364"/>
      <c r="BN73" s="2364"/>
      <c r="BO73" s="2364"/>
      <c r="BP73" s="2364"/>
      <c r="BQ73" s="2364"/>
      <c r="BR73" s="2364"/>
      <c r="BS73" s="2364"/>
      <c r="BT73" s="2364"/>
      <c r="BU73" s="2364"/>
      <c r="BV73" s="2364"/>
      <c r="BW73" s="2364"/>
      <c r="BX73" s="2364"/>
      <c r="BY73" s="2364"/>
      <c r="BZ73" s="2802"/>
      <c r="CA73" s="2802"/>
      <c r="CB73" s="2802"/>
      <c r="CC73" s="2802"/>
      <c r="CD73" s="2364"/>
      <c r="CE73" s="2364"/>
      <c r="CF73" s="2364"/>
      <c r="CG73" s="2364"/>
      <c r="CH73" s="2364"/>
      <c r="CI73" s="2364"/>
      <c r="CJ73" s="2364"/>
      <c r="CK73" s="2364"/>
      <c r="CL73" s="2364"/>
      <c r="CM73" s="2364"/>
      <c r="CN73" s="2364"/>
      <c r="CO73" s="2364"/>
      <c r="CP73" s="2364"/>
      <c r="CQ73" s="2364"/>
      <c r="CR73" s="2364"/>
      <c r="CS73" s="2364"/>
      <c r="CT73" s="2364"/>
      <c r="CU73" s="2364"/>
      <c r="CV73" s="2853" t="s">
        <v>5555</v>
      </c>
      <c r="CW73" s="2364" t="s">
        <v>2007</v>
      </c>
      <c r="CX73" s="2445"/>
      <c r="CY73" s="2511"/>
      <c r="DA73" s="74"/>
    </row>
    <row r="74" spans="2:105" ht="18" x14ac:dyDescent="0.25">
      <c r="B74" s="2510">
        <v>71</v>
      </c>
      <c r="C74" s="2444" t="s">
        <v>2432</v>
      </c>
      <c r="D74" s="2445" t="s">
        <v>1678</v>
      </c>
      <c r="E74" s="2364"/>
      <c r="F74" s="2364"/>
      <c r="G74" s="2364"/>
      <c r="H74" s="2364"/>
      <c r="I74" s="2364"/>
      <c r="J74" s="2802"/>
      <c r="K74" s="2364"/>
      <c r="L74" s="2364">
        <v>-1</v>
      </c>
      <c r="M74" s="2364">
        <v>1</v>
      </c>
      <c r="N74" s="2364"/>
      <c r="O74" s="2364"/>
      <c r="P74" s="2364"/>
      <c r="Q74" s="2364"/>
      <c r="R74" s="2364"/>
      <c r="S74" s="2364"/>
      <c r="T74" s="2364"/>
      <c r="U74" s="2364"/>
      <c r="V74" s="2364"/>
      <c r="W74" s="2364"/>
      <c r="X74" s="2364"/>
      <c r="Y74" s="2364"/>
      <c r="Z74" s="2364"/>
      <c r="AA74" s="2364"/>
      <c r="AB74" s="2364"/>
      <c r="AC74" s="2364"/>
      <c r="AD74" s="2364"/>
      <c r="AE74" s="2364"/>
      <c r="AF74" s="2364"/>
      <c r="AG74" s="2364"/>
      <c r="AH74" s="2364"/>
      <c r="AI74" s="2364"/>
      <c r="AJ74" s="2802"/>
      <c r="AK74" s="2364" t="s">
        <v>1679</v>
      </c>
      <c r="AL74" s="2364"/>
      <c r="AM74" s="2364"/>
      <c r="AN74" s="2364"/>
      <c r="AO74" s="2364"/>
      <c r="AP74" s="2802"/>
      <c r="AQ74" s="2364" t="s">
        <v>1680</v>
      </c>
      <c r="AR74" s="2364"/>
      <c r="AS74" s="2364"/>
      <c r="AT74" s="2364"/>
      <c r="AU74" s="2364"/>
      <c r="AV74" s="2364"/>
      <c r="AW74" s="2364"/>
      <c r="AX74" s="2364"/>
      <c r="AY74" s="2364"/>
      <c r="AZ74" s="2364"/>
      <c r="BA74" s="2364"/>
      <c r="BB74" s="2364"/>
      <c r="BC74" s="2364" t="s">
        <v>4280</v>
      </c>
      <c r="BD74" s="2364"/>
      <c r="BE74" s="2364"/>
      <c r="BF74" s="2364"/>
      <c r="BG74" s="2364"/>
      <c r="BH74" s="2364"/>
      <c r="BI74" s="2364"/>
      <c r="BJ74" s="2364"/>
      <c r="BK74" s="2364"/>
      <c r="BL74" s="2364"/>
      <c r="BM74" s="2364"/>
      <c r="BN74" s="2364"/>
      <c r="BO74" s="2364"/>
      <c r="BP74" s="2364"/>
      <c r="BQ74" s="2364"/>
      <c r="BR74" s="2364"/>
      <c r="BS74" s="2364"/>
      <c r="BT74" s="2364"/>
      <c r="BU74" s="2364"/>
      <c r="BV74" s="2364"/>
      <c r="BW74" s="2364"/>
      <c r="BX74" s="2364"/>
      <c r="BY74" s="2364"/>
      <c r="BZ74" s="2802"/>
      <c r="CA74" s="2802"/>
      <c r="CB74" s="2802"/>
      <c r="CC74" s="2802"/>
      <c r="CD74" s="2364"/>
      <c r="CE74" s="2364"/>
      <c r="CF74" s="2364"/>
      <c r="CG74" s="2364"/>
      <c r="CH74" s="2364"/>
      <c r="CI74" s="2364"/>
      <c r="CJ74" s="2364"/>
      <c r="CK74" s="2364"/>
      <c r="CL74" s="2364"/>
      <c r="CM74" s="2364"/>
      <c r="CN74" s="2364"/>
      <c r="CO74" s="2364"/>
      <c r="CP74" s="2364"/>
      <c r="CQ74" s="2364"/>
      <c r="CR74" s="2364"/>
      <c r="CS74" s="2364"/>
      <c r="CT74" s="2364"/>
      <c r="CU74" s="2364"/>
      <c r="CV74" s="2853" t="s">
        <v>5556</v>
      </c>
      <c r="CW74" s="2364" t="s">
        <v>2007</v>
      </c>
      <c r="CX74" s="2445"/>
      <c r="CY74" s="2511"/>
      <c r="DA74" s="74"/>
    </row>
    <row r="75" spans="2:105" ht="18" x14ac:dyDescent="0.25">
      <c r="B75" s="2510">
        <v>72</v>
      </c>
      <c r="C75" s="2444" t="s">
        <v>2433</v>
      </c>
      <c r="D75" s="2445" t="s">
        <v>3877</v>
      </c>
      <c r="E75" s="2364"/>
      <c r="F75" s="2364"/>
      <c r="G75" s="2364"/>
      <c r="H75" s="2364">
        <v>-1</v>
      </c>
      <c r="I75" s="2364">
        <v>1</v>
      </c>
      <c r="J75" s="2802"/>
      <c r="K75" s="2364"/>
      <c r="L75" s="2364"/>
      <c r="M75" s="2364"/>
      <c r="N75" s="2364"/>
      <c r="O75" s="2364"/>
      <c r="P75" s="2364"/>
      <c r="Q75" s="2364"/>
      <c r="R75" s="2364"/>
      <c r="S75" s="2364"/>
      <c r="T75" s="2364"/>
      <c r="U75" s="2364"/>
      <c r="V75" s="2364"/>
      <c r="W75" s="2364"/>
      <c r="X75" s="2364"/>
      <c r="Y75" s="2364"/>
      <c r="Z75" s="2364"/>
      <c r="AA75" s="2364"/>
      <c r="AB75" s="2364"/>
      <c r="AC75" s="2364"/>
      <c r="AD75" s="2364"/>
      <c r="AE75" s="2364"/>
      <c r="AF75" s="2364"/>
      <c r="AG75" s="2364"/>
      <c r="AH75" s="2364"/>
      <c r="AI75" s="2364" t="s">
        <v>1676</v>
      </c>
      <c r="AJ75" s="2802"/>
      <c r="AK75" s="2364"/>
      <c r="AL75" s="2364"/>
      <c r="AM75" s="2364"/>
      <c r="AN75" s="2364"/>
      <c r="AO75" s="2364" t="s">
        <v>1677</v>
      </c>
      <c r="AP75" s="2802"/>
      <c r="AQ75" s="2364"/>
      <c r="AR75" s="2364"/>
      <c r="AS75" s="2364"/>
      <c r="AT75" s="2364"/>
      <c r="AU75" s="2364"/>
      <c r="AV75" s="2364"/>
      <c r="AW75" s="2364"/>
      <c r="AX75" s="2364"/>
      <c r="AY75" s="2364"/>
      <c r="AZ75" s="2364"/>
      <c r="BA75" s="2364"/>
      <c r="BB75" s="2364"/>
      <c r="BC75" s="2364" t="s">
        <v>4279</v>
      </c>
      <c r="BD75" s="2364"/>
      <c r="BE75" s="2364"/>
      <c r="BF75" s="2364"/>
      <c r="BG75" s="2364"/>
      <c r="BH75" s="2364"/>
      <c r="BI75" s="2364"/>
      <c r="BJ75" s="2364"/>
      <c r="BK75" s="2364"/>
      <c r="BL75" s="2364"/>
      <c r="BM75" s="2364"/>
      <c r="BN75" s="2364"/>
      <c r="BO75" s="2364"/>
      <c r="BP75" s="2364"/>
      <c r="BQ75" s="2364"/>
      <c r="BR75" s="2364"/>
      <c r="BS75" s="2364"/>
      <c r="BT75" s="2364"/>
      <c r="BU75" s="2364"/>
      <c r="BV75" s="2364"/>
      <c r="BW75" s="2364"/>
      <c r="BX75" s="2364"/>
      <c r="BY75" s="2364"/>
      <c r="BZ75" s="2802"/>
      <c r="CA75" s="2802"/>
      <c r="CB75" s="2802"/>
      <c r="CC75" s="2802"/>
      <c r="CD75" s="2364"/>
      <c r="CE75" s="2364"/>
      <c r="CF75" s="2364"/>
      <c r="CG75" s="2364"/>
      <c r="CH75" s="2364"/>
      <c r="CI75" s="2364"/>
      <c r="CJ75" s="2364"/>
      <c r="CK75" s="2364"/>
      <c r="CL75" s="2364"/>
      <c r="CM75" s="2364"/>
      <c r="CN75" s="2364"/>
      <c r="CO75" s="2364"/>
      <c r="CP75" s="2364"/>
      <c r="CQ75" s="2364"/>
      <c r="CR75" s="2364"/>
      <c r="CS75" s="2364"/>
      <c r="CT75" s="2364"/>
      <c r="CU75" s="2364"/>
      <c r="CV75" s="2445" t="s">
        <v>3870</v>
      </c>
      <c r="CW75" s="2364" t="s">
        <v>2007</v>
      </c>
      <c r="CX75" s="2445"/>
      <c r="CY75" s="2511" t="s">
        <v>3881</v>
      </c>
      <c r="DA75" s="74"/>
    </row>
    <row r="76" spans="2:105" ht="18" x14ac:dyDescent="0.25">
      <c r="B76" s="2510">
        <v>73</v>
      </c>
      <c r="C76" s="2444" t="s">
        <v>2859</v>
      </c>
      <c r="D76" s="2445" t="s">
        <v>3878</v>
      </c>
      <c r="E76" s="2364"/>
      <c r="F76" s="2364"/>
      <c r="G76" s="2364"/>
      <c r="H76" s="2364"/>
      <c r="I76" s="2364"/>
      <c r="J76" s="2802"/>
      <c r="K76" s="2364"/>
      <c r="L76" s="2364">
        <v>-1</v>
      </c>
      <c r="M76" s="2364">
        <v>1</v>
      </c>
      <c r="N76" s="2364"/>
      <c r="O76" s="2364"/>
      <c r="P76" s="2364"/>
      <c r="Q76" s="2364"/>
      <c r="R76" s="2364"/>
      <c r="S76" s="2364"/>
      <c r="T76" s="2364"/>
      <c r="U76" s="2364"/>
      <c r="V76" s="2364"/>
      <c r="W76" s="2364"/>
      <c r="X76" s="2364"/>
      <c r="Y76" s="2364"/>
      <c r="Z76" s="2364"/>
      <c r="AA76" s="2364"/>
      <c r="AB76" s="2364"/>
      <c r="AC76" s="2364"/>
      <c r="AD76" s="2364"/>
      <c r="AE76" s="2364"/>
      <c r="AF76" s="2364"/>
      <c r="AG76" s="2364"/>
      <c r="AH76" s="2364"/>
      <c r="AI76" s="2364"/>
      <c r="AJ76" s="2802"/>
      <c r="AK76" s="2364" t="s">
        <v>1679</v>
      </c>
      <c r="AL76" s="2364"/>
      <c r="AM76" s="2364"/>
      <c r="AN76" s="2364"/>
      <c r="AO76" s="2364"/>
      <c r="AP76" s="2802"/>
      <c r="AQ76" s="2364" t="s">
        <v>1680</v>
      </c>
      <c r="AR76" s="2364"/>
      <c r="AS76" s="2364"/>
      <c r="AT76" s="2364"/>
      <c r="AU76" s="2364"/>
      <c r="AV76" s="2364"/>
      <c r="AW76" s="2364"/>
      <c r="AX76" s="2364"/>
      <c r="AY76" s="2364"/>
      <c r="AZ76" s="2364"/>
      <c r="BA76" s="2364"/>
      <c r="BB76" s="2364"/>
      <c r="BC76" s="2364" t="s">
        <v>4280</v>
      </c>
      <c r="BD76" s="2364"/>
      <c r="BE76" s="2364"/>
      <c r="BF76" s="2364"/>
      <c r="BG76" s="2364"/>
      <c r="BH76" s="2364"/>
      <c r="BI76" s="2364"/>
      <c r="BJ76" s="2364"/>
      <c r="BK76" s="2364"/>
      <c r="BL76" s="2364"/>
      <c r="BM76" s="2364"/>
      <c r="BN76" s="2364"/>
      <c r="BO76" s="2364"/>
      <c r="BP76" s="2364"/>
      <c r="BQ76" s="2364"/>
      <c r="BR76" s="2364"/>
      <c r="BS76" s="2364"/>
      <c r="BT76" s="2364"/>
      <c r="BU76" s="2364"/>
      <c r="BV76" s="2364"/>
      <c r="BW76" s="2364"/>
      <c r="BX76" s="2364"/>
      <c r="BY76" s="2364"/>
      <c r="BZ76" s="2802"/>
      <c r="CA76" s="2802"/>
      <c r="CB76" s="2802"/>
      <c r="CC76" s="2802"/>
      <c r="CD76" s="2364"/>
      <c r="CE76" s="2364"/>
      <c r="CF76" s="2364"/>
      <c r="CG76" s="2364"/>
      <c r="CH76" s="2364"/>
      <c r="CI76" s="2364"/>
      <c r="CJ76" s="2364"/>
      <c r="CK76" s="2364"/>
      <c r="CL76" s="2364"/>
      <c r="CM76" s="2364"/>
      <c r="CN76" s="2364"/>
      <c r="CO76" s="2364"/>
      <c r="CP76" s="2364"/>
      <c r="CQ76" s="2364"/>
      <c r="CR76" s="2364"/>
      <c r="CS76" s="2364"/>
      <c r="CT76" s="2364"/>
      <c r="CU76" s="2364"/>
      <c r="CV76" s="2445" t="s">
        <v>3874</v>
      </c>
      <c r="CW76" s="2364" t="s">
        <v>2007</v>
      </c>
      <c r="CX76" s="2445"/>
      <c r="CY76" s="2511" t="s">
        <v>3881</v>
      </c>
      <c r="DA76" s="74"/>
    </row>
    <row r="77" spans="2:105" ht="18" x14ac:dyDescent="0.25">
      <c r="B77" s="2510">
        <v>74</v>
      </c>
      <c r="C77" s="2444" t="s">
        <v>2860</v>
      </c>
      <c r="D77" s="2445" t="s">
        <v>5933</v>
      </c>
      <c r="E77" s="2364"/>
      <c r="F77" s="2364">
        <v>1</v>
      </c>
      <c r="G77" s="2364"/>
      <c r="H77" s="2364"/>
      <c r="I77" s="2364">
        <v>-1</v>
      </c>
      <c r="J77" s="2802"/>
      <c r="K77" s="2364"/>
      <c r="L77" s="2364"/>
      <c r="M77" s="2364"/>
      <c r="N77" s="2364"/>
      <c r="O77" s="2364"/>
      <c r="P77" s="2364"/>
      <c r="Q77" s="2364"/>
      <c r="R77" s="2364"/>
      <c r="S77" s="2364"/>
      <c r="T77" s="2364"/>
      <c r="U77" s="2364"/>
      <c r="V77" s="2364"/>
      <c r="W77" s="2364"/>
      <c r="X77" s="2364"/>
      <c r="Y77" s="2364"/>
      <c r="Z77" s="2364"/>
      <c r="AA77" s="2364"/>
      <c r="AB77" s="2364"/>
      <c r="AC77" s="2364"/>
      <c r="AD77" s="2364"/>
      <c r="AE77" s="2364"/>
      <c r="AF77" s="2364"/>
      <c r="AG77" s="2364"/>
      <c r="AH77" s="2447" t="s">
        <v>1681</v>
      </c>
      <c r="AI77" s="2447" t="s">
        <v>1682</v>
      </c>
      <c r="AJ77" s="3032"/>
      <c r="AK77" s="2364"/>
      <c r="AL77" s="2364"/>
      <c r="AM77" s="2364"/>
      <c r="AN77" s="2447" t="s">
        <v>1683</v>
      </c>
      <c r="AO77" s="2447" t="s">
        <v>1684</v>
      </c>
      <c r="AP77" s="3032"/>
      <c r="AQ77" s="2364"/>
      <c r="AR77" s="2364"/>
      <c r="AS77" s="2364"/>
      <c r="AT77" s="2364"/>
      <c r="AU77" s="2364"/>
      <c r="AV77" s="2364"/>
      <c r="AW77" s="2364"/>
      <c r="AX77" s="2364"/>
      <c r="AY77" s="2364"/>
      <c r="AZ77" s="2364"/>
      <c r="BA77" s="2364"/>
      <c r="BB77" s="2364"/>
      <c r="BC77" s="2364" t="s">
        <v>4278</v>
      </c>
      <c r="BD77" s="2364"/>
      <c r="BE77" s="2364"/>
      <c r="BF77" s="2364"/>
      <c r="BG77" s="2364"/>
      <c r="BH77" s="2364"/>
      <c r="BI77" s="2364"/>
      <c r="BJ77" s="2364"/>
      <c r="BK77" s="2364"/>
      <c r="BL77" s="2364"/>
      <c r="BM77" s="2364"/>
      <c r="BN77" s="2364"/>
      <c r="BO77" s="2364"/>
      <c r="BP77" s="2364"/>
      <c r="BQ77" s="2364"/>
      <c r="BR77" s="2364"/>
      <c r="BS77" s="2364"/>
      <c r="BT77" s="2364"/>
      <c r="BU77" s="2364"/>
      <c r="BV77" s="2364"/>
      <c r="BW77" s="2364"/>
      <c r="BX77" s="2364"/>
      <c r="BY77" s="2364"/>
      <c r="BZ77" s="2802"/>
      <c r="CA77" s="2802"/>
      <c r="CB77" s="2802"/>
      <c r="CC77" s="2802"/>
      <c r="CD77" s="2364"/>
      <c r="CE77" s="2364"/>
      <c r="CF77" s="2364"/>
      <c r="CG77" s="2364"/>
      <c r="CH77" s="2364"/>
      <c r="CI77" s="2364"/>
      <c r="CJ77" s="2364"/>
      <c r="CK77" s="2364"/>
      <c r="CL77" s="2364"/>
      <c r="CM77" s="2364"/>
      <c r="CN77" s="2364"/>
      <c r="CO77" s="2364"/>
      <c r="CP77" s="2364"/>
      <c r="CQ77" s="2364"/>
      <c r="CR77" s="2364"/>
      <c r="CS77" s="2364"/>
      <c r="CT77" s="2364"/>
      <c r="CU77" s="2364"/>
      <c r="CV77" s="2445" t="s">
        <v>5927</v>
      </c>
      <c r="CW77" s="2364" t="s">
        <v>2007</v>
      </c>
      <c r="CX77" s="2445"/>
      <c r="CY77" s="2511"/>
    </row>
    <row r="78" spans="2:105" ht="18" x14ac:dyDescent="0.25">
      <c r="B78" s="3036">
        <v>75</v>
      </c>
      <c r="C78" s="3037" t="s">
        <v>2982</v>
      </c>
      <c r="D78" s="3038" t="s">
        <v>5934</v>
      </c>
      <c r="E78" s="2802"/>
      <c r="F78" s="2802">
        <v>1</v>
      </c>
      <c r="G78" s="2802"/>
      <c r="H78" s="2802"/>
      <c r="I78" s="2802"/>
      <c r="J78" s="2802">
        <v>-1</v>
      </c>
      <c r="K78" s="2802"/>
      <c r="L78" s="2802"/>
      <c r="M78" s="2802"/>
      <c r="N78" s="2802"/>
      <c r="O78" s="2802"/>
      <c r="P78" s="2802"/>
      <c r="Q78" s="2802"/>
      <c r="R78" s="2802"/>
      <c r="S78" s="2802"/>
      <c r="T78" s="2802"/>
      <c r="U78" s="2802"/>
      <c r="V78" s="2802"/>
      <c r="W78" s="2802"/>
      <c r="X78" s="2802"/>
      <c r="Y78" s="2802"/>
      <c r="Z78" s="2802"/>
      <c r="AA78" s="2802"/>
      <c r="AB78" s="2802"/>
      <c r="AC78" s="2802"/>
      <c r="AD78" s="2802"/>
      <c r="AE78" s="2802"/>
      <c r="AF78" s="2802"/>
      <c r="AG78" s="2802"/>
      <c r="AH78" s="3032" t="s">
        <v>5921</v>
      </c>
      <c r="AI78" s="3032"/>
      <c r="AJ78" s="3032" t="s">
        <v>5922</v>
      </c>
      <c r="AK78" s="2802"/>
      <c r="AL78" s="2802"/>
      <c r="AM78" s="2802"/>
      <c r="AN78" s="3032" t="s">
        <v>5923</v>
      </c>
      <c r="AO78" s="3032"/>
      <c r="AP78" s="3032" t="s">
        <v>5924</v>
      </c>
      <c r="AQ78" s="2802"/>
      <c r="AR78" s="2802"/>
      <c r="AS78" s="2802"/>
      <c r="AT78" s="2802"/>
      <c r="AU78" s="2802" t="s">
        <v>5925</v>
      </c>
      <c r="AV78" s="2802" t="s">
        <v>2455</v>
      </c>
      <c r="AW78" s="2802" t="s">
        <v>4183</v>
      </c>
      <c r="AX78" s="2802" t="s">
        <v>4184</v>
      </c>
      <c r="AY78" s="2802" t="s">
        <v>4185</v>
      </c>
      <c r="AZ78" s="2802" t="s">
        <v>4186</v>
      </c>
      <c r="BA78" s="2802"/>
      <c r="BB78" s="2802"/>
      <c r="BC78" s="2364"/>
      <c r="BD78" s="2802"/>
      <c r="BE78" s="2802"/>
      <c r="BF78" s="2802"/>
      <c r="BG78" s="2802"/>
      <c r="BH78" s="2802"/>
      <c r="BI78" s="2802"/>
      <c r="BJ78" s="2802"/>
      <c r="BK78" s="2802"/>
      <c r="BL78" s="2802"/>
      <c r="BM78" s="2802"/>
      <c r="BN78" s="2802"/>
      <c r="BO78" s="2802"/>
      <c r="BP78" s="2802"/>
      <c r="BQ78" s="2802"/>
      <c r="BR78" s="2802"/>
      <c r="BS78" s="2802"/>
      <c r="BT78" s="2802"/>
      <c r="BU78" s="2802"/>
      <c r="BV78" s="2802"/>
      <c r="BW78" s="2802"/>
      <c r="BX78" s="2802"/>
      <c r="BY78" s="2802"/>
      <c r="BZ78" s="2802"/>
      <c r="CA78" s="2802"/>
      <c r="CB78" s="2802"/>
      <c r="CC78" s="2802"/>
      <c r="CD78" s="2802"/>
      <c r="CE78" s="2802"/>
      <c r="CF78" s="2802"/>
      <c r="CG78" s="2802"/>
      <c r="CH78" s="2802"/>
      <c r="CI78" s="2802"/>
      <c r="CJ78" s="2802"/>
      <c r="CK78" s="2802"/>
      <c r="CL78" s="2802"/>
      <c r="CM78" s="2802"/>
      <c r="CN78" s="2802"/>
      <c r="CO78" s="3040"/>
      <c r="CP78" s="3040"/>
      <c r="CQ78" s="3040"/>
      <c r="CR78" s="3040"/>
      <c r="CS78" s="3040"/>
      <c r="CT78" s="3040"/>
      <c r="CU78" s="3040"/>
      <c r="CV78" s="2853" t="s">
        <v>5926</v>
      </c>
      <c r="CW78" s="3039" t="s">
        <v>2007</v>
      </c>
      <c r="CX78" s="3038"/>
      <c r="CY78" s="2853"/>
    </row>
    <row r="79" spans="2:105" ht="18" x14ac:dyDescent="0.25">
      <c r="B79" s="2510">
        <v>76</v>
      </c>
      <c r="C79" s="2444" t="s">
        <v>2983</v>
      </c>
      <c r="D79" s="2445" t="s">
        <v>5935</v>
      </c>
      <c r="E79" s="2364"/>
      <c r="F79" s="2364"/>
      <c r="G79" s="2364"/>
      <c r="H79" s="2364"/>
      <c r="I79" s="2364"/>
      <c r="J79" s="2802"/>
      <c r="K79" s="2364"/>
      <c r="L79" s="2364"/>
      <c r="M79" s="2364"/>
      <c r="N79" s="2364"/>
      <c r="O79" s="2364"/>
      <c r="P79" s="2364"/>
      <c r="Q79" s="2364"/>
      <c r="R79" s="2364"/>
      <c r="S79" s="2364"/>
      <c r="T79" s="2364"/>
      <c r="U79" s="2364"/>
      <c r="V79" s="2364"/>
      <c r="W79" s="2364"/>
      <c r="X79" s="2364"/>
      <c r="Y79" s="2364"/>
      <c r="Z79" s="2364"/>
      <c r="AA79" s="2364"/>
      <c r="AB79" s="2364"/>
      <c r="AC79" s="2364"/>
      <c r="AD79" s="2364">
        <v>1</v>
      </c>
      <c r="AE79" s="2364"/>
      <c r="AF79" s="2364"/>
      <c r="AG79" s="2364"/>
      <c r="AH79" s="2364">
        <v>-1</v>
      </c>
      <c r="AI79" s="2364"/>
      <c r="AJ79" s="2802"/>
      <c r="AK79" s="2364"/>
      <c r="AL79" s="2364"/>
      <c r="AM79" s="2364"/>
      <c r="AN79" s="2364"/>
      <c r="AO79" s="2364"/>
      <c r="AP79" s="2802"/>
      <c r="AQ79" s="2364"/>
      <c r="AR79" s="2364"/>
      <c r="AS79" s="2364"/>
      <c r="AT79" s="2364"/>
      <c r="AU79" s="2364"/>
      <c r="AV79" s="2364"/>
      <c r="AW79" s="2364"/>
      <c r="AX79" s="2364"/>
      <c r="AY79" s="2364"/>
      <c r="AZ79" s="2364"/>
      <c r="BA79" s="2364"/>
      <c r="BB79" s="2364"/>
      <c r="BC79" s="2364"/>
      <c r="BD79" s="2364"/>
      <c r="BE79" s="2364"/>
      <c r="BF79" s="2364"/>
      <c r="BG79" s="2364"/>
      <c r="BH79" s="2364"/>
      <c r="BI79" s="2364"/>
      <c r="BJ79" s="2364"/>
      <c r="BK79" s="2364"/>
      <c r="BL79" s="2364"/>
      <c r="BM79" s="2364"/>
      <c r="BN79" s="2364"/>
      <c r="BO79" s="2364"/>
      <c r="BP79" s="2364"/>
      <c r="BQ79" s="2364"/>
      <c r="BR79" s="2364"/>
      <c r="BS79" s="2364"/>
      <c r="BT79" s="2364"/>
      <c r="BU79" s="2364"/>
      <c r="BV79" s="2364"/>
      <c r="BW79" s="2364"/>
      <c r="BX79" s="2364"/>
      <c r="BY79" s="2364"/>
      <c r="BZ79" s="2802"/>
      <c r="CA79" s="2802"/>
      <c r="CB79" s="2802"/>
      <c r="CC79" s="2802"/>
      <c r="CD79" s="2364"/>
      <c r="CE79" s="2364"/>
      <c r="CF79" s="2364"/>
      <c r="CG79" s="2364"/>
      <c r="CH79" s="2364"/>
      <c r="CI79" s="2364"/>
      <c r="CJ79" s="2364"/>
      <c r="CK79" s="2364"/>
      <c r="CL79" s="2364"/>
      <c r="CM79" s="2364"/>
      <c r="CN79" s="2364"/>
      <c r="CO79" s="2364"/>
      <c r="CP79" s="2364"/>
      <c r="CQ79" s="2364"/>
      <c r="CR79" s="2364"/>
      <c r="CS79" s="2364"/>
      <c r="CT79" s="2364"/>
      <c r="CU79" s="2364"/>
      <c r="CV79" s="2445" t="s">
        <v>5313</v>
      </c>
      <c r="CW79" s="2364" t="s">
        <v>2007</v>
      </c>
      <c r="CX79" s="2445"/>
      <c r="CY79" s="2511"/>
    </row>
    <row r="80" spans="2:105" ht="18" x14ac:dyDescent="0.25">
      <c r="B80" s="2510">
        <v>77</v>
      </c>
      <c r="C80" s="2444" t="s">
        <v>2984</v>
      </c>
      <c r="D80" s="2445" t="s">
        <v>1685</v>
      </c>
      <c r="E80" s="2364"/>
      <c r="F80" s="2364"/>
      <c r="G80" s="2364"/>
      <c r="H80" s="2364"/>
      <c r="I80" s="2364"/>
      <c r="J80" s="2802"/>
      <c r="K80" s="2364"/>
      <c r="L80" s="2364"/>
      <c r="M80" s="2364"/>
      <c r="N80" s="2364"/>
      <c r="O80" s="2364"/>
      <c r="P80" s="2364"/>
      <c r="Q80" s="2364"/>
      <c r="R80" s="2364"/>
      <c r="S80" s="2364"/>
      <c r="T80" s="2364"/>
      <c r="U80" s="2364"/>
      <c r="V80" s="2364"/>
      <c r="W80" s="2364"/>
      <c r="X80" s="2364"/>
      <c r="Y80" s="2364"/>
      <c r="Z80" s="2364"/>
      <c r="AA80" s="2364"/>
      <c r="AB80" s="2364"/>
      <c r="AC80" s="2364"/>
      <c r="AD80" s="2364"/>
      <c r="AE80" s="2364"/>
      <c r="AF80" s="2364"/>
      <c r="AG80" s="2364"/>
      <c r="AH80" s="2364"/>
      <c r="AI80" s="2364"/>
      <c r="AJ80" s="2802"/>
      <c r="AK80" s="2364"/>
      <c r="AL80" s="2364">
        <v>1</v>
      </c>
      <c r="AM80" s="2364"/>
      <c r="AN80" s="2364">
        <v>-1</v>
      </c>
      <c r="AO80" s="2364"/>
      <c r="AP80" s="2802"/>
      <c r="AQ80" s="2364"/>
      <c r="AR80" s="2364"/>
      <c r="AS80" s="2364"/>
      <c r="AT80" s="2364"/>
      <c r="AU80" s="2364"/>
      <c r="AV80" s="2364"/>
      <c r="AW80" s="2364"/>
      <c r="AX80" s="2364"/>
      <c r="AY80" s="2364"/>
      <c r="AZ80" s="2364"/>
      <c r="BA80" s="2364"/>
      <c r="BB80" s="2364"/>
      <c r="BC80" s="2364"/>
      <c r="BD80" s="2364"/>
      <c r="BE80" s="2364"/>
      <c r="BF80" s="2364"/>
      <c r="BG80" s="2364"/>
      <c r="BH80" s="2364"/>
      <c r="BI80" s="2364"/>
      <c r="BJ80" s="2364"/>
      <c r="BK80" s="2364"/>
      <c r="BL80" s="2364"/>
      <c r="BM80" s="2364"/>
      <c r="BN80" s="2364"/>
      <c r="BO80" s="2364"/>
      <c r="BP80" s="2364"/>
      <c r="BQ80" s="2364"/>
      <c r="BR80" s="2364"/>
      <c r="BS80" s="2364"/>
      <c r="BT80" s="2364"/>
      <c r="BU80" s="2364"/>
      <c r="BV80" s="2364"/>
      <c r="BW80" s="2364"/>
      <c r="BX80" s="2364"/>
      <c r="BY80" s="2364"/>
      <c r="BZ80" s="2802"/>
      <c r="CA80" s="2802"/>
      <c r="CB80" s="2802"/>
      <c r="CC80" s="2802"/>
      <c r="CD80" s="2364"/>
      <c r="CE80" s="2364"/>
      <c r="CF80" s="2364"/>
      <c r="CG80" s="2364"/>
      <c r="CH80" s="2364"/>
      <c r="CI80" s="2364"/>
      <c r="CJ80" s="2364"/>
      <c r="CK80" s="2364"/>
      <c r="CL80" s="2364"/>
      <c r="CM80" s="2364"/>
      <c r="CN80" s="2364"/>
      <c r="CO80" s="2364"/>
      <c r="CP80" s="2364"/>
      <c r="CQ80" s="2364"/>
      <c r="CR80" s="2364"/>
      <c r="CS80" s="2364"/>
      <c r="CT80" s="2364"/>
      <c r="CU80" s="2364"/>
      <c r="CV80" s="2445" t="s">
        <v>5314</v>
      </c>
      <c r="CW80" s="2364" t="s">
        <v>2007</v>
      </c>
      <c r="CX80" s="2445"/>
      <c r="CY80" s="2511"/>
    </row>
    <row r="81" spans="2:104" ht="18" x14ac:dyDescent="0.25">
      <c r="B81" s="2510">
        <v>78</v>
      </c>
      <c r="C81" s="2444" t="s">
        <v>2985</v>
      </c>
      <c r="D81" s="2445" t="s">
        <v>5936</v>
      </c>
      <c r="E81" s="2364"/>
      <c r="F81" s="2364"/>
      <c r="G81" s="2364"/>
      <c r="H81" s="2364"/>
      <c r="I81" s="2364">
        <v>1</v>
      </c>
      <c r="J81" s="2802"/>
      <c r="K81" s="2364"/>
      <c r="L81" s="2364"/>
      <c r="M81" s="2364"/>
      <c r="N81" s="2364"/>
      <c r="O81" s="2364"/>
      <c r="P81" s="2364">
        <v>-1</v>
      </c>
      <c r="Q81" s="2364"/>
      <c r="R81" s="2364"/>
      <c r="S81" s="2364"/>
      <c r="T81" s="2364"/>
      <c r="U81" s="2364"/>
      <c r="V81" s="2364"/>
      <c r="W81" s="2364"/>
      <c r="X81" s="2364"/>
      <c r="Y81" s="2364"/>
      <c r="Z81" s="2364"/>
      <c r="AA81" s="2364"/>
      <c r="AB81" s="2364"/>
      <c r="AC81" s="2364"/>
      <c r="AD81" s="2364"/>
      <c r="AE81" s="2364"/>
      <c r="AF81" s="2364"/>
      <c r="AG81" s="2364"/>
      <c r="AH81" s="2364"/>
      <c r="AI81" s="2364" t="s">
        <v>2134</v>
      </c>
      <c r="AJ81" s="2802"/>
      <c r="AK81" s="2364"/>
      <c r="AL81" s="2364"/>
      <c r="AM81" s="2364"/>
      <c r="AN81" s="2364"/>
      <c r="AO81" s="2364" t="s">
        <v>1622</v>
      </c>
      <c r="AP81" s="2802"/>
      <c r="AQ81" s="2364"/>
      <c r="AR81" s="2364"/>
      <c r="AS81" s="2364"/>
      <c r="AT81" s="2364"/>
      <c r="AU81" s="2364" t="s">
        <v>1980</v>
      </c>
      <c r="AV81" s="2364"/>
      <c r="AW81" s="2364"/>
      <c r="AX81" s="2364"/>
      <c r="AY81" s="2364"/>
      <c r="AZ81" s="2364"/>
      <c r="BA81" s="2364"/>
      <c r="BB81" s="2364"/>
      <c r="BC81" s="2447" t="s">
        <v>3596</v>
      </c>
      <c r="BD81" s="2364"/>
      <c r="BE81" s="2364"/>
      <c r="BF81" s="2364"/>
      <c r="BG81" s="2364"/>
      <c r="BH81" s="2364"/>
      <c r="BI81" s="2364"/>
      <c r="BJ81" s="2364"/>
      <c r="BK81" s="2364"/>
      <c r="BL81" s="2364"/>
      <c r="BM81" s="2364"/>
      <c r="BN81" s="2364"/>
      <c r="BO81" s="2364"/>
      <c r="BP81" s="2364"/>
      <c r="BQ81" s="2364"/>
      <c r="BR81" s="2364"/>
      <c r="BS81" s="2364"/>
      <c r="BT81" s="2364"/>
      <c r="BU81" s="2364"/>
      <c r="BV81" s="2364"/>
      <c r="BW81" s="2364"/>
      <c r="BX81" s="2364"/>
      <c r="BY81" s="2364"/>
      <c r="BZ81" s="2802"/>
      <c r="CA81" s="2802"/>
      <c r="CB81" s="2802"/>
      <c r="CC81" s="2802"/>
      <c r="CD81" s="2364"/>
      <c r="CE81" s="2364"/>
      <c r="CF81" s="2364"/>
      <c r="CG81" s="2364"/>
      <c r="CH81" s="2364"/>
      <c r="CI81" s="2364"/>
      <c r="CJ81" s="2364"/>
      <c r="CK81" s="2364"/>
      <c r="CL81" s="2364"/>
      <c r="CM81" s="2364"/>
      <c r="CN81" s="2364"/>
      <c r="CO81" s="2364"/>
      <c r="CP81" s="2364"/>
      <c r="CQ81" s="2364"/>
      <c r="CR81" s="2364"/>
      <c r="CS81" s="2364"/>
      <c r="CT81" s="2364"/>
      <c r="CU81" s="2364"/>
      <c r="CV81" s="2445" t="s">
        <v>1729</v>
      </c>
      <c r="CW81" s="2364" t="s">
        <v>2007</v>
      </c>
      <c r="CX81" s="2445"/>
      <c r="CY81" s="2511"/>
    </row>
    <row r="82" spans="2:104" ht="18" x14ac:dyDescent="0.25">
      <c r="B82" s="2510">
        <v>79</v>
      </c>
      <c r="C82" s="2444" t="s">
        <v>2986</v>
      </c>
      <c r="D82" s="2445" t="s">
        <v>5937</v>
      </c>
      <c r="E82" s="2364"/>
      <c r="F82" s="2364">
        <v>1</v>
      </c>
      <c r="G82" s="2364"/>
      <c r="H82" s="2364"/>
      <c r="I82" s="2364"/>
      <c r="J82" s="2802"/>
      <c r="K82" s="2364"/>
      <c r="L82" s="2364"/>
      <c r="M82" s="2364"/>
      <c r="N82" s="2364"/>
      <c r="O82" s="2364"/>
      <c r="P82" s="2364"/>
      <c r="Q82" s="2364">
        <v>-1</v>
      </c>
      <c r="R82" s="2364"/>
      <c r="S82" s="2364"/>
      <c r="T82" s="2364"/>
      <c r="U82" s="2364"/>
      <c r="V82" s="2364"/>
      <c r="W82" s="2364"/>
      <c r="X82" s="2364"/>
      <c r="Y82" s="2364"/>
      <c r="Z82" s="2364"/>
      <c r="AA82" s="2364"/>
      <c r="AB82" s="2364"/>
      <c r="AC82" s="2364"/>
      <c r="AD82" s="2364"/>
      <c r="AE82" s="2364"/>
      <c r="AF82" s="2364"/>
      <c r="AG82" s="2364"/>
      <c r="AH82" s="2364"/>
      <c r="AI82" s="2364" t="s">
        <v>2134</v>
      </c>
      <c r="AJ82" s="2802"/>
      <c r="AK82" s="2364"/>
      <c r="AL82" s="2364"/>
      <c r="AM82" s="2364"/>
      <c r="AN82" s="2364"/>
      <c r="AO82" s="2364" t="s">
        <v>1622</v>
      </c>
      <c r="AP82" s="2802"/>
      <c r="AQ82" s="2364"/>
      <c r="AR82" s="2364"/>
      <c r="AS82" s="2364"/>
      <c r="AT82" s="2364"/>
      <c r="AU82" s="2364" t="s">
        <v>1980</v>
      </c>
      <c r="AV82" s="2364"/>
      <c r="AW82" s="2364"/>
      <c r="AX82" s="2364"/>
      <c r="AY82" s="2364"/>
      <c r="AZ82" s="2364"/>
      <c r="BA82" s="2364"/>
      <c r="BB82" s="2364"/>
      <c r="BC82" s="2447" t="s">
        <v>3597</v>
      </c>
      <c r="BD82" s="2364"/>
      <c r="BE82" s="2364"/>
      <c r="BF82" s="2364"/>
      <c r="BG82" s="2364"/>
      <c r="BH82" s="2364"/>
      <c r="BI82" s="2364"/>
      <c r="BJ82" s="2364"/>
      <c r="BK82" s="2364"/>
      <c r="BL82" s="2364"/>
      <c r="BM82" s="2364"/>
      <c r="BN82" s="2364"/>
      <c r="BO82" s="2364"/>
      <c r="BP82" s="2364"/>
      <c r="BQ82" s="2364"/>
      <c r="BR82" s="2364"/>
      <c r="BS82" s="2364"/>
      <c r="BT82" s="2364"/>
      <c r="BU82" s="2364"/>
      <c r="BV82" s="2364"/>
      <c r="BW82" s="2364"/>
      <c r="BX82" s="2364"/>
      <c r="BY82" s="2364"/>
      <c r="BZ82" s="2802"/>
      <c r="CA82" s="2802"/>
      <c r="CB82" s="2802"/>
      <c r="CC82" s="2802"/>
      <c r="CD82" s="2364"/>
      <c r="CE82" s="2364"/>
      <c r="CF82" s="2364"/>
      <c r="CG82" s="2364"/>
      <c r="CH82" s="2364"/>
      <c r="CI82" s="2364"/>
      <c r="CJ82" s="2364"/>
      <c r="CK82" s="2364"/>
      <c r="CL82" s="2364"/>
      <c r="CM82" s="2364"/>
      <c r="CN82" s="2364"/>
      <c r="CO82" s="2364"/>
      <c r="CP82" s="2364"/>
      <c r="CQ82" s="2364"/>
      <c r="CR82" s="2364"/>
      <c r="CS82" s="2364"/>
      <c r="CT82" s="2364"/>
      <c r="CU82" s="2364"/>
      <c r="CV82" s="2445" t="s">
        <v>5928</v>
      </c>
      <c r="CW82" s="2364" t="s">
        <v>2007</v>
      </c>
      <c r="CX82" s="2445"/>
      <c r="CY82" s="2511"/>
    </row>
    <row r="83" spans="2:104" ht="18" x14ac:dyDescent="0.25">
      <c r="B83" s="2510">
        <v>80</v>
      </c>
      <c r="C83" s="2444" t="s">
        <v>2987</v>
      </c>
      <c r="D83" s="2445" t="s">
        <v>5938</v>
      </c>
      <c r="E83" s="2364"/>
      <c r="F83" s="2364"/>
      <c r="G83" s="2364"/>
      <c r="H83" s="2364"/>
      <c r="I83" s="2364">
        <v>1</v>
      </c>
      <c r="J83" s="2802"/>
      <c r="K83" s="2364"/>
      <c r="L83" s="2364"/>
      <c r="M83" s="2364">
        <v>-1</v>
      </c>
      <c r="N83" s="2364"/>
      <c r="O83" s="2364"/>
      <c r="P83" s="2364"/>
      <c r="Q83" s="2364"/>
      <c r="R83" s="2364"/>
      <c r="S83" s="2364"/>
      <c r="T83" s="2364"/>
      <c r="U83" s="2364"/>
      <c r="V83" s="2364"/>
      <c r="W83" s="2364"/>
      <c r="X83" s="2364"/>
      <c r="Y83" s="2364"/>
      <c r="Z83" s="2364"/>
      <c r="AA83" s="2364"/>
      <c r="AB83" s="2364"/>
      <c r="AC83" s="2364"/>
      <c r="AD83" s="2364"/>
      <c r="AE83" s="2364"/>
      <c r="AF83" s="2364"/>
      <c r="AG83" s="2364"/>
      <c r="AH83" s="2364"/>
      <c r="AI83" s="2447" t="s">
        <v>5168</v>
      </c>
      <c r="AJ83" s="3032"/>
      <c r="AK83" s="2447" t="s">
        <v>5169</v>
      </c>
      <c r="AL83" s="2364"/>
      <c r="AM83" s="2364"/>
      <c r="AN83" s="2364"/>
      <c r="AO83" s="2447" t="s">
        <v>5170</v>
      </c>
      <c r="AP83" s="3032"/>
      <c r="AQ83" s="2447" t="s">
        <v>5171</v>
      </c>
      <c r="AR83" s="2364"/>
      <c r="AS83" s="2364"/>
      <c r="AT83" s="2364"/>
      <c r="AU83" s="2364"/>
      <c r="AV83" s="2364"/>
      <c r="AW83" s="2364"/>
      <c r="AX83" s="2364"/>
      <c r="AY83" s="2364"/>
      <c r="AZ83" s="2364"/>
      <c r="BA83" s="2364"/>
      <c r="BB83" s="2364"/>
      <c r="BC83" s="2364" t="s">
        <v>5179</v>
      </c>
      <c r="BD83" s="2364"/>
      <c r="BE83" s="2364"/>
      <c r="BF83" s="2364"/>
      <c r="BG83" s="2364"/>
      <c r="BH83" s="2364"/>
      <c r="BI83" s="2364"/>
      <c r="BJ83" s="2364"/>
      <c r="BK83" s="2364"/>
      <c r="BL83" s="2364"/>
      <c r="BM83" s="2364"/>
      <c r="BN83" s="2364"/>
      <c r="BO83" s="2364"/>
      <c r="BP83" s="2364"/>
      <c r="BQ83" s="2364"/>
      <c r="BR83" s="2364"/>
      <c r="BS83" s="2364"/>
      <c r="BT83" s="2364"/>
      <c r="BU83" s="2364"/>
      <c r="BV83" s="2364"/>
      <c r="BW83" s="2364"/>
      <c r="BX83" s="2364"/>
      <c r="BY83" s="2364"/>
      <c r="BZ83" s="2802"/>
      <c r="CA83" s="2802"/>
      <c r="CB83" s="2802"/>
      <c r="CC83" s="2802"/>
      <c r="CD83" s="2364"/>
      <c r="CE83" s="2364"/>
      <c r="CF83" s="2364"/>
      <c r="CG83" s="2364"/>
      <c r="CH83" s="2364"/>
      <c r="CI83" s="2364"/>
      <c r="CJ83" s="2364"/>
      <c r="CK83" s="2364"/>
      <c r="CL83" s="2364"/>
      <c r="CM83" s="2364"/>
      <c r="CN83" s="2364"/>
      <c r="CO83" s="2364"/>
      <c r="CP83" s="2364"/>
      <c r="CQ83" s="2364"/>
      <c r="CR83" s="2364"/>
      <c r="CS83" s="2364"/>
      <c r="CT83" s="2364"/>
      <c r="CU83" s="2364"/>
      <c r="CV83" s="2445" t="s">
        <v>5189</v>
      </c>
      <c r="CW83" s="2364" t="s">
        <v>2007</v>
      </c>
      <c r="CX83" s="2445"/>
      <c r="CY83" s="2511"/>
    </row>
    <row r="84" spans="2:104" ht="18" x14ac:dyDescent="0.25">
      <c r="B84" s="2510">
        <v>81</v>
      </c>
      <c r="C84" s="2444" t="s">
        <v>2988</v>
      </c>
      <c r="D84" s="2445" t="s">
        <v>292</v>
      </c>
      <c r="E84" s="2448" t="s">
        <v>1372</v>
      </c>
      <c r="F84" s="2364"/>
      <c r="G84" s="2364">
        <v>-1</v>
      </c>
      <c r="H84" s="2364"/>
      <c r="I84" s="2364"/>
      <c r="J84" s="2802"/>
      <c r="K84" s="2364"/>
      <c r="L84" s="2364"/>
      <c r="M84" s="2364"/>
      <c r="N84" s="2364"/>
      <c r="O84" s="2364"/>
      <c r="P84" s="2364"/>
      <c r="Q84" s="2364"/>
      <c r="R84" s="2364"/>
      <c r="S84" s="2364"/>
      <c r="T84" s="2364"/>
      <c r="U84" s="2364"/>
      <c r="V84" s="2364"/>
      <c r="W84" s="2364"/>
      <c r="X84" s="2364"/>
      <c r="Y84" s="2364"/>
      <c r="Z84" s="2364"/>
      <c r="AA84" s="2364"/>
      <c r="AB84" s="2364"/>
      <c r="AC84" s="2364"/>
      <c r="AD84" s="2364"/>
      <c r="AE84" s="2364"/>
      <c r="AF84" s="2364"/>
      <c r="AG84" s="2364"/>
      <c r="AH84" s="2364"/>
      <c r="AI84" s="2364"/>
      <c r="AJ84" s="2802"/>
      <c r="AK84" s="2364"/>
      <c r="AL84" s="2364"/>
      <c r="AM84" s="2364"/>
      <c r="AN84" s="2364"/>
      <c r="AO84" s="2364"/>
      <c r="AP84" s="2802"/>
      <c r="AQ84" s="2364"/>
      <c r="AR84" s="2364"/>
      <c r="AS84" s="2364"/>
      <c r="AT84" s="2447" t="s">
        <v>1373</v>
      </c>
      <c r="AU84" s="2364" t="s">
        <v>1969</v>
      </c>
      <c r="AV84" s="2364"/>
      <c r="AW84" s="2364"/>
      <c r="AX84" s="2364"/>
      <c r="AY84" s="2364"/>
      <c r="AZ84" s="2364"/>
      <c r="BA84" s="2364"/>
      <c r="BB84" s="2364"/>
      <c r="BC84" s="2364"/>
      <c r="BD84" s="2364"/>
      <c r="BE84" s="2364"/>
      <c r="BF84" s="2364"/>
      <c r="BG84" s="2364"/>
      <c r="BH84" s="2364"/>
      <c r="BI84" s="2364"/>
      <c r="BJ84" s="2364"/>
      <c r="BK84" s="2364"/>
      <c r="BL84" s="2364"/>
      <c r="BM84" s="2364"/>
      <c r="BN84" s="2364"/>
      <c r="BO84" s="2364"/>
      <c r="BP84" s="2364"/>
      <c r="BQ84" s="2364"/>
      <c r="BR84" s="2364"/>
      <c r="BS84" s="2364"/>
      <c r="BT84" s="2364"/>
      <c r="BU84" s="2364"/>
      <c r="BV84" s="2364"/>
      <c r="BW84" s="2364"/>
      <c r="BX84" s="2364"/>
      <c r="BY84" s="2364"/>
      <c r="BZ84" s="2802"/>
      <c r="CA84" s="2802"/>
      <c r="CB84" s="2802"/>
      <c r="CC84" s="2802"/>
      <c r="CD84" s="2364"/>
      <c r="CE84" s="2364"/>
      <c r="CF84" s="2364"/>
      <c r="CG84" s="2364"/>
      <c r="CH84" s="2364"/>
      <c r="CI84" s="2364"/>
      <c r="CJ84" s="2364"/>
      <c r="CK84" s="2364"/>
      <c r="CL84" s="2364"/>
      <c r="CM84" s="2364"/>
      <c r="CN84" s="2364"/>
      <c r="CO84" s="2364"/>
      <c r="CP84" s="2364"/>
      <c r="CQ84" s="2364"/>
      <c r="CR84" s="2364"/>
      <c r="CS84" s="2364"/>
      <c r="CT84" s="2364"/>
      <c r="CU84" s="2364"/>
      <c r="CV84" s="2445" t="s">
        <v>2426</v>
      </c>
      <c r="CW84" s="2364" t="s">
        <v>2007</v>
      </c>
      <c r="CX84" s="2445" t="s">
        <v>295</v>
      </c>
      <c r="CY84" s="2511"/>
    </row>
    <row r="85" spans="2:104" ht="18" x14ac:dyDescent="0.25">
      <c r="B85" s="2510">
        <v>82</v>
      </c>
      <c r="C85" s="2444" t="s">
        <v>2989</v>
      </c>
      <c r="D85" s="2445" t="s">
        <v>2321</v>
      </c>
      <c r="E85" s="2364"/>
      <c r="F85" s="2364"/>
      <c r="G85" s="2364"/>
      <c r="H85" s="2364"/>
      <c r="I85" s="2364"/>
      <c r="J85" s="2802"/>
      <c r="K85" s="2364"/>
      <c r="L85" s="2364"/>
      <c r="M85" s="2364"/>
      <c r="N85" s="2364"/>
      <c r="O85" s="2364"/>
      <c r="P85" s="2364"/>
      <c r="Q85" s="2364"/>
      <c r="R85" s="2447" t="s">
        <v>5316</v>
      </c>
      <c r="S85" s="2447" t="s">
        <v>5317</v>
      </c>
      <c r="T85" s="2447" t="s">
        <v>5318</v>
      </c>
      <c r="U85" s="2447" t="s">
        <v>5319</v>
      </c>
      <c r="V85" s="2447" t="s">
        <v>5320</v>
      </c>
      <c r="W85" s="2447" t="s">
        <v>5321</v>
      </c>
      <c r="X85" s="2447" t="s">
        <v>5322</v>
      </c>
      <c r="Y85" s="2447" t="s">
        <v>5323</v>
      </c>
      <c r="Z85" s="2447" t="s">
        <v>5336</v>
      </c>
      <c r="AA85" s="2447" t="s">
        <v>5338</v>
      </c>
      <c r="AB85" s="2447" t="s">
        <v>5340</v>
      </c>
      <c r="AC85" s="2447" t="s">
        <v>5324</v>
      </c>
      <c r="AD85" s="2364" t="s">
        <v>5325</v>
      </c>
      <c r="AE85" s="2364">
        <v>-1</v>
      </c>
      <c r="AF85" s="2364"/>
      <c r="AG85" s="2364"/>
      <c r="AH85" s="2364"/>
      <c r="AI85" s="2364"/>
      <c r="AJ85" s="2802"/>
      <c r="AK85" s="2364"/>
      <c r="AL85" s="2364" t="s">
        <v>5342</v>
      </c>
      <c r="AM85" s="2364"/>
      <c r="AN85" s="2364"/>
      <c r="AO85" s="2364"/>
      <c r="AP85" s="2802"/>
      <c r="AQ85" s="2364"/>
      <c r="AR85" s="2364"/>
      <c r="AS85" s="2364"/>
      <c r="AT85" s="2364"/>
      <c r="AU85" s="2364" t="s">
        <v>5344</v>
      </c>
      <c r="AV85" s="2364"/>
      <c r="AW85" s="2364"/>
      <c r="AX85" s="2364"/>
      <c r="AY85" s="2364"/>
      <c r="AZ85" s="2364"/>
      <c r="BA85" s="2364"/>
      <c r="BB85" s="2364"/>
      <c r="BC85" s="2364" t="s">
        <v>5346</v>
      </c>
      <c r="BD85" s="2364"/>
      <c r="BE85" s="2364"/>
      <c r="BF85" s="2364"/>
      <c r="BG85" s="2364"/>
      <c r="BH85" s="2364"/>
      <c r="BI85" s="2364"/>
      <c r="BJ85" s="2364"/>
      <c r="BK85" s="2364"/>
      <c r="BL85" s="2364"/>
      <c r="BM85" s="2364"/>
      <c r="BN85" s="2364"/>
      <c r="BO85" s="2364"/>
      <c r="BP85" s="2364"/>
      <c r="BQ85" s="2364"/>
      <c r="BR85" s="2364"/>
      <c r="BS85" s="2364"/>
      <c r="BT85" s="2364"/>
      <c r="BU85" s="2364"/>
      <c r="BV85" s="2364"/>
      <c r="BW85" s="2364"/>
      <c r="BX85" s="2364"/>
      <c r="BY85" s="2364"/>
      <c r="BZ85" s="2802"/>
      <c r="CA85" s="2802"/>
      <c r="CB85" s="2802"/>
      <c r="CC85" s="2802"/>
      <c r="CD85" s="2364"/>
      <c r="CE85" s="2364"/>
      <c r="CF85" s="2364"/>
      <c r="CG85" s="2364"/>
      <c r="CH85" s="2364"/>
      <c r="CI85" s="2364"/>
      <c r="CJ85" s="2364"/>
      <c r="CK85" s="2364"/>
      <c r="CL85" s="2364"/>
      <c r="CM85" s="2364"/>
      <c r="CN85" s="2364"/>
      <c r="CO85" s="2364"/>
      <c r="CP85" s="2364"/>
      <c r="CQ85" s="2364"/>
      <c r="CR85" s="2364"/>
      <c r="CS85" s="2364"/>
      <c r="CT85" s="2364"/>
      <c r="CU85" s="2364"/>
      <c r="CV85" s="2445" t="s">
        <v>5348</v>
      </c>
      <c r="CW85" s="2364" t="s">
        <v>2007</v>
      </c>
      <c r="CX85" s="2445"/>
      <c r="CY85" s="2511"/>
    </row>
    <row r="86" spans="2:104" ht="18" x14ac:dyDescent="0.25">
      <c r="B86" s="2510">
        <v>83</v>
      </c>
      <c r="C86" s="2444" t="s">
        <v>2990</v>
      </c>
      <c r="D86" s="2445" t="s">
        <v>1686</v>
      </c>
      <c r="E86" s="2364"/>
      <c r="F86" s="2364"/>
      <c r="G86" s="2364"/>
      <c r="H86" s="2364"/>
      <c r="I86" s="2364"/>
      <c r="J86" s="2802"/>
      <c r="K86" s="2364"/>
      <c r="L86" s="2364"/>
      <c r="M86" s="2364"/>
      <c r="N86" s="2364"/>
      <c r="O86" s="2364"/>
      <c r="P86" s="2364"/>
      <c r="Q86" s="2364"/>
      <c r="R86" s="2447" t="s">
        <v>5326</v>
      </c>
      <c r="S86" s="2447" t="s">
        <v>5327</v>
      </c>
      <c r="T86" s="2447" t="s">
        <v>5328</v>
      </c>
      <c r="U86" s="2447" t="s">
        <v>5329</v>
      </c>
      <c r="V86" s="2447" t="s">
        <v>5330</v>
      </c>
      <c r="W86" s="2447" t="s">
        <v>5331</v>
      </c>
      <c r="X86" s="2447" t="s">
        <v>5332</v>
      </c>
      <c r="Y86" s="2447" t="s">
        <v>5333</v>
      </c>
      <c r="Z86" s="2447" t="s">
        <v>5337</v>
      </c>
      <c r="AA86" s="2447" t="s">
        <v>5339</v>
      </c>
      <c r="AB86" s="2447" t="s">
        <v>5341</v>
      </c>
      <c r="AC86" s="2447" t="s">
        <v>5334</v>
      </c>
      <c r="AD86" s="2364" t="s">
        <v>5335</v>
      </c>
      <c r="AE86" s="2364"/>
      <c r="AF86" s="2364">
        <v>-1</v>
      </c>
      <c r="AG86" s="2364"/>
      <c r="AH86" s="2364"/>
      <c r="AI86" s="2364"/>
      <c r="AJ86" s="2802"/>
      <c r="AK86" s="2364"/>
      <c r="AL86" s="2364" t="s">
        <v>5343</v>
      </c>
      <c r="AM86" s="2364"/>
      <c r="AN86" s="2364"/>
      <c r="AO86" s="2364"/>
      <c r="AP86" s="2802"/>
      <c r="AQ86" s="2364"/>
      <c r="AR86" s="2364"/>
      <c r="AS86" s="2364"/>
      <c r="AT86" s="2364"/>
      <c r="AU86" s="2364" t="s">
        <v>5345</v>
      </c>
      <c r="AV86" s="2364"/>
      <c r="AW86" s="2364"/>
      <c r="AX86" s="2364"/>
      <c r="AY86" s="2364"/>
      <c r="AZ86" s="2364"/>
      <c r="BA86" s="2364"/>
      <c r="BB86" s="2364"/>
      <c r="BC86" s="2364" t="s">
        <v>5347</v>
      </c>
      <c r="BD86" s="2364"/>
      <c r="BE86" s="2364"/>
      <c r="BF86" s="2364"/>
      <c r="BG86" s="2364"/>
      <c r="BH86" s="2364"/>
      <c r="BI86" s="2364"/>
      <c r="BJ86" s="2364"/>
      <c r="BK86" s="2364"/>
      <c r="BL86" s="2364"/>
      <c r="BM86" s="2364"/>
      <c r="BN86" s="2364"/>
      <c r="BO86" s="2364"/>
      <c r="BP86" s="2364"/>
      <c r="BQ86" s="2364"/>
      <c r="BR86" s="2364"/>
      <c r="BS86" s="2364"/>
      <c r="BT86" s="2364"/>
      <c r="BU86" s="2364"/>
      <c r="BV86" s="2364"/>
      <c r="BW86" s="2364"/>
      <c r="BX86" s="2364"/>
      <c r="BY86" s="2364"/>
      <c r="BZ86" s="2802"/>
      <c r="CA86" s="2802"/>
      <c r="CB86" s="2802"/>
      <c r="CC86" s="2802"/>
      <c r="CD86" s="2364"/>
      <c r="CE86" s="2364"/>
      <c r="CF86" s="2364"/>
      <c r="CG86" s="2364"/>
      <c r="CH86" s="2364"/>
      <c r="CI86" s="2364"/>
      <c r="CJ86" s="2364"/>
      <c r="CK86" s="2364"/>
      <c r="CL86" s="2364"/>
      <c r="CM86" s="2364"/>
      <c r="CN86" s="2364"/>
      <c r="CO86" s="2364"/>
      <c r="CP86" s="2364"/>
      <c r="CQ86" s="2364"/>
      <c r="CR86" s="2364"/>
      <c r="CS86" s="2364"/>
      <c r="CT86" s="2364"/>
      <c r="CU86" s="2364"/>
      <c r="CV86" s="2445" t="s">
        <v>5349</v>
      </c>
      <c r="CW86" s="2364" t="s">
        <v>2007</v>
      </c>
      <c r="CX86" s="2445"/>
      <c r="CY86" s="2511"/>
    </row>
    <row r="87" spans="2:104" ht="18" x14ac:dyDescent="0.25">
      <c r="B87" s="2505">
        <v>84</v>
      </c>
      <c r="C87" s="2429" t="s">
        <v>2991</v>
      </c>
      <c r="D87" s="2430" t="s">
        <v>3277</v>
      </c>
      <c r="E87" s="2360"/>
      <c r="F87" s="2360"/>
      <c r="G87" s="2360"/>
      <c r="H87" s="2360"/>
      <c r="I87" s="2360"/>
      <c r="J87" s="2798"/>
      <c r="K87" s="2360"/>
      <c r="L87" s="2360"/>
      <c r="M87" s="2360"/>
      <c r="N87" s="2360"/>
      <c r="O87" s="2360"/>
      <c r="P87" s="2360"/>
      <c r="Q87" s="2360"/>
      <c r="R87" s="2432"/>
      <c r="S87" s="2360"/>
      <c r="T87" s="2360"/>
      <c r="U87" s="2360"/>
      <c r="V87" s="2360"/>
      <c r="W87" s="2360"/>
      <c r="X87" s="2360"/>
      <c r="Y87" s="2360"/>
      <c r="Z87" s="2360"/>
      <c r="AA87" s="2360"/>
      <c r="AB87" s="2360"/>
      <c r="AC87" s="2360"/>
      <c r="AD87" s="2360"/>
      <c r="AE87" s="2360"/>
      <c r="AF87" s="2360"/>
      <c r="AG87" s="2360"/>
      <c r="AH87" s="2360"/>
      <c r="AI87" s="2360"/>
      <c r="AJ87" s="2798"/>
      <c r="AK87" s="2360"/>
      <c r="AL87" s="2360"/>
      <c r="AM87" s="2360"/>
      <c r="AN87" s="2360"/>
      <c r="AO87" s="2360"/>
      <c r="AP87" s="2798"/>
      <c r="AQ87" s="2360"/>
      <c r="AR87" s="2432" t="s">
        <v>3278</v>
      </c>
      <c r="AS87" s="2360"/>
      <c r="AT87" s="2360"/>
      <c r="AU87" s="2360"/>
      <c r="AV87" s="2360"/>
      <c r="AW87" s="2360"/>
      <c r="AX87" s="2360"/>
      <c r="AY87" s="2360"/>
      <c r="AZ87" s="2360"/>
      <c r="BA87" s="2360"/>
      <c r="BB87" s="2360">
        <v>-1</v>
      </c>
      <c r="BC87" s="2360"/>
      <c r="BD87" s="2360">
        <v>1</v>
      </c>
      <c r="BE87" s="2360"/>
      <c r="BF87" s="2360"/>
      <c r="BG87" s="2360"/>
      <c r="BH87" s="2360"/>
      <c r="BI87" s="2360"/>
      <c r="BJ87" s="2360"/>
      <c r="BK87" s="2360"/>
      <c r="BL87" s="2360"/>
      <c r="BM87" s="2360"/>
      <c r="BN87" s="2360"/>
      <c r="BO87" s="2360"/>
      <c r="BP87" s="2360"/>
      <c r="BQ87" s="2360"/>
      <c r="BR87" s="2360"/>
      <c r="BS87" s="2360"/>
      <c r="BT87" s="2360"/>
      <c r="BU87" s="2360"/>
      <c r="BV87" s="2360"/>
      <c r="BW87" s="2360"/>
      <c r="BX87" s="2360"/>
      <c r="BY87" s="2360"/>
      <c r="BZ87" s="2798"/>
      <c r="CA87" s="2798"/>
      <c r="CB87" s="2798"/>
      <c r="CC87" s="2798"/>
      <c r="CD87" s="2360"/>
      <c r="CE87" s="2360"/>
      <c r="CF87" s="2360"/>
      <c r="CG87" s="2360"/>
      <c r="CH87" s="2360"/>
      <c r="CI87" s="2360"/>
      <c r="CJ87" s="2360"/>
      <c r="CK87" s="2360"/>
      <c r="CL87" s="2360"/>
      <c r="CM87" s="2360"/>
      <c r="CN87" s="2360"/>
      <c r="CO87" s="2360"/>
      <c r="CP87" s="2360"/>
      <c r="CQ87" s="2360"/>
      <c r="CR87" s="2360"/>
      <c r="CS87" s="2360"/>
      <c r="CT87" s="2360"/>
      <c r="CU87" s="2360"/>
      <c r="CV87" s="2430" t="s">
        <v>3279</v>
      </c>
      <c r="CW87" s="2360" t="s">
        <v>3280</v>
      </c>
      <c r="CX87" s="2430"/>
      <c r="CY87" s="2506"/>
    </row>
    <row r="88" spans="2:104" ht="18" x14ac:dyDescent="0.25">
      <c r="B88" s="2505">
        <v>85</v>
      </c>
      <c r="C88" s="2429" t="s">
        <v>2992</v>
      </c>
      <c r="D88" s="2430" t="s">
        <v>3281</v>
      </c>
      <c r="E88" s="2360"/>
      <c r="F88" s="2360"/>
      <c r="G88" s="2360"/>
      <c r="H88" s="2360"/>
      <c r="I88" s="2360"/>
      <c r="J88" s="2798"/>
      <c r="K88" s="2360"/>
      <c r="L88" s="2360"/>
      <c r="M88" s="2360"/>
      <c r="N88" s="2360"/>
      <c r="O88" s="2360"/>
      <c r="P88" s="2360"/>
      <c r="Q88" s="2360"/>
      <c r="R88" s="2432"/>
      <c r="S88" s="2360"/>
      <c r="T88" s="2360"/>
      <c r="U88" s="2360"/>
      <c r="V88" s="2360"/>
      <c r="W88" s="2360"/>
      <c r="X88" s="2360"/>
      <c r="Y88" s="2360"/>
      <c r="Z88" s="2360"/>
      <c r="AA88" s="2360"/>
      <c r="AB88" s="2360"/>
      <c r="AC88" s="2360"/>
      <c r="AD88" s="2360"/>
      <c r="AE88" s="2360"/>
      <c r="AF88" s="2360"/>
      <c r="AG88" s="2360"/>
      <c r="AH88" s="2360"/>
      <c r="AI88" s="2360"/>
      <c r="AJ88" s="2798"/>
      <c r="AK88" s="2360"/>
      <c r="AL88" s="2360"/>
      <c r="AM88" s="2360"/>
      <c r="AN88" s="2360"/>
      <c r="AO88" s="2360"/>
      <c r="AP88" s="2798"/>
      <c r="AQ88" s="2360"/>
      <c r="AR88" s="2432" t="s">
        <v>3282</v>
      </c>
      <c r="AS88" s="2360"/>
      <c r="AT88" s="2360"/>
      <c r="AU88" s="2360"/>
      <c r="AV88" s="2360"/>
      <c r="AW88" s="2360"/>
      <c r="AX88" s="2360"/>
      <c r="AY88" s="2360"/>
      <c r="AZ88" s="2360"/>
      <c r="BA88" s="2360"/>
      <c r="BB88" s="2360"/>
      <c r="BC88" s="2360">
        <v>1</v>
      </c>
      <c r="BD88" s="2432">
        <v>-1</v>
      </c>
      <c r="BE88" s="2360"/>
      <c r="BF88" s="2360"/>
      <c r="BG88" s="2360"/>
      <c r="BH88" s="2360"/>
      <c r="BI88" s="2360"/>
      <c r="BJ88" s="2360"/>
      <c r="BK88" s="2360"/>
      <c r="BL88" s="2360"/>
      <c r="BM88" s="2360"/>
      <c r="BN88" s="2360"/>
      <c r="BO88" s="2360"/>
      <c r="BP88" s="2360"/>
      <c r="BQ88" s="2360"/>
      <c r="BR88" s="2360"/>
      <c r="BS88" s="2360"/>
      <c r="BT88" s="2360"/>
      <c r="BU88" s="2360"/>
      <c r="BV88" s="2360"/>
      <c r="BW88" s="2360"/>
      <c r="BX88" s="2360"/>
      <c r="BY88" s="2360"/>
      <c r="BZ88" s="2798"/>
      <c r="CA88" s="2798"/>
      <c r="CB88" s="2798"/>
      <c r="CC88" s="2798"/>
      <c r="CD88" s="2360"/>
      <c r="CE88" s="2360"/>
      <c r="CF88" s="2360"/>
      <c r="CG88" s="2360"/>
      <c r="CH88" s="2360"/>
      <c r="CI88" s="2360"/>
      <c r="CJ88" s="2360"/>
      <c r="CK88" s="2360"/>
      <c r="CL88" s="2360"/>
      <c r="CM88" s="2360"/>
      <c r="CN88" s="2360"/>
      <c r="CO88" s="2360"/>
      <c r="CP88" s="2360"/>
      <c r="CQ88" s="2360"/>
      <c r="CR88" s="2360"/>
      <c r="CS88" s="2360"/>
      <c r="CT88" s="2360"/>
      <c r="CU88" s="2360"/>
      <c r="CV88" s="2430" t="s">
        <v>3283</v>
      </c>
      <c r="CW88" s="2360" t="s">
        <v>3280</v>
      </c>
      <c r="CX88" s="2430"/>
      <c r="CY88" s="2506"/>
      <c r="CZ88"/>
    </row>
    <row r="89" spans="2:104" ht="18" customHeight="1" x14ac:dyDescent="0.25">
      <c r="B89" s="2505">
        <v>86</v>
      </c>
      <c r="C89" s="2429" t="s">
        <v>3301</v>
      </c>
      <c r="D89" s="2430" t="s">
        <v>3284</v>
      </c>
      <c r="E89" s="2360"/>
      <c r="F89" s="2360"/>
      <c r="G89" s="2360"/>
      <c r="H89" s="2360"/>
      <c r="I89" s="2360"/>
      <c r="J89" s="2798"/>
      <c r="K89" s="2360"/>
      <c r="L89" s="2360"/>
      <c r="M89" s="2360"/>
      <c r="N89" s="2360"/>
      <c r="O89" s="2360"/>
      <c r="P89" s="2360"/>
      <c r="Q89" s="2360"/>
      <c r="R89" s="2360"/>
      <c r="S89" s="2360"/>
      <c r="T89" s="2360"/>
      <c r="U89" s="2360"/>
      <c r="V89" s="2360"/>
      <c r="W89" s="2360"/>
      <c r="X89" s="2360"/>
      <c r="Y89" s="2360"/>
      <c r="Z89" s="2360"/>
      <c r="AA89" s="2360"/>
      <c r="AB89" s="2360"/>
      <c r="AC89" s="2360"/>
      <c r="AD89" s="2360"/>
      <c r="AE89" s="2360"/>
      <c r="AF89" s="2360"/>
      <c r="AG89" s="2360"/>
      <c r="AH89" s="2360"/>
      <c r="AI89" s="2360"/>
      <c r="AJ89" s="2798"/>
      <c r="AK89" s="2360"/>
      <c r="AL89" s="2360"/>
      <c r="AM89" s="2360"/>
      <c r="AN89" s="2360"/>
      <c r="AO89" s="2360"/>
      <c r="AP89" s="2798"/>
      <c r="AQ89" s="2360"/>
      <c r="AR89" s="2360"/>
      <c r="AS89" s="2432"/>
      <c r="AT89" s="2432" t="s">
        <v>3285</v>
      </c>
      <c r="AU89" s="2432"/>
      <c r="AV89" s="2360"/>
      <c r="AW89" s="2360"/>
      <c r="AX89" s="2360"/>
      <c r="AY89" s="2360"/>
      <c r="AZ89" s="2360"/>
      <c r="BA89" s="2360"/>
      <c r="BB89" s="2432" t="s">
        <v>1147</v>
      </c>
      <c r="BC89" s="2360">
        <v>1</v>
      </c>
      <c r="BD89" s="2360"/>
      <c r="BE89" s="2360"/>
      <c r="BF89" s="2360"/>
      <c r="BG89" s="2360"/>
      <c r="BH89" s="2360"/>
      <c r="BI89" s="2360"/>
      <c r="BJ89" s="2360"/>
      <c r="BK89" s="2360"/>
      <c r="BL89" s="2360"/>
      <c r="BM89" s="2360"/>
      <c r="BN89" s="2360"/>
      <c r="BO89" s="2360"/>
      <c r="BP89" s="2360"/>
      <c r="BQ89" s="2360"/>
      <c r="BR89" s="2360"/>
      <c r="BS89" s="2360"/>
      <c r="BT89" s="2360"/>
      <c r="BU89" s="2360"/>
      <c r="BV89" s="2360"/>
      <c r="BW89" s="2360"/>
      <c r="BX89" s="2360"/>
      <c r="BY89" s="2360"/>
      <c r="BZ89" s="2798"/>
      <c r="CA89" s="2798"/>
      <c r="CB89" s="2798"/>
      <c r="CC89" s="2798"/>
      <c r="CD89" s="2360"/>
      <c r="CE89" s="2360"/>
      <c r="CF89" s="2360"/>
      <c r="CG89" s="2360"/>
      <c r="CH89" s="2360"/>
      <c r="CI89" s="2360"/>
      <c r="CJ89" s="2360"/>
      <c r="CK89" s="2360"/>
      <c r="CL89" s="2360"/>
      <c r="CM89" s="2360"/>
      <c r="CN89" s="2360"/>
      <c r="CO89" s="2360"/>
      <c r="CP89" s="2360"/>
      <c r="CQ89" s="2360"/>
      <c r="CR89" s="2360"/>
      <c r="CS89" s="2360"/>
      <c r="CT89" s="2360"/>
      <c r="CU89" s="2360"/>
      <c r="CV89" s="2430" t="s">
        <v>5303</v>
      </c>
      <c r="CW89" s="2360" t="s">
        <v>3280</v>
      </c>
      <c r="CX89" s="2430"/>
      <c r="CY89" s="2506"/>
      <c r="CZ89"/>
    </row>
    <row r="90" spans="2:104" ht="17.25" customHeight="1" x14ac:dyDescent="0.25">
      <c r="B90" s="2512">
        <v>87</v>
      </c>
      <c r="C90" s="2449" t="s">
        <v>3302</v>
      </c>
      <c r="D90" s="2450" t="s">
        <v>2876</v>
      </c>
      <c r="E90" s="2365"/>
      <c r="F90" s="2365"/>
      <c r="G90" s="2365"/>
      <c r="H90" s="2365"/>
      <c r="I90" s="2365"/>
      <c r="J90" s="2803"/>
      <c r="K90" s="2365"/>
      <c r="L90" s="2365"/>
      <c r="M90" s="2365"/>
      <c r="N90" s="2365"/>
      <c r="O90" s="2365"/>
      <c r="P90" s="2365"/>
      <c r="Q90" s="2365"/>
      <c r="R90" s="2451"/>
      <c r="S90" s="2365"/>
      <c r="T90" s="2365"/>
      <c r="U90" s="2365"/>
      <c r="V90" s="2365"/>
      <c r="W90" s="2365"/>
      <c r="X90" s="2365"/>
      <c r="Y90" s="2365"/>
      <c r="Z90" s="2365"/>
      <c r="AA90" s="2365"/>
      <c r="AB90" s="2365"/>
      <c r="AC90" s="2365"/>
      <c r="AD90" s="2365"/>
      <c r="AE90" s="2365"/>
      <c r="AF90" s="2365"/>
      <c r="AG90" s="2365"/>
      <c r="AH90" s="2365"/>
      <c r="AI90" s="2365"/>
      <c r="AJ90" s="2803"/>
      <c r="AK90" s="2365"/>
      <c r="AL90" s="2365"/>
      <c r="AM90" s="2365"/>
      <c r="AN90" s="2365"/>
      <c r="AO90" s="2365"/>
      <c r="AP90" s="2803"/>
      <c r="AQ90" s="2365"/>
      <c r="AR90" s="2365"/>
      <c r="AS90" s="2365"/>
      <c r="AT90" s="2365"/>
      <c r="AU90" s="2365"/>
      <c r="AV90" s="2365"/>
      <c r="AW90" s="2365"/>
      <c r="AX90" s="2365"/>
      <c r="AY90" s="2365"/>
      <c r="AZ90" s="2365"/>
      <c r="BA90" s="2365"/>
      <c r="BB90" s="2365"/>
      <c r="BC90" s="2365"/>
      <c r="BD90" s="2365"/>
      <c r="BE90" s="2365"/>
      <c r="BF90" s="2452" t="s">
        <v>1352</v>
      </c>
      <c r="BG90" s="2452" t="s">
        <v>1353</v>
      </c>
      <c r="BH90" s="2453"/>
      <c r="BI90" s="2452" t="s">
        <v>1356</v>
      </c>
      <c r="BJ90" s="2453"/>
      <c r="BK90" s="2452" t="s">
        <v>1357</v>
      </c>
      <c r="BL90" s="2453"/>
      <c r="BM90" s="2454"/>
      <c r="BN90" s="2454"/>
      <c r="BO90" s="2365"/>
      <c r="BP90" s="2454"/>
      <c r="BQ90" s="2365"/>
      <c r="BR90" s="2454"/>
      <c r="BS90" s="2365"/>
      <c r="BT90" s="2365"/>
      <c r="BU90" s="2365"/>
      <c r="BV90" s="2365"/>
      <c r="BW90" s="2451"/>
      <c r="BX90" s="2365"/>
      <c r="BY90" s="2365"/>
      <c r="BZ90" s="2803"/>
      <c r="CA90" s="2803"/>
      <c r="CB90" s="2803"/>
      <c r="CC90" s="2803"/>
      <c r="CD90" s="2365"/>
      <c r="CE90" s="2365"/>
      <c r="CF90" s="2365"/>
      <c r="CG90" s="2451"/>
      <c r="CH90" s="2451"/>
      <c r="CI90" s="2451"/>
      <c r="CJ90" s="2451"/>
      <c r="CK90" s="2451"/>
      <c r="CL90" s="2451"/>
      <c r="CM90" s="2451"/>
      <c r="CN90" s="2451"/>
      <c r="CO90" s="2451"/>
      <c r="CP90" s="2451"/>
      <c r="CQ90" s="2451"/>
      <c r="CR90" s="2451"/>
      <c r="CS90" s="2451"/>
      <c r="CT90" s="2451"/>
      <c r="CU90" s="2451"/>
      <c r="CV90" s="2455" t="s">
        <v>3896</v>
      </c>
      <c r="CW90" s="2365" t="s">
        <v>2007</v>
      </c>
      <c r="CX90" s="2453"/>
      <c r="CY90" s="2513"/>
      <c r="CZ90"/>
    </row>
    <row r="91" spans="2:104" ht="19.5" customHeight="1" x14ac:dyDescent="0.25">
      <c r="B91" s="2512">
        <v>88</v>
      </c>
      <c r="C91" s="2449" t="s">
        <v>3303</v>
      </c>
      <c r="D91" s="2450" t="s">
        <v>2877</v>
      </c>
      <c r="E91" s="2365"/>
      <c r="F91" s="2365"/>
      <c r="G91" s="2365"/>
      <c r="H91" s="2365"/>
      <c r="I91" s="2365"/>
      <c r="J91" s="2803"/>
      <c r="K91" s="2365"/>
      <c r="L91" s="2365"/>
      <c r="M91" s="2365"/>
      <c r="N91" s="2365"/>
      <c r="O91" s="2365"/>
      <c r="P91" s="2365"/>
      <c r="Q91" s="2365"/>
      <c r="R91" s="2451"/>
      <c r="S91" s="2365"/>
      <c r="T91" s="2365"/>
      <c r="U91" s="2365"/>
      <c r="V91" s="2365"/>
      <c r="W91" s="2365"/>
      <c r="X91" s="2365"/>
      <c r="Y91" s="2365"/>
      <c r="Z91" s="2365"/>
      <c r="AA91" s="2365"/>
      <c r="AB91" s="2365"/>
      <c r="AC91" s="2365"/>
      <c r="AD91" s="2365"/>
      <c r="AE91" s="2365"/>
      <c r="AF91" s="2365"/>
      <c r="AG91" s="2365"/>
      <c r="AH91" s="2365"/>
      <c r="AI91" s="2365"/>
      <c r="AJ91" s="2803"/>
      <c r="AK91" s="2365"/>
      <c r="AL91" s="2365"/>
      <c r="AM91" s="2365"/>
      <c r="AN91" s="2365"/>
      <c r="AO91" s="2365"/>
      <c r="AP91" s="2803"/>
      <c r="AQ91" s="2365"/>
      <c r="AR91" s="2365"/>
      <c r="AS91" s="2365"/>
      <c r="AT91" s="2365"/>
      <c r="AU91" s="2365"/>
      <c r="AV91" s="2365"/>
      <c r="AW91" s="2365"/>
      <c r="AX91" s="2365"/>
      <c r="AY91" s="2365"/>
      <c r="AZ91" s="2365"/>
      <c r="BA91" s="2365"/>
      <c r="BB91" s="2365"/>
      <c r="BC91" s="2365"/>
      <c r="BD91" s="2365"/>
      <c r="BE91" s="2365"/>
      <c r="BF91" s="2453"/>
      <c r="BG91" s="2452" t="s">
        <v>1354</v>
      </c>
      <c r="BH91" s="2452" t="s">
        <v>1355</v>
      </c>
      <c r="BI91" s="2452"/>
      <c r="BJ91" s="2452" t="s">
        <v>1358</v>
      </c>
      <c r="BK91" s="2452"/>
      <c r="BL91" s="2452" t="s">
        <v>1359</v>
      </c>
      <c r="BM91" s="2365"/>
      <c r="BN91" s="2454"/>
      <c r="BO91" s="2454"/>
      <c r="BP91" s="2454"/>
      <c r="BQ91" s="2454"/>
      <c r="BR91" s="2454"/>
      <c r="BS91" s="2454"/>
      <c r="BT91" s="2365"/>
      <c r="BU91" s="2365"/>
      <c r="BV91" s="2365"/>
      <c r="BW91" s="2451"/>
      <c r="BX91" s="2365"/>
      <c r="BY91" s="2365"/>
      <c r="BZ91" s="2803"/>
      <c r="CA91" s="2803"/>
      <c r="CB91" s="2803"/>
      <c r="CC91" s="2803"/>
      <c r="CD91" s="2365"/>
      <c r="CE91" s="2365"/>
      <c r="CF91" s="2365"/>
      <c r="CG91" s="2451"/>
      <c r="CH91" s="2451"/>
      <c r="CI91" s="2451"/>
      <c r="CJ91" s="2451"/>
      <c r="CK91" s="2451"/>
      <c r="CL91" s="2451"/>
      <c r="CM91" s="2451"/>
      <c r="CN91" s="2451"/>
      <c r="CO91" s="2451"/>
      <c r="CP91" s="2451"/>
      <c r="CQ91" s="2451"/>
      <c r="CR91" s="2451"/>
      <c r="CS91" s="2451"/>
      <c r="CT91" s="2451"/>
      <c r="CU91" s="2451"/>
      <c r="CV91" s="2455" t="s">
        <v>3897</v>
      </c>
      <c r="CW91" s="2365" t="s">
        <v>2007</v>
      </c>
      <c r="CX91" s="2453"/>
      <c r="CY91" s="2513"/>
      <c r="CZ91"/>
    </row>
    <row r="92" spans="2:104" ht="18" x14ac:dyDescent="0.25">
      <c r="B92" s="2512">
        <v>89</v>
      </c>
      <c r="C92" s="2449" t="s">
        <v>3304</v>
      </c>
      <c r="D92" s="2450" t="s">
        <v>2878</v>
      </c>
      <c r="E92" s="2365"/>
      <c r="F92" s="2365"/>
      <c r="G92" s="2365"/>
      <c r="H92" s="2365"/>
      <c r="I92" s="2365"/>
      <c r="J92" s="2803"/>
      <c r="K92" s="2365"/>
      <c r="L92" s="2365"/>
      <c r="M92" s="2365"/>
      <c r="N92" s="2365"/>
      <c r="O92" s="2365"/>
      <c r="P92" s="2365"/>
      <c r="Q92" s="2365"/>
      <c r="R92" s="2451"/>
      <c r="S92" s="2365"/>
      <c r="T92" s="2365"/>
      <c r="U92" s="2365"/>
      <c r="V92" s="2365"/>
      <c r="W92" s="2365"/>
      <c r="X92" s="2365"/>
      <c r="Y92" s="2365"/>
      <c r="Z92" s="2365"/>
      <c r="AA92" s="2365"/>
      <c r="AB92" s="2365"/>
      <c r="AC92" s="2365"/>
      <c r="AD92" s="2365"/>
      <c r="AE92" s="2365"/>
      <c r="AF92" s="2365"/>
      <c r="AG92" s="2365"/>
      <c r="AH92" s="2365"/>
      <c r="AI92" s="2365"/>
      <c r="AJ92" s="2803"/>
      <c r="AK92" s="2365"/>
      <c r="AL92" s="2365">
        <v>-1</v>
      </c>
      <c r="AM92" s="2365"/>
      <c r="AN92" s="2365"/>
      <c r="AO92" s="2365"/>
      <c r="AP92" s="2803"/>
      <c r="AQ92" s="2365"/>
      <c r="AR92" s="2365"/>
      <c r="AS92" s="2365"/>
      <c r="AT92" s="2365"/>
      <c r="AU92" s="2365"/>
      <c r="AV92" s="2365"/>
      <c r="AW92" s="2365"/>
      <c r="AX92" s="2365"/>
      <c r="AY92" s="2365"/>
      <c r="AZ92" s="2365"/>
      <c r="BA92" s="2365"/>
      <c r="BB92" s="2365"/>
      <c r="BC92" s="2365"/>
      <c r="BD92" s="2365"/>
      <c r="BE92" s="2365"/>
      <c r="BF92" s="2455" t="s">
        <v>4322</v>
      </c>
      <c r="BG92" s="2453"/>
      <c r="BH92" s="2453"/>
      <c r="BI92" s="2455" t="s">
        <v>4323</v>
      </c>
      <c r="BJ92" s="2453"/>
      <c r="BK92" s="2455"/>
      <c r="BL92" s="2455"/>
      <c r="BM92" s="2451"/>
      <c r="BN92" s="2365"/>
      <c r="BO92" s="2365"/>
      <c r="BP92" s="2451"/>
      <c r="BQ92" s="2365"/>
      <c r="BR92" s="2451"/>
      <c r="BS92" s="2451"/>
      <c r="BT92" s="2365"/>
      <c r="BU92" s="2365"/>
      <c r="BV92" s="2365"/>
      <c r="BW92" s="2451"/>
      <c r="BX92" s="2365"/>
      <c r="BY92" s="2365"/>
      <c r="BZ92" s="2803"/>
      <c r="CA92" s="2803"/>
      <c r="CB92" s="2803"/>
      <c r="CC92" s="2803"/>
      <c r="CD92" s="2365"/>
      <c r="CE92" s="2365"/>
      <c r="CF92" s="2365"/>
      <c r="CG92" s="2451"/>
      <c r="CH92" s="2451"/>
      <c r="CI92" s="2451"/>
      <c r="CJ92" s="2451"/>
      <c r="CK92" s="2451"/>
      <c r="CL92" s="2451"/>
      <c r="CM92" s="2451"/>
      <c r="CN92" s="2451"/>
      <c r="CO92" s="2451"/>
      <c r="CP92" s="2451"/>
      <c r="CQ92" s="2451"/>
      <c r="CR92" s="2451"/>
      <c r="CS92" s="2451"/>
      <c r="CT92" s="2451"/>
      <c r="CU92" s="2451"/>
      <c r="CV92" s="2455" t="s">
        <v>4642</v>
      </c>
      <c r="CW92" s="2365" t="s">
        <v>2007</v>
      </c>
      <c r="CX92" s="2453"/>
      <c r="CY92" s="2513"/>
      <c r="CZ92"/>
    </row>
    <row r="93" spans="2:104" ht="18" x14ac:dyDescent="0.25">
      <c r="B93" s="2512">
        <v>90</v>
      </c>
      <c r="C93" s="2449" t="s">
        <v>3305</v>
      </c>
      <c r="D93" s="2450" t="s">
        <v>2879</v>
      </c>
      <c r="E93" s="2365"/>
      <c r="F93" s="2365"/>
      <c r="G93" s="2365"/>
      <c r="H93" s="2365"/>
      <c r="I93" s="2365"/>
      <c r="J93" s="2803"/>
      <c r="K93" s="2365"/>
      <c r="L93" s="2365"/>
      <c r="M93" s="2365"/>
      <c r="N93" s="2365"/>
      <c r="O93" s="2365"/>
      <c r="P93" s="2365"/>
      <c r="Q93" s="2365"/>
      <c r="R93" s="2451"/>
      <c r="S93" s="2365"/>
      <c r="T93" s="2365"/>
      <c r="U93" s="2365"/>
      <c r="V93" s="2365"/>
      <c r="W93" s="2365"/>
      <c r="X93" s="2365"/>
      <c r="Y93" s="2365"/>
      <c r="Z93" s="2365"/>
      <c r="AA93" s="2365"/>
      <c r="AB93" s="2365"/>
      <c r="AC93" s="2365"/>
      <c r="AD93" s="2365"/>
      <c r="AE93" s="2365"/>
      <c r="AF93" s="2365"/>
      <c r="AG93" s="2365"/>
      <c r="AH93" s="2365"/>
      <c r="AI93" s="2365"/>
      <c r="AJ93" s="2803"/>
      <c r="AK93" s="2365"/>
      <c r="AL93" s="2365">
        <v>-1</v>
      </c>
      <c r="AM93" s="2365"/>
      <c r="AN93" s="2365"/>
      <c r="AO93" s="2365"/>
      <c r="AP93" s="2803"/>
      <c r="AQ93" s="2365"/>
      <c r="AR93" s="2365"/>
      <c r="AS93" s="2365"/>
      <c r="AT93" s="2365"/>
      <c r="AU93" s="2365"/>
      <c r="AV93" s="2365"/>
      <c r="AW93" s="2365"/>
      <c r="AX93" s="2365"/>
      <c r="AY93" s="2365"/>
      <c r="AZ93" s="2365"/>
      <c r="BA93" s="2365"/>
      <c r="BB93" s="2365"/>
      <c r="BC93" s="2365"/>
      <c r="BD93" s="2365"/>
      <c r="BE93" s="2365"/>
      <c r="BF93" s="2453"/>
      <c r="BG93" s="2455" t="s">
        <v>4324</v>
      </c>
      <c r="BH93" s="2453"/>
      <c r="BI93" s="2453"/>
      <c r="BJ93" s="2455" t="s">
        <v>4325</v>
      </c>
      <c r="BK93" s="2453"/>
      <c r="BL93" s="2453"/>
      <c r="BM93" s="2365"/>
      <c r="BN93" s="2451"/>
      <c r="BO93" s="2365"/>
      <c r="BP93" s="2365"/>
      <c r="BQ93" s="2451"/>
      <c r="BR93" s="2365"/>
      <c r="BS93" s="2365"/>
      <c r="BT93" s="2365"/>
      <c r="BU93" s="2365"/>
      <c r="BV93" s="2365"/>
      <c r="BW93" s="2451"/>
      <c r="BX93" s="2365"/>
      <c r="BY93" s="2365"/>
      <c r="BZ93" s="2803"/>
      <c r="CA93" s="2803"/>
      <c r="CB93" s="2803"/>
      <c r="CC93" s="2803"/>
      <c r="CD93" s="2365"/>
      <c r="CE93" s="2365"/>
      <c r="CF93" s="2365"/>
      <c r="CG93" s="2451"/>
      <c r="CH93" s="2451"/>
      <c r="CI93" s="2451"/>
      <c r="CJ93" s="2451"/>
      <c r="CK93" s="2451"/>
      <c r="CL93" s="2451"/>
      <c r="CM93" s="2451"/>
      <c r="CN93" s="2451"/>
      <c r="CO93" s="2451"/>
      <c r="CP93" s="2451"/>
      <c r="CQ93" s="2451"/>
      <c r="CR93" s="2451"/>
      <c r="CS93" s="2451"/>
      <c r="CT93" s="2451"/>
      <c r="CU93" s="2451"/>
      <c r="CV93" s="2455" t="s">
        <v>4643</v>
      </c>
      <c r="CW93" s="2365" t="s">
        <v>2007</v>
      </c>
      <c r="CX93" s="2453"/>
      <c r="CY93" s="2513"/>
      <c r="CZ93"/>
    </row>
    <row r="94" spans="2:104" ht="18" x14ac:dyDescent="0.25">
      <c r="B94" s="2512">
        <v>91</v>
      </c>
      <c r="C94" s="2449" t="s">
        <v>3306</v>
      </c>
      <c r="D94" s="2450" t="s">
        <v>3890</v>
      </c>
      <c r="E94" s="2365"/>
      <c r="F94" s="2365"/>
      <c r="G94" s="2365"/>
      <c r="H94" s="2365"/>
      <c r="I94" s="2365"/>
      <c r="J94" s="2803"/>
      <c r="K94" s="2365"/>
      <c r="L94" s="2365"/>
      <c r="M94" s="2365"/>
      <c r="N94" s="2365"/>
      <c r="O94" s="2365"/>
      <c r="P94" s="2365"/>
      <c r="Q94" s="2365"/>
      <c r="R94" s="2451"/>
      <c r="S94" s="2365"/>
      <c r="T94" s="2365"/>
      <c r="U94" s="2365"/>
      <c r="V94" s="2365"/>
      <c r="W94" s="2365"/>
      <c r="X94" s="2365"/>
      <c r="Y94" s="2365"/>
      <c r="Z94" s="2365"/>
      <c r="AA94" s="2365"/>
      <c r="AB94" s="2365"/>
      <c r="AC94" s="2365"/>
      <c r="AD94" s="2365"/>
      <c r="AE94" s="2365"/>
      <c r="AF94" s="2365"/>
      <c r="AG94" s="2365"/>
      <c r="AH94" s="2365"/>
      <c r="AI94" s="2365"/>
      <c r="AJ94" s="2803"/>
      <c r="AK94" s="2365"/>
      <c r="AL94" s="2455" t="s">
        <v>4319</v>
      </c>
      <c r="AM94" s="2365"/>
      <c r="AN94" s="2365"/>
      <c r="AO94" s="2365"/>
      <c r="AP94" s="2803"/>
      <c r="AQ94" s="2365"/>
      <c r="AR94" s="2365"/>
      <c r="AS94" s="2365"/>
      <c r="AT94" s="2365"/>
      <c r="AU94" s="2365"/>
      <c r="AV94" s="2365"/>
      <c r="AW94" s="2365"/>
      <c r="AX94" s="2365"/>
      <c r="AY94" s="2365"/>
      <c r="AZ94" s="2365"/>
      <c r="BA94" s="2365"/>
      <c r="BB94" s="2365"/>
      <c r="BC94" s="2365"/>
      <c r="BD94" s="2365"/>
      <c r="BE94" s="2451"/>
      <c r="BF94" s="2453">
        <v>1</v>
      </c>
      <c r="BG94" s="2453"/>
      <c r="BH94" s="2455"/>
      <c r="BI94" s="2455">
        <v>-1</v>
      </c>
      <c r="BJ94" s="2453"/>
      <c r="BK94" s="2455"/>
      <c r="BL94" s="2455"/>
      <c r="BM94" s="2365"/>
      <c r="BN94" s="2365"/>
      <c r="BO94" s="2451"/>
      <c r="BP94" s="2451"/>
      <c r="BQ94" s="2365"/>
      <c r="BR94" s="2451"/>
      <c r="BS94" s="2451"/>
      <c r="BT94" s="2451"/>
      <c r="BU94" s="2451"/>
      <c r="BV94" s="2451"/>
      <c r="BW94" s="2451"/>
      <c r="BX94" s="2451"/>
      <c r="BY94" s="2451"/>
      <c r="BZ94" s="2804"/>
      <c r="CA94" s="2804"/>
      <c r="CB94" s="2804"/>
      <c r="CC94" s="2804"/>
      <c r="CD94" s="2451"/>
      <c r="CE94" s="2451"/>
      <c r="CF94" s="2451"/>
      <c r="CG94" s="2451"/>
      <c r="CH94" s="2451"/>
      <c r="CI94" s="2451"/>
      <c r="CJ94" s="2451"/>
      <c r="CK94" s="2451"/>
      <c r="CL94" s="2451"/>
      <c r="CM94" s="2451"/>
      <c r="CN94" s="2451"/>
      <c r="CO94" s="2451"/>
      <c r="CP94" s="2451"/>
      <c r="CQ94" s="2451"/>
      <c r="CR94" s="2451"/>
      <c r="CS94" s="2451"/>
      <c r="CT94" s="2451"/>
      <c r="CU94" s="2451"/>
      <c r="CV94" s="2455" t="s">
        <v>4644</v>
      </c>
      <c r="CW94" s="2365" t="s">
        <v>2007</v>
      </c>
      <c r="CX94" s="2453"/>
      <c r="CY94" s="2513"/>
      <c r="CZ94"/>
    </row>
    <row r="95" spans="2:104" ht="18" x14ac:dyDescent="0.25">
      <c r="B95" s="2512">
        <v>92</v>
      </c>
      <c r="C95" s="2449" t="s">
        <v>3307</v>
      </c>
      <c r="D95" s="2450" t="s">
        <v>3891</v>
      </c>
      <c r="E95" s="2365"/>
      <c r="F95" s="2365"/>
      <c r="G95" s="2365"/>
      <c r="H95" s="2365"/>
      <c r="I95" s="2365"/>
      <c r="J95" s="2803"/>
      <c r="K95" s="2365"/>
      <c r="L95" s="2365"/>
      <c r="M95" s="2365"/>
      <c r="N95" s="2365"/>
      <c r="O95" s="2365"/>
      <c r="P95" s="2365"/>
      <c r="Q95" s="2365"/>
      <c r="R95" s="2451"/>
      <c r="S95" s="2365"/>
      <c r="T95" s="2365"/>
      <c r="U95" s="2365"/>
      <c r="V95" s="2365"/>
      <c r="W95" s="2365"/>
      <c r="X95" s="2365"/>
      <c r="Y95" s="2365"/>
      <c r="Z95" s="2365"/>
      <c r="AA95" s="2365"/>
      <c r="AB95" s="2365"/>
      <c r="AC95" s="2365"/>
      <c r="AD95" s="2365"/>
      <c r="AE95" s="2365"/>
      <c r="AF95" s="2365"/>
      <c r="AG95" s="2365"/>
      <c r="AH95" s="2365"/>
      <c r="AI95" s="2365"/>
      <c r="AJ95" s="2803"/>
      <c r="AK95" s="2365"/>
      <c r="AL95" s="2455" t="s">
        <v>4320</v>
      </c>
      <c r="AM95" s="2365"/>
      <c r="AN95" s="2365"/>
      <c r="AO95" s="2365"/>
      <c r="AP95" s="2803"/>
      <c r="AQ95" s="2365"/>
      <c r="AR95" s="2365"/>
      <c r="AS95" s="2365"/>
      <c r="AT95" s="2365"/>
      <c r="AU95" s="2365"/>
      <c r="AV95" s="2365"/>
      <c r="AW95" s="2365"/>
      <c r="AX95" s="2365"/>
      <c r="AY95" s="2365"/>
      <c r="AZ95" s="2365"/>
      <c r="BA95" s="2365"/>
      <c r="BB95" s="2365"/>
      <c r="BC95" s="2365"/>
      <c r="BD95" s="2365"/>
      <c r="BE95" s="2451"/>
      <c r="BF95" s="2453"/>
      <c r="BG95" s="2453">
        <v>1</v>
      </c>
      <c r="BH95" s="2455"/>
      <c r="BI95" s="2455"/>
      <c r="BJ95" s="2453">
        <v>-1</v>
      </c>
      <c r="BK95" s="2455"/>
      <c r="BL95" s="2455"/>
      <c r="BM95" s="2365"/>
      <c r="BN95" s="2365"/>
      <c r="BO95" s="2451"/>
      <c r="BP95" s="2451"/>
      <c r="BQ95" s="2365"/>
      <c r="BR95" s="2451"/>
      <c r="BS95" s="2451"/>
      <c r="BT95" s="2451"/>
      <c r="BU95" s="2451"/>
      <c r="BV95" s="2451"/>
      <c r="BW95" s="2451"/>
      <c r="BX95" s="2451"/>
      <c r="BY95" s="2451"/>
      <c r="BZ95" s="2804"/>
      <c r="CA95" s="2804"/>
      <c r="CB95" s="2804"/>
      <c r="CC95" s="2804"/>
      <c r="CD95" s="2451"/>
      <c r="CE95" s="2451"/>
      <c r="CF95" s="2451"/>
      <c r="CG95" s="2451"/>
      <c r="CH95" s="2451"/>
      <c r="CI95" s="2451"/>
      <c r="CJ95" s="2451"/>
      <c r="CK95" s="2451"/>
      <c r="CL95" s="2451"/>
      <c r="CM95" s="2451"/>
      <c r="CN95" s="2451"/>
      <c r="CO95" s="2451"/>
      <c r="CP95" s="2451"/>
      <c r="CQ95" s="2451"/>
      <c r="CR95" s="2451"/>
      <c r="CS95" s="2451"/>
      <c r="CT95" s="2451"/>
      <c r="CU95" s="2451"/>
      <c r="CV95" s="2455" t="s">
        <v>4645</v>
      </c>
      <c r="CW95" s="2365" t="s">
        <v>2007</v>
      </c>
      <c r="CX95" s="2453"/>
      <c r="CY95" s="2513"/>
      <c r="CZ95"/>
    </row>
    <row r="96" spans="2:104" ht="16.5" customHeight="1" x14ac:dyDescent="0.25">
      <c r="B96" s="2512">
        <v>93</v>
      </c>
      <c r="C96" s="2449" t="s">
        <v>3308</v>
      </c>
      <c r="D96" s="2450" t="s">
        <v>3892</v>
      </c>
      <c r="E96" s="2365"/>
      <c r="F96" s="2365"/>
      <c r="G96" s="2365"/>
      <c r="H96" s="2365"/>
      <c r="I96" s="2365"/>
      <c r="J96" s="2803"/>
      <c r="K96" s="2365"/>
      <c r="L96" s="2365"/>
      <c r="M96" s="2365"/>
      <c r="N96" s="2365"/>
      <c r="O96" s="2365"/>
      <c r="P96" s="2365"/>
      <c r="Q96" s="2365"/>
      <c r="R96" s="2451"/>
      <c r="S96" s="2365"/>
      <c r="T96" s="2365"/>
      <c r="U96" s="2365"/>
      <c r="V96" s="2365"/>
      <c r="W96" s="2365"/>
      <c r="X96" s="2365"/>
      <c r="Y96" s="2365"/>
      <c r="Z96" s="2365"/>
      <c r="AA96" s="2365"/>
      <c r="AB96" s="2365"/>
      <c r="AC96" s="2365"/>
      <c r="AD96" s="2365"/>
      <c r="AE96" s="2365"/>
      <c r="AF96" s="2365"/>
      <c r="AG96" s="2365"/>
      <c r="AH96" s="2365"/>
      <c r="AI96" s="2365"/>
      <c r="AJ96" s="2803"/>
      <c r="AK96" s="2365"/>
      <c r="AL96" s="2455" t="s">
        <v>4321</v>
      </c>
      <c r="AM96" s="2365"/>
      <c r="AN96" s="2365"/>
      <c r="AO96" s="2365"/>
      <c r="AP96" s="2803"/>
      <c r="AQ96" s="2365"/>
      <c r="AR96" s="2365"/>
      <c r="AS96" s="2365"/>
      <c r="AT96" s="2365"/>
      <c r="AU96" s="2365"/>
      <c r="AV96" s="2365"/>
      <c r="AW96" s="2365"/>
      <c r="AX96" s="2365"/>
      <c r="AY96" s="2365"/>
      <c r="AZ96" s="2365"/>
      <c r="BA96" s="2365"/>
      <c r="BB96" s="2365"/>
      <c r="BC96" s="2365"/>
      <c r="BD96" s="2365"/>
      <c r="BE96" s="2451"/>
      <c r="BF96" s="2453"/>
      <c r="BG96" s="2453"/>
      <c r="BH96" s="2455">
        <v>1</v>
      </c>
      <c r="BI96" s="2455"/>
      <c r="BJ96" s="2453"/>
      <c r="BK96" s="2452" t="s">
        <v>3893</v>
      </c>
      <c r="BL96" s="2452" t="s">
        <v>3894</v>
      </c>
      <c r="BM96" s="2453"/>
      <c r="BN96" s="2453"/>
      <c r="BO96" s="2455"/>
      <c r="BP96" s="2455"/>
      <c r="BQ96" s="2453"/>
      <c r="BR96" s="2452"/>
      <c r="BS96" s="2452"/>
      <c r="BT96" s="2451"/>
      <c r="BU96" s="2451"/>
      <c r="BV96" s="2451"/>
      <c r="BW96" s="2451"/>
      <c r="BX96" s="2451"/>
      <c r="BY96" s="2451"/>
      <c r="BZ96" s="2804"/>
      <c r="CA96" s="2804"/>
      <c r="CB96" s="2804"/>
      <c r="CC96" s="2804"/>
      <c r="CD96" s="2451"/>
      <c r="CE96" s="2451"/>
      <c r="CF96" s="2451"/>
      <c r="CG96" s="2451"/>
      <c r="CH96" s="2451"/>
      <c r="CI96" s="2451"/>
      <c r="CJ96" s="2451"/>
      <c r="CK96" s="2451"/>
      <c r="CL96" s="2451"/>
      <c r="CM96" s="2451"/>
      <c r="CN96" s="2451"/>
      <c r="CO96" s="2451"/>
      <c r="CP96" s="2451"/>
      <c r="CQ96" s="2451"/>
      <c r="CR96" s="2451"/>
      <c r="CS96" s="2451"/>
      <c r="CT96" s="2451"/>
      <c r="CU96" s="2451"/>
      <c r="CV96" s="2455" t="s">
        <v>4646</v>
      </c>
      <c r="CW96" s="2365" t="s">
        <v>2007</v>
      </c>
      <c r="CX96" s="2453"/>
      <c r="CY96" s="2513"/>
      <c r="CZ96"/>
    </row>
    <row r="97" spans="2:104" ht="18" x14ac:dyDescent="0.25">
      <c r="B97" s="2514">
        <v>94</v>
      </c>
      <c r="C97" s="2456" t="s">
        <v>3309</v>
      </c>
      <c r="D97" s="2457" t="s">
        <v>4309</v>
      </c>
      <c r="E97" s="2366"/>
      <c r="F97" s="2366"/>
      <c r="G97" s="2366"/>
      <c r="H97" s="2366"/>
      <c r="I97" s="2366"/>
      <c r="J97" s="2805"/>
      <c r="K97" s="2366"/>
      <c r="L97" s="2366"/>
      <c r="M97" s="2366"/>
      <c r="N97" s="2366"/>
      <c r="O97" s="2366"/>
      <c r="P97" s="2366"/>
      <c r="Q97" s="2366"/>
      <c r="R97" s="2366"/>
      <c r="S97" s="2366"/>
      <c r="T97" s="2366"/>
      <c r="U97" s="2366"/>
      <c r="V97" s="2366"/>
      <c r="W97" s="2366"/>
      <c r="X97" s="2366"/>
      <c r="Y97" s="2366"/>
      <c r="Z97" s="2366"/>
      <c r="AA97" s="2366"/>
      <c r="AB97" s="2366"/>
      <c r="AC97" s="2366"/>
      <c r="AD97" s="2366"/>
      <c r="AE97" s="2366"/>
      <c r="AF97" s="2366"/>
      <c r="AG97" s="2366"/>
      <c r="AH97" s="2366"/>
      <c r="AI97" s="2366"/>
      <c r="AJ97" s="2805"/>
      <c r="AK97" s="2366"/>
      <c r="AL97" s="2458"/>
      <c r="AM97" s="2366"/>
      <c r="AN97" s="2366"/>
      <c r="AO97" s="2366"/>
      <c r="AP97" s="2805"/>
      <c r="AQ97" s="2366"/>
      <c r="AR97" s="2366"/>
      <c r="AS97" s="2366"/>
      <c r="AT97" s="2366"/>
      <c r="AU97" s="2366"/>
      <c r="AV97" s="2366"/>
      <c r="AW97" s="2366"/>
      <c r="AX97" s="2366"/>
      <c r="AY97" s="2366"/>
      <c r="AZ97" s="2366"/>
      <c r="BA97" s="2366"/>
      <c r="BB97" s="2366"/>
      <c r="BC97" s="2366"/>
      <c r="BD97" s="2366"/>
      <c r="BE97" s="2366"/>
      <c r="BF97" s="2366"/>
      <c r="BG97" s="2366"/>
      <c r="BH97" s="2366"/>
      <c r="BI97" s="2366"/>
      <c r="BJ97" s="2366"/>
      <c r="BK97" s="2366"/>
      <c r="BL97" s="2366"/>
      <c r="BM97" s="2459" t="s">
        <v>4326</v>
      </c>
      <c r="BN97" s="2459" t="s">
        <v>4327</v>
      </c>
      <c r="BO97" s="2445"/>
      <c r="BP97" s="2459" t="s">
        <v>4328</v>
      </c>
      <c r="BQ97" s="2445"/>
      <c r="BR97" s="2459" t="s">
        <v>4329</v>
      </c>
      <c r="BS97" s="2445"/>
      <c r="BT97" s="2366"/>
      <c r="BU97" s="2366"/>
      <c r="BV97" s="2366"/>
      <c r="BW97" s="2366"/>
      <c r="BX97" s="2366"/>
      <c r="BY97" s="2366"/>
      <c r="BZ97" s="2805"/>
      <c r="CA97" s="2805"/>
      <c r="CB97" s="2805"/>
      <c r="CC97" s="2805"/>
      <c r="CD97" s="2366"/>
      <c r="CE97" s="2366"/>
      <c r="CF97" s="2366"/>
      <c r="CG97" s="2366"/>
      <c r="CH97" s="2366"/>
      <c r="CI97" s="2366"/>
      <c r="CJ97" s="2366"/>
      <c r="CK97" s="2366"/>
      <c r="CL97" s="2366"/>
      <c r="CM97" s="2366"/>
      <c r="CN97" s="2366"/>
      <c r="CO97" s="2366"/>
      <c r="CP97" s="2366"/>
      <c r="CQ97" s="2366"/>
      <c r="CR97" s="2366"/>
      <c r="CS97" s="2366"/>
      <c r="CT97" s="2366"/>
      <c r="CU97" s="2366"/>
      <c r="CV97" s="2446" t="s">
        <v>4340</v>
      </c>
      <c r="CW97" s="2366" t="s">
        <v>2007</v>
      </c>
      <c r="CX97" s="2457"/>
      <c r="CY97" s="2515"/>
      <c r="CZ97"/>
    </row>
    <row r="98" spans="2:104" ht="18" x14ac:dyDescent="0.25">
      <c r="B98" s="2514">
        <v>95</v>
      </c>
      <c r="C98" s="2456" t="s">
        <v>3310</v>
      </c>
      <c r="D98" s="2457" t="s">
        <v>4310</v>
      </c>
      <c r="E98" s="2366"/>
      <c r="F98" s="2366"/>
      <c r="G98" s="2366"/>
      <c r="H98" s="2366"/>
      <c r="I98" s="2366"/>
      <c r="J98" s="2805"/>
      <c r="K98" s="2366"/>
      <c r="L98" s="2366"/>
      <c r="M98" s="2366"/>
      <c r="N98" s="2366"/>
      <c r="O98" s="2366"/>
      <c r="P98" s="2366"/>
      <c r="Q98" s="2366"/>
      <c r="R98" s="2366"/>
      <c r="S98" s="2366"/>
      <c r="T98" s="2366"/>
      <c r="U98" s="2366"/>
      <c r="V98" s="2366"/>
      <c r="W98" s="2366"/>
      <c r="X98" s="2366"/>
      <c r="Y98" s="2366"/>
      <c r="Z98" s="2366"/>
      <c r="AA98" s="2366"/>
      <c r="AB98" s="2366"/>
      <c r="AC98" s="2366"/>
      <c r="AD98" s="2366"/>
      <c r="AE98" s="2366"/>
      <c r="AF98" s="2366"/>
      <c r="AG98" s="2366"/>
      <c r="AH98" s="2366"/>
      <c r="AI98" s="2366"/>
      <c r="AJ98" s="2805"/>
      <c r="AK98" s="2366"/>
      <c r="AL98" s="2458"/>
      <c r="AM98" s="2366"/>
      <c r="AN98" s="2366"/>
      <c r="AO98" s="2366"/>
      <c r="AP98" s="2805"/>
      <c r="AQ98" s="2366"/>
      <c r="AR98" s="2366"/>
      <c r="AS98" s="2366"/>
      <c r="AT98" s="2366"/>
      <c r="AU98" s="2366"/>
      <c r="AV98" s="2366"/>
      <c r="AW98" s="2366"/>
      <c r="AX98" s="2366"/>
      <c r="AY98" s="2366"/>
      <c r="AZ98" s="2366"/>
      <c r="BA98" s="2366"/>
      <c r="BB98" s="2366"/>
      <c r="BC98" s="2366"/>
      <c r="BD98" s="2366"/>
      <c r="BE98" s="2366"/>
      <c r="BF98" s="2366"/>
      <c r="BG98" s="2366"/>
      <c r="BH98" s="2366"/>
      <c r="BI98" s="2366"/>
      <c r="BJ98" s="2366"/>
      <c r="BK98" s="2366"/>
      <c r="BL98" s="2366"/>
      <c r="BM98" s="2445"/>
      <c r="BN98" s="2459" t="s">
        <v>4330</v>
      </c>
      <c r="BO98" s="2459" t="s">
        <v>4331</v>
      </c>
      <c r="BP98" s="2459"/>
      <c r="BQ98" s="2459" t="s">
        <v>4332</v>
      </c>
      <c r="BR98" s="2459"/>
      <c r="BS98" s="2459" t="s">
        <v>4333</v>
      </c>
      <c r="BT98" s="2366"/>
      <c r="BU98" s="2366"/>
      <c r="BV98" s="2366"/>
      <c r="BW98" s="2366"/>
      <c r="BX98" s="2366"/>
      <c r="BY98" s="2366"/>
      <c r="BZ98" s="2805"/>
      <c r="CA98" s="2805"/>
      <c r="CB98" s="2805"/>
      <c r="CC98" s="2805"/>
      <c r="CD98" s="2366"/>
      <c r="CE98" s="2366"/>
      <c r="CF98" s="2366"/>
      <c r="CG98" s="2366"/>
      <c r="CH98" s="2366"/>
      <c r="CI98" s="2366"/>
      <c r="CJ98" s="2366"/>
      <c r="CK98" s="2366"/>
      <c r="CL98" s="2366"/>
      <c r="CM98" s="2366"/>
      <c r="CN98" s="2366"/>
      <c r="CO98" s="2366"/>
      <c r="CP98" s="2366"/>
      <c r="CQ98" s="2366"/>
      <c r="CR98" s="2366"/>
      <c r="CS98" s="2366"/>
      <c r="CT98" s="2366"/>
      <c r="CU98" s="2366"/>
      <c r="CV98" s="2446" t="s">
        <v>4341</v>
      </c>
      <c r="CW98" s="2366" t="s">
        <v>2007</v>
      </c>
      <c r="CX98" s="2457"/>
      <c r="CY98" s="2515"/>
      <c r="CZ98"/>
    </row>
    <row r="99" spans="2:104" ht="18" x14ac:dyDescent="0.25">
      <c r="B99" s="2514">
        <v>96</v>
      </c>
      <c r="C99" s="2456" t="s">
        <v>3311</v>
      </c>
      <c r="D99" s="2457" t="s">
        <v>4311</v>
      </c>
      <c r="E99" s="2366"/>
      <c r="F99" s="2366"/>
      <c r="G99" s="2366"/>
      <c r="H99" s="2366"/>
      <c r="I99" s="2366"/>
      <c r="J99" s="2805"/>
      <c r="K99" s="2366"/>
      <c r="L99" s="2366"/>
      <c r="M99" s="2366"/>
      <c r="N99" s="2366"/>
      <c r="O99" s="2366"/>
      <c r="P99" s="2366"/>
      <c r="Q99" s="2366"/>
      <c r="R99" s="2366"/>
      <c r="S99" s="2366"/>
      <c r="T99" s="2366"/>
      <c r="U99" s="2366"/>
      <c r="V99" s="2366"/>
      <c r="W99" s="2366"/>
      <c r="X99" s="2366"/>
      <c r="Y99" s="2366"/>
      <c r="Z99" s="2366"/>
      <c r="AA99" s="2366"/>
      <c r="AB99" s="2366"/>
      <c r="AC99" s="2366"/>
      <c r="AD99" s="2366"/>
      <c r="AE99" s="2366"/>
      <c r="AF99" s="2366"/>
      <c r="AG99" s="2366"/>
      <c r="AH99" s="2366"/>
      <c r="AI99" s="2366"/>
      <c r="AJ99" s="2805"/>
      <c r="AK99" s="2366"/>
      <c r="AL99" s="2458">
        <v>-1</v>
      </c>
      <c r="AM99" s="2366"/>
      <c r="AN99" s="2366"/>
      <c r="AO99" s="2366"/>
      <c r="AP99" s="2805"/>
      <c r="AQ99" s="2366"/>
      <c r="AR99" s="2366"/>
      <c r="AS99" s="2366"/>
      <c r="AT99" s="2366"/>
      <c r="AU99" s="2366"/>
      <c r="AV99" s="2366"/>
      <c r="AW99" s="2366"/>
      <c r="AX99" s="2366"/>
      <c r="AY99" s="2366"/>
      <c r="AZ99" s="2366"/>
      <c r="BA99" s="2366"/>
      <c r="BB99" s="2366"/>
      <c r="BC99" s="2366"/>
      <c r="BD99" s="2366"/>
      <c r="BE99" s="2366"/>
      <c r="BF99" s="2366"/>
      <c r="BG99" s="2366"/>
      <c r="BH99" s="2366"/>
      <c r="BI99" s="2366"/>
      <c r="BJ99" s="2366"/>
      <c r="BK99" s="2366"/>
      <c r="BL99" s="2366"/>
      <c r="BM99" s="2446" t="s">
        <v>4334</v>
      </c>
      <c r="BN99" s="2445"/>
      <c r="BO99" s="2445"/>
      <c r="BP99" s="2446" t="s">
        <v>4335</v>
      </c>
      <c r="BQ99" s="2445"/>
      <c r="BR99" s="2446"/>
      <c r="BS99" s="2446"/>
      <c r="BT99" s="2366"/>
      <c r="BU99" s="2366"/>
      <c r="BV99" s="2366"/>
      <c r="BW99" s="2366"/>
      <c r="BX99" s="2366"/>
      <c r="BY99" s="2366"/>
      <c r="BZ99" s="2805"/>
      <c r="CA99" s="2805"/>
      <c r="CB99" s="2805"/>
      <c r="CC99" s="2805"/>
      <c r="CD99" s="2366"/>
      <c r="CE99" s="2366"/>
      <c r="CF99" s="2366"/>
      <c r="CG99" s="2366"/>
      <c r="CH99" s="2366"/>
      <c r="CI99" s="2366"/>
      <c r="CJ99" s="2366"/>
      <c r="CK99" s="2366"/>
      <c r="CL99" s="2366"/>
      <c r="CM99" s="2366"/>
      <c r="CN99" s="2366"/>
      <c r="CO99" s="2366"/>
      <c r="CP99" s="2366"/>
      <c r="CQ99" s="2366"/>
      <c r="CR99" s="2366"/>
      <c r="CS99" s="2366"/>
      <c r="CT99" s="2366"/>
      <c r="CU99" s="2366"/>
      <c r="CV99" s="2446" t="s">
        <v>4342</v>
      </c>
      <c r="CW99" s="2366" t="s">
        <v>2007</v>
      </c>
      <c r="CX99" s="2457"/>
      <c r="CY99" s="2515"/>
      <c r="CZ99"/>
    </row>
    <row r="100" spans="2:104" ht="18" x14ac:dyDescent="0.25">
      <c r="B100" s="2514">
        <v>97</v>
      </c>
      <c r="C100" s="2456" t="s">
        <v>3312</v>
      </c>
      <c r="D100" s="2457" t="s">
        <v>4312</v>
      </c>
      <c r="E100" s="2366"/>
      <c r="F100" s="2366"/>
      <c r="G100" s="2366"/>
      <c r="H100" s="2366"/>
      <c r="I100" s="2366"/>
      <c r="J100" s="2805"/>
      <c r="K100" s="2366"/>
      <c r="L100" s="2366"/>
      <c r="M100" s="2366"/>
      <c r="N100" s="2366"/>
      <c r="O100" s="2366"/>
      <c r="P100" s="2366"/>
      <c r="Q100" s="2366"/>
      <c r="R100" s="2366"/>
      <c r="S100" s="2366"/>
      <c r="T100" s="2366"/>
      <c r="U100" s="2366"/>
      <c r="V100" s="2366"/>
      <c r="W100" s="2366"/>
      <c r="X100" s="2366"/>
      <c r="Y100" s="2366"/>
      <c r="Z100" s="2366"/>
      <c r="AA100" s="2366"/>
      <c r="AB100" s="2366"/>
      <c r="AC100" s="2366"/>
      <c r="AD100" s="2366"/>
      <c r="AE100" s="2366"/>
      <c r="AF100" s="2366"/>
      <c r="AG100" s="2366"/>
      <c r="AH100" s="2366"/>
      <c r="AI100" s="2366"/>
      <c r="AJ100" s="2805"/>
      <c r="AK100" s="2366"/>
      <c r="AL100" s="2458">
        <v>-1</v>
      </c>
      <c r="AM100" s="2366"/>
      <c r="AN100" s="2366"/>
      <c r="AO100" s="2366"/>
      <c r="AP100" s="2805"/>
      <c r="AQ100" s="2366"/>
      <c r="AR100" s="2366"/>
      <c r="AS100" s="2366"/>
      <c r="AT100" s="2366"/>
      <c r="AU100" s="2366"/>
      <c r="AV100" s="2366"/>
      <c r="AW100" s="2366"/>
      <c r="AX100" s="2366"/>
      <c r="AY100" s="2366"/>
      <c r="AZ100" s="2366"/>
      <c r="BA100" s="2366"/>
      <c r="BB100" s="2366"/>
      <c r="BC100" s="2366"/>
      <c r="BD100" s="2366"/>
      <c r="BE100" s="2366"/>
      <c r="BF100" s="2366"/>
      <c r="BG100" s="2366"/>
      <c r="BH100" s="2366"/>
      <c r="BI100" s="2366"/>
      <c r="BJ100" s="2366"/>
      <c r="BK100" s="2366"/>
      <c r="BL100" s="2366"/>
      <c r="BM100" s="2445"/>
      <c r="BN100" s="2446" t="s">
        <v>4336</v>
      </c>
      <c r="BO100" s="2445"/>
      <c r="BP100" s="2445"/>
      <c r="BQ100" s="2446" t="s">
        <v>4337</v>
      </c>
      <c r="BR100" s="2445"/>
      <c r="BS100" s="2445"/>
      <c r="BT100" s="2366"/>
      <c r="BU100" s="2366"/>
      <c r="BV100" s="2366"/>
      <c r="BW100" s="2366"/>
      <c r="BX100" s="2366"/>
      <c r="BY100" s="2366"/>
      <c r="BZ100" s="2805"/>
      <c r="CA100" s="2805"/>
      <c r="CB100" s="2805"/>
      <c r="CC100" s="2805"/>
      <c r="CD100" s="2366"/>
      <c r="CE100" s="2366"/>
      <c r="CF100" s="2366"/>
      <c r="CG100" s="2366"/>
      <c r="CH100" s="2366"/>
      <c r="CI100" s="2366"/>
      <c r="CJ100" s="2366"/>
      <c r="CK100" s="2366"/>
      <c r="CL100" s="2366"/>
      <c r="CM100" s="2366"/>
      <c r="CN100" s="2366"/>
      <c r="CO100" s="2366"/>
      <c r="CP100" s="2366"/>
      <c r="CQ100" s="2366"/>
      <c r="CR100" s="2366"/>
      <c r="CS100" s="2366"/>
      <c r="CT100" s="2366"/>
      <c r="CU100" s="2366"/>
      <c r="CV100" s="2446" t="s">
        <v>4343</v>
      </c>
      <c r="CW100" s="2366" t="s">
        <v>2007</v>
      </c>
      <c r="CX100" s="2457"/>
      <c r="CY100" s="2515"/>
      <c r="CZ100"/>
    </row>
    <row r="101" spans="2:104" ht="18" x14ac:dyDescent="0.25">
      <c r="B101" s="2514">
        <v>98</v>
      </c>
      <c r="C101" s="2456" t="s">
        <v>3313</v>
      </c>
      <c r="D101" s="2457" t="s">
        <v>4313</v>
      </c>
      <c r="E101" s="2366"/>
      <c r="F101" s="2366"/>
      <c r="G101" s="2366"/>
      <c r="H101" s="2366"/>
      <c r="I101" s="2366"/>
      <c r="J101" s="2805"/>
      <c r="K101" s="2366"/>
      <c r="L101" s="2366"/>
      <c r="M101" s="2366"/>
      <c r="N101" s="2366"/>
      <c r="O101" s="2366"/>
      <c r="P101" s="2366"/>
      <c r="Q101" s="2366"/>
      <c r="R101" s="2366"/>
      <c r="S101" s="2366"/>
      <c r="T101" s="2366"/>
      <c r="U101" s="2366"/>
      <c r="V101" s="2366"/>
      <c r="W101" s="2366"/>
      <c r="X101" s="2366"/>
      <c r="Y101" s="2366"/>
      <c r="Z101" s="2366"/>
      <c r="AA101" s="2366"/>
      <c r="AB101" s="2366"/>
      <c r="AC101" s="2366"/>
      <c r="AD101" s="2366"/>
      <c r="AE101" s="2366"/>
      <c r="AF101" s="2366"/>
      <c r="AG101" s="2366"/>
      <c r="AH101" s="2366"/>
      <c r="AI101" s="2366"/>
      <c r="AJ101" s="2805"/>
      <c r="AK101" s="2366"/>
      <c r="AL101" s="2446" t="s">
        <v>4316</v>
      </c>
      <c r="AM101" s="2366"/>
      <c r="AN101" s="2366"/>
      <c r="AO101" s="2366"/>
      <c r="AP101" s="2805"/>
      <c r="AQ101" s="2366"/>
      <c r="AR101" s="2366"/>
      <c r="AS101" s="2366"/>
      <c r="AT101" s="2366"/>
      <c r="AU101" s="2366"/>
      <c r="AV101" s="2366"/>
      <c r="AW101" s="2366"/>
      <c r="AX101" s="2366"/>
      <c r="AY101" s="2366"/>
      <c r="AZ101" s="2366"/>
      <c r="BA101" s="2366"/>
      <c r="BB101" s="2366"/>
      <c r="BC101" s="2366"/>
      <c r="BD101" s="2366"/>
      <c r="BE101" s="2366"/>
      <c r="BF101" s="2366"/>
      <c r="BG101" s="2366"/>
      <c r="BH101" s="2366"/>
      <c r="BI101" s="2366"/>
      <c r="BJ101" s="2366"/>
      <c r="BK101" s="2366"/>
      <c r="BL101" s="2366"/>
      <c r="BM101" s="2366">
        <v>1</v>
      </c>
      <c r="BN101" s="2366"/>
      <c r="BO101" s="2366"/>
      <c r="BP101" s="2366">
        <v>-1</v>
      </c>
      <c r="BQ101" s="2366"/>
      <c r="BR101" s="2366"/>
      <c r="BS101" s="2366"/>
      <c r="BT101" s="2366"/>
      <c r="BU101" s="2366"/>
      <c r="BV101" s="2366"/>
      <c r="BW101" s="2366"/>
      <c r="BX101" s="2366"/>
      <c r="BY101" s="2366"/>
      <c r="BZ101" s="2805"/>
      <c r="CA101" s="2805"/>
      <c r="CB101" s="2805"/>
      <c r="CC101" s="2805"/>
      <c r="CD101" s="2366"/>
      <c r="CE101" s="2366"/>
      <c r="CF101" s="2366"/>
      <c r="CG101" s="2366"/>
      <c r="CH101" s="2366"/>
      <c r="CI101" s="2366"/>
      <c r="CJ101" s="2366"/>
      <c r="CK101" s="2366"/>
      <c r="CL101" s="2366"/>
      <c r="CM101" s="2366"/>
      <c r="CN101" s="2366"/>
      <c r="CO101" s="2366"/>
      <c r="CP101" s="2366"/>
      <c r="CQ101" s="2366"/>
      <c r="CR101" s="2366"/>
      <c r="CS101" s="2366"/>
      <c r="CT101" s="2366"/>
      <c r="CU101" s="2366"/>
      <c r="CV101" s="2446" t="s">
        <v>4344</v>
      </c>
      <c r="CW101" s="2366" t="s">
        <v>2007</v>
      </c>
      <c r="CX101" s="2457"/>
      <c r="CY101" s="2515"/>
      <c r="CZ101"/>
    </row>
    <row r="102" spans="2:104" ht="18" x14ac:dyDescent="0.25">
      <c r="B102" s="2514">
        <v>99</v>
      </c>
      <c r="C102" s="2456" t="s">
        <v>3314</v>
      </c>
      <c r="D102" s="2457" t="s">
        <v>4314</v>
      </c>
      <c r="E102" s="2366"/>
      <c r="F102" s="2366"/>
      <c r="G102" s="2366"/>
      <c r="H102" s="2366"/>
      <c r="I102" s="2366"/>
      <c r="J102" s="2805"/>
      <c r="K102" s="2366"/>
      <c r="L102" s="2366"/>
      <c r="M102" s="2366"/>
      <c r="N102" s="2366"/>
      <c r="O102" s="2366"/>
      <c r="P102" s="2366"/>
      <c r="Q102" s="2366"/>
      <c r="R102" s="2366"/>
      <c r="S102" s="2366"/>
      <c r="T102" s="2366"/>
      <c r="U102" s="2366"/>
      <c r="V102" s="2366"/>
      <c r="W102" s="2366"/>
      <c r="X102" s="2366"/>
      <c r="Y102" s="2366"/>
      <c r="Z102" s="2366"/>
      <c r="AA102" s="2366"/>
      <c r="AB102" s="2366"/>
      <c r="AC102" s="2366"/>
      <c r="AD102" s="2366"/>
      <c r="AE102" s="2366"/>
      <c r="AF102" s="2366"/>
      <c r="AG102" s="2366"/>
      <c r="AH102" s="2366"/>
      <c r="AI102" s="2366"/>
      <c r="AJ102" s="2805"/>
      <c r="AK102" s="2366"/>
      <c r="AL102" s="2446" t="s">
        <v>4317</v>
      </c>
      <c r="AM102" s="2366"/>
      <c r="AN102" s="2366"/>
      <c r="AO102" s="2366"/>
      <c r="AP102" s="2805"/>
      <c r="AQ102" s="2366"/>
      <c r="AR102" s="2366"/>
      <c r="AS102" s="2366"/>
      <c r="AT102" s="2366"/>
      <c r="AU102" s="2366"/>
      <c r="AV102" s="2366"/>
      <c r="AW102" s="2366"/>
      <c r="AX102" s="2366"/>
      <c r="AY102" s="2366"/>
      <c r="AZ102" s="2366"/>
      <c r="BA102" s="2366"/>
      <c r="BB102" s="2366"/>
      <c r="BC102" s="2366"/>
      <c r="BD102" s="2366"/>
      <c r="BE102" s="2366"/>
      <c r="BF102" s="2366"/>
      <c r="BG102" s="2366"/>
      <c r="BH102" s="2366"/>
      <c r="BI102" s="2366"/>
      <c r="BJ102" s="2366"/>
      <c r="BK102" s="2366"/>
      <c r="BL102" s="2366"/>
      <c r="BM102" s="2366"/>
      <c r="BN102" s="2366">
        <v>1</v>
      </c>
      <c r="BO102" s="2366"/>
      <c r="BP102" s="2366"/>
      <c r="BQ102" s="2366">
        <v>-1</v>
      </c>
      <c r="BR102" s="2366"/>
      <c r="BS102" s="2366"/>
      <c r="BT102" s="2366"/>
      <c r="BU102" s="2366"/>
      <c r="BV102" s="2366"/>
      <c r="BW102" s="2366"/>
      <c r="BX102" s="2366"/>
      <c r="BY102" s="2366"/>
      <c r="BZ102" s="2805"/>
      <c r="CA102" s="2805"/>
      <c r="CB102" s="2805"/>
      <c r="CC102" s="2805"/>
      <c r="CD102" s="2366"/>
      <c r="CE102" s="2366"/>
      <c r="CF102" s="2366"/>
      <c r="CG102" s="2366"/>
      <c r="CH102" s="2366"/>
      <c r="CI102" s="2366"/>
      <c r="CJ102" s="2366"/>
      <c r="CK102" s="2366"/>
      <c r="CL102" s="2366"/>
      <c r="CM102" s="2366"/>
      <c r="CN102" s="2366"/>
      <c r="CO102" s="2366"/>
      <c r="CP102" s="2366"/>
      <c r="CQ102" s="2366"/>
      <c r="CR102" s="2366"/>
      <c r="CS102" s="2366"/>
      <c r="CT102" s="2366"/>
      <c r="CU102" s="2366"/>
      <c r="CV102" s="2446" t="s">
        <v>4345</v>
      </c>
      <c r="CW102" s="2366" t="s">
        <v>2007</v>
      </c>
      <c r="CX102" s="2457"/>
      <c r="CY102" s="2515"/>
      <c r="CZ102"/>
    </row>
    <row r="103" spans="2:104" ht="18" x14ac:dyDescent="0.25">
      <c r="B103" s="2514">
        <v>100</v>
      </c>
      <c r="C103" s="2456" t="s">
        <v>3315</v>
      </c>
      <c r="D103" s="2457" t="s">
        <v>4315</v>
      </c>
      <c r="E103" s="2366"/>
      <c r="F103" s="2366"/>
      <c r="G103" s="2366"/>
      <c r="H103" s="2366"/>
      <c r="I103" s="2366"/>
      <c r="J103" s="2805"/>
      <c r="K103" s="2366"/>
      <c r="L103" s="2366"/>
      <c r="M103" s="2366"/>
      <c r="N103" s="2366"/>
      <c r="O103" s="2366"/>
      <c r="P103" s="2366"/>
      <c r="Q103" s="2366"/>
      <c r="R103" s="2366"/>
      <c r="S103" s="2366"/>
      <c r="T103" s="2366"/>
      <c r="U103" s="2366"/>
      <c r="V103" s="2366"/>
      <c r="W103" s="2366"/>
      <c r="X103" s="2366"/>
      <c r="Y103" s="2366"/>
      <c r="Z103" s="2366"/>
      <c r="AA103" s="2366"/>
      <c r="AB103" s="2366"/>
      <c r="AC103" s="2366"/>
      <c r="AD103" s="2366"/>
      <c r="AE103" s="2366"/>
      <c r="AF103" s="2366"/>
      <c r="AG103" s="2366"/>
      <c r="AH103" s="2366"/>
      <c r="AI103" s="2366"/>
      <c r="AJ103" s="2805"/>
      <c r="AK103" s="2366"/>
      <c r="AL103" s="2446" t="s">
        <v>4318</v>
      </c>
      <c r="AM103" s="2366"/>
      <c r="AN103" s="2366"/>
      <c r="AO103" s="2366"/>
      <c r="AP103" s="2805"/>
      <c r="AQ103" s="2366"/>
      <c r="AR103" s="2366"/>
      <c r="AS103" s="2366"/>
      <c r="AT103" s="2366"/>
      <c r="AU103" s="2366"/>
      <c r="AV103" s="2366"/>
      <c r="AW103" s="2366"/>
      <c r="AX103" s="2366"/>
      <c r="AY103" s="2366"/>
      <c r="AZ103" s="2366"/>
      <c r="BA103" s="2366"/>
      <c r="BB103" s="2366"/>
      <c r="BC103" s="2366"/>
      <c r="BD103" s="2366"/>
      <c r="BE103" s="2366"/>
      <c r="BF103" s="2366"/>
      <c r="BG103" s="2366"/>
      <c r="BH103" s="2366"/>
      <c r="BI103" s="2366"/>
      <c r="BJ103" s="2366"/>
      <c r="BK103" s="2366"/>
      <c r="BL103" s="2366"/>
      <c r="BM103" s="2366"/>
      <c r="BN103" s="2366"/>
      <c r="BO103" s="2366">
        <v>1</v>
      </c>
      <c r="BP103" s="2366"/>
      <c r="BQ103" s="2366"/>
      <c r="BR103" s="2459" t="s">
        <v>4338</v>
      </c>
      <c r="BS103" s="2459" t="s">
        <v>4339</v>
      </c>
      <c r="BT103" s="2366"/>
      <c r="BU103" s="2366"/>
      <c r="BV103" s="2366"/>
      <c r="BW103" s="2366"/>
      <c r="BX103" s="2366"/>
      <c r="BY103" s="2366"/>
      <c r="BZ103" s="2805"/>
      <c r="CA103" s="2805"/>
      <c r="CB103" s="2805"/>
      <c r="CC103" s="2805"/>
      <c r="CD103" s="2366"/>
      <c r="CE103" s="2366"/>
      <c r="CF103" s="2366"/>
      <c r="CG103" s="2366"/>
      <c r="CH103" s="2366"/>
      <c r="CI103" s="2366"/>
      <c r="CJ103" s="2366"/>
      <c r="CK103" s="2366"/>
      <c r="CL103" s="2366"/>
      <c r="CM103" s="2366"/>
      <c r="CN103" s="2366"/>
      <c r="CO103" s="2366"/>
      <c r="CP103" s="2366"/>
      <c r="CQ103" s="2366"/>
      <c r="CR103" s="2366"/>
      <c r="CS103" s="2366"/>
      <c r="CT103" s="2366"/>
      <c r="CU103" s="2366"/>
      <c r="CV103" s="2446" t="s">
        <v>4346</v>
      </c>
      <c r="CW103" s="2366" t="s">
        <v>2007</v>
      </c>
      <c r="CX103" s="2457"/>
      <c r="CY103" s="2515"/>
      <c r="CZ103"/>
    </row>
    <row r="104" spans="2:104" ht="18.75" customHeight="1" x14ac:dyDescent="0.25">
      <c r="B104" s="2516">
        <v>101</v>
      </c>
      <c r="C104" s="2460" t="s">
        <v>3316</v>
      </c>
      <c r="D104" s="2461" t="s">
        <v>1687</v>
      </c>
      <c r="E104" s="2462" t="s">
        <v>1871</v>
      </c>
      <c r="F104" s="2462" t="s">
        <v>1870</v>
      </c>
      <c r="G104" s="2367"/>
      <c r="H104" s="2367"/>
      <c r="I104" s="2367"/>
      <c r="J104" s="3026"/>
      <c r="K104" s="2367"/>
      <c r="L104" s="2367"/>
      <c r="M104" s="2367"/>
      <c r="N104" s="2367"/>
      <c r="O104" s="2367"/>
      <c r="P104" s="2367"/>
      <c r="Q104" s="2367"/>
      <c r="R104" s="2462"/>
      <c r="S104" s="2367"/>
      <c r="T104" s="2367"/>
      <c r="U104" s="2367"/>
      <c r="V104" s="2367"/>
      <c r="W104" s="2367"/>
      <c r="X104" s="2367"/>
      <c r="Y104" s="2367"/>
      <c r="Z104" s="2367"/>
      <c r="AA104" s="2367"/>
      <c r="AB104" s="2367"/>
      <c r="AC104" s="2367"/>
      <c r="AD104" s="2367"/>
      <c r="AE104" s="2367"/>
      <c r="AF104" s="2367"/>
      <c r="AG104" s="2367"/>
      <c r="AH104" s="2367"/>
      <c r="AI104" s="2367"/>
      <c r="AJ104" s="3026"/>
      <c r="AK104" s="2367"/>
      <c r="AL104" s="2463" t="s">
        <v>4640</v>
      </c>
      <c r="AM104" s="2367"/>
      <c r="AN104" s="2367"/>
      <c r="AO104" s="2367"/>
      <c r="AP104" s="3026"/>
      <c r="AQ104" s="2367"/>
      <c r="AR104" s="2367"/>
      <c r="AS104" s="2367"/>
      <c r="AT104" s="2367"/>
      <c r="AU104" s="2462" t="s">
        <v>1971</v>
      </c>
      <c r="AV104" s="2367"/>
      <c r="AW104" s="2367"/>
      <c r="AX104" s="2367"/>
      <c r="AY104" s="2367"/>
      <c r="AZ104" s="2367"/>
      <c r="BA104" s="2367"/>
      <c r="BB104" s="2367"/>
      <c r="BC104" s="2462" t="s">
        <v>3598</v>
      </c>
      <c r="BD104" s="2367"/>
      <c r="BE104" s="2462">
        <v>1</v>
      </c>
      <c r="BF104" s="2463" t="s">
        <v>4631</v>
      </c>
      <c r="BG104" s="2463" t="s">
        <v>4632</v>
      </c>
      <c r="BH104" s="2463" t="s">
        <v>4633</v>
      </c>
      <c r="BI104" s="2463" t="s">
        <v>4634</v>
      </c>
      <c r="BJ104" s="2463" t="s">
        <v>4635</v>
      </c>
      <c r="BK104" s="2463" t="s">
        <v>4636</v>
      </c>
      <c r="BL104" s="2463" t="s">
        <v>4637</v>
      </c>
      <c r="BM104" s="2463"/>
      <c r="BN104" s="2463"/>
      <c r="BO104" s="2463"/>
      <c r="BP104" s="2463"/>
      <c r="BQ104" s="2463"/>
      <c r="BR104" s="2463"/>
      <c r="BS104" s="2463"/>
      <c r="BT104" s="2462"/>
      <c r="BU104" s="2462"/>
      <c r="BV104" s="2462"/>
      <c r="BW104" s="2462"/>
      <c r="BX104" s="2462"/>
      <c r="BY104" s="2462"/>
      <c r="BZ104" s="2806"/>
      <c r="CA104" s="2806"/>
      <c r="CB104" s="2806"/>
      <c r="CC104" s="2806"/>
      <c r="CD104" s="2462"/>
      <c r="CE104" s="2462"/>
      <c r="CF104" s="2462"/>
      <c r="CG104" s="2462"/>
      <c r="CH104" s="2462"/>
      <c r="CI104" s="2462"/>
      <c r="CJ104" s="2462"/>
      <c r="CK104" s="2462"/>
      <c r="CL104" s="2462"/>
      <c r="CM104" s="2462"/>
      <c r="CN104" s="2462"/>
      <c r="CO104" s="2462"/>
      <c r="CP104" s="2462"/>
      <c r="CQ104" s="2462"/>
      <c r="CR104" s="2462"/>
      <c r="CS104" s="2462"/>
      <c r="CT104" s="2462"/>
      <c r="CU104" s="2462"/>
      <c r="CV104" s="2464" t="s">
        <v>4641</v>
      </c>
      <c r="CW104" s="2367" t="s">
        <v>2007</v>
      </c>
      <c r="CX104" s="2461"/>
      <c r="CY104" s="2517"/>
      <c r="CZ104"/>
    </row>
    <row r="105" spans="2:104" ht="18.75" customHeight="1" x14ac:dyDescent="0.25">
      <c r="B105" s="2516">
        <v>102</v>
      </c>
      <c r="C105" s="2460" t="s">
        <v>3317</v>
      </c>
      <c r="D105" s="2461" t="s">
        <v>3286</v>
      </c>
      <c r="E105" s="2367"/>
      <c r="F105" s="2367"/>
      <c r="G105" s="2367"/>
      <c r="H105" s="2367"/>
      <c r="I105" s="2367"/>
      <c r="J105" s="3026"/>
      <c r="K105" s="2367"/>
      <c r="L105" s="2367"/>
      <c r="M105" s="2367"/>
      <c r="N105" s="2367"/>
      <c r="O105" s="2367"/>
      <c r="P105" s="2367"/>
      <c r="Q105" s="2367"/>
      <c r="R105" s="2462"/>
      <c r="S105" s="2367"/>
      <c r="T105" s="2367"/>
      <c r="U105" s="2367"/>
      <c r="V105" s="2367"/>
      <c r="W105" s="2367"/>
      <c r="X105" s="2367"/>
      <c r="Y105" s="2367"/>
      <c r="Z105" s="2367"/>
      <c r="AA105" s="2367"/>
      <c r="AB105" s="2367"/>
      <c r="AC105" s="2367"/>
      <c r="AD105" s="2367"/>
      <c r="AE105" s="2367"/>
      <c r="AF105" s="2367"/>
      <c r="AG105" s="2367"/>
      <c r="AH105" s="2367"/>
      <c r="AI105" s="2367"/>
      <c r="AJ105" s="3026"/>
      <c r="AK105" s="2367"/>
      <c r="AL105" s="2465" t="s">
        <v>4640</v>
      </c>
      <c r="AM105" s="2367"/>
      <c r="AN105" s="2367"/>
      <c r="AO105" s="2367"/>
      <c r="AP105" s="3026"/>
      <c r="AQ105" s="2367"/>
      <c r="AR105" s="2367"/>
      <c r="AS105" s="2367"/>
      <c r="AT105" s="2367"/>
      <c r="AU105" s="2462"/>
      <c r="AV105" s="2367"/>
      <c r="AW105" s="2367"/>
      <c r="AX105" s="2367"/>
      <c r="AY105" s="2367"/>
      <c r="AZ105" s="2367"/>
      <c r="BA105" s="2367"/>
      <c r="BB105" s="2462" t="s">
        <v>3287</v>
      </c>
      <c r="BC105" s="2367"/>
      <c r="BD105" s="2462" t="s">
        <v>3288</v>
      </c>
      <c r="BE105" s="2462">
        <v>1</v>
      </c>
      <c r="BF105" s="2465" t="s">
        <v>4631</v>
      </c>
      <c r="BG105" s="2465" t="s">
        <v>4632</v>
      </c>
      <c r="BH105" s="2465" t="s">
        <v>4633</v>
      </c>
      <c r="BI105" s="2465" t="s">
        <v>4634</v>
      </c>
      <c r="BJ105" s="2465" t="s">
        <v>4635</v>
      </c>
      <c r="BK105" s="2465" t="s">
        <v>4636</v>
      </c>
      <c r="BL105" s="2465" t="s">
        <v>4637</v>
      </c>
      <c r="BM105" s="2465"/>
      <c r="BN105" s="2465"/>
      <c r="BO105" s="2465"/>
      <c r="BP105" s="2465"/>
      <c r="BQ105" s="2465"/>
      <c r="BR105" s="2465"/>
      <c r="BS105" s="2465"/>
      <c r="BT105" s="2462"/>
      <c r="BU105" s="2462"/>
      <c r="BV105" s="2462"/>
      <c r="BW105" s="2462"/>
      <c r="BX105" s="2462"/>
      <c r="BY105" s="2462"/>
      <c r="BZ105" s="2806"/>
      <c r="CA105" s="2806"/>
      <c r="CB105" s="2806"/>
      <c r="CC105" s="2806"/>
      <c r="CD105" s="2462"/>
      <c r="CE105" s="2462"/>
      <c r="CF105" s="2462"/>
      <c r="CG105" s="2462"/>
      <c r="CH105" s="2462"/>
      <c r="CI105" s="2462"/>
      <c r="CJ105" s="2462"/>
      <c r="CK105" s="2462"/>
      <c r="CL105" s="2462"/>
      <c r="CM105" s="2462"/>
      <c r="CN105" s="2462"/>
      <c r="CO105" s="2462"/>
      <c r="CP105" s="2462"/>
      <c r="CQ105" s="2462"/>
      <c r="CR105" s="2462"/>
      <c r="CS105" s="2462"/>
      <c r="CT105" s="2462"/>
      <c r="CU105" s="2462"/>
      <c r="CV105" s="2464" t="s">
        <v>4638</v>
      </c>
      <c r="CW105" s="2462" t="s">
        <v>3280</v>
      </c>
      <c r="CX105" s="2464"/>
      <c r="CY105" s="2517"/>
      <c r="CZ105"/>
    </row>
    <row r="106" spans="2:104" ht="18" x14ac:dyDescent="0.25">
      <c r="B106" s="2518">
        <v>103</v>
      </c>
      <c r="C106" s="2466" t="s">
        <v>3318</v>
      </c>
      <c r="D106" s="2467" t="s">
        <v>1688</v>
      </c>
      <c r="E106" s="2367"/>
      <c r="F106" s="2367"/>
      <c r="G106" s="2367"/>
      <c r="H106" s="2367"/>
      <c r="I106" s="2367"/>
      <c r="J106" s="3026"/>
      <c r="K106" s="2367"/>
      <c r="L106" s="2367"/>
      <c r="M106" s="2367"/>
      <c r="N106" s="2367"/>
      <c r="O106" s="2367"/>
      <c r="P106" s="2367"/>
      <c r="Q106" s="2367"/>
      <c r="R106" s="2462"/>
      <c r="S106" s="2367"/>
      <c r="T106" s="2367"/>
      <c r="U106" s="2367"/>
      <c r="V106" s="2367"/>
      <c r="W106" s="2367"/>
      <c r="X106" s="2367"/>
      <c r="Y106" s="2367"/>
      <c r="Z106" s="2367"/>
      <c r="AA106" s="2367"/>
      <c r="AB106" s="2367"/>
      <c r="AC106" s="2367"/>
      <c r="AD106" s="2367"/>
      <c r="AE106" s="2367"/>
      <c r="AF106" s="2367"/>
      <c r="AG106" s="2367"/>
      <c r="AH106" s="2367"/>
      <c r="AI106" s="2367"/>
      <c r="AJ106" s="3026"/>
      <c r="AK106" s="2367"/>
      <c r="AL106" s="2462"/>
      <c r="AM106" s="2367"/>
      <c r="AN106" s="2367"/>
      <c r="AO106" s="2367"/>
      <c r="AP106" s="3026"/>
      <c r="AQ106" s="2367"/>
      <c r="AR106" s="2462" t="s">
        <v>1689</v>
      </c>
      <c r="AS106" s="2367"/>
      <c r="AT106" s="2367"/>
      <c r="AU106" s="2462"/>
      <c r="AV106" s="2367"/>
      <c r="AW106" s="2367"/>
      <c r="AX106" s="2367"/>
      <c r="AY106" s="2367"/>
      <c r="AZ106" s="2367"/>
      <c r="BA106" s="2367"/>
      <c r="BB106" s="2367"/>
      <c r="BC106" s="2367"/>
      <c r="BD106" s="2367"/>
      <c r="BE106" s="2462" t="s">
        <v>1147</v>
      </c>
      <c r="BF106" s="2367">
        <v>1</v>
      </c>
      <c r="BG106" s="2367"/>
      <c r="BH106" s="2367"/>
      <c r="BI106" s="2462"/>
      <c r="BJ106" s="2367"/>
      <c r="BK106" s="2462"/>
      <c r="BL106" s="2462"/>
      <c r="BM106" s="2367"/>
      <c r="BN106" s="2367"/>
      <c r="BO106" s="2367"/>
      <c r="BP106" s="2462"/>
      <c r="BQ106" s="2367"/>
      <c r="BR106" s="2462"/>
      <c r="BS106" s="2462"/>
      <c r="BT106" s="2462"/>
      <c r="BU106" s="2462"/>
      <c r="BV106" s="2462"/>
      <c r="BW106" s="2462"/>
      <c r="BX106" s="2462"/>
      <c r="BY106" s="2462"/>
      <c r="BZ106" s="2806"/>
      <c r="CA106" s="2806"/>
      <c r="CB106" s="2806"/>
      <c r="CC106" s="2806"/>
      <c r="CD106" s="2462"/>
      <c r="CE106" s="2462"/>
      <c r="CF106" s="2462"/>
      <c r="CG106" s="2462"/>
      <c r="CH106" s="2462"/>
      <c r="CI106" s="2462"/>
      <c r="CJ106" s="2462"/>
      <c r="CK106" s="2462"/>
      <c r="CL106" s="2462"/>
      <c r="CM106" s="2462"/>
      <c r="CN106" s="2462"/>
      <c r="CO106" s="2462"/>
      <c r="CP106" s="2462"/>
      <c r="CQ106" s="2462"/>
      <c r="CR106" s="2462"/>
      <c r="CS106" s="2462"/>
      <c r="CT106" s="2462"/>
      <c r="CU106" s="2462"/>
      <c r="CV106" s="2464" t="s">
        <v>3898</v>
      </c>
      <c r="CW106" s="2367" t="s">
        <v>2007</v>
      </c>
      <c r="CX106" s="2461"/>
      <c r="CY106" s="2517"/>
      <c r="CZ106"/>
    </row>
    <row r="107" spans="2:104" ht="18" x14ac:dyDescent="0.25">
      <c r="B107" s="2518">
        <v>104</v>
      </c>
      <c r="C107" s="2466" t="s">
        <v>3319</v>
      </c>
      <c r="D107" s="2467" t="s">
        <v>3289</v>
      </c>
      <c r="E107" s="2367"/>
      <c r="F107" s="2367"/>
      <c r="G107" s="2367"/>
      <c r="H107" s="2367"/>
      <c r="I107" s="2367"/>
      <c r="J107" s="3026"/>
      <c r="K107" s="2367"/>
      <c r="L107" s="2367"/>
      <c r="M107" s="2367"/>
      <c r="N107" s="2367"/>
      <c r="O107" s="2367"/>
      <c r="P107" s="2367"/>
      <c r="Q107" s="2367"/>
      <c r="R107" s="2462"/>
      <c r="S107" s="2367"/>
      <c r="T107" s="2367"/>
      <c r="U107" s="2367"/>
      <c r="V107" s="2367"/>
      <c r="W107" s="2367"/>
      <c r="X107" s="2367"/>
      <c r="Y107" s="2367"/>
      <c r="Z107" s="2367"/>
      <c r="AA107" s="2367"/>
      <c r="AB107" s="2367"/>
      <c r="AC107" s="2367"/>
      <c r="AD107" s="2367"/>
      <c r="AE107" s="2367"/>
      <c r="AF107" s="2367"/>
      <c r="AG107" s="2367"/>
      <c r="AH107" s="2367"/>
      <c r="AI107" s="2367"/>
      <c r="AJ107" s="3026"/>
      <c r="AK107" s="2367"/>
      <c r="AL107" s="2462"/>
      <c r="AM107" s="2367"/>
      <c r="AN107" s="2367"/>
      <c r="AO107" s="2367"/>
      <c r="AP107" s="3026"/>
      <c r="AQ107" s="2367"/>
      <c r="AR107" s="2462" t="s">
        <v>3290</v>
      </c>
      <c r="AS107" s="2367"/>
      <c r="AT107" s="2367"/>
      <c r="AU107" s="2462"/>
      <c r="AV107" s="2367"/>
      <c r="AW107" s="2367"/>
      <c r="AX107" s="2367"/>
      <c r="AY107" s="2367"/>
      <c r="AZ107" s="2367"/>
      <c r="BA107" s="2367"/>
      <c r="BB107" s="2462" t="s">
        <v>3291</v>
      </c>
      <c r="BC107" s="2367"/>
      <c r="BD107" s="2367"/>
      <c r="BE107" s="2462"/>
      <c r="BF107" s="2367" t="s">
        <v>3292</v>
      </c>
      <c r="BG107" s="2367"/>
      <c r="BH107" s="2367"/>
      <c r="BI107" s="2462"/>
      <c r="BJ107" s="2367"/>
      <c r="BK107" s="2462"/>
      <c r="BL107" s="2462"/>
      <c r="BM107" s="2367"/>
      <c r="BN107" s="2367"/>
      <c r="BO107" s="2367"/>
      <c r="BP107" s="2462"/>
      <c r="BQ107" s="2367"/>
      <c r="BR107" s="2462"/>
      <c r="BS107" s="2462"/>
      <c r="BT107" s="2462"/>
      <c r="BU107" s="2462"/>
      <c r="BV107" s="2462"/>
      <c r="BW107" s="2462"/>
      <c r="BX107" s="2462"/>
      <c r="BY107" s="2462">
        <v>-1</v>
      </c>
      <c r="BZ107" s="2806"/>
      <c r="CA107" s="2806"/>
      <c r="CB107" s="2806"/>
      <c r="CC107" s="2806"/>
      <c r="CD107" s="2462"/>
      <c r="CE107" s="2462"/>
      <c r="CF107" s="2462"/>
      <c r="CG107" s="2462"/>
      <c r="CH107" s="2462"/>
      <c r="CI107" s="2462"/>
      <c r="CJ107" s="2462"/>
      <c r="CK107" s="2462"/>
      <c r="CL107" s="2462"/>
      <c r="CM107" s="2462"/>
      <c r="CN107" s="2462"/>
      <c r="CO107" s="2462"/>
      <c r="CP107" s="2462"/>
      <c r="CQ107" s="2462"/>
      <c r="CR107" s="2462"/>
      <c r="CS107" s="2462"/>
      <c r="CT107" s="2462"/>
      <c r="CU107" s="2462"/>
      <c r="CV107" s="2464" t="s">
        <v>3899</v>
      </c>
      <c r="CW107" s="2462" t="s">
        <v>3280</v>
      </c>
      <c r="CX107" s="2464"/>
      <c r="CY107" s="2517"/>
      <c r="CZ107"/>
    </row>
    <row r="108" spans="2:104" ht="18" x14ac:dyDescent="0.25">
      <c r="B108" s="2519">
        <v>105</v>
      </c>
      <c r="C108" s="2468" t="s">
        <v>3320</v>
      </c>
      <c r="D108" s="2469" t="s">
        <v>1126</v>
      </c>
      <c r="E108" s="2368"/>
      <c r="F108" s="2368"/>
      <c r="G108" s="2368"/>
      <c r="H108" s="2368"/>
      <c r="I108" s="2368"/>
      <c r="J108" s="3027"/>
      <c r="K108" s="2368"/>
      <c r="L108" s="2368"/>
      <c r="M108" s="2368"/>
      <c r="N108" s="2368"/>
      <c r="O108" s="2368"/>
      <c r="P108" s="2368"/>
      <c r="Q108" s="2368"/>
      <c r="R108" s="2470"/>
      <c r="S108" s="2368"/>
      <c r="T108" s="2368"/>
      <c r="U108" s="2368"/>
      <c r="V108" s="2368"/>
      <c r="W108" s="2368"/>
      <c r="X108" s="2368"/>
      <c r="Y108" s="2368"/>
      <c r="Z108" s="2368"/>
      <c r="AA108" s="2368"/>
      <c r="AB108" s="2368"/>
      <c r="AC108" s="2368"/>
      <c r="AD108" s="2368"/>
      <c r="AE108" s="2368"/>
      <c r="AF108" s="2368"/>
      <c r="AG108" s="2368"/>
      <c r="AH108" s="2368"/>
      <c r="AI108" s="2368"/>
      <c r="AJ108" s="3027"/>
      <c r="AK108" s="2368"/>
      <c r="AL108" s="2470"/>
      <c r="AM108" s="2368"/>
      <c r="AN108" s="2368"/>
      <c r="AO108" s="2368"/>
      <c r="AP108" s="3027"/>
      <c r="AQ108" s="2368"/>
      <c r="AR108" s="2368"/>
      <c r="AS108" s="2368"/>
      <c r="AT108" s="2368"/>
      <c r="AU108" s="2470" t="s">
        <v>2452</v>
      </c>
      <c r="AV108" s="2368"/>
      <c r="AW108" s="2368"/>
      <c r="AX108" s="2368"/>
      <c r="AY108" s="2470" t="s">
        <v>1690</v>
      </c>
      <c r="AZ108" s="2368"/>
      <c r="BA108" s="2368"/>
      <c r="BB108" s="2368"/>
      <c r="BC108" s="2368"/>
      <c r="BD108" s="2368"/>
      <c r="BE108" s="2470"/>
      <c r="BF108" s="2368"/>
      <c r="BG108" s="2368"/>
      <c r="BH108" s="2470"/>
      <c r="BI108" s="2470"/>
      <c r="BJ108" s="2368"/>
      <c r="BK108" s="2470"/>
      <c r="BL108" s="2470"/>
      <c r="BM108" s="2368"/>
      <c r="BN108" s="2368"/>
      <c r="BO108" s="2470"/>
      <c r="BP108" s="2470"/>
      <c r="BQ108" s="2368"/>
      <c r="BR108" s="2470"/>
      <c r="BS108" s="2470"/>
      <c r="BT108" s="2470">
        <v>1</v>
      </c>
      <c r="BU108" s="2470"/>
      <c r="BV108" s="2470"/>
      <c r="BW108" s="2470"/>
      <c r="BX108" s="2470"/>
      <c r="BY108" s="2470"/>
      <c r="BZ108" s="2807"/>
      <c r="CA108" s="2807"/>
      <c r="CB108" s="2807"/>
      <c r="CC108" s="2807"/>
      <c r="CD108" s="2470"/>
      <c r="CE108" s="2470"/>
      <c r="CF108" s="2470"/>
      <c r="CG108" s="2470"/>
      <c r="CH108" s="2470"/>
      <c r="CI108" s="2470"/>
      <c r="CJ108" s="2470"/>
      <c r="CK108" s="2470"/>
      <c r="CL108" s="2470"/>
      <c r="CM108" s="2470"/>
      <c r="CN108" s="2470"/>
      <c r="CO108" s="2470"/>
      <c r="CP108" s="2470"/>
      <c r="CQ108" s="2470"/>
      <c r="CR108" s="2470"/>
      <c r="CS108" s="2470"/>
      <c r="CT108" s="2470"/>
      <c r="CU108" s="2470"/>
      <c r="CV108" s="2471" t="s">
        <v>1691</v>
      </c>
      <c r="CW108" s="2368" t="s">
        <v>2007</v>
      </c>
      <c r="CX108" s="2472" t="s">
        <v>1127</v>
      </c>
      <c r="CY108" s="2520"/>
      <c r="CZ108"/>
    </row>
    <row r="109" spans="2:104" ht="18" x14ac:dyDescent="0.25">
      <c r="B109" s="2519">
        <v>106</v>
      </c>
      <c r="C109" s="2468" t="s">
        <v>3321</v>
      </c>
      <c r="D109" s="2469" t="s">
        <v>1125</v>
      </c>
      <c r="E109" s="2368"/>
      <c r="F109" s="2368"/>
      <c r="G109" s="2368"/>
      <c r="H109" s="2368"/>
      <c r="I109" s="2368"/>
      <c r="J109" s="3027"/>
      <c r="K109" s="2368"/>
      <c r="L109" s="2368"/>
      <c r="M109" s="2368"/>
      <c r="N109" s="2368"/>
      <c r="O109" s="2368"/>
      <c r="P109" s="2368"/>
      <c r="Q109" s="2368"/>
      <c r="R109" s="2470"/>
      <c r="S109" s="2368"/>
      <c r="T109" s="2368"/>
      <c r="U109" s="2368"/>
      <c r="V109" s="2368"/>
      <c r="W109" s="2368"/>
      <c r="X109" s="2368"/>
      <c r="Y109" s="2368"/>
      <c r="Z109" s="2368"/>
      <c r="AA109" s="2368"/>
      <c r="AB109" s="2368"/>
      <c r="AC109" s="2368"/>
      <c r="AD109" s="2368"/>
      <c r="AE109" s="2368"/>
      <c r="AF109" s="2368"/>
      <c r="AG109" s="2368"/>
      <c r="AH109" s="2368"/>
      <c r="AI109" s="2368"/>
      <c r="AJ109" s="3027"/>
      <c r="AK109" s="2368"/>
      <c r="AL109" s="2470" t="s">
        <v>1692</v>
      </c>
      <c r="AM109" s="2368"/>
      <c r="AN109" s="2368"/>
      <c r="AO109" s="2368"/>
      <c r="AP109" s="3027"/>
      <c r="AQ109" s="2368"/>
      <c r="AR109" s="2368"/>
      <c r="AS109" s="2368"/>
      <c r="AT109" s="2368"/>
      <c r="AU109" s="2368"/>
      <c r="AV109" s="2368"/>
      <c r="AW109" s="2368"/>
      <c r="AX109" s="2368"/>
      <c r="AY109" s="2470" t="s">
        <v>1693</v>
      </c>
      <c r="AZ109" s="2368"/>
      <c r="BA109" s="2368"/>
      <c r="BB109" s="2368"/>
      <c r="BC109" s="2368"/>
      <c r="BD109" s="2368"/>
      <c r="BE109" s="2470"/>
      <c r="BF109" s="2368"/>
      <c r="BG109" s="2368"/>
      <c r="BH109" s="2470"/>
      <c r="BI109" s="2470"/>
      <c r="BJ109" s="2368"/>
      <c r="BK109" s="2470"/>
      <c r="BL109" s="2470"/>
      <c r="BM109" s="2368"/>
      <c r="BN109" s="2368"/>
      <c r="BO109" s="2470"/>
      <c r="BP109" s="2470"/>
      <c r="BQ109" s="2368"/>
      <c r="BR109" s="2470"/>
      <c r="BS109" s="2470"/>
      <c r="BT109" s="2470"/>
      <c r="BU109" s="2470">
        <v>1</v>
      </c>
      <c r="BV109" s="2470"/>
      <c r="BW109" s="2470"/>
      <c r="BX109" s="2470"/>
      <c r="BY109" s="2470"/>
      <c r="BZ109" s="2807"/>
      <c r="CA109" s="2807"/>
      <c r="CB109" s="2807"/>
      <c r="CC109" s="2807"/>
      <c r="CD109" s="2470"/>
      <c r="CE109" s="2470"/>
      <c r="CF109" s="2470"/>
      <c r="CG109" s="2470"/>
      <c r="CH109" s="2470"/>
      <c r="CI109" s="2470"/>
      <c r="CJ109" s="2470"/>
      <c r="CK109" s="2470"/>
      <c r="CL109" s="2470"/>
      <c r="CM109" s="2470"/>
      <c r="CN109" s="2470"/>
      <c r="CO109" s="2470"/>
      <c r="CP109" s="2470"/>
      <c r="CQ109" s="2470"/>
      <c r="CR109" s="2470"/>
      <c r="CS109" s="2470"/>
      <c r="CT109" s="2470"/>
      <c r="CU109" s="2470"/>
      <c r="CV109" s="2471" t="s">
        <v>1694</v>
      </c>
      <c r="CW109" s="2368" t="s">
        <v>2007</v>
      </c>
      <c r="CX109" s="2472" t="s">
        <v>1128</v>
      </c>
      <c r="CY109" s="2520"/>
      <c r="CZ109"/>
    </row>
    <row r="110" spans="2:104" ht="18" x14ac:dyDescent="0.25">
      <c r="B110" s="2519">
        <v>107</v>
      </c>
      <c r="C110" s="2468" t="s">
        <v>3322</v>
      </c>
      <c r="D110" s="2469" t="s">
        <v>4306</v>
      </c>
      <c r="E110" s="2368"/>
      <c r="F110" s="2368"/>
      <c r="G110" s="2368"/>
      <c r="H110" s="2368"/>
      <c r="I110" s="2368"/>
      <c r="J110" s="3027"/>
      <c r="K110" s="2368"/>
      <c r="L110" s="2368"/>
      <c r="M110" s="2368"/>
      <c r="N110" s="2368"/>
      <c r="O110" s="2368"/>
      <c r="P110" s="2368"/>
      <c r="Q110" s="2368"/>
      <c r="R110" s="2470"/>
      <c r="S110" s="2368"/>
      <c r="T110" s="2368"/>
      <c r="U110" s="2368"/>
      <c r="V110" s="2368"/>
      <c r="W110" s="2368"/>
      <c r="X110" s="2368"/>
      <c r="Y110" s="2368"/>
      <c r="Z110" s="2368"/>
      <c r="AA110" s="2368"/>
      <c r="AB110" s="2368"/>
      <c r="AC110" s="2368"/>
      <c r="AD110" s="2368"/>
      <c r="AE110" s="2368"/>
      <c r="AF110" s="2368"/>
      <c r="AG110" s="2368"/>
      <c r="AH110" s="2368"/>
      <c r="AI110" s="2368"/>
      <c r="AJ110" s="3027"/>
      <c r="AK110" s="2368"/>
      <c r="AL110" s="2470" t="s">
        <v>4307</v>
      </c>
      <c r="AM110" s="2368"/>
      <c r="AN110" s="2368"/>
      <c r="AO110" s="2368"/>
      <c r="AP110" s="3027"/>
      <c r="AQ110" s="2368"/>
      <c r="AR110" s="2368"/>
      <c r="AS110" s="2368"/>
      <c r="AT110" s="2368"/>
      <c r="AU110" s="2368"/>
      <c r="AV110" s="2368"/>
      <c r="AW110" s="2368"/>
      <c r="AX110" s="2368"/>
      <c r="AY110" s="2470" t="s">
        <v>4308</v>
      </c>
      <c r="AZ110" s="2368"/>
      <c r="BA110" s="2368"/>
      <c r="BB110" s="2368"/>
      <c r="BC110" s="2368"/>
      <c r="BD110" s="2368"/>
      <c r="BE110" s="2470"/>
      <c r="BF110" s="2368"/>
      <c r="BG110" s="2368"/>
      <c r="BH110" s="2470"/>
      <c r="BI110" s="2470"/>
      <c r="BJ110" s="2368"/>
      <c r="BK110" s="2470"/>
      <c r="BL110" s="2470"/>
      <c r="BM110" s="2368"/>
      <c r="BN110" s="2368"/>
      <c r="BO110" s="2470"/>
      <c r="BP110" s="2470"/>
      <c r="BQ110" s="2368"/>
      <c r="BR110" s="2470"/>
      <c r="BS110" s="2470"/>
      <c r="BT110" s="2470"/>
      <c r="BU110" s="2470"/>
      <c r="BV110" s="2470">
        <v>1</v>
      </c>
      <c r="BW110" s="2470"/>
      <c r="BX110" s="2470"/>
      <c r="BY110" s="2470"/>
      <c r="BZ110" s="2807"/>
      <c r="CA110" s="2807"/>
      <c r="CB110" s="2807"/>
      <c r="CC110" s="2807"/>
      <c r="CD110" s="2470"/>
      <c r="CE110" s="2470"/>
      <c r="CF110" s="2470"/>
      <c r="CG110" s="2470"/>
      <c r="CH110" s="2470"/>
      <c r="CI110" s="2470"/>
      <c r="CJ110" s="2470"/>
      <c r="CK110" s="2470"/>
      <c r="CL110" s="2470"/>
      <c r="CM110" s="2470"/>
      <c r="CN110" s="2470"/>
      <c r="CO110" s="2470"/>
      <c r="CP110" s="2470"/>
      <c r="CQ110" s="2470"/>
      <c r="CR110" s="2470"/>
      <c r="CS110" s="2470"/>
      <c r="CT110" s="2470"/>
      <c r="CU110" s="2470"/>
      <c r="CV110" s="2471" t="s">
        <v>4347</v>
      </c>
      <c r="CW110" s="2368" t="s">
        <v>2007</v>
      </c>
      <c r="CX110" s="2472" t="s">
        <v>4649</v>
      </c>
      <c r="CY110" s="2520"/>
      <c r="CZ110"/>
    </row>
    <row r="111" spans="2:104" ht="18" x14ac:dyDescent="0.25">
      <c r="B111" s="2519">
        <v>108</v>
      </c>
      <c r="C111" s="2468" t="s">
        <v>3323</v>
      </c>
      <c r="D111" s="2469" t="s">
        <v>287</v>
      </c>
      <c r="E111" s="2368"/>
      <c r="F111" s="2368"/>
      <c r="G111" s="2368"/>
      <c r="H111" s="2368"/>
      <c r="I111" s="2368"/>
      <c r="J111" s="3027"/>
      <c r="K111" s="2368"/>
      <c r="L111" s="2368"/>
      <c r="M111" s="2368"/>
      <c r="N111" s="2368"/>
      <c r="O111" s="2368"/>
      <c r="P111" s="2368"/>
      <c r="Q111" s="2368"/>
      <c r="R111" s="2470"/>
      <c r="S111" s="2368"/>
      <c r="T111" s="2368"/>
      <c r="U111" s="2368"/>
      <c r="V111" s="2368"/>
      <c r="W111" s="2368"/>
      <c r="X111" s="2368"/>
      <c r="Y111" s="2368"/>
      <c r="Z111" s="2368"/>
      <c r="AA111" s="2368"/>
      <c r="AB111" s="2368"/>
      <c r="AC111" s="2368"/>
      <c r="AD111" s="2470" t="s">
        <v>1695</v>
      </c>
      <c r="AE111" s="2368"/>
      <c r="AF111" s="2368"/>
      <c r="AG111" s="2368"/>
      <c r="AH111" s="2368"/>
      <c r="AI111" s="2368"/>
      <c r="AJ111" s="3027"/>
      <c r="AK111" s="2368"/>
      <c r="AL111" s="2470" t="s">
        <v>1696</v>
      </c>
      <c r="AM111" s="2368"/>
      <c r="AN111" s="2368"/>
      <c r="AO111" s="2368"/>
      <c r="AP111" s="3027"/>
      <c r="AQ111" s="2368"/>
      <c r="AR111" s="2368"/>
      <c r="AS111" s="2368"/>
      <c r="AT111" s="2368"/>
      <c r="AU111" s="2368"/>
      <c r="AV111" s="2368"/>
      <c r="AW111" s="2368"/>
      <c r="AX111" s="2368"/>
      <c r="AY111" s="2368"/>
      <c r="AZ111" s="2470" t="s">
        <v>1697</v>
      </c>
      <c r="BA111" s="2368"/>
      <c r="BB111" s="2368"/>
      <c r="BC111" s="2368"/>
      <c r="BD111" s="2368"/>
      <c r="BE111" s="2470"/>
      <c r="BF111" s="2368"/>
      <c r="BG111" s="2368"/>
      <c r="BH111" s="2470"/>
      <c r="BI111" s="2470"/>
      <c r="BJ111" s="2368"/>
      <c r="BK111" s="2470"/>
      <c r="BL111" s="2470"/>
      <c r="BM111" s="2368"/>
      <c r="BN111" s="2368"/>
      <c r="BO111" s="2470"/>
      <c r="BP111" s="2470"/>
      <c r="BQ111" s="2368"/>
      <c r="BR111" s="2470"/>
      <c r="BS111" s="2470"/>
      <c r="BT111" s="2470"/>
      <c r="BU111" s="2470"/>
      <c r="BV111" s="2470"/>
      <c r="BW111" s="2470">
        <v>1</v>
      </c>
      <c r="BX111" s="2470"/>
      <c r="BY111" s="2470"/>
      <c r="BZ111" s="2807"/>
      <c r="CA111" s="2807"/>
      <c r="CB111" s="2807"/>
      <c r="CC111" s="2807"/>
      <c r="CD111" s="2470"/>
      <c r="CE111" s="2470"/>
      <c r="CF111" s="2470"/>
      <c r="CG111" s="2470"/>
      <c r="CH111" s="2470"/>
      <c r="CI111" s="2470"/>
      <c r="CJ111" s="2470"/>
      <c r="CK111" s="2470"/>
      <c r="CL111" s="2470"/>
      <c r="CM111" s="2470"/>
      <c r="CN111" s="2470"/>
      <c r="CO111" s="2470"/>
      <c r="CP111" s="2470"/>
      <c r="CQ111" s="2470"/>
      <c r="CR111" s="2470"/>
      <c r="CS111" s="2470"/>
      <c r="CT111" s="2470"/>
      <c r="CU111" s="2470"/>
      <c r="CV111" s="2471" t="s">
        <v>1698</v>
      </c>
      <c r="CW111" s="2368" t="s">
        <v>2007</v>
      </c>
      <c r="CX111" s="2472" t="s">
        <v>1124</v>
      </c>
      <c r="CY111" s="2520"/>
      <c r="CZ111"/>
    </row>
    <row r="112" spans="2:104" ht="18" x14ac:dyDescent="0.25">
      <c r="B112" s="2519">
        <v>109</v>
      </c>
      <c r="C112" s="2468" t="s">
        <v>3324</v>
      </c>
      <c r="D112" s="2469" t="s">
        <v>1123</v>
      </c>
      <c r="E112" s="2368"/>
      <c r="F112" s="2368"/>
      <c r="G112" s="2368"/>
      <c r="H112" s="2368"/>
      <c r="I112" s="2368"/>
      <c r="J112" s="3027"/>
      <c r="K112" s="2368"/>
      <c r="L112" s="2368"/>
      <c r="M112" s="2368"/>
      <c r="N112" s="2368"/>
      <c r="O112" s="2368"/>
      <c r="P112" s="2368"/>
      <c r="Q112" s="2368"/>
      <c r="R112" s="2470"/>
      <c r="S112" s="2368"/>
      <c r="T112" s="2368"/>
      <c r="U112" s="2368"/>
      <c r="V112" s="2368"/>
      <c r="W112" s="2368"/>
      <c r="X112" s="2368"/>
      <c r="Y112" s="2368"/>
      <c r="Z112" s="2368"/>
      <c r="AA112" s="2368"/>
      <c r="AB112" s="2368"/>
      <c r="AC112" s="2368"/>
      <c r="AD112" s="2470"/>
      <c r="AE112" s="2368"/>
      <c r="AF112" s="2368"/>
      <c r="AG112" s="2368"/>
      <c r="AH112" s="2368"/>
      <c r="AI112" s="2368"/>
      <c r="AJ112" s="3027"/>
      <c r="AK112" s="2368"/>
      <c r="AL112" s="2470" t="s">
        <v>1699</v>
      </c>
      <c r="AM112" s="2368"/>
      <c r="AN112" s="2368"/>
      <c r="AO112" s="2368"/>
      <c r="AP112" s="3027"/>
      <c r="AQ112" s="2368"/>
      <c r="AR112" s="2368"/>
      <c r="AS112" s="2368"/>
      <c r="AT112" s="2368"/>
      <c r="AU112" s="2368"/>
      <c r="AV112" s="2368"/>
      <c r="AW112" s="2368"/>
      <c r="AX112" s="2368"/>
      <c r="AY112" s="2368"/>
      <c r="AZ112" s="2470"/>
      <c r="BA112" s="2368"/>
      <c r="BB112" s="2368"/>
      <c r="BC112" s="2368"/>
      <c r="BD112" s="2368"/>
      <c r="BE112" s="2470" t="s">
        <v>1700</v>
      </c>
      <c r="BF112" s="2368"/>
      <c r="BG112" s="2368"/>
      <c r="BH112" s="2470"/>
      <c r="BI112" s="2470"/>
      <c r="BJ112" s="2368"/>
      <c r="BK112" s="2470"/>
      <c r="BL112" s="2470"/>
      <c r="BM112" s="2368"/>
      <c r="BN112" s="2368"/>
      <c r="BO112" s="2470"/>
      <c r="BP112" s="2470"/>
      <c r="BQ112" s="2368"/>
      <c r="BR112" s="2470"/>
      <c r="BS112" s="2470"/>
      <c r="BT112" s="2470"/>
      <c r="BU112" s="2470"/>
      <c r="BV112" s="2470"/>
      <c r="BW112" s="2470"/>
      <c r="BX112" s="2470">
        <v>1</v>
      </c>
      <c r="BY112" s="2470"/>
      <c r="BZ112" s="2807"/>
      <c r="CA112" s="2807"/>
      <c r="CB112" s="2807"/>
      <c r="CC112" s="2807"/>
      <c r="CD112" s="2470"/>
      <c r="CE112" s="2470"/>
      <c r="CF112" s="2470"/>
      <c r="CG112" s="2470"/>
      <c r="CH112" s="2470"/>
      <c r="CI112" s="2470"/>
      <c r="CJ112" s="2470"/>
      <c r="CK112" s="2470"/>
      <c r="CL112" s="2470"/>
      <c r="CM112" s="2470"/>
      <c r="CN112" s="2470"/>
      <c r="CO112" s="2470"/>
      <c r="CP112" s="2470"/>
      <c r="CQ112" s="2470"/>
      <c r="CR112" s="2470"/>
      <c r="CS112" s="2470"/>
      <c r="CT112" s="2470"/>
      <c r="CU112" s="2470"/>
      <c r="CV112" s="2471" t="s">
        <v>1701</v>
      </c>
      <c r="CW112" s="2368" t="s">
        <v>2007</v>
      </c>
      <c r="CX112" s="2472" t="s">
        <v>1129</v>
      </c>
      <c r="CY112" s="2520"/>
      <c r="CZ112"/>
    </row>
    <row r="113" spans="2:104" ht="18" x14ac:dyDescent="0.25">
      <c r="B113" s="2519">
        <v>110</v>
      </c>
      <c r="C113" s="2468" t="s">
        <v>3635</v>
      </c>
      <c r="D113" s="2469" t="s">
        <v>3293</v>
      </c>
      <c r="E113" s="2368"/>
      <c r="F113" s="2368"/>
      <c r="G113" s="2368"/>
      <c r="H113" s="2368"/>
      <c r="I113" s="2368"/>
      <c r="J113" s="3027"/>
      <c r="K113" s="2368"/>
      <c r="L113" s="2368"/>
      <c r="M113" s="2368"/>
      <c r="N113" s="2368"/>
      <c r="O113" s="2368"/>
      <c r="P113" s="2368"/>
      <c r="Q113" s="2368"/>
      <c r="R113" s="2470"/>
      <c r="S113" s="2368"/>
      <c r="T113" s="2368"/>
      <c r="U113" s="2368"/>
      <c r="V113" s="2368"/>
      <c r="W113" s="2368"/>
      <c r="X113" s="2368"/>
      <c r="Y113" s="2368"/>
      <c r="Z113" s="2368"/>
      <c r="AA113" s="2368"/>
      <c r="AB113" s="2368"/>
      <c r="AC113" s="2368"/>
      <c r="AD113" s="2470"/>
      <c r="AE113" s="2368"/>
      <c r="AF113" s="2368"/>
      <c r="AG113" s="2368"/>
      <c r="AH113" s="2368"/>
      <c r="AI113" s="2368"/>
      <c r="AJ113" s="3027"/>
      <c r="AK113" s="2368"/>
      <c r="AL113" s="2470"/>
      <c r="AM113" s="2368"/>
      <c r="AN113" s="2368"/>
      <c r="AO113" s="2368"/>
      <c r="AP113" s="3027"/>
      <c r="AQ113" s="2368"/>
      <c r="AR113" s="2368"/>
      <c r="AS113" s="2368"/>
      <c r="AT113" s="2368"/>
      <c r="AU113" s="2368"/>
      <c r="AV113" s="2368"/>
      <c r="AW113" s="2368"/>
      <c r="AX113" s="2368"/>
      <c r="AY113" s="2368"/>
      <c r="AZ113" s="2470"/>
      <c r="BA113" s="2368"/>
      <c r="BB113" s="2470" t="s">
        <v>3294</v>
      </c>
      <c r="BC113" s="2368"/>
      <c r="BD113" s="2368"/>
      <c r="BE113" s="2470" t="s">
        <v>3295</v>
      </c>
      <c r="BF113" s="2368"/>
      <c r="BG113" s="2368"/>
      <c r="BH113" s="2470"/>
      <c r="BI113" s="2470"/>
      <c r="BJ113" s="2368"/>
      <c r="BK113" s="2470"/>
      <c r="BL113" s="2470"/>
      <c r="BM113" s="2368"/>
      <c r="BN113" s="2368"/>
      <c r="BO113" s="2470"/>
      <c r="BP113" s="2470"/>
      <c r="BQ113" s="2368"/>
      <c r="BR113" s="2470"/>
      <c r="BS113" s="2470"/>
      <c r="BT113" s="2470"/>
      <c r="BU113" s="2470"/>
      <c r="BV113" s="2470"/>
      <c r="BW113" s="2470"/>
      <c r="BX113" s="2470"/>
      <c r="BY113" s="2470">
        <v>1</v>
      </c>
      <c r="BZ113" s="2807"/>
      <c r="CA113" s="2807"/>
      <c r="CB113" s="2807"/>
      <c r="CC113" s="2807"/>
      <c r="CD113" s="2470"/>
      <c r="CE113" s="2470"/>
      <c r="CF113" s="2470"/>
      <c r="CG113" s="2470"/>
      <c r="CH113" s="2470"/>
      <c r="CI113" s="2470"/>
      <c r="CJ113" s="2470"/>
      <c r="CK113" s="2470"/>
      <c r="CL113" s="2470"/>
      <c r="CM113" s="2470"/>
      <c r="CN113" s="2470"/>
      <c r="CO113" s="2470"/>
      <c r="CP113" s="2470"/>
      <c r="CQ113" s="2470"/>
      <c r="CR113" s="2470"/>
      <c r="CS113" s="2470"/>
      <c r="CT113" s="2470"/>
      <c r="CU113" s="2470"/>
      <c r="CV113" s="2471" t="s">
        <v>3296</v>
      </c>
      <c r="CW113" s="2470" t="s">
        <v>3280</v>
      </c>
      <c r="CX113" s="2471"/>
      <c r="CY113" s="2520"/>
      <c r="CZ113"/>
    </row>
    <row r="114" spans="2:104" ht="18" x14ac:dyDescent="0.25">
      <c r="B114" s="2816">
        <v>111</v>
      </c>
      <c r="C114" s="2817" t="s">
        <v>3638</v>
      </c>
      <c r="D114" s="2818" t="s">
        <v>5514</v>
      </c>
      <c r="E114" s="2819"/>
      <c r="F114" s="2819"/>
      <c r="G114" s="2819"/>
      <c r="H114" s="2819"/>
      <c r="I114" s="2819"/>
      <c r="J114" s="2819"/>
      <c r="K114" s="2820"/>
      <c r="L114" s="2819"/>
      <c r="M114" s="2819"/>
      <c r="N114" s="2819"/>
      <c r="O114" s="2819"/>
      <c r="P114" s="2819"/>
      <c r="Q114" s="2819"/>
      <c r="R114" s="2819"/>
      <c r="S114" s="2819"/>
      <c r="T114" s="2819"/>
      <c r="U114" s="2819"/>
      <c r="V114" s="2819"/>
      <c r="W114" s="2819"/>
      <c r="X114" s="2819"/>
      <c r="Y114" s="2819"/>
      <c r="Z114" s="2819"/>
      <c r="AA114" s="2819"/>
      <c r="AB114" s="2820"/>
      <c r="AC114" s="2820"/>
      <c r="AD114" s="2820"/>
      <c r="AE114" s="2820"/>
      <c r="AF114" s="2820"/>
      <c r="AG114" s="2820"/>
      <c r="AH114" s="2820"/>
      <c r="AI114" s="2820"/>
      <c r="AJ114" s="2820"/>
      <c r="AK114" s="2820"/>
      <c r="AL114" s="2820"/>
      <c r="AM114" s="2820"/>
      <c r="AN114" s="2819"/>
      <c r="AO114" s="2820"/>
      <c r="AP114" s="2820"/>
      <c r="AQ114" s="2820"/>
      <c r="AR114" s="2820"/>
      <c r="AS114" s="2819"/>
      <c r="AT114" s="2820"/>
      <c r="AU114" s="2820"/>
      <c r="AV114" s="2820"/>
      <c r="AW114" s="2820"/>
      <c r="AX114" s="2820"/>
      <c r="AY114" s="2820"/>
      <c r="AZ114" s="2820"/>
      <c r="BA114" s="2820"/>
      <c r="BB114" s="2820"/>
      <c r="BC114" s="2820"/>
      <c r="BD114" s="2820"/>
      <c r="BE114" s="2820"/>
      <c r="BF114" s="2820"/>
      <c r="BG114" s="2820"/>
      <c r="BH114" s="2820"/>
      <c r="BI114" s="2820"/>
      <c r="BJ114" s="2820"/>
      <c r="BK114" s="2820"/>
      <c r="BL114" s="2820"/>
      <c r="BM114" s="2820"/>
      <c r="BN114" s="2820"/>
      <c r="BO114" s="2820"/>
      <c r="BP114" s="2820"/>
      <c r="BQ114" s="2820"/>
      <c r="BR114" s="2820"/>
      <c r="BS114" s="2820"/>
      <c r="BT114" s="2820"/>
      <c r="BU114" s="2820"/>
      <c r="BV114" s="2820"/>
      <c r="BW114" s="2820"/>
      <c r="BX114" s="2820"/>
      <c r="BY114" s="2820"/>
      <c r="BZ114" s="2820">
        <v>-1</v>
      </c>
      <c r="CA114" s="2820">
        <v>1</v>
      </c>
      <c r="CB114" s="2820"/>
      <c r="CC114" s="2820"/>
      <c r="CD114" s="2820"/>
      <c r="CE114" s="2820"/>
      <c r="CF114" s="2820"/>
      <c r="CG114" s="2820"/>
      <c r="CH114" s="2820"/>
      <c r="CI114" s="2820"/>
      <c r="CJ114" s="2820"/>
      <c r="CK114" s="2818"/>
      <c r="CL114" s="2818"/>
      <c r="CM114" s="2818"/>
      <c r="CN114" s="2818"/>
      <c r="CO114" s="2818"/>
      <c r="CP114" s="2818"/>
      <c r="CQ114" s="2818"/>
      <c r="CR114" s="2818"/>
      <c r="CS114" s="2818"/>
      <c r="CT114" s="2818"/>
      <c r="CU114" s="2818"/>
      <c r="CV114" s="2821" t="s">
        <v>5515</v>
      </c>
      <c r="CW114" s="2819" t="s">
        <v>2007</v>
      </c>
      <c r="CX114" s="2820"/>
      <c r="CY114" s="2822" t="s">
        <v>5507</v>
      </c>
      <c r="CZ114"/>
    </row>
    <row r="115" spans="2:104" ht="18" x14ac:dyDescent="0.25">
      <c r="B115" s="2816">
        <v>112</v>
      </c>
      <c r="C115" s="2817" t="s">
        <v>3641</v>
      </c>
      <c r="D115" s="2818" t="s">
        <v>5516</v>
      </c>
      <c r="E115" s="2819"/>
      <c r="F115" s="2819"/>
      <c r="G115" s="2819"/>
      <c r="H115" s="2819"/>
      <c r="I115" s="2819"/>
      <c r="J115" s="2819"/>
      <c r="K115" s="2820"/>
      <c r="L115" s="2819"/>
      <c r="M115" s="2819"/>
      <c r="N115" s="2819"/>
      <c r="O115" s="2819"/>
      <c r="P115" s="2819"/>
      <c r="Q115" s="2819"/>
      <c r="R115" s="2819"/>
      <c r="S115" s="2819"/>
      <c r="T115" s="2819"/>
      <c r="U115" s="2819"/>
      <c r="V115" s="2819"/>
      <c r="W115" s="2819"/>
      <c r="X115" s="2819"/>
      <c r="Y115" s="2819"/>
      <c r="Z115" s="2819"/>
      <c r="AA115" s="2819"/>
      <c r="AB115" s="2820"/>
      <c r="AC115" s="2820"/>
      <c r="AD115" s="2820"/>
      <c r="AE115" s="2820"/>
      <c r="AF115" s="2820"/>
      <c r="AG115" s="2820"/>
      <c r="AH115" s="2820"/>
      <c r="AI115" s="2820"/>
      <c r="AJ115" s="2820"/>
      <c r="AK115" s="2820"/>
      <c r="AL115" s="2820"/>
      <c r="AM115" s="2820"/>
      <c r="AN115" s="2819"/>
      <c r="AO115" s="2820"/>
      <c r="AP115" s="2820"/>
      <c r="AQ115" s="2820"/>
      <c r="AR115" s="2820"/>
      <c r="AS115" s="2819"/>
      <c r="AT115" s="2820"/>
      <c r="AU115" s="2820"/>
      <c r="AV115" s="2820"/>
      <c r="AW115" s="2820"/>
      <c r="AX115" s="2820"/>
      <c r="AY115" s="2820"/>
      <c r="AZ115" s="2820"/>
      <c r="BA115" s="2820"/>
      <c r="BB115" s="2820"/>
      <c r="BC115" s="2820"/>
      <c r="BD115" s="2820"/>
      <c r="BE115" s="2820"/>
      <c r="BF115" s="2820"/>
      <c r="BG115" s="2820"/>
      <c r="BH115" s="2820"/>
      <c r="BI115" s="2820"/>
      <c r="BJ115" s="2820"/>
      <c r="BK115" s="2820"/>
      <c r="BL115" s="2820"/>
      <c r="BM115" s="2820"/>
      <c r="BN115" s="2820"/>
      <c r="BO115" s="2820"/>
      <c r="BP115" s="2820"/>
      <c r="BQ115" s="2820"/>
      <c r="BR115" s="2820"/>
      <c r="BS115" s="2820"/>
      <c r="BT115" s="2820"/>
      <c r="BU115" s="2820"/>
      <c r="BV115" s="2820"/>
      <c r="BW115" s="2820"/>
      <c r="BX115" s="2820"/>
      <c r="BY115" s="2820"/>
      <c r="BZ115" s="2820"/>
      <c r="CA115" s="2820"/>
      <c r="CB115" s="2820">
        <v>-1</v>
      </c>
      <c r="CC115" s="2820">
        <v>1</v>
      </c>
      <c r="CD115" s="2820"/>
      <c r="CE115" s="2820"/>
      <c r="CF115" s="2820"/>
      <c r="CG115" s="2820"/>
      <c r="CH115" s="2820"/>
      <c r="CI115" s="2820"/>
      <c r="CJ115" s="2820"/>
      <c r="CK115" s="2818"/>
      <c r="CL115" s="2818"/>
      <c r="CM115" s="2818"/>
      <c r="CN115" s="2818"/>
      <c r="CO115" s="2818"/>
      <c r="CP115" s="2818"/>
      <c r="CQ115" s="2818"/>
      <c r="CR115" s="2818"/>
      <c r="CS115" s="2818"/>
      <c r="CT115" s="2818"/>
      <c r="CU115" s="2818"/>
      <c r="CV115" s="2821" t="s">
        <v>5517</v>
      </c>
      <c r="CW115" s="2819" t="s">
        <v>2007</v>
      </c>
      <c r="CX115" s="2820"/>
      <c r="CY115" s="2822" t="s">
        <v>5507</v>
      </c>
      <c r="CZ115"/>
    </row>
    <row r="116" spans="2:104" ht="18" x14ac:dyDescent="0.25">
      <c r="B116" s="2521">
        <v>113</v>
      </c>
      <c r="C116" s="2473" t="s">
        <v>3644</v>
      </c>
      <c r="D116" s="2474" t="s">
        <v>4696</v>
      </c>
      <c r="E116" s="2369"/>
      <c r="F116" s="2369"/>
      <c r="G116" s="2369"/>
      <c r="H116" s="2369"/>
      <c r="I116" s="2369"/>
      <c r="J116" s="3028"/>
      <c r="K116" s="2369"/>
      <c r="L116" s="2369"/>
      <c r="M116" s="2369"/>
      <c r="N116" s="2369"/>
      <c r="O116" s="2369"/>
      <c r="P116" s="2369"/>
      <c r="Q116" s="2369"/>
      <c r="R116" s="2475"/>
      <c r="S116" s="2369"/>
      <c r="T116" s="2369"/>
      <c r="U116" s="2369"/>
      <c r="V116" s="2369"/>
      <c r="W116" s="2369"/>
      <c r="X116" s="2369"/>
      <c r="Y116" s="2369"/>
      <c r="Z116" s="2369"/>
      <c r="AA116" s="2369"/>
      <c r="AB116" s="2369"/>
      <c r="AC116" s="2369"/>
      <c r="AD116" s="2475"/>
      <c r="AE116" s="2369"/>
      <c r="AF116" s="2369"/>
      <c r="AG116" s="2369"/>
      <c r="AH116" s="2369"/>
      <c r="AI116" s="2369"/>
      <c r="AJ116" s="3028"/>
      <c r="AK116" s="2369"/>
      <c r="AL116" s="2475"/>
      <c r="AM116" s="2369"/>
      <c r="AN116" s="2369"/>
      <c r="AO116" s="2369"/>
      <c r="AP116" s="3028"/>
      <c r="AQ116" s="2369"/>
      <c r="AR116" s="2369"/>
      <c r="AS116" s="2369"/>
      <c r="AT116" s="2369"/>
      <c r="AU116" s="2369"/>
      <c r="AV116" s="2369"/>
      <c r="AW116" s="2369"/>
      <c r="AX116" s="2369"/>
      <c r="AY116" s="2369"/>
      <c r="AZ116" s="2475"/>
      <c r="BA116" s="2369"/>
      <c r="BB116" s="2475"/>
      <c r="BC116" s="2369"/>
      <c r="BD116" s="2369"/>
      <c r="BE116" s="2475"/>
      <c r="BF116" s="2369"/>
      <c r="BG116" s="2369"/>
      <c r="BH116" s="2475"/>
      <c r="BI116" s="2475"/>
      <c r="BJ116" s="2369"/>
      <c r="BK116" s="2475"/>
      <c r="BL116" s="2475"/>
      <c r="BM116" s="2369"/>
      <c r="BN116" s="2369"/>
      <c r="BO116" s="2475"/>
      <c r="BP116" s="2475"/>
      <c r="BQ116" s="2369"/>
      <c r="BR116" s="2475"/>
      <c r="BS116" s="2475"/>
      <c r="BT116" s="2475"/>
      <c r="BU116" s="2475"/>
      <c r="BV116" s="2475"/>
      <c r="BW116" s="2475"/>
      <c r="BX116" s="2475"/>
      <c r="BY116" s="2475"/>
      <c r="BZ116" s="2808"/>
      <c r="CA116" s="2808"/>
      <c r="CB116" s="2808"/>
      <c r="CC116" s="2808"/>
      <c r="CD116" s="2475"/>
      <c r="CE116" s="2475">
        <v>1</v>
      </c>
      <c r="CF116" s="2475"/>
      <c r="CG116" s="2475"/>
      <c r="CH116" s="2475"/>
      <c r="CI116" s="2475"/>
      <c r="CJ116" s="2475"/>
      <c r="CK116" s="2475"/>
      <c r="CL116" s="2475"/>
      <c r="CM116" s="2475"/>
      <c r="CN116" s="2475"/>
      <c r="CO116" s="2475"/>
      <c r="CP116" s="2475"/>
      <c r="CQ116" s="2475"/>
      <c r="CR116" s="2475"/>
      <c r="CS116" s="2475"/>
      <c r="CT116" s="2475"/>
      <c r="CU116" s="2475"/>
      <c r="CV116" s="2476" t="s">
        <v>5115</v>
      </c>
      <c r="CW116" s="2477" t="s">
        <v>4698</v>
      </c>
      <c r="CX116" s="2478"/>
      <c r="CY116" s="2522"/>
      <c r="CZ116"/>
    </row>
    <row r="117" spans="2:104" ht="18" x14ac:dyDescent="0.25">
      <c r="B117" s="2523">
        <v>114</v>
      </c>
      <c r="C117" s="2479" t="s">
        <v>3646</v>
      </c>
      <c r="D117" s="1281" t="s">
        <v>3614</v>
      </c>
      <c r="E117" s="2370"/>
      <c r="F117" s="2370"/>
      <c r="G117" s="2370"/>
      <c r="H117" s="2370"/>
      <c r="I117" s="2370"/>
      <c r="J117" s="3029"/>
      <c r="K117" s="2370"/>
      <c r="L117" s="2370"/>
      <c r="M117" s="2370"/>
      <c r="N117" s="2370"/>
      <c r="O117" s="2370"/>
      <c r="P117" s="2370"/>
      <c r="Q117" s="2370"/>
      <c r="R117" s="2480"/>
      <c r="S117" s="2370"/>
      <c r="T117" s="2370"/>
      <c r="U117" s="2370"/>
      <c r="V117" s="2370"/>
      <c r="W117" s="2370"/>
      <c r="X117" s="2370"/>
      <c r="Y117" s="2370"/>
      <c r="Z117" s="2370"/>
      <c r="AA117" s="2370"/>
      <c r="AB117" s="2370"/>
      <c r="AC117" s="2370"/>
      <c r="AD117" s="2370"/>
      <c r="AE117" s="2370"/>
      <c r="AF117" s="2370"/>
      <c r="AG117" s="2370"/>
      <c r="AH117" s="2370"/>
      <c r="AI117" s="2370"/>
      <c r="AJ117" s="3029"/>
      <c r="AK117" s="2370"/>
      <c r="AL117" s="2370"/>
      <c r="AM117" s="2370"/>
      <c r="AN117" s="2370"/>
      <c r="AO117" s="2370"/>
      <c r="AP117" s="3029"/>
      <c r="AQ117" s="2370"/>
      <c r="AR117" s="2370"/>
      <c r="AS117" s="2370"/>
      <c r="AT117" s="2370"/>
      <c r="AU117" s="2370">
        <v>1</v>
      </c>
      <c r="AV117" s="2370"/>
      <c r="AW117" s="2370"/>
      <c r="AX117" s="2370"/>
      <c r="AY117" s="2370"/>
      <c r="AZ117" s="2370"/>
      <c r="BA117" s="2370"/>
      <c r="BB117" s="2370"/>
      <c r="BC117" s="2370"/>
      <c r="BD117" s="2370"/>
      <c r="BE117" s="2480"/>
      <c r="BF117" s="2480"/>
      <c r="BG117" s="2480"/>
      <c r="BH117" s="2480"/>
      <c r="BI117" s="2480"/>
      <c r="BJ117" s="2480"/>
      <c r="BK117" s="2480"/>
      <c r="BL117" s="2480"/>
      <c r="BM117" s="2480"/>
      <c r="BN117" s="2480"/>
      <c r="BO117" s="2480"/>
      <c r="BP117" s="2480"/>
      <c r="BQ117" s="2480"/>
      <c r="BR117" s="2480"/>
      <c r="BS117" s="2480"/>
      <c r="BT117" s="2480"/>
      <c r="BU117" s="2480"/>
      <c r="BV117" s="2480"/>
      <c r="BW117" s="2480"/>
      <c r="BX117" s="2480"/>
      <c r="BY117" s="2480"/>
      <c r="BZ117" s="2809"/>
      <c r="CA117" s="2809"/>
      <c r="CB117" s="2809"/>
      <c r="CC117" s="2809"/>
      <c r="CD117" s="2480"/>
      <c r="CE117" s="2480"/>
      <c r="CF117" s="2480"/>
      <c r="CG117" s="2480">
        <v>-1</v>
      </c>
      <c r="CH117" s="2480"/>
      <c r="CI117" s="2480"/>
      <c r="CJ117" s="2480"/>
      <c r="CK117" s="2480"/>
      <c r="CL117" s="2480"/>
      <c r="CM117" s="2480"/>
      <c r="CN117" s="2480"/>
      <c r="CO117" s="2480"/>
      <c r="CP117" s="2480"/>
      <c r="CQ117" s="2480"/>
      <c r="CR117" s="2480"/>
      <c r="CS117" s="2480"/>
      <c r="CT117" s="2480"/>
      <c r="CU117" s="2480"/>
      <c r="CV117" s="1281" t="s">
        <v>3615</v>
      </c>
      <c r="CW117" s="2370" t="s">
        <v>2007</v>
      </c>
      <c r="CX117" s="1281"/>
      <c r="CY117" s="2524"/>
      <c r="CZ117"/>
    </row>
    <row r="118" spans="2:104" ht="18" x14ac:dyDescent="0.25">
      <c r="B118" s="2523">
        <v>115</v>
      </c>
      <c r="C118" s="2479" t="s">
        <v>3647</v>
      </c>
      <c r="D118" s="1281" t="s">
        <v>3616</v>
      </c>
      <c r="E118" s="2370"/>
      <c r="F118" s="2370"/>
      <c r="G118" s="2370"/>
      <c r="H118" s="2370"/>
      <c r="I118" s="2370"/>
      <c r="J118" s="3029"/>
      <c r="K118" s="2370"/>
      <c r="L118" s="2370"/>
      <c r="M118" s="2370"/>
      <c r="N118" s="2370"/>
      <c r="O118" s="2370"/>
      <c r="P118" s="2370"/>
      <c r="Q118" s="2370"/>
      <c r="R118" s="2480"/>
      <c r="S118" s="2370"/>
      <c r="T118" s="2370"/>
      <c r="U118" s="2370"/>
      <c r="V118" s="2370"/>
      <c r="W118" s="2370"/>
      <c r="X118" s="2370"/>
      <c r="Y118" s="2370"/>
      <c r="Z118" s="2370"/>
      <c r="AA118" s="2370"/>
      <c r="AB118" s="2370"/>
      <c r="AC118" s="2370"/>
      <c r="AD118" s="2370"/>
      <c r="AE118" s="2370"/>
      <c r="AF118" s="2370"/>
      <c r="AG118" s="2370"/>
      <c r="AH118" s="2370"/>
      <c r="AI118" s="2370"/>
      <c r="AJ118" s="3029"/>
      <c r="AK118" s="2370"/>
      <c r="AL118" s="2370"/>
      <c r="AM118" s="2370"/>
      <c r="AN118" s="2370"/>
      <c r="AO118" s="2370"/>
      <c r="AP118" s="3029"/>
      <c r="AQ118" s="2370"/>
      <c r="AR118" s="2370"/>
      <c r="AS118" s="2370">
        <v>1</v>
      </c>
      <c r="AT118" s="2370"/>
      <c r="AU118" s="2370"/>
      <c r="AV118" s="2370"/>
      <c r="AW118" s="2370"/>
      <c r="AX118" s="2370"/>
      <c r="AY118" s="2370"/>
      <c r="AZ118" s="2370"/>
      <c r="BA118" s="2370"/>
      <c r="BB118" s="2370"/>
      <c r="BC118" s="2370"/>
      <c r="BD118" s="2370"/>
      <c r="BE118" s="2480"/>
      <c r="BF118" s="2480"/>
      <c r="BG118" s="2480"/>
      <c r="BH118" s="2480"/>
      <c r="BI118" s="2480"/>
      <c r="BJ118" s="2480"/>
      <c r="BK118" s="2480"/>
      <c r="BL118" s="2480"/>
      <c r="BM118" s="2480"/>
      <c r="BN118" s="2480"/>
      <c r="BO118" s="2480"/>
      <c r="BP118" s="2480"/>
      <c r="BQ118" s="2480"/>
      <c r="BR118" s="2480"/>
      <c r="BS118" s="2480"/>
      <c r="BT118" s="2480"/>
      <c r="BU118" s="2480"/>
      <c r="BV118" s="2480"/>
      <c r="BW118" s="2480"/>
      <c r="BX118" s="2480"/>
      <c r="BY118" s="2480"/>
      <c r="BZ118" s="2809"/>
      <c r="CA118" s="2809"/>
      <c r="CB118" s="2809"/>
      <c r="CC118" s="2809"/>
      <c r="CD118" s="2480"/>
      <c r="CE118" s="2480"/>
      <c r="CF118" s="2480"/>
      <c r="CG118" s="2480"/>
      <c r="CH118" s="2480">
        <v>-1</v>
      </c>
      <c r="CI118" s="2480"/>
      <c r="CJ118" s="2480"/>
      <c r="CK118" s="2480"/>
      <c r="CL118" s="2480"/>
      <c r="CM118" s="2480"/>
      <c r="CN118" s="2480"/>
      <c r="CO118" s="2480"/>
      <c r="CP118" s="2480"/>
      <c r="CQ118" s="2480"/>
      <c r="CR118" s="2480"/>
      <c r="CS118" s="2480"/>
      <c r="CT118" s="2480"/>
      <c r="CU118" s="2480"/>
      <c r="CV118" s="1281" t="s">
        <v>3617</v>
      </c>
      <c r="CW118" s="2370" t="s">
        <v>2007</v>
      </c>
      <c r="CX118" s="1281"/>
      <c r="CY118" s="2524"/>
      <c r="CZ118"/>
    </row>
    <row r="119" spans="2:104" ht="18" x14ac:dyDescent="0.25">
      <c r="B119" s="2523">
        <v>116</v>
      </c>
      <c r="C119" s="2479" t="s">
        <v>3648</v>
      </c>
      <c r="D119" s="1281" t="s">
        <v>3618</v>
      </c>
      <c r="E119" s="2370"/>
      <c r="F119" s="2370"/>
      <c r="G119" s="2370"/>
      <c r="H119" s="2370"/>
      <c r="I119" s="2370"/>
      <c r="J119" s="3029"/>
      <c r="K119" s="2370"/>
      <c r="L119" s="2370"/>
      <c r="M119" s="2370"/>
      <c r="N119" s="2370"/>
      <c r="O119" s="2370"/>
      <c r="P119" s="2370"/>
      <c r="Q119" s="2370"/>
      <c r="R119" s="2480"/>
      <c r="S119" s="2370"/>
      <c r="T119" s="2370"/>
      <c r="U119" s="2370"/>
      <c r="V119" s="2370"/>
      <c r="W119" s="2370"/>
      <c r="X119" s="2370"/>
      <c r="Y119" s="2370"/>
      <c r="Z119" s="2370"/>
      <c r="AA119" s="2370"/>
      <c r="AB119" s="2370"/>
      <c r="AC119" s="2370"/>
      <c r="AD119" s="2370"/>
      <c r="AE119" s="2370"/>
      <c r="AF119" s="2370"/>
      <c r="AG119" s="2370"/>
      <c r="AH119" s="2370"/>
      <c r="AI119" s="2370"/>
      <c r="AJ119" s="3029"/>
      <c r="AK119" s="2370"/>
      <c r="AL119" s="2370"/>
      <c r="AM119" s="2370"/>
      <c r="AN119" s="2370"/>
      <c r="AO119" s="2370"/>
      <c r="AP119" s="3029"/>
      <c r="AQ119" s="2370"/>
      <c r="AR119" s="2370"/>
      <c r="AS119" s="2370"/>
      <c r="AT119" s="2370">
        <v>1</v>
      </c>
      <c r="AU119" s="2370"/>
      <c r="AV119" s="2370"/>
      <c r="AW119" s="2370"/>
      <c r="AX119" s="2370"/>
      <c r="AY119" s="2370"/>
      <c r="AZ119" s="2370"/>
      <c r="BA119" s="2370"/>
      <c r="BB119" s="2370"/>
      <c r="BC119" s="2370"/>
      <c r="BD119" s="2370"/>
      <c r="BE119" s="2480"/>
      <c r="BF119" s="2480"/>
      <c r="BG119" s="2480"/>
      <c r="BH119" s="2480"/>
      <c r="BI119" s="2480"/>
      <c r="BJ119" s="2480"/>
      <c r="BK119" s="2480"/>
      <c r="BL119" s="2480"/>
      <c r="BM119" s="2480"/>
      <c r="BN119" s="2480"/>
      <c r="BO119" s="2480"/>
      <c r="BP119" s="2480"/>
      <c r="BQ119" s="2480"/>
      <c r="BR119" s="2480"/>
      <c r="BS119" s="2480"/>
      <c r="BT119" s="2480"/>
      <c r="BU119" s="2480"/>
      <c r="BV119" s="2480"/>
      <c r="BW119" s="2480"/>
      <c r="BX119" s="2480"/>
      <c r="BY119" s="2480"/>
      <c r="BZ119" s="2809"/>
      <c r="CA119" s="2809"/>
      <c r="CB119" s="2809"/>
      <c r="CC119" s="2809"/>
      <c r="CD119" s="2480"/>
      <c r="CE119" s="2480"/>
      <c r="CF119" s="2480"/>
      <c r="CG119" s="2480"/>
      <c r="CH119" s="2480"/>
      <c r="CI119" s="2480">
        <v>-1</v>
      </c>
      <c r="CJ119" s="2480"/>
      <c r="CK119" s="2480"/>
      <c r="CL119" s="2480"/>
      <c r="CM119" s="2480"/>
      <c r="CN119" s="2480"/>
      <c r="CO119" s="2480"/>
      <c r="CP119" s="2480"/>
      <c r="CQ119" s="2480"/>
      <c r="CR119" s="2480"/>
      <c r="CS119" s="2480"/>
      <c r="CT119" s="2480"/>
      <c r="CU119" s="2480"/>
      <c r="CV119" s="1281" t="s">
        <v>3619</v>
      </c>
      <c r="CW119" s="2370" t="s">
        <v>2007</v>
      </c>
      <c r="CX119" s="1281"/>
      <c r="CY119" s="2524"/>
      <c r="CZ119"/>
    </row>
    <row r="120" spans="2:104" ht="18" x14ac:dyDescent="0.25">
      <c r="B120" s="2523">
        <v>117</v>
      </c>
      <c r="C120" s="2479" t="s">
        <v>3879</v>
      </c>
      <c r="D120" s="1281" t="s">
        <v>3620</v>
      </c>
      <c r="E120" s="2370"/>
      <c r="F120" s="2370"/>
      <c r="G120" s="2370"/>
      <c r="H120" s="2370"/>
      <c r="I120" s="2370"/>
      <c r="J120" s="3029"/>
      <c r="K120" s="2370"/>
      <c r="L120" s="2370"/>
      <c r="M120" s="2370"/>
      <c r="N120" s="2370"/>
      <c r="O120" s="2370"/>
      <c r="P120" s="2370"/>
      <c r="Q120" s="2370"/>
      <c r="R120" s="2480"/>
      <c r="S120" s="2370"/>
      <c r="T120" s="2370"/>
      <c r="U120" s="2370"/>
      <c r="V120" s="2370"/>
      <c r="W120" s="2370"/>
      <c r="X120" s="2370"/>
      <c r="Y120" s="2370"/>
      <c r="Z120" s="2370"/>
      <c r="AA120" s="2370"/>
      <c r="AB120" s="2370"/>
      <c r="AC120" s="2370"/>
      <c r="AD120" s="2370"/>
      <c r="AE120" s="2370"/>
      <c r="AF120" s="2370"/>
      <c r="AG120" s="2370"/>
      <c r="AH120" s="2370"/>
      <c r="AI120" s="2370"/>
      <c r="AJ120" s="3029"/>
      <c r="AK120" s="2370"/>
      <c r="AL120" s="2370"/>
      <c r="AM120" s="2370"/>
      <c r="AN120" s="2370"/>
      <c r="AO120" s="2370"/>
      <c r="AP120" s="3029"/>
      <c r="AQ120" s="2370"/>
      <c r="AR120" s="2370">
        <v>1</v>
      </c>
      <c r="AS120" s="2370"/>
      <c r="AT120" s="2370"/>
      <c r="AU120" s="2370"/>
      <c r="AV120" s="2370"/>
      <c r="AW120" s="2370"/>
      <c r="AX120" s="2370"/>
      <c r="AY120" s="2370"/>
      <c r="AZ120" s="2370"/>
      <c r="BA120" s="2370"/>
      <c r="BB120" s="2370"/>
      <c r="BC120" s="2370"/>
      <c r="BD120" s="2370"/>
      <c r="BE120" s="2480"/>
      <c r="BF120" s="2480"/>
      <c r="BG120" s="2480"/>
      <c r="BH120" s="2480"/>
      <c r="BI120" s="2480"/>
      <c r="BJ120" s="2480"/>
      <c r="BK120" s="2480"/>
      <c r="BL120" s="2480"/>
      <c r="BM120" s="2480"/>
      <c r="BN120" s="2480"/>
      <c r="BO120" s="2480"/>
      <c r="BP120" s="2480"/>
      <c r="BQ120" s="2480"/>
      <c r="BR120" s="2480"/>
      <c r="BS120" s="2480"/>
      <c r="BT120" s="2480"/>
      <c r="BU120" s="2480"/>
      <c r="BV120" s="2480"/>
      <c r="BW120" s="2480"/>
      <c r="BX120" s="2480"/>
      <c r="BY120" s="2480"/>
      <c r="BZ120" s="2809"/>
      <c r="CA120" s="2809"/>
      <c r="CB120" s="2809"/>
      <c r="CC120" s="2809"/>
      <c r="CD120" s="2480"/>
      <c r="CE120" s="2480"/>
      <c r="CF120" s="2480"/>
      <c r="CG120" s="2480"/>
      <c r="CH120" s="2480"/>
      <c r="CI120" s="2480"/>
      <c r="CJ120" s="2480">
        <v>-1</v>
      </c>
      <c r="CK120" s="2480"/>
      <c r="CL120" s="2480"/>
      <c r="CM120" s="2480"/>
      <c r="CN120" s="2480"/>
      <c r="CO120" s="2480"/>
      <c r="CP120" s="2480"/>
      <c r="CQ120" s="2480"/>
      <c r="CR120" s="2480"/>
      <c r="CS120" s="2480"/>
      <c r="CT120" s="2480"/>
      <c r="CU120" s="2480"/>
      <c r="CV120" s="1281" t="s">
        <v>3621</v>
      </c>
      <c r="CW120" s="2370" t="s">
        <v>2007</v>
      </c>
      <c r="CX120" s="1281"/>
      <c r="CY120" s="2524"/>
      <c r="CZ120"/>
    </row>
    <row r="121" spans="2:104" ht="18" x14ac:dyDescent="0.25">
      <c r="B121" s="2523">
        <v>118</v>
      </c>
      <c r="C121" s="2479" t="s">
        <v>3880</v>
      </c>
      <c r="D121" s="1281" t="s">
        <v>3622</v>
      </c>
      <c r="E121" s="2370"/>
      <c r="F121" s="2370"/>
      <c r="G121" s="2370"/>
      <c r="H121" s="2370"/>
      <c r="I121" s="2370"/>
      <c r="J121" s="3029"/>
      <c r="K121" s="2370"/>
      <c r="L121" s="2370"/>
      <c r="M121" s="2370"/>
      <c r="N121" s="2370"/>
      <c r="O121" s="2370"/>
      <c r="P121" s="2370"/>
      <c r="Q121" s="2370"/>
      <c r="R121" s="2480"/>
      <c r="S121" s="2370"/>
      <c r="T121" s="2370"/>
      <c r="U121" s="2370"/>
      <c r="V121" s="2370"/>
      <c r="W121" s="2370"/>
      <c r="X121" s="2370"/>
      <c r="Y121" s="2370"/>
      <c r="Z121" s="2370"/>
      <c r="AA121" s="2370"/>
      <c r="AB121" s="2370"/>
      <c r="AC121" s="2370"/>
      <c r="AD121" s="2370">
        <v>1</v>
      </c>
      <c r="AE121" s="2370"/>
      <c r="AF121" s="2370"/>
      <c r="AG121" s="2370"/>
      <c r="AH121" s="2370"/>
      <c r="AI121" s="2370"/>
      <c r="AJ121" s="3029"/>
      <c r="AK121" s="2370"/>
      <c r="AL121" s="2370"/>
      <c r="AM121" s="2370"/>
      <c r="AN121" s="2370"/>
      <c r="AO121" s="2370"/>
      <c r="AP121" s="3029"/>
      <c r="AQ121" s="2370"/>
      <c r="AR121" s="2370"/>
      <c r="AS121" s="2370"/>
      <c r="AT121" s="2370"/>
      <c r="AU121" s="2370"/>
      <c r="AV121" s="2370"/>
      <c r="AW121" s="2370"/>
      <c r="AX121" s="2370"/>
      <c r="AY121" s="2370"/>
      <c r="AZ121" s="2370"/>
      <c r="BA121" s="2370"/>
      <c r="BB121" s="2370"/>
      <c r="BC121" s="2370"/>
      <c r="BD121" s="2370"/>
      <c r="BE121" s="2480"/>
      <c r="BF121" s="2480"/>
      <c r="BG121" s="2480"/>
      <c r="BH121" s="2480"/>
      <c r="BI121" s="2480"/>
      <c r="BJ121" s="2480"/>
      <c r="BK121" s="2480"/>
      <c r="BL121" s="2480"/>
      <c r="BM121" s="2480"/>
      <c r="BN121" s="2480"/>
      <c r="BO121" s="2480"/>
      <c r="BP121" s="2480"/>
      <c r="BQ121" s="2480"/>
      <c r="BR121" s="2480"/>
      <c r="BS121" s="2480"/>
      <c r="BT121" s="2480"/>
      <c r="BU121" s="2480"/>
      <c r="BV121" s="2480"/>
      <c r="BW121" s="2480"/>
      <c r="BX121" s="2480"/>
      <c r="BY121" s="2480"/>
      <c r="BZ121" s="2809"/>
      <c r="CA121" s="2809"/>
      <c r="CB121" s="2809"/>
      <c r="CC121" s="2809"/>
      <c r="CD121" s="2480"/>
      <c r="CE121" s="2480"/>
      <c r="CF121" s="2480"/>
      <c r="CG121" s="2480"/>
      <c r="CH121" s="2480"/>
      <c r="CI121" s="2480"/>
      <c r="CJ121" s="2480"/>
      <c r="CK121" s="2480">
        <v>-1</v>
      </c>
      <c r="CL121" s="2480"/>
      <c r="CM121" s="2480"/>
      <c r="CN121" s="2480"/>
      <c r="CO121" s="2480"/>
      <c r="CP121" s="2480"/>
      <c r="CQ121" s="2480"/>
      <c r="CR121" s="2480"/>
      <c r="CS121" s="2480"/>
      <c r="CT121" s="2480"/>
      <c r="CU121" s="2480"/>
      <c r="CV121" s="1281" t="s">
        <v>3623</v>
      </c>
      <c r="CW121" s="2370" t="s">
        <v>2007</v>
      </c>
      <c r="CX121" s="1281"/>
      <c r="CY121" s="2524"/>
      <c r="CZ121"/>
    </row>
    <row r="122" spans="2:104" ht="18" x14ac:dyDescent="0.25">
      <c r="B122" s="2523">
        <v>119</v>
      </c>
      <c r="C122" s="2479" t="s">
        <v>3889</v>
      </c>
      <c r="D122" s="1281" t="s">
        <v>3624</v>
      </c>
      <c r="E122" s="2370"/>
      <c r="F122" s="2370"/>
      <c r="G122" s="2370"/>
      <c r="H122" s="2370"/>
      <c r="I122" s="2370"/>
      <c r="J122" s="3029"/>
      <c r="K122" s="2370"/>
      <c r="L122" s="2370"/>
      <c r="M122" s="2370"/>
      <c r="N122" s="2370"/>
      <c r="O122" s="2370"/>
      <c r="P122" s="2370"/>
      <c r="Q122" s="2370"/>
      <c r="R122" s="2480"/>
      <c r="S122" s="2370"/>
      <c r="T122" s="2370"/>
      <c r="U122" s="2370"/>
      <c r="V122" s="2370"/>
      <c r="W122" s="2370"/>
      <c r="X122" s="2370"/>
      <c r="Y122" s="2370"/>
      <c r="Z122" s="2370"/>
      <c r="AA122" s="2370"/>
      <c r="AB122" s="2370"/>
      <c r="AC122" s="2370"/>
      <c r="AD122" s="2370"/>
      <c r="AE122" s="2370"/>
      <c r="AF122" s="2370"/>
      <c r="AG122" s="2370">
        <v>1</v>
      </c>
      <c r="AH122" s="2370"/>
      <c r="AI122" s="2370"/>
      <c r="AJ122" s="3029"/>
      <c r="AK122" s="2370"/>
      <c r="AL122" s="2370"/>
      <c r="AM122" s="2370"/>
      <c r="AN122" s="2370"/>
      <c r="AO122" s="2370"/>
      <c r="AP122" s="3029"/>
      <c r="AQ122" s="2370"/>
      <c r="AR122" s="2370"/>
      <c r="AS122" s="2370"/>
      <c r="AT122" s="2370"/>
      <c r="AU122" s="2370"/>
      <c r="AV122" s="2370"/>
      <c r="AW122" s="2370"/>
      <c r="AX122" s="2370"/>
      <c r="AY122" s="2370"/>
      <c r="AZ122" s="2370"/>
      <c r="BA122" s="2370"/>
      <c r="BB122" s="2370"/>
      <c r="BC122" s="2370"/>
      <c r="BD122" s="2370"/>
      <c r="BE122" s="2480"/>
      <c r="BF122" s="2480"/>
      <c r="BG122" s="2480"/>
      <c r="BH122" s="2480"/>
      <c r="BI122" s="2480"/>
      <c r="BJ122" s="2480"/>
      <c r="BK122" s="2480"/>
      <c r="BL122" s="2480"/>
      <c r="BM122" s="2480"/>
      <c r="BN122" s="2480"/>
      <c r="BO122" s="2480"/>
      <c r="BP122" s="2480"/>
      <c r="BQ122" s="2480"/>
      <c r="BR122" s="2480"/>
      <c r="BS122" s="2480"/>
      <c r="BT122" s="2480"/>
      <c r="BU122" s="2480"/>
      <c r="BV122" s="2480"/>
      <c r="BW122" s="2480"/>
      <c r="BX122" s="2480"/>
      <c r="BY122" s="2480"/>
      <c r="BZ122" s="2809"/>
      <c r="CA122" s="2809"/>
      <c r="CB122" s="2809"/>
      <c r="CC122" s="2809"/>
      <c r="CD122" s="2480"/>
      <c r="CE122" s="2480"/>
      <c r="CF122" s="2480"/>
      <c r="CG122" s="2480"/>
      <c r="CH122" s="2480"/>
      <c r="CI122" s="2480"/>
      <c r="CJ122" s="2480"/>
      <c r="CK122" s="2480"/>
      <c r="CL122" s="2480">
        <v>-1</v>
      </c>
      <c r="CM122" s="2480"/>
      <c r="CN122" s="2480"/>
      <c r="CO122" s="2480"/>
      <c r="CP122" s="2480"/>
      <c r="CQ122" s="2480"/>
      <c r="CR122" s="2480"/>
      <c r="CS122" s="2480"/>
      <c r="CT122" s="2480"/>
      <c r="CU122" s="2480"/>
      <c r="CV122" s="1281" t="s">
        <v>3625</v>
      </c>
      <c r="CW122" s="2370" t="s">
        <v>2007</v>
      </c>
      <c r="CX122" s="1281"/>
      <c r="CY122" s="2524"/>
      <c r="CZ122"/>
    </row>
    <row r="123" spans="2:104" ht="18" x14ac:dyDescent="0.25">
      <c r="B123" s="2523">
        <v>120</v>
      </c>
      <c r="C123" s="2479" t="s">
        <v>4647</v>
      </c>
      <c r="D123" s="1281" t="s">
        <v>3626</v>
      </c>
      <c r="E123" s="2370"/>
      <c r="F123" s="2370"/>
      <c r="G123" s="2370"/>
      <c r="H123" s="2370"/>
      <c r="I123" s="2370"/>
      <c r="J123" s="3029"/>
      <c r="K123" s="2370"/>
      <c r="L123" s="2370"/>
      <c r="M123" s="2370"/>
      <c r="N123" s="2370"/>
      <c r="O123" s="2370"/>
      <c r="P123" s="2370"/>
      <c r="Q123" s="2370"/>
      <c r="R123" s="2480"/>
      <c r="S123" s="2370"/>
      <c r="T123" s="2370"/>
      <c r="U123" s="2370"/>
      <c r="V123" s="2370"/>
      <c r="W123" s="2370"/>
      <c r="X123" s="2370"/>
      <c r="Y123" s="2370"/>
      <c r="Z123" s="2370"/>
      <c r="AA123" s="2370"/>
      <c r="AB123" s="2370"/>
      <c r="AC123" s="2370"/>
      <c r="AD123" s="2370"/>
      <c r="AE123" s="2370"/>
      <c r="AF123" s="2370"/>
      <c r="AG123" s="2370"/>
      <c r="AH123" s="2370"/>
      <c r="AI123" s="2370"/>
      <c r="AJ123" s="3029"/>
      <c r="AK123" s="2370"/>
      <c r="AL123" s="2370"/>
      <c r="AM123" s="2370"/>
      <c r="AN123" s="2370"/>
      <c r="AO123" s="2370"/>
      <c r="AP123" s="3029"/>
      <c r="AQ123" s="2370"/>
      <c r="AR123" s="2370"/>
      <c r="AS123" s="2370"/>
      <c r="AT123" s="2370"/>
      <c r="AU123" s="2370"/>
      <c r="AV123" s="2370"/>
      <c r="AW123" s="2370"/>
      <c r="AX123" s="2370"/>
      <c r="AY123" s="2370"/>
      <c r="AZ123" s="2370"/>
      <c r="BA123" s="2370"/>
      <c r="BB123" s="2370">
        <v>1</v>
      </c>
      <c r="BC123" s="2370"/>
      <c r="BD123" s="2370"/>
      <c r="BE123" s="2480"/>
      <c r="BF123" s="2480"/>
      <c r="BG123" s="2480"/>
      <c r="BH123" s="2480"/>
      <c r="BI123" s="2480"/>
      <c r="BJ123" s="2480"/>
      <c r="BK123" s="2480"/>
      <c r="BL123" s="2480"/>
      <c r="BM123" s="2480"/>
      <c r="BN123" s="2480"/>
      <c r="BO123" s="2480"/>
      <c r="BP123" s="2480"/>
      <c r="BQ123" s="2480"/>
      <c r="BR123" s="2480"/>
      <c r="BS123" s="2480"/>
      <c r="BT123" s="2480"/>
      <c r="BU123" s="2480"/>
      <c r="BV123" s="2480"/>
      <c r="BW123" s="2480"/>
      <c r="BX123" s="2480"/>
      <c r="BY123" s="2480"/>
      <c r="BZ123" s="2809"/>
      <c r="CA123" s="2809"/>
      <c r="CB123" s="2809"/>
      <c r="CC123" s="2809"/>
      <c r="CD123" s="2480"/>
      <c r="CE123" s="2480"/>
      <c r="CF123" s="2480"/>
      <c r="CG123" s="2480"/>
      <c r="CH123" s="2480"/>
      <c r="CI123" s="2480"/>
      <c r="CJ123" s="2480"/>
      <c r="CK123" s="2480"/>
      <c r="CL123" s="2480"/>
      <c r="CM123" s="2480">
        <v>-1</v>
      </c>
      <c r="CN123" s="2480"/>
      <c r="CO123" s="2480"/>
      <c r="CP123" s="2480"/>
      <c r="CQ123" s="2480"/>
      <c r="CR123" s="2480"/>
      <c r="CS123" s="2480"/>
      <c r="CT123" s="2480"/>
      <c r="CU123" s="2480"/>
      <c r="CV123" s="1281" t="s">
        <v>3627</v>
      </c>
      <c r="CW123" s="2370" t="s">
        <v>3280</v>
      </c>
      <c r="CX123" s="1281"/>
      <c r="CY123" s="2524"/>
      <c r="CZ123"/>
    </row>
    <row r="124" spans="2:104" ht="18" x14ac:dyDescent="0.25">
      <c r="B124" s="2503">
        <v>121</v>
      </c>
      <c r="C124" s="2427" t="s">
        <v>4648</v>
      </c>
      <c r="D124" s="1282" t="s">
        <v>3628</v>
      </c>
      <c r="E124" s="2359"/>
      <c r="F124" s="2359"/>
      <c r="G124" s="2359"/>
      <c r="H124" s="2359"/>
      <c r="I124" s="2359"/>
      <c r="J124" s="2797"/>
      <c r="K124" s="2359"/>
      <c r="L124" s="2359"/>
      <c r="M124" s="2359"/>
      <c r="N124" s="2359"/>
      <c r="O124" s="2359"/>
      <c r="P124" s="2359"/>
      <c r="Q124" s="2359"/>
      <c r="R124" s="2428"/>
      <c r="S124" s="2359"/>
      <c r="T124" s="2359"/>
      <c r="U124" s="2359"/>
      <c r="V124" s="2359"/>
      <c r="W124" s="2359"/>
      <c r="X124" s="2359"/>
      <c r="Y124" s="2359"/>
      <c r="Z124" s="2359"/>
      <c r="AA124" s="2359"/>
      <c r="AB124" s="2359"/>
      <c r="AC124" s="2359"/>
      <c r="AD124" s="2359"/>
      <c r="AE124" s="2359"/>
      <c r="AF124" s="2359"/>
      <c r="AG124" s="2359"/>
      <c r="AH124" s="2359"/>
      <c r="AI124" s="2359"/>
      <c r="AJ124" s="2797"/>
      <c r="AK124" s="2359"/>
      <c r="AL124" s="2359"/>
      <c r="AM124" s="2359"/>
      <c r="AN124" s="2359"/>
      <c r="AO124" s="2359"/>
      <c r="AP124" s="2797"/>
      <c r="AQ124" s="2359"/>
      <c r="AR124" s="2359"/>
      <c r="AS124" s="2359"/>
      <c r="AT124" s="2359"/>
      <c r="AU124" s="2359">
        <v>1</v>
      </c>
      <c r="AV124" s="2359"/>
      <c r="AW124" s="2359"/>
      <c r="AX124" s="2359"/>
      <c r="AY124" s="2359"/>
      <c r="AZ124" s="2359"/>
      <c r="BA124" s="2359"/>
      <c r="BB124" s="2359"/>
      <c r="BC124" s="2359"/>
      <c r="BD124" s="2359"/>
      <c r="BE124" s="2428"/>
      <c r="BF124" s="2428"/>
      <c r="BG124" s="2428"/>
      <c r="BH124" s="2428"/>
      <c r="BI124" s="2428"/>
      <c r="BJ124" s="2428"/>
      <c r="BK124" s="2428"/>
      <c r="BL124" s="2428"/>
      <c r="BM124" s="2428"/>
      <c r="BN124" s="2428"/>
      <c r="BO124" s="2428"/>
      <c r="BP124" s="2428"/>
      <c r="BQ124" s="2428"/>
      <c r="BR124" s="2428"/>
      <c r="BS124" s="2428"/>
      <c r="BT124" s="2428"/>
      <c r="BU124" s="2428"/>
      <c r="BV124" s="2428"/>
      <c r="BW124" s="2428"/>
      <c r="BX124" s="2428"/>
      <c r="BY124" s="2428"/>
      <c r="BZ124" s="2796"/>
      <c r="CA124" s="2796"/>
      <c r="CB124" s="2796"/>
      <c r="CC124" s="2796"/>
      <c r="CD124" s="2428"/>
      <c r="CE124" s="2428"/>
      <c r="CF124" s="2428"/>
      <c r="CG124" s="2428"/>
      <c r="CH124" s="2428"/>
      <c r="CI124" s="2428"/>
      <c r="CJ124" s="2428"/>
      <c r="CK124" s="2428"/>
      <c r="CL124" s="2428"/>
      <c r="CM124" s="2428"/>
      <c r="CN124" s="2428" t="s">
        <v>3629</v>
      </c>
      <c r="CO124" s="2428"/>
      <c r="CP124" s="2428"/>
      <c r="CQ124" s="2428"/>
      <c r="CR124" s="2428"/>
      <c r="CS124" s="2428"/>
      <c r="CT124" s="2428"/>
      <c r="CU124" s="2428"/>
      <c r="CV124" s="1282" t="s">
        <v>3630</v>
      </c>
      <c r="CW124" s="2359" t="s">
        <v>2007</v>
      </c>
      <c r="CX124" s="1282"/>
      <c r="CY124" s="2504"/>
      <c r="CZ124"/>
    </row>
    <row r="125" spans="2:104" ht="18" x14ac:dyDescent="0.25">
      <c r="B125" s="2503">
        <v>122</v>
      </c>
      <c r="C125" s="2427" t="s">
        <v>5131</v>
      </c>
      <c r="D125" s="1282" t="s">
        <v>3631</v>
      </c>
      <c r="E125" s="2359"/>
      <c r="F125" s="2359"/>
      <c r="G125" s="2359"/>
      <c r="H125" s="2359"/>
      <c r="I125" s="2359"/>
      <c r="J125" s="2797"/>
      <c r="K125" s="2359"/>
      <c r="L125" s="2359"/>
      <c r="M125" s="2359"/>
      <c r="N125" s="2359"/>
      <c r="O125" s="2359"/>
      <c r="P125" s="2359"/>
      <c r="Q125" s="2359"/>
      <c r="R125" s="2428"/>
      <c r="S125" s="2359"/>
      <c r="T125" s="2359"/>
      <c r="U125" s="2359"/>
      <c r="V125" s="2359"/>
      <c r="W125" s="2359"/>
      <c r="X125" s="2359"/>
      <c r="Y125" s="2359"/>
      <c r="Z125" s="2359"/>
      <c r="AA125" s="2359"/>
      <c r="AB125" s="2359"/>
      <c r="AC125" s="2359"/>
      <c r="AD125" s="2359"/>
      <c r="AE125" s="2359"/>
      <c r="AF125" s="2359"/>
      <c r="AG125" s="2359"/>
      <c r="AH125" s="2359"/>
      <c r="AI125" s="2359"/>
      <c r="AJ125" s="2797"/>
      <c r="AK125" s="2359"/>
      <c r="AL125" s="2359"/>
      <c r="AM125" s="2359"/>
      <c r="AN125" s="2359"/>
      <c r="AO125" s="2359"/>
      <c r="AP125" s="2797"/>
      <c r="AQ125" s="2359"/>
      <c r="AR125" s="2359"/>
      <c r="AS125" s="2359">
        <v>1</v>
      </c>
      <c r="AT125" s="2359"/>
      <c r="AU125" s="2359"/>
      <c r="AV125" s="2359"/>
      <c r="AW125" s="2359"/>
      <c r="AX125" s="2359"/>
      <c r="AY125" s="2359"/>
      <c r="AZ125" s="2359"/>
      <c r="BA125" s="2359"/>
      <c r="BB125" s="2359"/>
      <c r="BC125" s="2359"/>
      <c r="BD125" s="2359"/>
      <c r="BE125" s="2428"/>
      <c r="BF125" s="2428"/>
      <c r="BG125" s="2428"/>
      <c r="BH125" s="2428"/>
      <c r="BI125" s="2428"/>
      <c r="BJ125" s="2428"/>
      <c r="BK125" s="2428"/>
      <c r="BL125" s="2428"/>
      <c r="BM125" s="2428"/>
      <c r="BN125" s="2428"/>
      <c r="BO125" s="2428"/>
      <c r="BP125" s="2428"/>
      <c r="BQ125" s="2428"/>
      <c r="BR125" s="2428"/>
      <c r="BS125" s="2428"/>
      <c r="BT125" s="2428"/>
      <c r="BU125" s="2428"/>
      <c r="BV125" s="2428"/>
      <c r="BW125" s="2428"/>
      <c r="BX125" s="2428"/>
      <c r="BY125" s="2428"/>
      <c r="BZ125" s="2796"/>
      <c r="CA125" s="2796"/>
      <c r="CB125" s="2796"/>
      <c r="CC125" s="2796"/>
      <c r="CD125" s="2428"/>
      <c r="CE125" s="2428"/>
      <c r="CF125" s="2428"/>
      <c r="CG125" s="2428"/>
      <c r="CH125" s="2428"/>
      <c r="CI125" s="2428"/>
      <c r="CJ125" s="2428"/>
      <c r="CK125" s="2428"/>
      <c r="CL125" s="2428"/>
      <c r="CM125" s="2428"/>
      <c r="CN125" s="2428"/>
      <c r="CO125" s="2428" t="s">
        <v>3629</v>
      </c>
      <c r="CP125" s="2428"/>
      <c r="CQ125" s="2428"/>
      <c r="CR125" s="2428"/>
      <c r="CS125" s="2428"/>
      <c r="CT125" s="2428"/>
      <c r="CU125" s="2428"/>
      <c r="CV125" s="1282" t="s">
        <v>3632</v>
      </c>
      <c r="CW125" s="2359" t="s">
        <v>2007</v>
      </c>
      <c r="CX125" s="1282"/>
      <c r="CY125" s="2504"/>
      <c r="CZ125"/>
    </row>
    <row r="126" spans="2:104" ht="18" x14ac:dyDescent="0.25">
      <c r="B126" s="2503">
        <v>123</v>
      </c>
      <c r="C126" s="2427" t="s">
        <v>5167</v>
      </c>
      <c r="D126" s="1282" t="s">
        <v>3633</v>
      </c>
      <c r="E126" s="2359"/>
      <c r="F126" s="2359"/>
      <c r="G126" s="2359"/>
      <c r="H126" s="2359"/>
      <c r="I126" s="2359"/>
      <c r="J126" s="2797"/>
      <c r="K126" s="2359"/>
      <c r="L126" s="2359"/>
      <c r="M126" s="2359"/>
      <c r="N126" s="2359"/>
      <c r="O126" s="2359"/>
      <c r="P126" s="2359"/>
      <c r="Q126" s="2359"/>
      <c r="R126" s="2428"/>
      <c r="S126" s="2359"/>
      <c r="T126" s="2359"/>
      <c r="U126" s="2359"/>
      <c r="V126" s="2359"/>
      <c r="W126" s="2359"/>
      <c r="X126" s="2359"/>
      <c r="Y126" s="2359"/>
      <c r="Z126" s="2359"/>
      <c r="AA126" s="2359"/>
      <c r="AB126" s="2359"/>
      <c r="AC126" s="2359"/>
      <c r="AD126" s="2359"/>
      <c r="AE126" s="2359"/>
      <c r="AF126" s="2359"/>
      <c r="AG126" s="2359"/>
      <c r="AH126" s="2359"/>
      <c r="AI126" s="2359"/>
      <c r="AJ126" s="2797"/>
      <c r="AK126" s="2359"/>
      <c r="AL126" s="2359"/>
      <c r="AM126" s="2359"/>
      <c r="AN126" s="2359"/>
      <c r="AO126" s="2359"/>
      <c r="AP126" s="2797"/>
      <c r="AQ126" s="2359"/>
      <c r="AR126" s="2359"/>
      <c r="AS126" s="2359"/>
      <c r="AT126" s="2359">
        <v>1</v>
      </c>
      <c r="AU126" s="2359"/>
      <c r="AV126" s="2359"/>
      <c r="AW126" s="2359"/>
      <c r="AX126" s="2359"/>
      <c r="AY126" s="2359"/>
      <c r="AZ126" s="2359"/>
      <c r="BA126" s="2359"/>
      <c r="BB126" s="2359"/>
      <c r="BC126" s="2359"/>
      <c r="BD126" s="2359"/>
      <c r="BE126" s="2428"/>
      <c r="BF126" s="2428"/>
      <c r="BG126" s="2428"/>
      <c r="BH126" s="2428"/>
      <c r="BI126" s="2428"/>
      <c r="BJ126" s="2428"/>
      <c r="BK126" s="2428"/>
      <c r="BL126" s="2428"/>
      <c r="BM126" s="2428"/>
      <c r="BN126" s="2428"/>
      <c r="BO126" s="2428"/>
      <c r="BP126" s="2428"/>
      <c r="BQ126" s="2428"/>
      <c r="BR126" s="2428"/>
      <c r="BS126" s="2428"/>
      <c r="BT126" s="2428"/>
      <c r="BU126" s="2428"/>
      <c r="BV126" s="2428"/>
      <c r="BW126" s="2428"/>
      <c r="BX126" s="2428"/>
      <c r="BY126" s="2428"/>
      <c r="BZ126" s="2796"/>
      <c r="CA126" s="2796"/>
      <c r="CB126" s="2796"/>
      <c r="CC126" s="2796"/>
      <c r="CD126" s="2428"/>
      <c r="CE126" s="2428"/>
      <c r="CF126" s="2428"/>
      <c r="CG126" s="2428"/>
      <c r="CH126" s="2428"/>
      <c r="CI126" s="2428"/>
      <c r="CJ126" s="2428"/>
      <c r="CK126" s="2428"/>
      <c r="CL126" s="2428"/>
      <c r="CM126" s="2428"/>
      <c r="CN126" s="2428"/>
      <c r="CO126" s="2428"/>
      <c r="CP126" s="2428" t="s">
        <v>3629</v>
      </c>
      <c r="CQ126" s="2428"/>
      <c r="CR126" s="2428"/>
      <c r="CS126" s="2428"/>
      <c r="CT126" s="2428"/>
      <c r="CU126" s="2428"/>
      <c r="CV126" s="1282" t="s">
        <v>3634</v>
      </c>
      <c r="CW126" s="2359" t="s">
        <v>2007</v>
      </c>
      <c r="CX126" s="1282"/>
      <c r="CY126" s="2504"/>
      <c r="CZ126"/>
    </row>
    <row r="127" spans="2:104" ht="18" x14ac:dyDescent="0.25">
      <c r="B127" s="2503">
        <v>124</v>
      </c>
      <c r="C127" s="2427" t="s">
        <v>5265</v>
      </c>
      <c r="D127" s="1282" t="s">
        <v>3636</v>
      </c>
      <c r="E127" s="2359"/>
      <c r="F127" s="2359"/>
      <c r="G127" s="2359"/>
      <c r="H127" s="2359"/>
      <c r="I127" s="2359"/>
      <c r="J127" s="2797"/>
      <c r="K127" s="2359"/>
      <c r="L127" s="2359"/>
      <c r="M127" s="2359"/>
      <c r="N127" s="2359"/>
      <c r="O127" s="2359"/>
      <c r="P127" s="2359"/>
      <c r="Q127" s="2359"/>
      <c r="R127" s="2428"/>
      <c r="S127" s="2359"/>
      <c r="T127" s="2359"/>
      <c r="U127" s="2359"/>
      <c r="V127" s="2359"/>
      <c r="W127" s="2359"/>
      <c r="X127" s="2359"/>
      <c r="Y127" s="2359"/>
      <c r="Z127" s="2359"/>
      <c r="AA127" s="2359"/>
      <c r="AB127" s="2359"/>
      <c r="AC127" s="2359"/>
      <c r="AD127" s="2359"/>
      <c r="AE127" s="2359"/>
      <c r="AF127" s="2359"/>
      <c r="AG127" s="2359"/>
      <c r="AH127" s="2359"/>
      <c r="AI127" s="2359"/>
      <c r="AJ127" s="2797"/>
      <c r="AK127" s="2359"/>
      <c r="AL127" s="2359"/>
      <c r="AM127" s="2359"/>
      <c r="AN127" s="2359"/>
      <c r="AO127" s="2359"/>
      <c r="AP127" s="2797"/>
      <c r="AQ127" s="2359"/>
      <c r="AR127" s="2359">
        <v>1</v>
      </c>
      <c r="AS127" s="2359"/>
      <c r="AT127" s="2359"/>
      <c r="AU127" s="2359"/>
      <c r="AV127" s="2359"/>
      <c r="AW127" s="2359"/>
      <c r="AX127" s="2359"/>
      <c r="AY127" s="2359"/>
      <c r="AZ127" s="2359"/>
      <c r="BA127" s="2359"/>
      <c r="BB127" s="2359"/>
      <c r="BC127" s="2359"/>
      <c r="BD127" s="2359"/>
      <c r="BE127" s="2428"/>
      <c r="BF127" s="2428"/>
      <c r="BG127" s="2428"/>
      <c r="BH127" s="2428"/>
      <c r="BI127" s="2428"/>
      <c r="BJ127" s="2428"/>
      <c r="BK127" s="2428"/>
      <c r="BL127" s="2428"/>
      <c r="BM127" s="2428"/>
      <c r="BN127" s="2428"/>
      <c r="BO127" s="2428"/>
      <c r="BP127" s="2428"/>
      <c r="BQ127" s="2428"/>
      <c r="BR127" s="2428"/>
      <c r="BS127" s="2428"/>
      <c r="BT127" s="2428"/>
      <c r="BU127" s="2428"/>
      <c r="BV127" s="2428"/>
      <c r="BW127" s="2428"/>
      <c r="BX127" s="2428"/>
      <c r="BY127" s="2428"/>
      <c r="BZ127" s="2796"/>
      <c r="CA127" s="2796"/>
      <c r="CB127" s="2796"/>
      <c r="CC127" s="2796"/>
      <c r="CD127" s="2428"/>
      <c r="CE127" s="2428"/>
      <c r="CF127" s="2428"/>
      <c r="CG127" s="2428"/>
      <c r="CH127" s="2428"/>
      <c r="CI127" s="2428"/>
      <c r="CJ127" s="2428"/>
      <c r="CK127" s="2428"/>
      <c r="CL127" s="2428"/>
      <c r="CM127" s="2428"/>
      <c r="CN127" s="2428"/>
      <c r="CO127" s="2428"/>
      <c r="CP127" s="2428"/>
      <c r="CQ127" s="2428" t="s">
        <v>3629</v>
      </c>
      <c r="CR127" s="2428"/>
      <c r="CS127" s="2428"/>
      <c r="CT127" s="2428"/>
      <c r="CU127" s="2428"/>
      <c r="CV127" s="1282" t="s">
        <v>3637</v>
      </c>
      <c r="CW127" s="2359" t="s">
        <v>2007</v>
      </c>
      <c r="CX127" s="1282"/>
      <c r="CY127" s="2504"/>
      <c r="CZ127"/>
    </row>
    <row r="128" spans="2:104" ht="18" x14ac:dyDescent="0.25">
      <c r="B128" s="2503">
        <v>125</v>
      </c>
      <c r="C128" s="2427" t="s">
        <v>5266</v>
      </c>
      <c r="D128" s="1282" t="s">
        <v>3639</v>
      </c>
      <c r="E128" s="2359"/>
      <c r="F128" s="2359"/>
      <c r="G128" s="2359"/>
      <c r="H128" s="2359"/>
      <c r="I128" s="2359"/>
      <c r="J128" s="2797"/>
      <c r="K128" s="2359"/>
      <c r="L128" s="2359"/>
      <c r="M128" s="2359"/>
      <c r="N128" s="2359"/>
      <c r="O128" s="2359"/>
      <c r="P128" s="2359"/>
      <c r="Q128" s="2359"/>
      <c r="R128" s="2428"/>
      <c r="S128" s="2359"/>
      <c r="T128" s="2359"/>
      <c r="U128" s="2359"/>
      <c r="V128" s="2359"/>
      <c r="W128" s="2359"/>
      <c r="X128" s="2359"/>
      <c r="Y128" s="2359"/>
      <c r="Z128" s="2359"/>
      <c r="AA128" s="2359"/>
      <c r="AB128" s="2359"/>
      <c r="AC128" s="2359"/>
      <c r="AD128" s="2359">
        <v>1</v>
      </c>
      <c r="AE128" s="2359"/>
      <c r="AF128" s="2359"/>
      <c r="AG128" s="2359"/>
      <c r="AH128" s="2359"/>
      <c r="AI128" s="2359"/>
      <c r="AJ128" s="2797"/>
      <c r="AK128" s="2359"/>
      <c r="AL128" s="2359"/>
      <c r="AM128" s="2359"/>
      <c r="AN128" s="2359"/>
      <c r="AO128" s="2359"/>
      <c r="AP128" s="2797"/>
      <c r="AQ128" s="2359"/>
      <c r="AR128" s="2359"/>
      <c r="AS128" s="2359"/>
      <c r="AT128" s="2359"/>
      <c r="AU128" s="2359"/>
      <c r="AV128" s="2359"/>
      <c r="AW128" s="2359"/>
      <c r="AX128" s="2359"/>
      <c r="AY128" s="2359"/>
      <c r="AZ128" s="2359"/>
      <c r="BA128" s="2359"/>
      <c r="BB128" s="2359"/>
      <c r="BC128" s="2359"/>
      <c r="BD128" s="2359"/>
      <c r="BE128" s="2428"/>
      <c r="BF128" s="2428"/>
      <c r="BG128" s="2428"/>
      <c r="BH128" s="2428"/>
      <c r="BI128" s="2428"/>
      <c r="BJ128" s="2428"/>
      <c r="BK128" s="2428"/>
      <c r="BL128" s="2428"/>
      <c r="BM128" s="2428"/>
      <c r="BN128" s="2428"/>
      <c r="BO128" s="2428"/>
      <c r="BP128" s="2428"/>
      <c r="BQ128" s="2428"/>
      <c r="BR128" s="2428"/>
      <c r="BS128" s="2428"/>
      <c r="BT128" s="2428"/>
      <c r="BU128" s="2428"/>
      <c r="BV128" s="2428"/>
      <c r="BW128" s="2428"/>
      <c r="BX128" s="2428"/>
      <c r="BY128" s="2428"/>
      <c r="BZ128" s="2796"/>
      <c r="CA128" s="2796"/>
      <c r="CB128" s="2796"/>
      <c r="CC128" s="2796"/>
      <c r="CD128" s="2428"/>
      <c r="CE128" s="2428"/>
      <c r="CF128" s="2428"/>
      <c r="CG128" s="2428"/>
      <c r="CH128" s="2428"/>
      <c r="CI128" s="2428"/>
      <c r="CJ128" s="2428"/>
      <c r="CK128" s="2428"/>
      <c r="CL128" s="2428"/>
      <c r="CM128" s="2428"/>
      <c r="CN128" s="2428"/>
      <c r="CO128" s="2428"/>
      <c r="CP128" s="2428"/>
      <c r="CQ128" s="2428"/>
      <c r="CR128" s="2428" t="s">
        <v>3629</v>
      </c>
      <c r="CS128" s="2428"/>
      <c r="CT128" s="2428"/>
      <c r="CU128" s="2428"/>
      <c r="CV128" s="1282" t="s">
        <v>3640</v>
      </c>
      <c r="CW128" s="2359" t="s">
        <v>2007</v>
      </c>
      <c r="CX128" s="1282"/>
      <c r="CY128" s="2504"/>
      <c r="CZ128"/>
    </row>
    <row r="129" spans="2:105" ht="18" x14ac:dyDescent="0.25">
      <c r="B129" s="2503">
        <v>126</v>
      </c>
      <c r="C129" s="2427" t="s">
        <v>5267</v>
      </c>
      <c r="D129" s="1282" t="s">
        <v>3642</v>
      </c>
      <c r="E129" s="2359"/>
      <c r="F129" s="2359"/>
      <c r="G129" s="2359"/>
      <c r="H129" s="2359"/>
      <c r="I129" s="2359"/>
      <c r="J129" s="2797"/>
      <c r="K129" s="2359"/>
      <c r="L129" s="2359"/>
      <c r="M129" s="2359"/>
      <c r="N129" s="2359"/>
      <c r="O129" s="2359"/>
      <c r="P129" s="2359"/>
      <c r="Q129" s="2359"/>
      <c r="R129" s="2428"/>
      <c r="S129" s="2359"/>
      <c r="T129" s="2359"/>
      <c r="U129" s="2359"/>
      <c r="V129" s="2359"/>
      <c r="W129" s="2359"/>
      <c r="X129" s="2359"/>
      <c r="Y129" s="2359"/>
      <c r="Z129" s="2359"/>
      <c r="AA129" s="2359"/>
      <c r="AB129" s="2359"/>
      <c r="AC129" s="2359"/>
      <c r="AD129" s="2359"/>
      <c r="AE129" s="2359"/>
      <c r="AF129" s="2359"/>
      <c r="AG129" s="2359">
        <v>1</v>
      </c>
      <c r="AH129" s="2359"/>
      <c r="AI129" s="2359"/>
      <c r="AJ129" s="2797"/>
      <c r="AK129" s="2359"/>
      <c r="AL129" s="2359"/>
      <c r="AM129" s="2359"/>
      <c r="AN129" s="2359"/>
      <c r="AO129" s="2359"/>
      <c r="AP129" s="2797"/>
      <c r="AQ129" s="2359"/>
      <c r="AR129" s="2359"/>
      <c r="AS129" s="2359"/>
      <c r="AT129" s="2359"/>
      <c r="AU129" s="2359"/>
      <c r="AV129" s="2359"/>
      <c r="AW129" s="2359"/>
      <c r="AX129" s="2359"/>
      <c r="AY129" s="2359"/>
      <c r="AZ129" s="2359"/>
      <c r="BA129" s="2359"/>
      <c r="BB129" s="2359"/>
      <c r="BC129" s="2359"/>
      <c r="BD129" s="2359"/>
      <c r="BE129" s="2428"/>
      <c r="BF129" s="2428"/>
      <c r="BG129" s="2428"/>
      <c r="BH129" s="2428"/>
      <c r="BI129" s="2428"/>
      <c r="BJ129" s="2428"/>
      <c r="BK129" s="2428"/>
      <c r="BL129" s="2428"/>
      <c r="BM129" s="2428"/>
      <c r="BN129" s="2428"/>
      <c r="BO129" s="2428"/>
      <c r="BP129" s="2428"/>
      <c r="BQ129" s="2428"/>
      <c r="BR129" s="2428"/>
      <c r="BS129" s="2428"/>
      <c r="BT129" s="2428"/>
      <c r="BU129" s="2428"/>
      <c r="BV129" s="2428"/>
      <c r="BW129" s="2428"/>
      <c r="BX129" s="2428"/>
      <c r="BY129" s="2428"/>
      <c r="BZ129" s="2796"/>
      <c r="CA129" s="2796"/>
      <c r="CB129" s="2796"/>
      <c r="CC129" s="2796"/>
      <c r="CD129" s="2428"/>
      <c r="CE129" s="2428"/>
      <c r="CF129" s="2428"/>
      <c r="CG129" s="2428"/>
      <c r="CH129" s="2428"/>
      <c r="CI129" s="2428"/>
      <c r="CJ129" s="2428"/>
      <c r="CK129" s="2428"/>
      <c r="CL129" s="2428"/>
      <c r="CM129" s="2428"/>
      <c r="CN129" s="2428"/>
      <c r="CO129" s="2428"/>
      <c r="CP129" s="2428"/>
      <c r="CQ129" s="2428"/>
      <c r="CR129" s="2428"/>
      <c r="CS129" s="2428" t="s">
        <v>3629</v>
      </c>
      <c r="CT129" s="2428"/>
      <c r="CU129" s="2428"/>
      <c r="CV129" s="1282" t="s">
        <v>3643</v>
      </c>
      <c r="CW129" s="2359" t="s">
        <v>2007</v>
      </c>
      <c r="CX129" s="1282"/>
      <c r="CY129" s="2504"/>
      <c r="CZ129"/>
    </row>
    <row r="130" spans="2:105" ht="18" x14ac:dyDescent="0.25">
      <c r="B130" s="2503">
        <v>127</v>
      </c>
      <c r="C130" s="2427" t="s">
        <v>5268</v>
      </c>
      <c r="D130" s="1282" t="s">
        <v>3297</v>
      </c>
      <c r="E130" s="2359"/>
      <c r="F130" s="2359"/>
      <c r="G130" s="2359"/>
      <c r="H130" s="2359"/>
      <c r="I130" s="2359"/>
      <c r="J130" s="2797"/>
      <c r="K130" s="2359"/>
      <c r="L130" s="2359"/>
      <c r="M130" s="2359"/>
      <c r="N130" s="2359"/>
      <c r="O130" s="2359"/>
      <c r="P130" s="2359"/>
      <c r="Q130" s="2359"/>
      <c r="R130" s="2428"/>
      <c r="S130" s="2359"/>
      <c r="T130" s="2359"/>
      <c r="U130" s="2359"/>
      <c r="V130" s="2359"/>
      <c r="W130" s="2359"/>
      <c r="X130" s="2359"/>
      <c r="Y130" s="2359"/>
      <c r="Z130" s="2359"/>
      <c r="AA130" s="2359"/>
      <c r="AB130" s="2359"/>
      <c r="AC130" s="2359"/>
      <c r="AD130" s="2359"/>
      <c r="AE130" s="2359"/>
      <c r="AF130" s="2359"/>
      <c r="AG130" s="2359"/>
      <c r="AH130" s="2359"/>
      <c r="AI130" s="2359"/>
      <c r="AJ130" s="2797"/>
      <c r="AK130" s="2359"/>
      <c r="AL130" s="2359"/>
      <c r="AM130" s="2359"/>
      <c r="AN130" s="2359"/>
      <c r="AO130" s="2359"/>
      <c r="AP130" s="2797"/>
      <c r="AQ130" s="2359"/>
      <c r="AR130" s="2359"/>
      <c r="AS130" s="2359"/>
      <c r="AT130" s="2359"/>
      <c r="AU130" s="2359"/>
      <c r="AV130" s="2359"/>
      <c r="AW130" s="2359"/>
      <c r="AX130" s="2359"/>
      <c r="AY130" s="2359"/>
      <c r="AZ130" s="2359"/>
      <c r="BA130" s="2359"/>
      <c r="BB130" s="2359">
        <v>1</v>
      </c>
      <c r="BC130" s="2359"/>
      <c r="BD130" s="2359"/>
      <c r="BE130" s="2428"/>
      <c r="BF130" s="2428"/>
      <c r="BG130" s="2428"/>
      <c r="BH130" s="2428"/>
      <c r="BI130" s="2428"/>
      <c r="BJ130" s="2428"/>
      <c r="BK130" s="2428"/>
      <c r="BL130" s="2428"/>
      <c r="BM130" s="2428"/>
      <c r="BN130" s="2428"/>
      <c r="BO130" s="2428"/>
      <c r="BP130" s="2428"/>
      <c r="BQ130" s="2428"/>
      <c r="BR130" s="2428"/>
      <c r="BS130" s="2428"/>
      <c r="BT130" s="2428"/>
      <c r="BU130" s="2428"/>
      <c r="BV130" s="2428"/>
      <c r="BW130" s="2428"/>
      <c r="BX130" s="2428"/>
      <c r="BY130" s="2428"/>
      <c r="BZ130" s="2796"/>
      <c r="CA130" s="2796"/>
      <c r="CB130" s="2796"/>
      <c r="CC130" s="2796"/>
      <c r="CD130" s="2428"/>
      <c r="CE130" s="2428"/>
      <c r="CF130" s="2428"/>
      <c r="CG130" s="2428"/>
      <c r="CH130" s="2428"/>
      <c r="CI130" s="2428"/>
      <c r="CJ130" s="2428"/>
      <c r="CK130" s="2428"/>
      <c r="CL130" s="2428"/>
      <c r="CM130" s="2428"/>
      <c r="CN130" s="2428"/>
      <c r="CO130" s="2428"/>
      <c r="CP130" s="2428"/>
      <c r="CQ130" s="2428"/>
      <c r="CR130" s="2428"/>
      <c r="CS130" s="2428"/>
      <c r="CT130" s="2428" t="s">
        <v>3629</v>
      </c>
      <c r="CU130" s="2428"/>
      <c r="CV130" s="1283" t="s">
        <v>3645</v>
      </c>
      <c r="CW130" s="2428" t="s">
        <v>3280</v>
      </c>
      <c r="CX130" s="1283"/>
      <c r="CY130" s="2504"/>
      <c r="CZ130"/>
    </row>
    <row r="131" spans="2:105" ht="18" x14ac:dyDescent="0.25">
      <c r="B131" s="2525">
        <v>128</v>
      </c>
      <c r="C131" s="2481" t="s">
        <v>5530</v>
      </c>
      <c r="D131" s="2482" t="s">
        <v>3298</v>
      </c>
      <c r="E131" s="2371"/>
      <c r="F131" s="2371"/>
      <c r="G131" s="2371"/>
      <c r="H131" s="2371"/>
      <c r="I131" s="2371"/>
      <c r="J131" s="3030"/>
      <c r="K131" s="2371"/>
      <c r="L131" s="2371"/>
      <c r="M131" s="2371"/>
      <c r="N131" s="2371"/>
      <c r="O131" s="2371"/>
      <c r="P131" s="2371"/>
      <c r="Q131" s="2371"/>
      <c r="R131" s="2483"/>
      <c r="S131" s="2371"/>
      <c r="T131" s="2371"/>
      <c r="U131" s="2371"/>
      <c r="V131" s="2371"/>
      <c r="W131" s="2371"/>
      <c r="X131" s="2371"/>
      <c r="Y131" s="2371"/>
      <c r="Z131" s="2371"/>
      <c r="AA131" s="2371"/>
      <c r="AB131" s="2371"/>
      <c r="AC131" s="2371"/>
      <c r="AD131" s="2371"/>
      <c r="AE131" s="2371"/>
      <c r="AF131" s="2371"/>
      <c r="AG131" s="2371"/>
      <c r="AH131" s="2371"/>
      <c r="AI131" s="2371"/>
      <c r="AJ131" s="3030"/>
      <c r="AK131" s="2371"/>
      <c r="AL131" s="2371"/>
      <c r="AM131" s="2371"/>
      <c r="AN131" s="2371"/>
      <c r="AO131" s="2371"/>
      <c r="AP131" s="3030"/>
      <c r="AQ131" s="2371"/>
      <c r="AR131" s="2371"/>
      <c r="AS131" s="2371"/>
      <c r="AT131" s="2371"/>
      <c r="AU131" s="2371"/>
      <c r="AV131" s="2371"/>
      <c r="AW131" s="2371"/>
      <c r="AX131" s="2371"/>
      <c r="AY131" s="2371"/>
      <c r="AZ131" s="2371"/>
      <c r="BA131" s="2371"/>
      <c r="BB131" s="2371"/>
      <c r="BC131" s="2371"/>
      <c r="BD131" s="2371"/>
      <c r="BE131" s="2483"/>
      <c r="BF131" s="2483"/>
      <c r="BG131" s="2483"/>
      <c r="BH131" s="2483"/>
      <c r="BI131" s="2483"/>
      <c r="BJ131" s="2483"/>
      <c r="BK131" s="2483"/>
      <c r="BL131" s="2483"/>
      <c r="BM131" s="2483"/>
      <c r="BN131" s="2483"/>
      <c r="BO131" s="2483"/>
      <c r="BP131" s="2483"/>
      <c r="BQ131" s="2483"/>
      <c r="BR131" s="2483"/>
      <c r="BS131" s="2483"/>
      <c r="BT131" s="2483"/>
      <c r="BU131" s="2483"/>
      <c r="BV131" s="2483"/>
      <c r="BW131" s="2483"/>
      <c r="BX131" s="2483"/>
      <c r="BY131" s="2483"/>
      <c r="BZ131" s="2810"/>
      <c r="CA131" s="2810"/>
      <c r="CB131" s="2810"/>
      <c r="CC131" s="2810"/>
      <c r="CD131" s="2483"/>
      <c r="CE131" s="2483"/>
      <c r="CF131" s="2483"/>
      <c r="CG131" s="2483"/>
      <c r="CH131" s="2483"/>
      <c r="CI131" s="2483"/>
      <c r="CJ131" s="2483"/>
      <c r="CK131" s="2483"/>
      <c r="CL131" s="2483"/>
      <c r="CM131" s="2483"/>
      <c r="CN131" s="2483"/>
      <c r="CO131" s="2483"/>
      <c r="CP131" s="2483"/>
      <c r="CQ131" s="2483"/>
      <c r="CR131" s="2483"/>
      <c r="CS131" s="2483"/>
      <c r="CT131" s="2483"/>
      <c r="CU131" s="2483">
        <v>1</v>
      </c>
      <c r="CV131" s="1284" t="s">
        <v>4639</v>
      </c>
      <c r="CW131" s="2483" t="s">
        <v>5182</v>
      </c>
      <c r="CX131" s="1284"/>
      <c r="CY131" s="2526"/>
      <c r="CZ131"/>
    </row>
    <row r="132" spans="2:105" ht="18" x14ac:dyDescent="0.25">
      <c r="B132" s="2525">
        <v>129</v>
      </c>
      <c r="C132" s="2481" t="s">
        <v>5531</v>
      </c>
      <c r="D132" s="2482" t="s">
        <v>3299</v>
      </c>
      <c r="E132" s="2371"/>
      <c r="F132" s="2371"/>
      <c r="G132" s="2371"/>
      <c r="H132" s="2371"/>
      <c r="I132" s="2371"/>
      <c r="J132" s="3030"/>
      <c r="K132" s="2371"/>
      <c r="L132" s="2371"/>
      <c r="M132" s="2371"/>
      <c r="N132" s="2371"/>
      <c r="O132" s="2371"/>
      <c r="P132" s="2371"/>
      <c r="Q132" s="2371"/>
      <c r="R132" s="2483"/>
      <c r="S132" s="2371"/>
      <c r="T132" s="2371"/>
      <c r="U132" s="2371"/>
      <c r="V132" s="2371"/>
      <c r="W132" s="2371"/>
      <c r="X132" s="2371"/>
      <c r="Y132" s="2371"/>
      <c r="Z132" s="2371"/>
      <c r="AA132" s="2371"/>
      <c r="AB132" s="2371"/>
      <c r="AC132" s="2371"/>
      <c r="AD132" s="2371"/>
      <c r="AE132" s="2371"/>
      <c r="AF132" s="2371"/>
      <c r="AG132" s="2371"/>
      <c r="AH132" s="2371"/>
      <c r="AI132" s="2371"/>
      <c r="AJ132" s="3030"/>
      <c r="AK132" s="2371"/>
      <c r="AL132" s="2371"/>
      <c r="AM132" s="2371"/>
      <c r="AN132" s="2371"/>
      <c r="AO132" s="2371"/>
      <c r="AP132" s="3030"/>
      <c r="AQ132" s="2371"/>
      <c r="AR132" s="2371"/>
      <c r="AS132" s="2371"/>
      <c r="AT132" s="2371"/>
      <c r="AU132" s="2371"/>
      <c r="AV132" s="2371"/>
      <c r="AW132" s="2371"/>
      <c r="AX132" s="2371"/>
      <c r="AY132" s="2371"/>
      <c r="AZ132" s="2371"/>
      <c r="BA132" s="2371"/>
      <c r="BB132" s="2371"/>
      <c r="BC132" s="2371"/>
      <c r="BD132" s="2371"/>
      <c r="BE132" s="2483"/>
      <c r="BF132" s="2483"/>
      <c r="BG132" s="2483"/>
      <c r="BH132" s="2483"/>
      <c r="BI132" s="2483"/>
      <c r="BJ132" s="2483"/>
      <c r="BK132" s="2483"/>
      <c r="BL132" s="2483"/>
      <c r="BM132" s="2483"/>
      <c r="BN132" s="2483"/>
      <c r="BO132" s="2483"/>
      <c r="BP132" s="2483"/>
      <c r="BQ132" s="2483"/>
      <c r="BR132" s="2483"/>
      <c r="BS132" s="2483"/>
      <c r="BT132" s="2483"/>
      <c r="BU132" s="2483"/>
      <c r="BV132" s="2483"/>
      <c r="BW132" s="2483"/>
      <c r="BX132" s="2483"/>
      <c r="BY132" s="2483"/>
      <c r="BZ132" s="2810"/>
      <c r="CA132" s="2810"/>
      <c r="CB132" s="2810"/>
      <c r="CC132" s="2810"/>
      <c r="CD132" s="2483"/>
      <c r="CE132" s="2483"/>
      <c r="CF132" s="2483"/>
      <c r="CG132" s="2483"/>
      <c r="CH132" s="2483"/>
      <c r="CI132" s="2483"/>
      <c r="CJ132" s="2483"/>
      <c r="CK132" s="2483"/>
      <c r="CL132" s="2483"/>
      <c r="CM132" s="2483"/>
      <c r="CN132" s="2483"/>
      <c r="CO132" s="2483"/>
      <c r="CP132" s="2483"/>
      <c r="CQ132" s="2483"/>
      <c r="CR132" s="2483"/>
      <c r="CS132" s="2483"/>
      <c r="CT132" s="2483"/>
      <c r="CU132" s="2483">
        <v>-1</v>
      </c>
      <c r="CV132" s="1284" t="s">
        <v>3567</v>
      </c>
      <c r="CW132" s="2483" t="s">
        <v>5182</v>
      </c>
      <c r="CX132" s="1284"/>
      <c r="CY132" s="2526"/>
      <c r="CZ132"/>
    </row>
    <row r="133" spans="2:105" ht="18.75" thickBot="1" x14ac:dyDescent="0.3">
      <c r="B133" s="1151">
        <v>130</v>
      </c>
      <c r="C133" s="2527" t="s">
        <v>5941</v>
      </c>
      <c r="D133" s="2528" t="s">
        <v>3300</v>
      </c>
      <c r="E133" s="2372"/>
      <c r="F133" s="2372"/>
      <c r="G133" s="2372"/>
      <c r="H133" s="2372"/>
      <c r="I133" s="2372"/>
      <c r="J133" s="2372"/>
      <c r="K133" s="2372"/>
      <c r="L133" s="2372"/>
      <c r="M133" s="2372"/>
      <c r="N133" s="2372"/>
      <c r="O133" s="2372"/>
      <c r="P133" s="2372"/>
      <c r="Q133" s="2372"/>
      <c r="R133" s="2529"/>
      <c r="S133" s="2372"/>
      <c r="T133" s="2372"/>
      <c r="U133" s="2372"/>
      <c r="V133" s="2372"/>
      <c r="W133" s="2372"/>
      <c r="X133" s="2372"/>
      <c r="Y133" s="2372"/>
      <c r="Z133" s="2372"/>
      <c r="AA133" s="2372"/>
      <c r="AB133" s="2372"/>
      <c r="AC133" s="2372"/>
      <c r="AD133" s="2372"/>
      <c r="AE133" s="2372"/>
      <c r="AF133" s="2372"/>
      <c r="AG133" s="2372"/>
      <c r="AH133" s="2372"/>
      <c r="AI133" s="2372"/>
      <c r="AJ133" s="2372"/>
      <c r="AK133" s="2372"/>
      <c r="AL133" s="2372"/>
      <c r="AM133" s="2372"/>
      <c r="AN133" s="2372"/>
      <c r="AO133" s="2372"/>
      <c r="AP133" s="2372"/>
      <c r="AQ133" s="2372"/>
      <c r="AR133" s="2372"/>
      <c r="AS133" s="2372"/>
      <c r="AT133" s="2372"/>
      <c r="AU133" s="2372"/>
      <c r="AV133" s="2372"/>
      <c r="AW133" s="2372"/>
      <c r="AX133" s="2372"/>
      <c r="AY133" s="2372"/>
      <c r="AZ133" s="2372"/>
      <c r="BA133" s="2372"/>
      <c r="BB133" s="2372"/>
      <c r="BC133" s="2372"/>
      <c r="BD133" s="2372"/>
      <c r="BE133" s="2529"/>
      <c r="BF133" s="2529"/>
      <c r="BG133" s="2529"/>
      <c r="BH133" s="2529"/>
      <c r="BI133" s="2529"/>
      <c r="BJ133" s="2529"/>
      <c r="BK133" s="2529"/>
      <c r="BL133" s="2529"/>
      <c r="BM133" s="2529"/>
      <c r="BN133" s="2529"/>
      <c r="BO133" s="2529"/>
      <c r="BP133" s="2529"/>
      <c r="BQ133" s="2529"/>
      <c r="BR133" s="2529"/>
      <c r="BS133" s="2529"/>
      <c r="BT133" s="2529"/>
      <c r="BU133" s="2529"/>
      <c r="BV133" s="2529"/>
      <c r="BW133" s="2529"/>
      <c r="BX133" s="2529"/>
      <c r="BY133" s="2529"/>
      <c r="BZ133" s="2529"/>
      <c r="CA133" s="2529"/>
      <c r="CB133" s="2529"/>
      <c r="CC133" s="2529"/>
      <c r="CD133" s="2529"/>
      <c r="CE133" s="2529"/>
      <c r="CF133" s="2529"/>
      <c r="CG133" s="2529"/>
      <c r="CH133" s="2529"/>
      <c r="CI133" s="2529"/>
      <c r="CJ133" s="2529"/>
      <c r="CK133" s="2529"/>
      <c r="CL133" s="2529"/>
      <c r="CM133" s="2529"/>
      <c r="CN133" s="2529"/>
      <c r="CO133" s="2529"/>
      <c r="CP133" s="2529"/>
      <c r="CQ133" s="2529"/>
      <c r="CR133" s="2529"/>
      <c r="CS133" s="2529"/>
      <c r="CT133" s="2529"/>
      <c r="CU133" s="2529">
        <v>-1</v>
      </c>
      <c r="CV133" s="2530" t="s">
        <v>5185</v>
      </c>
      <c r="CW133" s="2529" t="s">
        <v>5182</v>
      </c>
      <c r="CX133" s="2530"/>
      <c r="CY133" s="838"/>
      <c r="CZ133"/>
    </row>
    <row r="134" spans="2:105" ht="15.75" thickBot="1" x14ac:dyDescent="0.3">
      <c r="CZ134"/>
    </row>
    <row r="135" spans="2:105" ht="15.75" thickBot="1" x14ac:dyDescent="0.3">
      <c r="D135" s="850" t="s">
        <v>6</v>
      </c>
      <c r="E135" s="68"/>
      <c r="F135" s="68"/>
      <c r="G135" s="68"/>
      <c r="H135" s="68"/>
      <c r="I135" s="68"/>
      <c r="J135" s="68"/>
      <c r="K135" s="68"/>
      <c r="L135" s="68"/>
      <c r="M135" s="68"/>
      <c r="N135" s="68"/>
      <c r="O135" s="68"/>
      <c r="P135" s="68"/>
      <c r="Q135" s="68"/>
      <c r="R135" s="68"/>
      <c r="S135" s="68"/>
      <c r="T135" s="68"/>
      <c r="U135" s="68"/>
      <c r="V135" s="68"/>
      <c r="W135" s="68"/>
      <c r="X135" s="68"/>
      <c r="Y135" s="68"/>
      <c r="Z135" s="68"/>
      <c r="AA135" s="68"/>
      <c r="AB135" s="68"/>
      <c r="AC135" s="68"/>
      <c r="AD135" s="68"/>
      <c r="AE135" s="68"/>
      <c r="AF135" s="68"/>
      <c r="AG135" s="68"/>
      <c r="AH135" s="68"/>
      <c r="AI135" s="68"/>
      <c r="AJ135" s="68"/>
      <c r="AK135" s="68"/>
      <c r="AL135" s="68"/>
      <c r="AM135" s="68"/>
      <c r="AN135" s="68"/>
      <c r="AO135" s="68"/>
      <c r="AP135" s="68"/>
      <c r="AQ135" s="68"/>
      <c r="AR135" s="68"/>
      <c r="AS135" s="68"/>
      <c r="AT135" s="68"/>
      <c r="AU135" s="68"/>
      <c r="AV135" s="68"/>
      <c r="AW135" s="68"/>
      <c r="AX135" s="68"/>
      <c r="AY135" s="68"/>
      <c r="AZ135" s="68"/>
      <c r="BA135" s="68"/>
      <c r="BB135" s="68"/>
      <c r="BC135" s="68"/>
      <c r="BD135" s="68"/>
      <c r="BE135" s="68"/>
      <c r="BF135" s="68"/>
      <c r="BG135" s="68"/>
      <c r="BH135" s="68"/>
      <c r="BI135" s="68"/>
      <c r="BJ135" s="68"/>
      <c r="BK135" s="68"/>
      <c r="BL135" s="68"/>
      <c r="BM135" s="68"/>
      <c r="BN135" s="68"/>
      <c r="BO135" s="68"/>
      <c r="BP135" s="68"/>
      <c r="BQ135" s="68"/>
      <c r="BR135" s="68"/>
      <c r="BS135" s="68"/>
      <c r="BT135" s="68"/>
      <c r="BU135" s="68"/>
      <c r="BV135" s="68"/>
      <c r="BW135" s="68"/>
      <c r="BX135" s="68"/>
      <c r="BY135" s="68"/>
      <c r="BZ135" s="68"/>
      <c r="CA135" s="68"/>
      <c r="CB135" s="68"/>
      <c r="CC135" s="68"/>
      <c r="CD135" s="68"/>
      <c r="CE135" s="68"/>
      <c r="CF135" s="68"/>
      <c r="CG135" s="68"/>
      <c r="CH135" s="68"/>
      <c r="CI135" s="68"/>
      <c r="CJ135" s="68"/>
      <c r="CK135" s="68"/>
      <c r="CL135" s="68"/>
      <c r="CM135" s="68"/>
      <c r="CN135" s="68"/>
      <c r="CO135" s="68"/>
      <c r="CP135" s="68"/>
      <c r="CQ135" s="68"/>
      <c r="CR135" s="68"/>
      <c r="CS135" s="68"/>
      <c r="CT135" s="68"/>
      <c r="CU135" s="68"/>
      <c r="CV135" s="433"/>
      <c r="CZ135"/>
    </row>
    <row r="136" spans="2:105" ht="18.75" x14ac:dyDescent="0.25">
      <c r="D136" s="851" t="s">
        <v>148</v>
      </c>
      <c r="E136" s="716">
        <v>1</v>
      </c>
      <c r="F136" s="716">
        <v>1</v>
      </c>
      <c r="G136" s="716">
        <v>1</v>
      </c>
      <c r="H136" s="716">
        <v>1</v>
      </c>
      <c r="I136" s="716">
        <v>1</v>
      </c>
      <c r="J136" s="3031">
        <v>1</v>
      </c>
      <c r="K136" s="716">
        <v>1</v>
      </c>
      <c r="L136" s="716">
        <v>1</v>
      </c>
      <c r="M136" s="716">
        <v>1</v>
      </c>
      <c r="N136" s="716">
        <v>1</v>
      </c>
      <c r="O136" s="716">
        <v>1</v>
      </c>
      <c r="P136" s="716">
        <v>1</v>
      </c>
      <c r="Q136" s="716">
        <v>1</v>
      </c>
      <c r="R136" s="716">
        <v>1</v>
      </c>
      <c r="S136" s="716">
        <v>1</v>
      </c>
      <c r="T136" s="716">
        <v>1</v>
      </c>
      <c r="U136" s="716">
        <v>1</v>
      </c>
      <c r="V136" s="716">
        <v>1</v>
      </c>
      <c r="W136" s="716">
        <v>1</v>
      </c>
      <c r="X136" s="716">
        <v>1</v>
      </c>
      <c r="Y136" s="716">
        <v>1</v>
      </c>
      <c r="Z136" s="716">
        <v>1</v>
      </c>
      <c r="AA136" s="716">
        <v>1</v>
      </c>
      <c r="AB136" s="716">
        <v>1</v>
      </c>
      <c r="AC136" s="2373">
        <v>1</v>
      </c>
      <c r="AD136" s="716"/>
      <c r="AE136" s="717" t="s">
        <v>2427</v>
      </c>
      <c r="AF136" s="717" t="s">
        <v>1617</v>
      </c>
      <c r="AG136" s="717" t="s">
        <v>1618</v>
      </c>
      <c r="AH136" s="716"/>
      <c r="AI136" s="716"/>
      <c r="AJ136" s="3031"/>
      <c r="AK136" s="716"/>
      <c r="AL136" s="716"/>
      <c r="AM136" s="716"/>
      <c r="AN136" s="716"/>
      <c r="AO136" s="716"/>
      <c r="AP136" s="3031"/>
      <c r="AQ136" s="716"/>
      <c r="AR136" s="716">
        <v>-1</v>
      </c>
      <c r="AS136" s="716">
        <v>1</v>
      </c>
      <c r="AT136" s="716">
        <v>1</v>
      </c>
      <c r="AU136" s="716"/>
      <c r="AV136" s="716"/>
      <c r="AW136" s="716"/>
      <c r="AX136" s="716"/>
      <c r="AY136" s="716"/>
      <c r="AZ136" s="716"/>
      <c r="BA136" s="716"/>
      <c r="BB136" s="717" t="s">
        <v>1146</v>
      </c>
      <c r="BC136" s="716"/>
      <c r="BD136" s="717" t="s">
        <v>1327</v>
      </c>
      <c r="BE136" s="716" t="s">
        <v>1344</v>
      </c>
      <c r="BF136" s="716"/>
      <c r="BG136" s="716"/>
      <c r="BH136" s="716"/>
      <c r="BI136" s="716"/>
      <c r="BJ136" s="716"/>
      <c r="BK136" s="716"/>
      <c r="BL136" s="716"/>
      <c r="BM136" s="716"/>
      <c r="BN136" s="716"/>
      <c r="BO136" s="716"/>
      <c r="BP136" s="716"/>
      <c r="BQ136" s="716"/>
      <c r="BR136" s="716"/>
      <c r="BS136" s="716"/>
      <c r="BT136" s="716"/>
      <c r="BU136" s="716"/>
      <c r="BV136" s="1073"/>
      <c r="BW136" s="716"/>
      <c r="BX136" s="718" t="s">
        <v>1619</v>
      </c>
      <c r="BY136" s="718" t="s">
        <v>3568</v>
      </c>
      <c r="BZ136" s="2811"/>
      <c r="CA136" s="2811"/>
      <c r="CB136" s="2811"/>
      <c r="CC136" s="2811"/>
      <c r="CD136" s="718"/>
      <c r="CE136" s="1181"/>
      <c r="CF136" s="2222"/>
      <c r="CG136" s="716"/>
      <c r="CH136" s="717" t="s">
        <v>3660</v>
      </c>
      <c r="CI136" s="717" t="s">
        <v>3660</v>
      </c>
      <c r="CJ136" s="717" t="s">
        <v>1147</v>
      </c>
      <c r="CK136" s="716"/>
      <c r="CL136" s="717" t="s">
        <v>3661</v>
      </c>
      <c r="CM136" s="716" t="s">
        <v>1146</v>
      </c>
      <c r="CN136" s="716"/>
      <c r="CO136" s="717" t="s">
        <v>3656</v>
      </c>
      <c r="CP136" s="717" t="s">
        <v>3656</v>
      </c>
      <c r="CQ136" s="717" t="s">
        <v>3657</v>
      </c>
      <c r="CR136" s="716"/>
      <c r="CS136" s="717" t="s">
        <v>3658</v>
      </c>
      <c r="CT136" s="717" t="s">
        <v>3840</v>
      </c>
      <c r="CU136" s="716"/>
      <c r="CV136" s="4"/>
      <c r="CZ136"/>
    </row>
    <row r="137" spans="2:105" ht="18.75" x14ac:dyDescent="0.25">
      <c r="D137" s="852" t="s">
        <v>258</v>
      </c>
      <c r="E137" s="683" t="s">
        <v>1954</v>
      </c>
      <c r="F137" s="683" t="s">
        <v>1955</v>
      </c>
      <c r="G137" s="683" t="s">
        <v>1956</v>
      </c>
      <c r="H137" s="683" t="s">
        <v>1955</v>
      </c>
      <c r="I137" s="683" t="s">
        <v>1955</v>
      </c>
      <c r="J137" s="683" t="s">
        <v>5885</v>
      </c>
      <c r="K137" s="683" t="s">
        <v>1955</v>
      </c>
      <c r="L137" s="683" t="s">
        <v>1955</v>
      </c>
      <c r="M137" s="683" t="s">
        <v>1955</v>
      </c>
      <c r="N137" s="683" t="s">
        <v>1959</v>
      </c>
      <c r="O137" s="683" t="s">
        <v>1959</v>
      </c>
      <c r="P137" s="683" t="s">
        <v>1616</v>
      </c>
      <c r="Q137" s="683" t="s">
        <v>1616</v>
      </c>
      <c r="R137" s="683" t="s">
        <v>1616</v>
      </c>
      <c r="S137" s="683" t="s">
        <v>1616</v>
      </c>
      <c r="T137" s="683" t="s">
        <v>1616</v>
      </c>
      <c r="U137" s="683" t="s">
        <v>1616</v>
      </c>
      <c r="V137" s="683" t="s">
        <v>1616</v>
      </c>
      <c r="W137" s="683" t="s">
        <v>1616</v>
      </c>
      <c r="X137" s="683" t="s">
        <v>1616</v>
      </c>
      <c r="Y137" s="683" t="s">
        <v>1616</v>
      </c>
      <c r="Z137" s="683" t="s">
        <v>1616</v>
      </c>
      <c r="AA137" s="683" t="s">
        <v>1616</v>
      </c>
      <c r="AB137" s="683" t="s">
        <v>1616</v>
      </c>
      <c r="AC137" s="2374" t="s">
        <v>5235</v>
      </c>
      <c r="AD137" s="683"/>
      <c r="AE137" s="849"/>
      <c r="AF137" s="849"/>
      <c r="AG137" s="849"/>
      <c r="AH137" s="683"/>
      <c r="AI137" s="683"/>
      <c r="AJ137" s="2813"/>
      <c r="AK137" s="683"/>
      <c r="AL137" s="683"/>
      <c r="AM137" s="683"/>
      <c r="AN137" s="683"/>
      <c r="AO137" s="683"/>
      <c r="AP137" s="2813"/>
      <c r="AQ137" s="683"/>
      <c r="AR137" s="683"/>
      <c r="AS137" s="683" t="s">
        <v>1953</v>
      </c>
      <c r="AT137" s="683"/>
      <c r="AU137" s="683">
        <v>1</v>
      </c>
      <c r="AV137" s="683"/>
      <c r="AW137" s="683"/>
      <c r="AX137" s="683"/>
      <c r="AY137" s="683"/>
      <c r="AZ137" s="683"/>
      <c r="BA137" s="683"/>
      <c r="BB137" s="683"/>
      <c r="BC137" s="683"/>
      <c r="BD137" s="708"/>
      <c r="BE137" s="683"/>
      <c r="BF137" s="683"/>
      <c r="BG137" s="683"/>
      <c r="BH137" s="683"/>
      <c r="BI137" s="683"/>
      <c r="BJ137" s="683"/>
      <c r="BK137" s="683"/>
      <c r="BL137" s="683"/>
      <c r="BM137" s="683"/>
      <c r="BN137" s="683"/>
      <c r="BO137" s="683"/>
      <c r="BP137" s="683"/>
      <c r="BQ137" s="683"/>
      <c r="BR137" s="683"/>
      <c r="BS137" s="683"/>
      <c r="BT137" s="683" t="s">
        <v>2453</v>
      </c>
      <c r="BU137" s="683"/>
      <c r="BV137" s="1051"/>
      <c r="BW137" s="683"/>
      <c r="BX137" s="684"/>
      <c r="BY137" s="708"/>
      <c r="BZ137" s="2812"/>
      <c r="CA137" s="2812"/>
      <c r="CB137" s="2812"/>
      <c r="CC137" s="2812"/>
      <c r="CD137" s="684"/>
      <c r="CE137" s="1072"/>
      <c r="CF137" s="2220"/>
      <c r="CG137" s="849" t="s">
        <v>3660</v>
      </c>
      <c r="CH137" s="683" t="s">
        <v>1953</v>
      </c>
      <c r="CI137" s="683"/>
      <c r="CJ137" s="849"/>
      <c r="CK137" s="683"/>
      <c r="CL137" s="849"/>
      <c r="CM137" s="849"/>
      <c r="CN137" s="849" t="s">
        <v>3656</v>
      </c>
      <c r="CO137" s="849" t="s">
        <v>3659</v>
      </c>
      <c r="CP137" s="683"/>
      <c r="CQ137" s="849"/>
      <c r="CR137" s="683"/>
      <c r="CS137" s="683"/>
      <c r="CT137" s="683"/>
      <c r="CU137" s="683"/>
      <c r="CV137" s="4"/>
      <c r="CZ137"/>
    </row>
    <row r="138" spans="2:105" ht="18.75" x14ac:dyDescent="0.25">
      <c r="D138" s="852" t="s">
        <v>254</v>
      </c>
      <c r="E138" s="683"/>
      <c r="F138" s="683"/>
      <c r="G138" s="683"/>
      <c r="H138" s="683" t="s">
        <v>1121</v>
      </c>
      <c r="I138" s="683"/>
      <c r="J138" s="2813"/>
      <c r="K138" s="683" t="s">
        <v>1122</v>
      </c>
      <c r="L138" s="683" t="s">
        <v>1056</v>
      </c>
      <c r="M138" s="683"/>
      <c r="N138" s="683"/>
      <c r="O138" s="683"/>
      <c r="P138" s="683" t="s">
        <v>2134</v>
      </c>
      <c r="Q138" s="683" t="s">
        <v>2134</v>
      </c>
      <c r="R138" s="683" t="s">
        <v>1620</v>
      </c>
      <c r="S138" s="683" t="s">
        <v>1620</v>
      </c>
      <c r="T138" s="683" t="s">
        <v>1620</v>
      </c>
      <c r="U138" s="683" t="s">
        <v>1620</v>
      </c>
      <c r="V138" s="683" t="s">
        <v>1620</v>
      </c>
      <c r="W138" s="683" t="s">
        <v>1620</v>
      </c>
      <c r="X138" s="683" t="s">
        <v>1620</v>
      </c>
      <c r="Y138" s="683" t="s">
        <v>1620</v>
      </c>
      <c r="Z138" s="683" t="s">
        <v>1620</v>
      </c>
      <c r="AA138" s="683" t="s">
        <v>1620</v>
      </c>
      <c r="AB138" s="683" t="s">
        <v>1620</v>
      </c>
      <c r="AC138" s="2374" t="s">
        <v>5287</v>
      </c>
      <c r="AD138" s="683">
        <v>1</v>
      </c>
      <c r="AE138" s="683">
        <v>1</v>
      </c>
      <c r="AF138" s="683">
        <v>1</v>
      </c>
      <c r="AG138" s="683">
        <v>1</v>
      </c>
      <c r="AH138" s="683">
        <v>1</v>
      </c>
      <c r="AI138" s="683">
        <v>1</v>
      </c>
      <c r="AJ138" s="2813">
        <v>1</v>
      </c>
      <c r="AK138" s="683">
        <v>1</v>
      </c>
      <c r="AL138" s="683"/>
      <c r="AM138" s="683"/>
      <c r="AN138" s="683"/>
      <c r="AO138" s="683"/>
      <c r="AP138" s="2813"/>
      <c r="AQ138" s="683"/>
      <c r="AR138" s="683"/>
      <c r="AS138" s="683"/>
      <c r="AT138" s="683"/>
      <c r="AU138" s="683"/>
      <c r="AV138" s="683"/>
      <c r="AW138" s="683"/>
      <c r="AX138" s="683"/>
      <c r="AY138" s="683"/>
      <c r="AZ138" s="683"/>
      <c r="BA138" s="683"/>
      <c r="BB138" s="683"/>
      <c r="BC138" s="683"/>
      <c r="BD138" s="683"/>
      <c r="BE138" s="683"/>
      <c r="BF138" s="683"/>
      <c r="BG138" s="683"/>
      <c r="BH138" s="683"/>
      <c r="BI138" s="683"/>
      <c r="BJ138" s="683"/>
      <c r="BK138" s="683"/>
      <c r="BL138" s="683"/>
      <c r="BM138" s="683"/>
      <c r="BN138" s="683"/>
      <c r="BO138" s="683"/>
      <c r="BP138" s="683"/>
      <c r="BQ138" s="683"/>
      <c r="BR138" s="683"/>
      <c r="BS138" s="683"/>
      <c r="BT138" s="683"/>
      <c r="BU138" s="683"/>
      <c r="BV138" s="1051"/>
      <c r="BW138" s="683" t="s">
        <v>1621</v>
      </c>
      <c r="BX138" s="683"/>
      <c r="BY138" s="683"/>
      <c r="BZ138" s="2813"/>
      <c r="CA138" s="2813"/>
      <c r="CB138" s="2813"/>
      <c r="CC138" s="2813"/>
      <c r="CD138" s="683"/>
      <c r="CE138" s="1071"/>
      <c r="CF138" s="2223"/>
      <c r="CG138" s="683"/>
      <c r="CH138" s="683"/>
      <c r="CI138" s="683"/>
      <c r="CJ138" s="683"/>
      <c r="CK138" s="849" t="s">
        <v>3660</v>
      </c>
      <c r="CL138" s="849" t="s">
        <v>3660</v>
      </c>
      <c r="CM138" s="683"/>
      <c r="CN138" s="683"/>
      <c r="CO138" s="683"/>
      <c r="CP138" s="683"/>
      <c r="CQ138" s="683"/>
      <c r="CR138" s="683" t="s">
        <v>3656</v>
      </c>
      <c r="CS138" s="683" t="s">
        <v>3656</v>
      </c>
      <c r="CT138" s="683"/>
      <c r="CU138" s="683"/>
      <c r="CV138" s="4"/>
    </row>
    <row r="139" spans="2:105" ht="18" x14ac:dyDescent="0.25">
      <c r="D139" s="852" t="s">
        <v>255</v>
      </c>
      <c r="E139" s="683"/>
      <c r="F139" s="683"/>
      <c r="G139" s="683"/>
      <c r="H139" s="683" t="s">
        <v>1057</v>
      </c>
      <c r="I139" s="683"/>
      <c r="J139" s="2813"/>
      <c r="K139" s="683" t="s">
        <v>1059</v>
      </c>
      <c r="L139" s="683" t="s">
        <v>1058</v>
      </c>
      <c r="M139" s="683"/>
      <c r="N139" s="683"/>
      <c r="O139" s="683"/>
      <c r="P139" s="683" t="s">
        <v>1622</v>
      </c>
      <c r="Q139" s="683" t="s">
        <v>1622</v>
      </c>
      <c r="R139" s="683" t="s">
        <v>1622</v>
      </c>
      <c r="S139" s="683" t="s">
        <v>1622</v>
      </c>
      <c r="T139" s="683" t="s">
        <v>1622</v>
      </c>
      <c r="U139" s="683" t="s">
        <v>1622</v>
      </c>
      <c r="V139" s="683" t="s">
        <v>1622</v>
      </c>
      <c r="W139" s="683" t="s">
        <v>1622</v>
      </c>
      <c r="X139" s="683" t="s">
        <v>1622</v>
      </c>
      <c r="Y139" s="683" t="s">
        <v>1622</v>
      </c>
      <c r="Z139" s="683" t="s">
        <v>1622</v>
      </c>
      <c r="AA139" s="683" t="s">
        <v>1622</v>
      </c>
      <c r="AB139" s="683" t="s">
        <v>1622</v>
      </c>
      <c r="AC139" s="2374" t="s">
        <v>5288</v>
      </c>
      <c r="AD139" s="683"/>
      <c r="AE139" s="683"/>
      <c r="AF139" s="683"/>
      <c r="AG139" s="683"/>
      <c r="AH139" s="683"/>
      <c r="AI139" s="683"/>
      <c r="AJ139" s="2813"/>
      <c r="AK139" s="683"/>
      <c r="AL139" s="683">
        <v>1</v>
      </c>
      <c r="AM139" s="683">
        <v>1</v>
      </c>
      <c r="AN139" s="683">
        <v>1</v>
      </c>
      <c r="AO139" s="683">
        <v>1</v>
      </c>
      <c r="AP139" s="2813">
        <v>1</v>
      </c>
      <c r="AQ139" s="683">
        <v>1</v>
      </c>
      <c r="AR139" s="683"/>
      <c r="AS139" s="683"/>
      <c r="AT139" s="683"/>
      <c r="AU139" s="683"/>
      <c r="AV139" s="683"/>
      <c r="AW139" s="683"/>
      <c r="AX139" s="683"/>
      <c r="AY139" s="683"/>
      <c r="AZ139" s="683"/>
      <c r="BA139" s="683"/>
      <c r="BB139" s="683"/>
      <c r="BC139" s="683"/>
      <c r="BD139" s="683"/>
      <c r="BE139" s="684"/>
      <c r="BF139" s="683"/>
      <c r="BG139" s="683"/>
      <c r="BH139" s="684"/>
      <c r="BI139" s="1051" t="s">
        <v>4302</v>
      </c>
      <c r="BJ139" s="1051" t="s">
        <v>4303</v>
      </c>
      <c r="BK139" s="1051" t="s">
        <v>4302</v>
      </c>
      <c r="BL139" s="1051" t="s">
        <v>4303</v>
      </c>
      <c r="BM139" s="1071"/>
      <c r="BN139" s="1071"/>
      <c r="BO139" s="1072"/>
      <c r="BP139" s="1051" t="s">
        <v>4304</v>
      </c>
      <c r="BQ139" s="1051" t="s">
        <v>4305</v>
      </c>
      <c r="BR139" s="1051" t="s">
        <v>4304</v>
      </c>
      <c r="BS139" s="1051" t="s">
        <v>4305</v>
      </c>
      <c r="BT139" s="684"/>
      <c r="BU139" s="683" t="s">
        <v>1623</v>
      </c>
      <c r="BV139" s="1051" t="s">
        <v>4300</v>
      </c>
      <c r="BW139" s="683" t="s">
        <v>1624</v>
      </c>
      <c r="BX139" s="684" t="s">
        <v>1625</v>
      </c>
      <c r="BY139" s="684"/>
      <c r="BZ139" s="2814"/>
      <c r="CA139" s="2814"/>
      <c r="CB139" s="2814"/>
      <c r="CC139" s="2814"/>
      <c r="CD139" s="684"/>
      <c r="CE139" s="1072"/>
      <c r="CF139" s="2220"/>
      <c r="CG139" s="683"/>
      <c r="CH139" s="683"/>
      <c r="CI139" s="683"/>
      <c r="CJ139" s="683"/>
      <c r="CK139" s="683"/>
      <c r="CL139" s="683"/>
      <c r="CM139" s="683"/>
      <c r="CN139" s="683"/>
      <c r="CO139" s="683"/>
      <c r="CP139" s="683"/>
      <c r="CQ139" s="683"/>
      <c r="CR139" s="683"/>
      <c r="CS139" s="683"/>
      <c r="CT139" s="683"/>
      <c r="CU139" s="683"/>
      <c r="CV139" s="4"/>
    </row>
    <row r="140" spans="2:105" ht="18.75" x14ac:dyDescent="0.25">
      <c r="D140" s="852" t="s">
        <v>257</v>
      </c>
      <c r="E140" s="683"/>
      <c r="F140" s="683" t="s">
        <v>3588</v>
      </c>
      <c r="G140" s="683"/>
      <c r="H140" s="683" t="s">
        <v>3586</v>
      </c>
      <c r="I140" s="683" t="s">
        <v>3587</v>
      </c>
      <c r="J140" s="683" t="s">
        <v>3587</v>
      </c>
      <c r="K140" s="683" t="s">
        <v>3589</v>
      </c>
      <c r="L140" s="683" t="s">
        <v>3590</v>
      </c>
      <c r="M140" s="683" t="s">
        <v>3591</v>
      </c>
      <c r="N140" s="683"/>
      <c r="O140" s="683"/>
      <c r="P140" s="683" t="s">
        <v>3325</v>
      </c>
      <c r="Q140" s="683" t="s">
        <v>3325</v>
      </c>
      <c r="R140" s="683" t="s">
        <v>3325</v>
      </c>
      <c r="S140" s="683" t="s">
        <v>3325</v>
      </c>
      <c r="T140" s="683" t="s">
        <v>3325</v>
      </c>
      <c r="U140" s="683" t="s">
        <v>3325</v>
      </c>
      <c r="V140" s="683" t="s">
        <v>3325</v>
      </c>
      <c r="W140" s="683" t="s">
        <v>3325</v>
      </c>
      <c r="X140" s="683" t="s">
        <v>3325</v>
      </c>
      <c r="Y140" s="683" t="s">
        <v>3325</v>
      </c>
      <c r="Z140" s="683" t="s">
        <v>3325</v>
      </c>
      <c r="AA140" s="683" t="s">
        <v>3325</v>
      </c>
      <c r="AB140" s="683" t="s">
        <v>3325</v>
      </c>
      <c r="AC140" s="683" t="s">
        <v>5292</v>
      </c>
      <c r="AD140" s="683"/>
      <c r="AE140" s="683"/>
      <c r="AF140" s="683"/>
      <c r="AG140" s="683"/>
      <c r="AH140" s="683"/>
      <c r="AI140" s="683"/>
      <c r="AJ140" s="2813"/>
      <c r="AK140" s="683"/>
      <c r="AL140" s="683"/>
      <c r="AM140" s="683"/>
      <c r="AN140" s="683"/>
      <c r="AO140" s="683"/>
      <c r="AP140" s="2813"/>
      <c r="AQ140" s="683"/>
      <c r="AR140" s="683"/>
      <c r="AS140" s="683"/>
      <c r="AT140" s="683"/>
      <c r="AU140" s="683"/>
      <c r="AV140" s="683"/>
      <c r="AW140" s="683"/>
      <c r="AX140" s="683"/>
      <c r="AY140" s="683"/>
      <c r="AZ140" s="683"/>
      <c r="BA140" s="683"/>
      <c r="BB140" s="683">
        <v>1</v>
      </c>
      <c r="BC140" s="683">
        <v>1</v>
      </c>
      <c r="BD140" s="683">
        <v>1</v>
      </c>
      <c r="BE140" s="683"/>
      <c r="BF140" s="684"/>
      <c r="BG140" s="683"/>
      <c r="BH140" s="683"/>
      <c r="BI140" s="684"/>
      <c r="BJ140" s="683"/>
      <c r="BK140" s="683"/>
      <c r="BL140" s="683"/>
      <c r="BM140" s="684"/>
      <c r="BN140" s="683"/>
      <c r="BO140" s="683"/>
      <c r="BP140" s="684"/>
      <c r="BQ140" s="683"/>
      <c r="BR140" s="683"/>
      <c r="BS140" s="683"/>
      <c r="BT140" s="743"/>
      <c r="BU140" s="684"/>
      <c r="BV140" s="1074"/>
      <c r="BW140" s="683"/>
      <c r="BX140" s="683"/>
      <c r="BY140" s="684" t="s">
        <v>3291</v>
      </c>
      <c r="BZ140" s="2814"/>
      <c r="CA140" s="2814"/>
      <c r="CB140" s="2814"/>
      <c r="CC140" s="2814"/>
      <c r="CD140" s="684"/>
      <c r="CE140" s="1072"/>
      <c r="CF140" s="2220"/>
      <c r="CG140" s="684"/>
      <c r="CH140" s="683"/>
      <c r="CI140" s="683"/>
      <c r="CJ140" s="683"/>
      <c r="CK140" s="683"/>
      <c r="CL140" s="683"/>
      <c r="CM140" s="683">
        <v>1</v>
      </c>
      <c r="CN140" s="684"/>
      <c r="CO140" s="683"/>
      <c r="CP140" s="683"/>
      <c r="CQ140" s="683"/>
      <c r="CR140" s="683"/>
      <c r="CS140" s="683"/>
      <c r="CT140" s="683" t="s">
        <v>3656</v>
      </c>
      <c r="CU140" s="683"/>
      <c r="CV140" s="4"/>
      <c r="CZ140"/>
      <c r="DA140" s="76"/>
    </row>
    <row r="141" spans="2:105" ht="18" x14ac:dyDescent="0.25">
      <c r="D141" s="852" t="s">
        <v>1112</v>
      </c>
      <c r="E141" s="683"/>
      <c r="F141" s="683"/>
      <c r="G141" s="683"/>
      <c r="H141" s="683"/>
      <c r="I141" s="683"/>
      <c r="J141" s="2813"/>
      <c r="K141" s="683"/>
      <c r="L141" s="683"/>
      <c r="M141" s="683"/>
      <c r="N141" s="683"/>
      <c r="O141" s="683"/>
      <c r="P141" s="683"/>
      <c r="Q141" s="683"/>
      <c r="R141" s="683"/>
      <c r="S141" s="683"/>
      <c r="T141" s="683"/>
      <c r="U141" s="683"/>
      <c r="V141" s="683"/>
      <c r="W141" s="683"/>
      <c r="X141" s="683"/>
      <c r="Y141" s="683"/>
      <c r="Z141" s="683"/>
      <c r="AA141" s="683"/>
      <c r="AB141" s="683"/>
      <c r="AC141" s="2374"/>
      <c r="AD141" s="683"/>
      <c r="AE141" s="683"/>
      <c r="AF141" s="683"/>
      <c r="AG141" s="683"/>
      <c r="AH141" s="683"/>
      <c r="AI141" s="683"/>
      <c r="AJ141" s="2813"/>
      <c r="AK141" s="683"/>
      <c r="AL141" s="683"/>
      <c r="AM141" s="683"/>
      <c r="AN141" s="683"/>
      <c r="AO141" s="683"/>
      <c r="AP141" s="2813"/>
      <c r="AQ141" s="683"/>
      <c r="AR141" s="683"/>
      <c r="AS141" s="683"/>
      <c r="AT141" s="683"/>
      <c r="AU141" s="683"/>
      <c r="AV141" s="1051" t="s">
        <v>4189</v>
      </c>
      <c r="AW141" s="683">
        <v>1</v>
      </c>
      <c r="AX141" s="683"/>
      <c r="AY141" s="683"/>
      <c r="AZ141" s="683"/>
      <c r="BA141" s="683"/>
      <c r="BB141" s="683"/>
      <c r="BC141" s="683"/>
      <c r="BD141" s="683"/>
      <c r="BE141" s="684"/>
      <c r="BF141" s="683"/>
      <c r="BG141" s="683"/>
      <c r="BH141" s="684"/>
      <c r="BI141" s="684"/>
      <c r="BJ141" s="683"/>
      <c r="BK141" s="684"/>
      <c r="BL141" s="684"/>
      <c r="BM141" s="683"/>
      <c r="BN141" s="683"/>
      <c r="BO141" s="684"/>
      <c r="BP141" s="684"/>
      <c r="BQ141" s="683"/>
      <c r="BR141" s="684"/>
      <c r="BS141" s="684"/>
      <c r="BT141" s="684"/>
      <c r="BU141" s="684"/>
      <c r="BV141" s="1051"/>
      <c r="BW141" s="683"/>
      <c r="BX141" s="684"/>
      <c r="BY141" s="684"/>
      <c r="BZ141" s="2814"/>
      <c r="CA141" s="2814"/>
      <c r="CB141" s="2814"/>
      <c r="CC141" s="2814"/>
      <c r="CD141" s="684"/>
      <c r="CE141" s="1072"/>
      <c r="CF141" s="2220"/>
      <c r="CG141" s="683"/>
      <c r="CH141" s="683"/>
      <c r="CI141" s="683"/>
      <c r="CJ141" s="683"/>
      <c r="CK141" s="683"/>
      <c r="CL141" s="683"/>
      <c r="CM141" s="683"/>
      <c r="CN141" s="683"/>
      <c r="CO141" s="683"/>
      <c r="CP141" s="683"/>
      <c r="CQ141" s="683"/>
      <c r="CR141" s="683"/>
      <c r="CS141" s="683"/>
      <c r="CT141" s="683"/>
      <c r="CU141" s="683"/>
      <c r="CV141" s="4"/>
    </row>
    <row r="142" spans="2:105" ht="18" x14ac:dyDescent="0.25">
      <c r="D142" s="852" t="s">
        <v>474</v>
      </c>
      <c r="E142" s="683"/>
      <c r="F142" s="683"/>
      <c r="G142" s="683"/>
      <c r="H142" s="683"/>
      <c r="I142" s="683"/>
      <c r="J142" s="2813"/>
      <c r="K142" s="683"/>
      <c r="L142" s="683"/>
      <c r="M142" s="683"/>
      <c r="N142" s="683"/>
      <c r="O142" s="683"/>
      <c r="P142" s="683"/>
      <c r="Q142" s="683"/>
      <c r="R142" s="683"/>
      <c r="S142" s="683"/>
      <c r="T142" s="683"/>
      <c r="U142" s="683"/>
      <c r="V142" s="683"/>
      <c r="W142" s="683"/>
      <c r="X142" s="683"/>
      <c r="Y142" s="683"/>
      <c r="Z142" s="683"/>
      <c r="AA142" s="683"/>
      <c r="AB142" s="683"/>
      <c r="AC142" s="2374"/>
      <c r="AD142" s="683"/>
      <c r="AE142" s="683"/>
      <c r="AF142" s="683"/>
      <c r="AG142" s="683"/>
      <c r="AH142" s="683"/>
      <c r="AI142" s="683"/>
      <c r="AJ142" s="2813"/>
      <c r="AK142" s="683"/>
      <c r="AL142" s="683"/>
      <c r="AM142" s="683" t="s">
        <v>1626</v>
      </c>
      <c r="AN142" s="683"/>
      <c r="AO142" s="683"/>
      <c r="AP142" s="2813"/>
      <c r="AQ142" s="683"/>
      <c r="AR142" s="683"/>
      <c r="AS142" s="683"/>
      <c r="AT142" s="683"/>
      <c r="AU142" s="683"/>
      <c r="AV142" s="1051"/>
      <c r="AW142" s="683"/>
      <c r="AX142" s="683"/>
      <c r="AY142" s="683"/>
      <c r="AZ142" s="683"/>
      <c r="BA142" s="683">
        <v>1</v>
      </c>
      <c r="BB142" s="683"/>
      <c r="BC142" s="683"/>
      <c r="BD142" s="683"/>
      <c r="BE142" s="683"/>
      <c r="BF142" s="683"/>
      <c r="BG142" s="683"/>
      <c r="BH142" s="683"/>
      <c r="BI142" s="683"/>
      <c r="BJ142" s="683"/>
      <c r="BK142" s="683"/>
      <c r="BL142" s="683"/>
      <c r="BM142" s="683"/>
      <c r="BN142" s="683"/>
      <c r="BO142" s="683"/>
      <c r="BP142" s="683"/>
      <c r="BQ142" s="683"/>
      <c r="BR142" s="683"/>
      <c r="BS142" s="683"/>
      <c r="BT142" s="683"/>
      <c r="BU142" s="683"/>
      <c r="BV142" s="1051"/>
      <c r="BW142" s="683"/>
      <c r="BX142" s="683"/>
      <c r="BY142" s="683"/>
      <c r="BZ142" s="2813"/>
      <c r="CA142" s="2813"/>
      <c r="CB142" s="2813"/>
      <c r="CC142" s="2813"/>
      <c r="CD142" s="683"/>
      <c r="CE142" s="1071"/>
      <c r="CF142" s="2223"/>
      <c r="CG142" s="683"/>
      <c r="CH142" s="683"/>
      <c r="CI142" s="683"/>
      <c r="CJ142" s="683"/>
      <c r="CK142" s="683"/>
      <c r="CL142" s="683"/>
      <c r="CM142" s="683"/>
      <c r="CN142" s="683"/>
      <c r="CO142" s="683"/>
      <c r="CP142" s="683"/>
      <c r="CQ142" s="683"/>
      <c r="CR142" s="683"/>
      <c r="CS142" s="683"/>
      <c r="CT142" s="683"/>
      <c r="CU142" s="683"/>
      <c r="CV142" s="4"/>
    </row>
    <row r="143" spans="2:105" ht="18" x14ac:dyDescent="0.25">
      <c r="D143" s="852" t="s">
        <v>985</v>
      </c>
      <c r="E143" s="683"/>
      <c r="F143" s="683"/>
      <c r="G143" s="683"/>
      <c r="H143" s="683"/>
      <c r="I143" s="683"/>
      <c r="J143" s="2813"/>
      <c r="K143" s="683"/>
      <c r="L143" s="683"/>
      <c r="M143" s="683"/>
      <c r="N143" s="683"/>
      <c r="O143" s="683"/>
      <c r="P143" s="683"/>
      <c r="Q143" s="683"/>
      <c r="R143" s="683"/>
      <c r="S143" s="683"/>
      <c r="T143" s="683"/>
      <c r="U143" s="683"/>
      <c r="V143" s="683"/>
      <c r="W143" s="683"/>
      <c r="X143" s="683"/>
      <c r="Y143" s="683"/>
      <c r="Z143" s="683"/>
      <c r="AA143" s="683"/>
      <c r="AB143" s="683"/>
      <c r="AC143" s="2374"/>
      <c r="AD143" s="683"/>
      <c r="AE143" s="683"/>
      <c r="AF143" s="683"/>
      <c r="AG143" s="683"/>
      <c r="AH143" s="683"/>
      <c r="AI143" s="683"/>
      <c r="AJ143" s="2813"/>
      <c r="AK143" s="683"/>
      <c r="AL143" s="683"/>
      <c r="AM143" s="683" t="s">
        <v>1627</v>
      </c>
      <c r="AN143" s="683"/>
      <c r="AO143" s="683"/>
      <c r="AP143" s="2813"/>
      <c r="AQ143" s="683"/>
      <c r="AR143" s="683"/>
      <c r="AS143" s="683"/>
      <c r="AT143" s="683"/>
      <c r="AU143" s="683"/>
      <c r="AV143" s="1051" t="s">
        <v>4158</v>
      </c>
      <c r="AW143" s="683"/>
      <c r="AX143" s="683"/>
      <c r="AY143" s="683">
        <v>1</v>
      </c>
      <c r="AZ143" s="683"/>
      <c r="BA143" s="683"/>
      <c r="BB143" s="683"/>
      <c r="BC143" s="683"/>
      <c r="BD143" s="683"/>
      <c r="BE143" s="683"/>
      <c r="BF143" s="683"/>
      <c r="BG143" s="683"/>
      <c r="BH143" s="683"/>
      <c r="BI143" s="683"/>
      <c r="BJ143" s="683"/>
      <c r="BK143" s="683"/>
      <c r="BL143" s="683"/>
      <c r="BM143" s="683"/>
      <c r="BN143" s="683"/>
      <c r="BO143" s="683"/>
      <c r="BP143" s="683"/>
      <c r="BQ143" s="683"/>
      <c r="BR143" s="683"/>
      <c r="BS143" s="683"/>
      <c r="BT143" s="683" t="s">
        <v>1628</v>
      </c>
      <c r="BU143" s="683" t="s">
        <v>1629</v>
      </c>
      <c r="BV143" s="1051" t="s">
        <v>4301</v>
      </c>
      <c r="BW143" s="683"/>
      <c r="BX143" s="683"/>
      <c r="BY143" s="683"/>
      <c r="BZ143" s="2813"/>
      <c r="CA143" s="2813"/>
      <c r="CB143" s="2813"/>
      <c r="CC143" s="2813"/>
      <c r="CD143" s="683"/>
      <c r="CE143" s="1071"/>
      <c r="CF143" s="2223"/>
      <c r="CG143" s="683"/>
      <c r="CH143" s="683"/>
      <c r="CI143" s="683"/>
      <c r="CJ143" s="683"/>
      <c r="CK143" s="683"/>
      <c r="CL143" s="683"/>
      <c r="CM143" s="683"/>
      <c r="CN143" s="683"/>
      <c r="CO143" s="683"/>
      <c r="CP143" s="683"/>
      <c r="CQ143" s="683"/>
      <c r="CR143" s="683"/>
      <c r="CS143" s="683"/>
      <c r="CT143" s="683"/>
      <c r="CU143" s="683"/>
      <c r="CV143" s="4"/>
    </row>
    <row r="144" spans="2:105" ht="18" x14ac:dyDescent="0.25">
      <c r="D144" s="852" t="s">
        <v>986</v>
      </c>
      <c r="E144" s="683"/>
      <c r="F144" s="683"/>
      <c r="G144" s="683"/>
      <c r="H144" s="683"/>
      <c r="I144" s="683"/>
      <c r="J144" s="2813"/>
      <c r="K144" s="683"/>
      <c r="L144" s="683"/>
      <c r="M144" s="683"/>
      <c r="N144" s="683"/>
      <c r="O144" s="683"/>
      <c r="P144" s="683"/>
      <c r="Q144" s="683"/>
      <c r="R144" s="683"/>
      <c r="S144" s="683"/>
      <c r="T144" s="683"/>
      <c r="U144" s="683"/>
      <c r="V144" s="683"/>
      <c r="W144" s="683"/>
      <c r="X144" s="683"/>
      <c r="Y144" s="683"/>
      <c r="Z144" s="683"/>
      <c r="AA144" s="683"/>
      <c r="AB144" s="683"/>
      <c r="AC144" s="2374"/>
      <c r="AD144" s="683"/>
      <c r="AE144" s="683"/>
      <c r="AF144" s="683"/>
      <c r="AG144" s="683"/>
      <c r="AH144" s="683"/>
      <c r="AI144" s="683"/>
      <c r="AJ144" s="2813"/>
      <c r="AK144" s="683"/>
      <c r="AL144" s="683"/>
      <c r="AM144" s="683" t="s">
        <v>1630</v>
      </c>
      <c r="AN144" s="683"/>
      <c r="AO144" s="683"/>
      <c r="AP144" s="2813"/>
      <c r="AQ144" s="683"/>
      <c r="AR144" s="683"/>
      <c r="AS144" s="683"/>
      <c r="AT144" s="683"/>
      <c r="AU144" s="683"/>
      <c r="AV144" s="1051" t="s">
        <v>4161</v>
      </c>
      <c r="AW144" s="683"/>
      <c r="AX144" s="683"/>
      <c r="AY144" s="683"/>
      <c r="AZ144" s="683">
        <v>1</v>
      </c>
      <c r="BA144" s="683"/>
      <c r="BB144" s="683"/>
      <c r="BC144" s="683"/>
      <c r="BD144" s="683"/>
      <c r="BE144" s="683"/>
      <c r="BF144" s="683"/>
      <c r="BG144" s="683"/>
      <c r="BH144" s="683"/>
      <c r="BI144" s="683"/>
      <c r="BJ144" s="683"/>
      <c r="BK144" s="683"/>
      <c r="BL144" s="683"/>
      <c r="BM144" s="683"/>
      <c r="BN144" s="683"/>
      <c r="BO144" s="683"/>
      <c r="BP144" s="683"/>
      <c r="BQ144" s="683"/>
      <c r="BR144" s="683"/>
      <c r="BS144" s="683"/>
      <c r="BT144" s="683"/>
      <c r="BU144" s="683"/>
      <c r="BV144" s="1051"/>
      <c r="BW144" s="683" t="s">
        <v>1631</v>
      </c>
      <c r="BX144" s="683"/>
      <c r="BY144" s="683"/>
      <c r="BZ144" s="2813"/>
      <c r="CA144" s="2813"/>
      <c r="CB144" s="2813"/>
      <c r="CC144" s="2813"/>
      <c r="CD144" s="683"/>
      <c r="CE144" s="1071"/>
      <c r="CF144" s="2223"/>
      <c r="CG144" s="683"/>
      <c r="CH144" s="683"/>
      <c r="CI144" s="683"/>
      <c r="CJ144" s="683"/>
      <c r="CK144" s="683"/>
      <c r="CL144" s="683"/>
      <c r="CM144" s="683"/>
      <c r="CN144" s="683"/>
      <c r="CO144" s="683"/>
      <c r="CP144" s="683"/>
      <c r="CQ144" s="683"/>
      <c r="CR144" s="683"/>
      <c r="CS144" s="683"/>
      <c r="CT144" s="683"/>
      <c r="CU144" s="683"/>
      <c r="CV144" s="4"/>
    </row>
    <row r="145" spans="2:113" ht="18" x14ac:dyDescent="0.25">
      <c r="D145" s="852" t="s">
        <v>142</v>
      </c>
      <c r="E145" s="683"/>
      <c r="F145" s="683"/>
      <c r="G145" s="683"/>
      <c r="H145" s="683"/>
      <c r="I145" s="683"/>
      <c r="J145" s="2813"/>
      <c r="K145" s="683"/>
      <c r="L145" s="683"/>
      <c r="M145" s="683"/>
      <c r="N145" s="683"/>
      <c r="O145" s="683"/>
      <c r="P145" s="683"/>
      <c r="Q145" s="683"/>
      <c r="R145" s="683"/>
      <c r="S145" s="683"/>
      <c r="T145" s="683"/>
      <c r="U145" s="683"/>
      <c r="V145" s="683"/>
      <c r="W145" s="683"/>
      <c r="X145" s="683"/>
      <c r="Y145" s="683"/>
      <c r="Z145" s="683"/>
      <c r="AA145" s="683"/>
      <c r="AB145" s="683"/>
      <c r="AC145" s="2374"/>
      <c r="AD145" s="683"/>
      <c r="AE145" s="683"/>
      <c r="AF145" s="683"/>
      <c r="AG145" s="683"/>
      <c r="AH145" s="683"/>
      <c r="AI145" s="683"/>
      <c r="AJ145" s="2813"/>
      <c r="AK145" s="683"/>
      <c r="AL145" s="683"/>
      <c r="AM145" s="683"/>
      <c r="AN145" s="683"/>
      <c r="AO145" s="683"/>
      <c r="AP145" s="2813"/>
      <c r="AQ145" s="683"/>
      <c r="AR145" s="683"/>
      <c r="AS145" s="683"/>
      <c r="AT145" s="683"/>
      <c r="AU145" s="683"/>
      <c r="AV145" s="1051" t="s">
        <v>4190</v>
      </c>
      <c r="AW145" s="683"/>
      <c r="AX145" s="683">
        <v>1</v>
      </c>
      <c r="AY145" s="683"/>
      <c r="AZ145" s="683"/>
      <c r="BA145" s="683"/>
      <c r="BB145" s="683"/>
      <c r="BC145" s="683"/>
      <c r="BD145" s="683"/>
      <c r="BE145" s="683"/>
      <c r="BF145" s="683"/>
      <c r="BG145" s="683"/>
      <c r="BH145" s="683"/>
      <c r="BI145" s="683"/>
      <c r="BJ145" s="683"/>
      <c r="BK145" s="683"/>
      <c r="BL145" s="683"/>
      <c r="BM145" s="683"/>
      <c r="BN145" s="683"/>
      <c r="BO145" s="683"/>
      <c r="BP145" s="683"/>
      <c r="BQ145" s="683"/>
      <c r="BR145" s="683"/>
      <c r="BS145" s="683"/>
      <c r="BT145" s="683"/>
      <c r="BU145" s="683"/>
      <c r="BV145" s="1051"/>
      <c r="BW145" s="683"/>
      <c r="BX145" s="683"/>
      <c r="BY145" s="683"/>
      <c r="BZ145" s="2813"/>
      <c r="CA145" s="2813"/>
      <c r="CB145" s="2813"/>
      <c r="CC145" s="2813"/>
      <c r="CD145" s="683"/>
      <c r="CE145" s="1071"/>
      <c r="CF145" s="2223"/>
      <c r="CG145" s="683"/>
      <c r="CH145" s="683"/>
      <c r="CI145" s="683"/>
      <c r="CJ145" s="683"/>
      <c r="CK145" s="683"/>
      <c r="CL145" s="683"/>
      <c r="CM145" s="683"/>
      <c r="CN145" s="683"/>
      <c r="CO145" s="683"/>
      <c r="CP145" s="683"/>
      <c r="CQ145" s="683"/>
      <c r="CR145" s="683"/>
      <c r="CS145" s="683"/>
      <c r="CT145" s="683"/>
      <c r="CU145" s="683"/>
      <c r="CV145" s="4"/>
    </row>
    <row r="146" spans="2:113" ht="18" x14ac:dyDescent="0.25">
      <c r="D146" s="852" t="s">
        <v>2976</v>
      </c>
      <c r="E146" s="683"/>
      <c r="F146" s="683"/>
      <c r="G146" s="683"/>
      <c r="H146" s="683"/>
      <c r="I146" s="683"/>
      <c r="J146" s="2813"/>
      <c r="K146" s="683"/>
      <c r="L146" s="683"/>
      <c r="M146" s="683"/>
      <c r="N146" s="683"/>
      <c r="O146" s="683"/>
      <c r="P146" s="683"/>
      <c r="Q146" s="683"/>
      <c r="R146" s="683"/>
      <c r="S146" s="683"/>
      <c r="T146" s="683"/>
      <c r="U146" s="683"/>
      <c r="V146" s="683"/>
      <c r="W146" s="683"/>
      <c r="X146" s="683"/>
      <c r="Y146" s="683"/>
      <c r="Z146" s="683"/>
      <c r="AA146" s="683"/>
      <c r="AB146" s="683"/>
      <c r="AC146" s="2374"/>
      <c r="AD146" s="683"/>
      <c r="AE146" s="683"/>
      <c r="AF146" s="683"/>
      <c r="AG146" s="683"/>
      <c r="AH146" s="683"/>
      <c r="AI146" s="683"/>
      <c r="AJ146" s="2813"/>
      <c r="AK146" s="683"/>
      <c r="AL146" s="683"/>
      <c r="AM146" s="683"/>
      <c r="AN146" s="683"/>
      <c r="AO146" s="683"/>
      <c r="AP146" s="2813"/>
      <c r="AQ146" s="683"/>
      <c r="AR146" s="683"/>
      <c r="AS146" s="683"/>
      <c r="AT146" s="683"/>
      <c r="AU146" s="683"/>
      <c r="AV146" s="683"/>
      <c r="AW146" s="683"/>
      <c r="AX146" s="683"/>
      <c r="AY146" s="683"/>
      <c r="AZ146" s="683"/>
      <c r="BA146" s="683"/>
      <c r="BB146" s="683"/>
      <c r="BC146" s="683"/>
      <c r="BD146" s="683"/>
      <c r="BE146" s="683">
        <v>1</v>
      </c>
      <c r="BF146" s="683">
        <v>1</v>
      </c>
      <c r="BG146" s="683">
        <v>1</v>
      </c>
      <c r="BH146" s="683">
        <v>1</v>
      </c>
      <c r="BI146" s="683">
        <v>1</v>
      </c>
      <c r="BJ146" s="683">
        <v>1</v>
      </c>
      <c r="BK146" s="683">
        <v>1</v>
      </c>
      <c r="BL146" s="683">
        <v>1</v>
      </c>
      <c r="BM146" s="683"/>
      <c r="BN146" s="683"/>
      <c r="BO146" s="683"/>
      <c r="BP146" s="683"/>
      <c r="BQ146" s="683"/>
      <c r="BR146" s="683"/>
      <c r="BS146" s="683"/>
      <c r="BT146" s="683"/>
      <c r="BU146" s="683"/>
      <c r="BV146" s="683"/>
      <c r="BW146" s="683"/>
      <c r="BX146" s="683" t="s">
        <v>1632</v>
      </c>
      <c r="BY146" s="683" t="s">
        <v>3292</v>
      </c>
      <c r="BZ146" s="2813"/>
      <c r="CA146" s="2813"/>
      <c r="CB146" s="2813"/>
      <c r="CC146" s="2813"/>
      <c r="CD146" s="683"/>
      <c r="CE146" s="1071"/>
      <c r="CF146" s="2223"/>
      <c r="CG146" s="683"/>
      <c r="CH146" s="683"/>
      <c r="CI146" s="683"/>
      <c r="CJ146" s="683"/>
      <c r="CK146" s="683"/>
      <c r="CL146" s="683"/>
      <c r="CM146" s="683"/>
      <c r="CN146" s="683"/>
      <c r="CO146" s="683"/>
      <c r="CP146" s="683"/>
      <c r="CQ146" s="683"/>
      <c r="CR146" s="683"/>
      <c r="CS146" s="683"/>
      <c r="CT146" s="683"/>
      <c r="CU146" s="683"/>
      <c r="CV146" s="4"/>
    </row>
    <row r="147" spans="2:113" ht="15.75" thickBot="1" x14ac:dyDescent="0.3">
      <c r="D147" s="623" t="s">
        <v>2977</v>
      </c>
      <c r="E147" s="624"/>
      <c r="F147" s="624"/>
      <c r="G147" s="624"/>
      <c r="H147" s="624"/>
      <c r="I147" s="624"/>
      <c r="J147" s="2375"/>
      <c r="K147" s="624"/>
      <c r="L147" s="624"/>
      <c r="M147" s="624"/>
      <c r="N147" s="624"/>
      <c r="O147" s="624"/>
      <c r="P147" s="624"/>
      <c r="Q147" s="624"/>
      <c r="R147" s="624"/>
      <c r="S147" s="624"/>
      <c r="T147" s="624"/>
      <c r="U147" s="624"/>
      <c r="V147" s="624"/>
      <c r="W147" s="624"/>
      <c r="X147" s="624"/>
      <c r="Y147" s="624"/>
      <c r="Z147" s="624"/>
      <c r="AA147" s="624"/>
      <c r="AB147" s="624"/>
      <c r="AC147" s="2375"/>
      <c r="AD147" s="624"/>
      <c r="AE147" s="624"/>
      <c r="AF147" s="624"/>
      <c r="AG147" s="624"/>
      <c r="AH147" s="624"/>
      <c r="AI147" s="624"/>
      <c r="AJ147" s="2375"/>
      <c r="AK147" s="624"/>
      <c r="AL147" s="624"/>
      <c r="AM147" s="624"/>
      <c r="AN147" s="624"/>
      <c r="AO147" s="624"/>
      <c r="AP147" s="2375"/>
      <c r="AQ147" s="624"/>
      <c r="AR147" s="624"/>
      <c r="AS147" s="624"/>
      <c r="AT147" s="624"/>
      <c r="AU147" s="624"/>
      <c r="AV147" s="624"/>
      <c r="AW147" s="624"/>
      <c r="AX147" s="624"/>
      <c r="AY147" s="624"/>
      <c r="AZ147" s="624"/>
      <c r="BA147" s="624"/>
      <c r="BB147" s="624"/>
      <c r="BC147" s="624"/>
      <c r="BD147" s="624"/>
      <c r="BE147" s="625"/>
      <c r="BF147" s="624"/>
      <c r="BG147" s="624"/>
      <c r="BH147" s="625"/>
      <c r="BI147" s="625"/>
      <c r="BJ147" s="624"/>
      <c r="BK147" s="625"/>
      <c r="BL147" s="625"/>
      <c r="BM147" s="624">
        <v>1</v>
      </c>
      <c r="BN147" s="624">
        <v>1</v>
      </c>
      <c r="BO147" s="625">
        <v>1</v>
      </c>
      <c r="BP147" s="625">
        <v>1</v>
      </c>
      <c r="BQ147" s="624">
        <v>1</v>
      </c>
      <c r="BR147" s="625">
        <v>1</v>
      </c>
      <c r="BS147" s="625">
        <v>1</v>
      </c>
      <c r="BT147" s="625"/>
      <c r="BU147" s="625"/>
      <c r="BV147" s="625"/>
      <c r="BW147" s="624"/>
      <c r="BX147" s="625"/>
      <c r="BY147" s="625"/>
      <c r="BZ147" s="2815"/>
      <c r="CA147" s="2815"/>
      <c r="CB147" s="2815"/>
      <c r="CC147" s="2815"/>
      <c r="CD147" s="625"/>
      <c r="CE147" s="1182"/>
      <c r="CF147" s="2224"/>
      <c r="CG147" s="624"/>
      <c r="CH147" s="624"/>
      <c r="CI147" s="624"/>
      <c r="CJ147" s="624"/>
      <c r="CK147" s="624"/>
      <c r="CL147" s="624"/>
      <c r="CM147" s="624"/>
      <c r="CN147" s="624"/>
      <c r="CO147" s="624"/>
      <c r="CP147" s="624"/>
      <c r="CQ147" s="624"/>
      <c r="CR147" s="624"/>
      <c r="CS147" s="624"/>
      <c r="CT147" s="624"/>
      <c r="CU147" s="624"/>
      <c r="CV147" s="4"/>
    </row>
    <row r="150" spans="2:113" x14ac:dyDescent="0.25">
      <c r="CV150"/>
    </row>
    <row r="152" spans="2:113" ht="15.75" thickBot="1" x14ac:dyDescent="0.3">
      <c r="CX152" s="4" t="s">
        <v>4100</v>
      </c>
    </row>
    <row r="153" spans="2:113" ht="38.25" thickBot="1" x14ac:dyDescent="0.3">
      <c r="B153" s="2996" t="s">
        <v>93</v>
      </c>
      <c r="C153" s="2997"/>
      <c r="D153" s="2998" t="s">
        <v>1</v>
      </c>
      <c r="E153" s="2986" t="s">
        <v>803</v>
      </c>
      <c r="F153" s="2986" t="s">
        <v>804</v>
      </c>
      <c r="G153" s="2986" t="s">
        <v>805</v>
      </c>
      <c r="H153" s="2986" t="s">
        <v>806</v>
      </c>
      <c r="I153" s="2986" t="s">
        <v>807</v>
      </c>
      <c r="J153" s="2986" t="s">
        <v>5899</v>
      </c>
      <c r="K153" s="2986" t="s">
        <v>808</v>
      </c>
      <c r="L153" s="2986" t="s">
        <v>809</v>
      </c>
      <c r="M153" s="2986" t="s">
        <v>810</v>
      </c>
      <c r="N153" s="2986" t="s">
        <v>5816</v>
      </c>
      <c r="O153" s="2986" t="s">
        <v>5817</v>
      </c>
      <c r="P153" s="2986" t="s">
        <v>811</v>
      </c>
      <c r="Q153" s="2986" t="s">
        <v>1728</v>
      </c>
      <c r="R153" s="2986" t="s">
        <v>812</v>
      </c>
      <c r="S153" s="2986" t="s">
        <v>4751</v>
      </c>
      <c r="T153" s="2986" t="s">
        <v>813</v>
      </c>
      <c r="U153" s="2986" t="s">
        <v>2202</v>
      </c>
      <c r="V153" s="2986" t="s">
        <v>2201</v>
      </c>
      <c r="W153" s="2986" t="s">
        <v>2221</v>
      </c>
      <c r="X153" s="2986" t="s">
        <v>814</v>
      </c>
      <c r="Y153" s="2986" t="s">
        <v>815</v>
      </c>
      <c r="Z153" s="2999" t="s">
        <v>3216</v>
      </c>
      <c r="AA153" s="2999" t="s">
        <v>3218</v>
      </c>
      <c r="AB153" s="2999" t="s">
        <v>3220</v>
      </c>
      <c r="AC153" s="2986" t="s">
        <v>5260</v>
      </c>
      <c r="AD153" s="2986" t="s">
        <v>816</v>
      </c>
      <c r="AE153" s="2986" t="s">
        <v>2199</v>
      </c>
      <c r="AF153" s="2986" t="s">
        <v>2200</v>
      </c>
      <c r="AG153" s="2986" t="s">
        <v>817</v>
      </c>
      <c r="AH153" s="2986" t="s">
        <v>818</v>
      </c>
      <c r="AI153" s="2986" t="s">
        <v>820</v>
      </c>
      <c r="AJ153" s="2986" t="s">
        <v>5900</v>
      </c>
      <c r="AK153" s="2986" t="s">
        <v>821</v>
      </c>
      <c r="AL153" s="2986" t="s">
        <v>822</v>
      </c>
      <c r="AM153" s="2986" t="s">
        <v>2108</v>
      </c>
      <c r="AN153" s="2986" t="s">
        <v>823</v>
      </c>
      <c r="AO153" s="2986" t="s">
        <v>824</v>
      </c>
      <c r="AP153" s="2986" t="s">
        <v>5901</v>
      </c>
      <c r="AQ153" s="2986" t="s">
        <v>825</v>
      </c>
      <c r="AR153" s="2986" t="s">
        <v>826</v>
      </c>
      <c r="AS153" s="2986" t="s">
        <v>828</v>
      </c>
      <c r="AT153" s="2986" t="s">
        <v>829</v>
      </c>
      <c r="AU153" s="2986" t="s">
        <v>830</v>
      </c>
      <c r="AV153" s="2986" t="s">
        <v>831</v>
      </c>
      <c r="AW153" s="2986" t="s">
        <v>1158</v>
      </c>
      <c r="AX153" s="2986" t="s">
        <v>1159</v>
      </c>
      <c r="AY153" s="2986" t="s">
        <v>997</v>
      </c>
      <c r="AZ153" s="2986" t="s">
        <v>1633</v>
      </c>
      <c r="BA153" s="2986" t="s">
        <v>1043</v>
      </c>
      <c r="BB153" s="2999" t="s">
        <v>3222</v>
      </c>
      <c r="BC153" s="2999" t="s">
        <v>3225</v>
      </c>
      <c r="BD153" s="2999" t="s">
        <v>3227</v>
      </c>
      <c r="BE153" s="2986" t="s">
        <v>1597</v>
      </c>
      <c r="BF153" s="2986" t="s">
        <v>1634</v>
      </c>
      <c r="BG153" s="2986" t="s">
        <v>1635</v>
      </c>
      <c r="BH153" s="2986" t="s">
        <v>1636</v>
      </c>
      <c r="BI153" s="2986" t="s">
        <v>1637</v>
      </c>
      <c r="BJ153" s="2986" t="s">
        <v>1638</v>
      </c>
      <c r="BK153" s="2986" t="s">
        <v>1639</v>
      </c>
      <c r="BL153" s="2986" t="s">
        <v>1640</v>
      </c>
      <c r="BM153" s="2986" t="s">
        <v>4291</v>
      </c>
      <c r="BN153" s="2986" t="s">
        <v>4292</v>
      </c>
      <c r="BO153" s="2986" t="s">
        <v>4293</v>
      </c>
      <c r="BP153" s="2986" t="s">
        <v>4294</v>
      </c>
      <c r="BQ153" s="2986" t="s">
        <v>4295</v>
      </c>
      <c r="BR153" s="2986" t="s">
        <v>4296</v>
      </c>
      <c r="BS153" s="2986" t="s">
        <v>4297</v>
      </c>
      <c r="BT153" s="3000" t="s">
        <v>999</v>
      </c>
      <c r="BU153" s="3000" t="s">
        <v>1131</v>
      </c>
      <c r="BV153" s="3000" t="s">
        <v>4299</v>
      </c>
      <c r="BW153" s="3000" t="s">
        <v>354</v>
      </c>
      <c r="BX153" s="2986" t="s">
        <v>1113</v>
      </c>
      <c r="BY153" s="2999" t="s">
        <v>3229</v>
      </c>
      <c r="BZ153" s="2999" t="s">
        <v>5504</v>
      </c>
      <c r="CA153" s="2999" t="s">
        <v>5508</v>
      </c>
      <c r="CB153" s="2999" t="s">
        <v>5510</v>
      </c>
      <c r="CC153" s="2999" t="s">
        <v>5512</v>
      </c>
      <c r="CD153" s="2986" t="s">
        <v>5372</v>
      </c>
      <c r="CE153" s="3000" t="s">
        <v>4697</v>
      </c>
      <c r="CF153" s="3000" t="s">
        <v>5127</v>
      </c>
      <c r="CG153" s="2986" t="s">
        <v>1641</v>
      </c>
      <c r="CH153" s="2986" t="s">
        <v>1642</v>
      </c>
      <c r="CI153" s="2986" t="s">
        <v>1643</v>
      </c>
      <c r="CJ153" s="2986" t="s">
        <v>1644</v>
      </c>
      <c r="CK153" s="2986" t="s">
        <v>1050</v>
      </c>
      <c r="CL153" s="2986" t="s">
        <v>1645</v>
      </c>
      <c r="CM153" s="2986" t="s">
        <v>3231</v>
      </c>
      <c r="CN153" s="2986" t="s">
        <v>3649</v>
      </c>
      <c r="CO153" s="2986" t="s">
        <v>3650</v>
      </c>
      <c r="CP153" s="2986" t="s">
        <v>3651</v>
      </c>
      <c r="CQ153" s="2986" t="s">
        <v>3652</v>
      </c>
      <c r="CR153" s="2986" t="s">
        <v>3653</v>
      </c>
      <c r="CS153" s="2986" t="s">
        <v>3654</v>
      </c>
      <c r="CT153" s="2986" t="s">
        <v>3655</v>
      </c>
      <c r="CU153" s="2986" t="s">
        <v>3233</v>
      </c>
      <c r="CV153" s="2998" t="s">
        <v>1219</v>
      </c>
      <c r="CX153" s="3241" t="s">
        <v>148</v>
      </c>
      <c r="CY153" s="3241" t="s">
        <v>258</v>
      </c>
      <c r="CZ153" s="3241" t="s">
        <v>254</v>
      </c>
      <c r="DA153" s="3241" t="s">
        <v>255</v>
      </c>
      <c r="DB153" s="3241" t="s">
        <v>257</v>
      </c>
      <c r="DC153" s="3241" t="s">
        <v>1112</v>
      </c>
      <c r="DD153" s="3241" t="s">
        <v>474</v>
      </c>
      <c r="DE153" s="3241" t="s">
        <v>985</v>
      </c>
      <c r="DF153" s="3241" t="s">
        <v>986</v>
      </c>
      <c r="DG153" s="3241" t="s">
        <v>142</v>
      </c>
      <c r="DH153" s="3241" t="s">
        <v>2976</v>
      </c>
      <c r="DI153" s="3241" t="s">
        <v>2977</v>
      </c>
    </row>
    <row r="154" spans="2:113" ht="18" x14ac:dyDescent="0.25">
      <c r="B154" s="2989">
        <v>1</v>
      </c>
      <c r="C154" s="2990" t="s">
        <v>223</v>
      </c>
      <c r="D154" s="2991" t="s">
        <v>1646</v>
      </c>
      <c r="E154" s="3106">
        <f>-1/Y_OHO_VFA_ox</f>
        <v>-1.6666666666666667</v>
      </c>
      <c r="F154" s="3138">
        <f>0</f>
        <v>0</v>
      </c>
      <c r="G154" s="3138">
        <f>0</f>
        <v>0</v>
      </c>
      <c r="H154" s="3138">
        <f>0</f>
        <v>0</v>
      </c>
      <c r="I154" s="3138">
        <f>0</f>
        <v>0</v>
      </c>
      <c r="J154" s="3138">
        <f>0</f>
        <v>0</v>
      </c>
      <c r="K154" s="3138">
        <f>0</f>
        <v>0</v>
      </c>
      <c r="L154" s="3138">
        <f>0</f>
        <v>0</v>
      </c>
      <c r="M154" s="3138">
        <f>0</f>
        <v>0</v>
      </c>
      <c r="N154" s="3138">
        <f>0</f>
        <v>0</v>
      </c>
      <c r="O154" s="3138">
        <f>0</f>
        <v>0</v>
      </c>
      <c r="P154" s="3138">
        <f>0</f>
        <v>0</v>
      </c>
      <c r="Q154" s="3138">
        <f>0</f>
        <v>0</v>
      </c>
      <c r="R154" s="3138">
        <f>1</f>
        <v>1</v>
      </c>
      <c r="S154" s="3138">
        <f>0</f>
        <v>0</v>
      </c>
      <c r="T154" s="3138">
        <f>0</f>
        <v>0</v>
      </c>
      <c r="U154" s="3138">
        <f>0</f>
        <v>0</v>
      </c>
      <c r="V154" s="3138">
        <f>0</f>
        <v>0</v>
      </c>
      <c r="W154" s="3138">
        <f>0</f>
        <v>0</v>
      </c>
      <c r="X154" s="3138">
        <f>0</f>
        <v>0</v>
      </c>
      <c r="Y154" s="3138">
        <f>0</f>
        <v>0</v>
      </c>
      <c r="Z154" s="3138">
        <f>0</f>
        <v>0</v>
      </c>
      <c r="AA154" s="3138">
        <f>0</f>
        <v>0</v>
      </c>
      <c r="AB154" s="3138">
        <f>0</f>
        <v>0</v>
      </c>
      <c r="AC154" s="3138">
        <f>0</f>
        <v>0</v>
      </c>
      <c r="AD154" s="3106">
        <f>-i_N_BIO</f>
        <v>-7.0000000000000007E-2</v>
      </c>
      <c r="AE154" s="3138">
        <f>0</f>
        <v>0</v>
      </c>
      <c r="AF154" s="3138">
        <f>0</f>
        <v>0</v>
      </c>
      <c r="AG154" s="3138">
        <f>0</f>
        <v>0</v>
      </c>
      <c r="AH154" s="3138">
        <f>0</f>
        <v>0</v>
      </c>
      <c r="AI154" s="3138">
        <f>0</f>
        <v>0</v>
      </c>
      <c r="AJ154" s="3138">
        <f>0</f>
        <v>0</v>
      </c>
      <c r="AK154" s="3138">
        <f>0</f>
        <v>0</v>
      </c>
      <c r="AL154" s="3106">
        <f>-i_P_BIO</f>
        <v>-0.02</v>
      </c>
      <c r="AM154" s="3138">
        <f>0</f>
        <v>0</v>
      </c>
      <c r="AN154" s="3138">
        <f>0</f>
        <v>0</v>
      </c>
      <c r="AO154" s="3138">
        <f>0</f>
        <v>0</v>
      </c>
      <c r="AP154" s="3138">
        <f>0</f>
        <v>0</v>
      </c>
      <c r="AQ154" s="3138">
        <f>0</f>
        <v>0</v>
      </c>
      <c r="AR154" s="3106">
        <f>-(1-Y_OHO_VFA_ox)/Y_OHO_VFA_ox</f>
        <v>-0.66666666666666674</v>
      </c>
      <c r="AS154" s="3106">
        <f>0</f>
        <v>0</v>
      </c>
      <c r="AT154" s="3106">
        <f>0</f>
        <v>0</v>
      </c>
      <c r="AU154" s="3106">
        <f>i_CIT_VFA/Y_OHO_VFA_ox-i_CIT_BIO</f>
        <v>0.27300000000000002</v>
      </c>
      <c r="AV154" s="3106">
        <f>i_INORG</f>
        <v>0.11</v>
      </c>
      <c r="AW154" s="3106">
        <f>-i_INORG*(1-i_Ca_INORG*(A_MCa+2*A_MCl)/A_MCa-i_Mg_INORG*(A_MMg+2*A_MCl)/A_MMg)*f_Na</f>
        <v>-2.8804303582798466E-2</v>
      </c>
      <c r="AX154" s="3106">
        <f>-i_INORG*(i_Ca_INORG*(2*A_MCl)/A_MCa+i_Mg_INORG*(2*A_MCl)/A_MMg)-i_INORG*(1-i_Ca_INORG*(A_MCa+2*A_MCl)/A_MCa-i_Mg_INORG*(A_MMg+2*A_MCl)/A_MMg)*(1-f_Na)</f>
        <v>-7.0195696417201539E-2</v>
      </c>
      <c r="AY154" s="3106">
        <f>-i_INORG*i_Ca_INORG</f>
        <v>-5.5000000000000005E-3</v>
      </c>
      <c r="AZ154" s="3106">
        <f>-i_INORG*i_Mg_INORG</f>
        <v>-5.5000000000000005E-3</v>
      </c>
      <c r="BA154" s="3106">
        <f>0</f>
        <v>0</v>
      </c>
      <c r="BB154" s="3106">
        <f>0</f>
        <v>0</v>
      </c>
      <c r="BC154" s="3106">
        <f>-i_S_BIO</f>
        <v>-0.01</v>
      </c>
      <c r="BD154" s="3106">
        <f>0</f>
        <v>0</v>
      </c>
      <c r="BE154" s="3106">
        <f>0</f>
        <v>0</v>
      </c>
      <c r="BF154" s="3106">
        <f>0</f>
        <v>0</v>
      </c>
      <c r="BG154" s="3106">
        <f>0</f>
        <v>0</v>
      </c>
      <c r="BH154" s="3106">
        <f>0</f>
        <v>0</v>
      </c>
      <c r="BI154" s="3106">
        <f>0</f>
        <v>0</v>
      </c>
      <c r="BJ154" s="3106">
        <f>0</f>
        <v>0</v>
      </c>
      <c r="BK154" s="3106">
        <f>0</f>
        <v>0</v>
      </c>
      <c r="BL154" s="3106">
        <f>0</f>
        <v>0</v>
      </c>
      <c r="BM154" s="3106">
        <f>0</f>
        <v>0</v>
      </c>
      <c r="BN154" s="3106">
        <f>0</f>
        <v>0</v>
      </c>
      <c r="BO154" s="3106">
        <f>0</f>
        <v>0</v>
      </c>
      <c r="BP154" s="3106">
        <f>0</f>
        <v>0</v>
      </c>
      <c r="BQ154" s="3106">
        <f>0</f>
        <v>0</v>
      </c>
      <c r="BR154" s="3106">
        <f>0</f>
        <v>0</v>
      </c>
      <c r="BS154" s="3106">
        <f>0</f>
        <v>0</v>
      </c>
      <c r="BT154" s="3106">
        <f>0</f>
        <v>0</v>
      </c>
      <c r="BU154" s="3106">
        <f>0</f>
        <v>0</v>
      </c>
      <c r="BV154" s="3106">
        <f>0</f>
        <v>0</v>
      </c>
      <c r="BW154" s="3106">
        <f>0</f>
        <v>0</v>
      </c>
      <c r="BX154" s="3106">
        <f>0</f>
        <v>0</v>
      </c>
      <c r="BY154" s="3106">
        <f>0</f>
        <v>0</v>
      </c>
      <c r="BZ154" s="3106">
        <f>0</f>
        <v>0</v>
      </c>
      <c r="CA154" s="3106">
        <f>0</f>
        <v>0</v>
      </c>
      <c r="CB154" s="3106">
        <f>0</f>
        <v>0</v>
      </c>
      <c r="CC154" s="3106">
        <f>0</f>
        <v>0</v>
      </c>
      <c r="CD154" s="3106">
        <f>0</f>
        <v>0</v>
      </c>
      <c r="CE154" s="3106">
        <f>0</f>
        <v>0</v>
      </c>
      <c r="CF154" s="3106">
        <f>0</f>
        <v>0</v>
      </c>
      <c r="CG154" s="3106">
        <f>0</f>
        <v>0</v>
      </c>
      <c r="CH154" s="3106">
        <f>0</f>
        <v>0</v>
      </c>
      <c r="CI154" s="3106">
        <f>0</f>
        <v>0</v>
      </c>
      <c r="CJ154" s="3106">
        <f>0</f>
        <v>0</v>
      </c>
      <c r="CK154" s="3106">
        <f>0</f>
        <v>0</v>
      </c>
      <c r="CL154" s="3106">
        <f>0</f>
        <v>0</v>
      </c>
      <c r="CM154" s="3106">
        <f>0</f>
        <v>0</v>
      </c>
      <c r="CN154" s="3106">
        <f>0</f>
        <v>0</v>
      </c>
      <c r="CO154" s="3106">
        <f>0</f>
        <v>0</v>
      </c>
      <c r="CP154" s="3106">
        <f>0</f>
        <v>0</v>
      </c>
      <c r="CQ154" s="3106">
        <f>0</f>
        <v>0</v>
      </c>
      <c r="CR154" s="3106">
        <f>0</f>
        <v>0</v>
      </c>
      <c r="CS154" s="3106">
        <f>0</f>
        <v>0</v>
      </c>
      <c r="CT154" s="3106">
        <f>0</f>
        <v>0</v>
      </c>
      <c r="CU154" s="3106">
        <f>0</f>
        <v>0</v>
      </c>
      <c r="CV154" s="3219">
        <f>µ_OHO_T*X_OHO*M_satSVFA_KVFA*M_satSO2_KO2_OHO*M_satSNHx_KNHx_BIO*M_satSPO4_KPO4_BIO*M_satSCAT_KCAT*M_satSAN_KAN*M_satSCa_KCa*M_satSMg_KMg*M_satSSO4_KSO4_BIO*B_ellinhpH</f>
        <v>36.021303775767123</v>
      </c>
      <c r="CX154" s="2838">
        <f>E287*E154+F287*F154+G287*G154+H287*H154+I287*I154+J287*J154+K287*K154+L287*L154+M287*M154+N287*N154+O287*O154+P287*P154+Q287*Q154+R287*R154+S287*S154+T287*T154+U287*U154+V287*V154+W287*W154+X287*X154+Y287*Y154+Z287*Z154+AA287*AA154+AB287*AB154+AC287*AC154+AD287*AD154+AE287*AE154+AF287*AF154+AG287*AG154+AH287*AH154+AI287*AI154+AJ287*AJ154+AK287*AK154+AL287*AL154+AM287*AM154+AN287*AN154+AO287*AO154+AP287*AP154+AQ287*AQ154+AR287*AR154+AS287*AS154+AT287*AT154+AU287*AU154+AV287*AV154+AW287*AW154+AX287*AX154+AY287*AY154+AZ287*AZ154+BA287*BA154+BB287*BB154+BC287*BC154+BD287*BD154+BE287*BE154+BF287*BF154+BG287*BG154+BH287*BH154+BI287*BI154+BJ287*BJ154+BK287*BK154+BL287*BL154+BM287*BM154+BN287*BN154+BO287*BO154+BP287*BP154+BQ287*BQ154+BR287*BR154+BS287*BS154+BT287*BT154+BU287*BU154+BV287*BV154+BW287*BW154+BX287*BX154+BY287*BY154+BZ287*BZ154+CA287*CA154+CB287*CB154+CC287*CC154+CD287*CD154+CE287*CE154+CF287*CF154+CG287*CG154+CH287*CH154+CI287*CI154+CJ287*CJ154+CK287*CK154+CL287*CL154+CM287*CM154+CN287*CN154+CO287*CO154+CP287*CP154+CQ287*CQ154+CR287*CR154+CS287*CS154+CT287*CT154+CU287*CU154</f>
        <v>0</v>
      </c>
      <c r="CY154" s="2838">
        <f>E288*E154+F288*F154+G288*G154+H288*H154+I288*I154+J288*J154+K288*K154+L288*L154+M288*M154+N288*N154+O288*O154+P288*P154+Q288*Q154+R288*R154+S288*S154+T288*T154+U288*U154+V288*V154+W288*W154+X288*X154+Y288*Y154+Z288*Z154+AA288*AA154+AB288*AB154+AC288*AC154+AD288*AD154+AE288*AE154+AF288*AF154+AG288*AG154+AH288*AH154+AI288*AI154+AJ288*AJ154+AK288*AK154+AL288*AL154+AM288*AM154+AN288*AN154+AO288*AO154+AP288*AP154+AQ288*AQ154+AR288*AR154+AS288*AS154+AT288*AT154+AU288*AU154+AV288*AV154+AW288*AW154+AX288*AX154+AY288*AY154+AZ288*AZ154+BA288*BA154+BB288*BB154+BC288*BC154+BD288*BD154+BE288*BE154+BF288*BF154+BG288*BG154+BH288*BH154+BI288*BI154+BJ288*BJ154+BK288*BK154+BL288*BL154+BM288*BM154+BN288*BN154+BO288*BO154+BP288*BP154+BQ288*BQ154+BR288*BR154+BS288*BS154+BT288*BT154+BU288*BU154+BV288*BV154+BW288*BW154+BX288*BX154+BY288*BY154+BZ288*BZ154+CA288*CA154+CB288*CB154+CC288*CC154+CD288*CD154+CE288*CE154+CF288*CF154+CG288*CG154+CH288*CH154+CI288*CI154+CJ288*CJ154+CK288*CK154+CL288*CL154+CM288*CM154+CN288*CN154+CO288*CO154+CP288*CP154+CQ288*CQ154+CR288*CR154+CS288*CS154+CT288*CT154+CU288*CU154</f>
        <v>0</v>
      </c>
      <c r="CZ154" s="2839">
        <f>E289*E154+F289*F154+G289*G154+H289*H154+I289*I154+J289*J154+K289*K154+L289*L154+M289*M154+N289*N154+O289*O154+P289*P154+Q289*Q154+R289*R154+S289*S154+T289*T154+U289*U154+V289*V154+W289*W154+X289*X154+Y289*Y154+Z289*Z154+AA289*AA154+AB289*AB154+AC289*AC154+AD289*AD154+AE289*AE154+AF289*AF154+AG289*AG154+AH289*AH154+AI289*AI154+AJ289*AJ154+AK289*AK154+AL289*AL154+AM289*AM154+AN289*AN154+AO289*AO154+AP289*AP154+AQ289*AQ154+AR289*AR154+AS289*AS154+AT289*AT154+AU289*AU154+AV289*AV154+AW289*AW154+AX289*AX154+AY289*AY154+AZ289*AZ154+BA289*BA154+BB289*BB154+BC289*BC154+BD289*BD154+BE289*BE154+BF289*BF154+BG289*BG154+BH289*BH154+BI289*BI154+BJ289*BJ154+BK289*BK154+BL289*BL154+BM289*BM154+BN289*BN154+BO289*BO154+BP289*BP154+BQ289*BQ154+BR289*BR154+BS289*BS154+BT289*BT154+BU289*BU154+BV289*BV154+BW289*BW154+BX289*BX154+BY289*BY154+BZ289*BZ154+CA289*CA154+CB289*CB154+CC289*CC154+CD289*CD154+CE289*CE154+CF289*CF154+CG289*CG154+CH289*CH154+CI289*CI154+CJ289*CJ154+CK289*CK154+CL289*CL154+CM289*CM154+CN289*CN154+CO289*CO154+CP289*CP154+CQ289*CQ154+CR289*CR154+CS289*CS154+CT289*CT154+CU289*CU154</f>
        <v>0</v>
      </c>
      <c r="DA154" s="2840">
        <f>E290*E154+F290*F154+G290*G154+H290*H154+I290*I154+J290*J154+K290*K154+L290*L154+M290*M154+N290*N154+O290*O154+P290*P154+Q290*Q154+R290*R154+S290*S154+T290*T154+U290*U154+V290*V154+W290*W154+X290*X154+Y290*Y154+Z290*Z154+AA290*AA154+AB290*AB154+AC290*AC154+AD290*AD154+AE290*AE154+AF290*AF154+AG290*AG154+AH290*AH154+AI290*AI154+AJ290*AJ154+AK290*AK154+AL290*AL154+AM290*AM154+AN290*AN154+AO290*AO154+AP290*AP154+AQ290*AQ154+AR290*AR154+AS290*AS154+AT290*AT154+AU290*AU154+AV290*AV154+AW290*AW154+AX290*AX154+AY290*AY154+AZ290*AZ154+BA290*BA154+BB290*BB154+BC290*BC154+BD290*BD154+BE290*BE154+BF290*BF154+BG290*BG154+BH290*BH154+BI290*BI154+BJ290*BJ154+BK290*BK154+BL290*BL154+BM290*BM154+BN290*BN154+BO290*BO154+BP290*BP154+BQ290*BQ154+BR290*BR154+BS290*BS154+BT290*BT154+BU290*BU154+BV290*BV154+BW290*BW154+BX290*BX154+BY290*BY154+BZ290*BZ154+CA290*CA154+CB290*CB154+CC290*CC154+CD290*CD154+CE290*CE154+CF290*CF154+CG290*CG154+CH290*CH154+CI290*CI154+CJ290*CJ154+CK290*CK154+CL290*CL154+CM290*CM154+CN290*CN154+CO290*CO154+CP290*CP154+CQ290*CQ154+CR290*CR154+CS290*CS154+CT290*CT154+CU290*CU154</f>
        <v>0</v>
      </c>
      <c r="DB154" s="2840">
        <f>E291*E154+F291*F154+G291*G154+H291*H154+I291*I154+J291*J154+K291*K154+L291*L154+M291*M154+N291*N154+O291*O154+P291*P154+Q291*Q154+R291*R154+S291*S154+T291*T154+U291*U154+V291*V154+W291*W154+X291*X154+Y291*Y154+Z291*Z154+AA291*AA154+AB291*AB154+AC291*AC154+AD291*AD154+AE291*AE154+AF291*AF154+AG291*AG154+AH291*AH154+AI291*AI154+AJ291*AJ154+AK291*AK154+AL291*AL154+AM291*AM154+AN291*AN154+AO291*AO154+AP291*AP154+AQ291*AQ154+AR291*AR154+AS291*AS154+AT291*AT154+AU291*AU154+AV291*AV154+AW291*AW154+AX291*AX154+AY291*AY154+AZ291*AZ154+BA291*BA154+BB291*BB154+BC291*BC154+BD291*BD154+BE291*BE154+BF291*BF154+BG291*BG154+BH291*BH154+BI291*BI154+BJ291*BJ154+BK291*BK154+BL291*BL154+BM291*BM154+BN291*BN154+BO291*BO154+BP291*BP154+BQ291*BQ154+BR291*BR154+BS291*BS154+BT291*BT154+BU291*BU154+BV291*BV154+BW291*BW154+BX291*BX154+BY291*BY154+BZ291*BZ154+CA291*CA154+CB291*CB154+CC291*CC154+CD291*CD154+CE291*CE154+CF291*CF154+CG291*CG154+CH291*CH154+CI291*CI154+CJ291*CJ154+CK291*CK154+CL291*CL154+CM291*CM154+CN291*CN154+CO291*CO154+CP291*CP154+CQ291*CQ154+CR291*CR154+CS291*CS154+CT291*CT154+CU291*CU154</f>
        <v>0</v>
      </c>
      <c r="DC154" s="2840">
        <f>E292*E154+F292*F154+G292*G154+H292*H154+I292*I154+J292*J154+K292*K154+L292*L154+M292*M154+N292*N154+O292*O154+P292*P154+Q292*Q154+R292*R154+S292*S154+T292*T154+U292*U154+V292*V154+W292*W154+X292*X154+Y292*Y154+Z292*Z154+AA292*AA154+AB292*AB154+AC292*AC154+AD292*AD154+AE292*AE154+AF292*AF154+AG292*AG154+AH292*AH154+AI292*AI154+AJ292*AJ154+AK292*AK154+AL292*AL154+AM292*AM154+AN292*AN154+AO292*AO154+AP292*AP154+AQ292*AQ154+AR292*AR154+AS292*AS154+AT292*AT154+AU292*AU154+AV292*AV154+AW292*AW154+AX292*AX154+AY292*AY154+AZ292*AZ154+BA292*BA154+BB292*BB154+BC292*BC154+BD292*BD154+BE292*BE154+BF292*BF154+BG292*BG154+BH292*BH154+BI292*BI154+BJ292*BJ154+BK292*BK154+BL292*BL154+BM292*BM154+BN292*BN154+BO292*BO154+BP292*BP154+BQ292*BQ154+BR292*BR154+BS292*BS154+BT292*BT154+BU292*BU154+BV292*BV154+BW292*BW154+BX292*BX154+BY292*BY154+BZ292*BZ154+CA292*CA154+CB292*CB154+CC292*CC154+CD292*CD154+CE292*CE154+CF292*CF154+CG292*CG154+CH292*CH154+CI292*CI154+CJ292*CJ154+CK292*CK154+CL292*CL154+CM292*CM154+CN292*CN154+CO292*CO154+CP292*CP154+CQ292*CQ154+CR292*CR154+CS292*CS154+CT292*CT154+CU292*CU154</f>
        <v>0</v>
      </c>
      <c r="DD154" s="2840">
        <f>E293*E154+F293*F154+G293*G154+H293*H154+I293*I154+J293*J154+K293*K154+L293*L154+M293*M154+N293*N154+O293*O154+P293*P154+Q293*Q154+R293*R154+S293*S154+T293*T154+U293*U154+V293*V154+W293*W154+X293*X154+Y293*Y154+Z293*Z154+AA293*AA154+AB293*AB154+AC293*AC154+AD293*AD154+AE293*AE154+AF293*AF154+AG293*AG154+AH293*AH154+AI293*AI154+AJ293*AJ154+AK293*AK154+AL293*AL154+AM293*AM154+AN293*AN154+AO293*AO154+AP293*AP154+AQ293*AQ154+AR293*AR154+AS293*AS154+AT293*AT154+AU293*AU154+AV293*AV154+AW293*AW154+AX293*AX154+AY293*AY154+AZ293*AZ154+BA293*BA154+BB293*BB154+BC293*BC154+BD293*BD154+BE293*BE154+BF293*BF154+BG293*BG154+BH293*BH154+BI293*BI154+BJ293*BJ154+BK293*BK154+BL293*BL154+BM293*BM154+BN293*BN154+BO293*BO154+BP293*BP154+BQ293*BQ154+BR293*BR154+BS293*BS154+BT293*BT154+BU293*BU154+BV293*BV154+BW293*BW154+BX293*BX154+BY293*BY154+BZ293*BZ154+CA293*CA154+CB293*CB154+CC293*CC154+CD293*CD154+CE293*CE154+CF293*CF154+CG293*CG154+CH293*CH154+CI293*CI154+CJ293*CJ154+CK293*CK154+CL293*CL154+CM293*CM154+CN293*CN154+CO293*CO154+CP293*CP154+CQ293*CQ154+CR293*CR154+CS293*CS154+CT293*CT154+CU293*CU154</f>
        <v>0</v>
      </c>
      <c r="DE154" s="2840">
        <f>E294*E154+F294*F154+G294*G154+H294*H154+I294*I154+J294*J154+K294*K154+L294*L154+M294*M154+N294*N154+O294*O154+P294*P154+Q294*Q154+R294*R154+S294*S154+T294*T154+U294*U154+V294*V154+W294*W154+X294*X154+Y294*Y154+Z294*Z154+AA294*AA154+AB294*AB154+AC294*AC154+AD294*AD154+AE294*AE154+AF294*AF154+AG294*AG154+AH294*AH154+AI294*AI154+AJ294*AJ154+AK294*AK154+AL294*AL154+AM294*AM154+AN294*AN154+AO294*AO154+AP294*AP154+AQ294*AQ154+AR294*AR154+AS294*AS154+AT294*AT154+AU294*AU154+AV294*AV154+AW294*AW154+AX294*AX154+AY294*AY154+AZ294*AZ154+BA294*BA154+BB294*BB154+BC294*BC154+BD294*BD154+BE294*BE154+BF294*BF154+BG294*BG154+BH294*BH154+BI294*BI154+BJ294*BJ154+BK294*BK154+BL294*BL154+BM294*BM154+BN294*BN154+BO294*BO154+BP294*BP154+BQ294*BQ154+BR294*BR154+BS294*BS154+BT294*BT154+BU294*BU154+BV294*BV154+BW294*BW154+BX294*BX154+BY294*BY154+BZ294*BZ154+CA294*CA154+CB294*CB154+CC294*CC154+CD294*CD154+CE294*CE154+CF294*CF154+CG294*CG154+CH294*CH154+CI294*CI154+CJ294*CJ154+CK294*CK154+CL294*CL154+CM294*CM154+CN294*CN154+CO294*CO154+CP294*CP154+CQ294*CQ154+CR294*CR154+CS294*CS154+CT294*CT154+CU294*CU154</f>
        <v>0</v>
      </c>
      <c r="DF154" s="2840">
        <f>E295*E154+F295*F154+G295*G154+H295*H154+I295*I154+J295*J154+K295*K154+L295*L154+M295*M154+N295*N154+O295*O154+P295*P154+Q295*Q154+R295*R154+S295*S154+T295*T154+U295*U154+V295*V154+W295*W154+X295*X154+Y295*Y154+Z295*Z154+AA295*AA154+AB295*AB154+AC295*AC154+AD295*AD154+AE295*AE154+AF295*AF154+AG295*AG154+AH295*AH154+AI295*AI154+AJ295*AJ154+AK295*AK154+AL295*AL154+AM295*AM154+AN295*AN154+AO295*AO154+AP295*AP154+AQ295*AQ154+AR295*AR154+AS295*AS154+AT295*AT154+AU295*AU154+AV295*AV154+AW295*AW154+AX295*AX154+AY295*AY154+AZ295*AZ154+BA295*BA154+BB295*BB154+BC295*BC154+BD295*BD154+BE295*BE154+BF295*BF154+BG295*BG154+BH295*BH154+BI295*BI154+BJ295*BJ154+BK295*BK154+BL295*BL154+BM295*BM154+BN295*BN154+BO295*BO154+BP295*BP154+BQ295*BQ154+BR295*BR154+BS295*BS154+BT295*BT154+BU295*BU154+BV295*BV154+BW295*BW154+BX295*BX154+BY295*BY154+BZ295*BZ154+CA295*CA154+CB295*CB154+CC295*CC154+CD295*CD154+CE295*CE154+CF295*CF154+CG295*CG154+CH295*CH154+CI295*CI154+CJ295*CJ154+CK295*CK154+CL295*CL154+CM295*CM154+CN295*CN154+CO295*CO154+CP295*CP154+CQ295*CQ154+CR295*CR154+CS295*CS154+CT295*CT154+CU295*CU154</f>
        <v>0</v>
      </c>
      <c r="DG154" s="2840">
        <f>E296*E154+F296*F154+G296*G154+H296*H154+I296*I154+J296*J154+K296*K154+L296*L154+M296*M154+N296*N154+O296*O154+P296*P154+Q296*Q154+R296*R154+S296*S154+T296*T154+U296*U154+V296*V154+W296*W154+X296*X154+Y296*Y154+Z296*Z154+AA296*AA154+AB296*AB154+AC296*AC154+AD296*AD154+AE296*AE154+AF296*AF154+AG296*AG154+AH296*AH154+AI296*AI154+AJ296*AJ154+AK296*AK154+AL296*AL154+AM296*AM154+AN296*AN154+AO296*AO154+AP296*AP154+AQ296*AQ154+AR296*AR154+AS296*AS154+AT296*AT154+AU296*AU154+AV296*AV154+AW296*AW154+AX296*AX154+AY296*AY154+AZ296*AZ154+BA296*BA154+BB296*BB154+BC296*BC154+BD296*BD154+BE296*BE154+BF296*BF154+BG296*BG154+BH296*BH154+BI296*BI154+BJ296*BJ154+BK296*BK154+BL296*BL154+BM296*BM154+BN296*BN154+BO296*BO154+BP296*BP154+BQ296*BQ154+BR296*BR154+BS296*BS154+BT296*BT154+BU296*BU154+BV296*BV154+BW296*BW154+BX296*BX154+BY296*BY154+BZ296*BZ154+CA296*CA154+CB296*CB154+CC296*CC154+CD296*CD154+CE296*CE154+CF296*CF154+CG296*CG154+CH296*CH154+CI296*CI154+CJ296*CJ154+CK296*CK154+CL296*CL154+CM296*CM154+CN296*CN154+CO296*CO154+CP296*CP154+CQ296*CQ154+CR296*CR154+CS296*CS154+CT296*CT154+CU296*CU154</f>
        <v>0</v>
      </c>
      <c r="DH154" s="2840">
        <f>E297*E154+F297*F154+G297*G154+H297*H154+I297*I154+J297*J154+K297*K154+L297*L154+M297*M154+N297*N154+O297*O154+P297*P154+Q297*Q154+R297*R154+S297*S154+T297*T154+U297*U154+V297*V154+W297*W154+X297*X154+Y297*Y154+Z297*Z154+AA297*AA154+AB297*AB154+AC297*AC154+AD297*AD154+AE297*AE154+AF297*AF154+AG297*AG154+AH297*AH154+AI297*AI154+AJ297*AJ154+AK297*AK154+AL297*AL154+AM297*AM154+AN297*AN154+AO297*AO154+AP297*AP154+AQ297*AQ154+AR297*AR154+AS297*AS154+AT297*AT154+AU297*AU154+AV297*AV154+AW297*AW154+AX297*AX154+AY297*AY154+AZ297*AZ154+BA297*BA154+BB297*BB154+BC297*BC154+BD297*BD154+BE297*BE154+BF297*BF154+BG297*BG154+BH297*BH154+BI297*BI154+BJ297*BJ154+BK297*BK154+BL297*BL154+BM297*BM154+BN297*BN154+BO297*BO154+BP297*BP154+BQ297*BQ154+BR297*BR154+BS297*BS154+BT297*BT154+BU297*BU154+BV297*BV154+BW297*BW154+BX297*BX154+BY297*BY154+BZ297*BZ154+CA297*CA154+CB297*CB154+CC297*CC154+CD297*CD154+CE297*CE154+CF297*CF154+CG297*CG154+CH297*CH154+CI297*CI154+CJ297*CJ154+CK297*CK154+CL297*CL154+CM297*CM154+CN297*CN154+CO297*CO154+CP297*CP154+CQ297*CQ154+CR297*CR154+CS297*CS154+CT297*CT154+CU297*CU154</f>
        <v>0</v>
      </c>
      <c r="DI154" s="2840">
        <f>E298*E154+F298*F154+G298*G154+H298*H154+I298*I154+J298*J154+K298*K154+L298*L154+M298*M154+N298*N154+O298*O154+P298*P154+Q298*Q154+R298*R154+S298*S154+T298*T154+U298*U154+V298*V154+W298*W154+X298*X154+Y298*Y154+Z298*Z154+AA298*AA154+AB298*AB154+AC298*AC154+AD298*AD154+AE298*AE154+AF298*AF154+AG298*AG154+AH298*AH154+AI298*AI154+AJ298*AJ154+AK298*AK154+AL298*AL154+AM298*AM154+AN298*AN154+AO298*AO154+AP298*AP154+AQ298*AQ154+AR298*AR154+AS298*AS154+AT298*AT154+AU298*AU154+AV298*AV154+AW298*AW154+AX298*AX154+AY298*AY154+AZ298*AZ154+BA298*BA154+BB298*BB154+BC298*BC154+BD298*BD154+BE298*BE154+BF298*BF154+BG298*BG154+BH298*BH154+BI298*BI154+BJ298*BJ154+BK298*BK154+BL298*BL154+BM298*BM154+BN298*BN154+BO298*BO154+BP298*BP154+BQ298*BQ154+BR298*BR154+BS298*BS154+BT298*BT154+BU298*BU154+BV298*BV154+BW298*BW154+BX298*BX154+BY298*BY154+BZ298*BZ154+CA298*CA154+CB298*CB154+CC298*CC154+CD298*CD154+CE298*CE154+CF298*CF154+CG298*CG154+CH298*CH154+CI298*CI154+CJ298*CJ154+CK298*CK154+CL298*CL154+CM298*CM154+CN298*CN154+CO298*CO154+CP298*CP154+CQ298*CQ154+CR298*CR154+CS298*CS154+CT298*CT154+CU298*CU154</f>
        <v>0</v>
      </c>
    </row>
    <row r="155" spans="2:113" ht="18" x14ac:dyDescent="0.25">
      <c r="B155" s="2484">
        <v>2</v>
      </c>
      <c r="C155" s="2398" t="s">
        <v>224</v>
      </c>
      <c r="D155" s="2399" t="s">
        <v>2226</v>
      </c>
      <c r="E155" s="3107">
        <f>-1/Y_OHO_VFA_anox</f>
        <v>-2.2222222222222223</v>
      </c>
      <c r="F155" s="3108">
        <f>0</f>
        <v>0</v>
      </c>
      <c r="G155" s="3108">
        <f>0</f>
        <v>0</v>
      </c>
      <c r="H155" s="3108">
        <f>0</f>
        <v>0</v>
      </c>
      <c r="I155" s="3108">
        <f>0</f>
        <v>0</v>
      </c>
      <c r="J155" s="3108">
        <f>0</f>
        <v>0</v>
      </c>
      <c r="K155" s="3108">
        <f>0</f>
        <v>0</v>
      </c>
      <c r="L155" s="3108">
        <f>0</f>
        <v>0</v>
      </c>
      <c r="M155" s="3108">
        <f>0</f>
        <v>0</v>
      </c>
      <c r="N155" s="3108">
        <f>0</f>
        <v>0</v>
      </c>
      <c r="O155" s="3108">
        <f>0</f>
        <v>0</v>
      </c>
      <c r="P155" s="3108">
        <f>0</f>
        <v>0</v>
      </c>
      <c r="Q155" s="3108">
        <f>0</f>
        <v>0</v>
      </c>
      <c r="R155" s="3108">
        <f>1</f>
        <v>1</v>
      </c>
      <c r="S155" s="3108">
        <f>0</f>
        <v>0</v>
      </c>
      <c r="T155" s="3108">
        <f>0</f>
        <v>0</v>
      </c>
      <c r="U155" s="3108">
        <f>0</f>
        <v>0</v>
      </c>
      <c r="V155" s="3108">
        <f>0</f>
        <v>0</v>
      </c>
      <c r="W155" s="3108">
        <f>0</f>
        <v>0</v>
      </c>
      <c r="X155" s="3108">
        <f>0</f>
        <v>0</v>
      </c>
      <c r="Y155" s="3108">
        <f>0</f>
        <v>0</v>
      </c>
      <c r="Z155" s="3108">
        <f>0</f>
        <v>0</v>
      </c>
      <c r="AA155" s="3108">
        <f>0</f>
        <v>0</v>
      </c>
      <c r="AB155" s="3108">
        <f>0</f>
        <v>0</v>
      </c>
      <c r="AC155" s="3108">
        <f>0</f>
        <v>0</v>
      </c>
      <c r="AD155" s="3107">
        <f>-i_N_BIO</f>
        <v>-7.0000000000000007E-2</v>
      </c>
      <c r="AE155" s="3107">
        <f>-(1-Y_OHO_VFA_anox)/(E_EQN2_NO2*Y_OHO_VFA_anox)</f>
        <v>-0.71333091657603842</v>
      </c>
      <c r="AF155" s="3107">
        <f>0</f>
        <v>0</v>
      </c>
      <c r="AG155" s="3107">
        <f>(1-Y_OHO_VFA_anox)/(E_EQN2_NO2*Y_OHO_VFA_anox)</f>
        <v>0.71333091657603842</v>
      </c>
      <c r="AH155" s="3108">
        <f>0</f>
        <v>0</v>
      </c>
      <c r="AI155" s="3108">
        <f>0</f>
        <v>0</v>
      </c>
      <c r="AJ155" s="3108">
        <f>0</f>
        <v>0</v>
      </c>
      <c r="AK155" s="3108">
        <f>0</f>
        <v>0</v>
      </c>
      <c r="AL155" s="3107">
        <f>-i_P_BIO</f>
        <v>-0.02</v>
      </c>
      <c r="AM155" s="3108">
        <f>0</f>
        <v>0</v>
      </c>
      <c r="AN155" s="3108">
        <f>0</f>
        <v>0</v>
      </c>
      <c r="AO155" s="3108">
        <f>0</f>
        <v>0</v>
      </c>
      <c r="AP155" s="3108">
        <f>0</f>
        <v>0</v>
      </c>
      <c r="AQ155" s="3108">
        <f>0</f>
        <v>0</v>
      </c>
      <c r="AR155" s="3107">
        <f>0</f>
        <v>0</v>
      </c>
      <c r="AS155" s="3107">
        <f>0</f>
        <v>0</v>
      </c>
      <c r="AT155" s="3107">
        <f>0</f>
        <v>0</v>
      </c>
      <c r="AU155" s="3107">
        <f>i_CIT_VFA/Y_OHO_VFA_anox-i_CIT_BIO</f>
        <v>0.48133333333333328</v>
      </c>
      <c r="AV155" s="3107">
        <f>i_INORG</f>
        <v>0.11</v>
      </c>
      <c r="AW155" s="3107">
        <f>-i_INORG*(1-i_Ca_INORG*(A_MCa+2*A_MCl)/A_MCa-i_Mg_INORG*(A_MMg+2*A_MCl)/A_MMg)*f_Na</f>
        <v>-2.8804303582798466E-2</v>
      </c>
      <c r="AX155" s="3107">
        <f>-i_INORG*(i_Ca_INORG*(2*A_MCl)/A_MCa+i_Mg_INORG*(2*A_MCl)/A_MMg)-i_INORG*(1-i_Ca_INORG*(A_MCa+2*A_MCl)/A_MCa-i_Mg_INORG*(A_MMg+2*A_MCl)/A_MMg)*(1-f_Na)</f>
        <v>-7.0195696417201539E-2</v>
      </c>
      <c r="AY155" s="3107">
        <f>-i_INORG*i_Ca_INORG</f>
        <v>-5.5000000000000005E-3</v>
      </c>
      <c r="AZ155" s="3107">
        <f>-i_INORG*i_Mg_INORG</f>
        <v>-5.5000000000000005E-3</v>
      </c>
      <c r="BA155" s="3107">
        <f>0</f>
        <v>0</v>
      </c>
      <c r="BB155" s="3107">
        <f>0</f>
        <v>0</v>
      </c>
      <c r="BC155" s="3107">
        <f>-i_S_BIO</f>
        <v>-0.01</v>
      </c>
      <c r="BD155" s="3107">
        <f>0</f>
        <v>0</v>
      </c>
      <c r="BE155" s="3107">
        <f>0</f>
        <v>0</v>
      </c>
      <c r="BF155" s="3107">
        <f>0</f>
        <v>0</v>
      </c>
      <c r="BG155" s="3107">
        <f>0</f>
        <v>0</v>
      </c>
      <c r="BH155" s="3107">
        <f>0</f>
        <v>0</v>
      </c>
      <c r="BI155" s="3107">
        <f>0</f>
        <v>0</v>
      </c>
      <c r="BJ155" s="3107">
        <f>0</f>
        <v>0</v>
      </c>
      <c r="BK155" s="3107">
        <f>0</f>
        <v>0</v>
      </c>
      <c r="BL155" s="3107">
        <f>0</f>
        <v>0</v>
      </c>
      <c r="BM155" s="3107">
        <f>0</f>
        <v>0</v>
      </c>
      <c r="BN155" s="3107">
        <f>0</f>
        <v>0</v>
      </c>
      <c r="BO155" s="3107">
        <f>0</f>
        <v>0</v>
      </c>
      <c r="BP155" s="3107">
        <f>0</f>
        <v>0</v>
      </c>
      <c r="BQ155" s="3107">
        <f>0</f>
        <v>0</v>
      </c>
      <c r="BR155" s="3107">
        <f>0</f>
        <v>0</v>
      </c>
      <c r="BS155" s="3107">
        <f>0</f>
        <v>0</v>
      </c>
      <c r="BT155" s="3107">
        <f>0</f>
        <v>0</v>
      </c>
      <c r="BU155" s="3107">
        <f>0</f>
        <v>0</v>
      </c>
      <c r="BV155" s="3107">
        <f>0</f>
        <v>0</v>
      </c>
      <c r="BW155" s="3107">
        <f>0</f>
        <v>0</v>
      </c>
      <c r="BX155" s="3107">
        <f>0</f>
        <v>0</v>
      </c>
      <c r="BY155" s="3107">
        <f>0</f>
        <v>0</v>
      </c>
      <c r="BZ155" s="3186">
        <f>0</f>
        <v>0</v>
      </c>
      <c r="CA155" s="3186">
        <f>0</f>
        <v>0</v>
      </c>
      <c r="CB155" s="3186">
        <f>0</f>
        <v>0</v>
      </c>
      <c r="CC155" s="3186">
        <f>0</f>
        <v>0</v>
      </c>
      <c r="CD155" s="3107">
        <f>0</f>
        <v>0</v>
      </c>
      <c r="CE155" s="3107">
        <f>0</f>
        <v>0</v>
      </c>
      <c r="CF155" s="3107">
        <f>0</f>
        <v>0</v>
      </c>
      <c r="CG155" s="3107">
        <f>0</f>
        <v>0</v>
      </c>
      <c r="CH155" s="3107">
        <f>0</f>
        <v>0</v>
      </c>
      <c r="CI155" s="3107">
        <f>0</f>
        <v>0</v>
      </c>
      <c r="CJ155" s="3107">
        <f>0</f>
        <v>0</v>
      </c>
      <c r="CK155" s="3107">
        <f>0</f>
        <v>0</v>
      </c>
      <c r="CL155" s="3107">
        <f>0</f>
        <v>0</v>
      </c>
      <c r="CM155" s="3107">
        <f>0</f>
        <v>0</v>
      </c>
      <c r="CN155" s="3107">
        <f>0</f>
        <v>0</v>
      </c>
      <c r="CO155" s="3107">
        <f>0</f>
        <v>0</v>
      </c>
      <c r="CP155" s="3107">
        <f>0</f>
        <v>0</v>
      </c>
      <c r="CQ155" s="3107">
        <f>0</f>
        <v>0</v>
      </c>
      <c r="CR155" s="3107">
        <f>0</f>
        <v>0</v>
      </c>
      <c r="CS155" s="3107">
        <f>0</f>
        <v>0</v>
      </c>
      <c r="CT155" s="3107">
        <f>0</f>
        <v>0</v>
      </c>
      <c r="CU155" s="3107">
        <f>0</f>
        <v>0</v>
      </c>
      <c r="CV155" s="3220">
        <f>µ_OHO_T*X_OHO*η_OHO_anox_NO2red*M_satSVFA_KVFA*M_satSNO2_KNO2_OHO*(L_oginhSNO3_KNO3_OHO*L_oginhSVFA_KVFA_OHO_SNO2+L_ogsatSVFA_KVFA_OHO_SNO2)*M_inhSO2_KO2_OHO*M_satSNHx_KNHx_BIO*M_satSPO4_KPO4_BIO*M_satSCAT_KCAT*M_satSAN_KAN*M_satSCa_KCa*M_satSMg_KMg*M_satSSO4_KSO4_BIO*B_ellinhpH</f>
        <v>1.1068109693113368E-89</v>
      </c>
      <c r="CX155" s="2838">
        <f>E287*E155+F287*F155+G287*G155+H287*H155+I287*I155+J287*J155+K287*K155+L287*L155+M287*M155+N287*N155+O287*O155+P287*P155+Q287*Q155+R287*R155+S287*S155+T287*T155+U287*U155+V287*V155+W287*W155+X287*X155+Y287*Y155+Z287*Z155+AA287*AA155+AB287*AB155+AC287*AC155+AD287*AD155+AE287*AE155+AF287*AF155+AG287*AG155+AH287*AH155+AI287*AI155+AJ287*AJ155+AK287*AK155+AL287*AL155+AM287*AM155+AN287*AN155+AO287*AO155+AP287*AP155+AQ287*AQ155+AR287*AR155+AS287*AS155+AT287*AT155+AU287*AU155+AV287*AV155+AW287*AW155+AX287*AX155+AY287*AY155+AZ287*AZ155+BA287*BA155+BB287*BB155+BC287*BC155+BD287*BD155+BE287*BE155+BF287*BF155+BG287*BG155+BH287*BH155+BI287*BI155+BJ287*BJ155+BK287*BK155+BL287*BL155+BM287*BM155+BN287*BN155+BO287*BO155+BP287*BP155+BQ287*BQ155+BR287*BR155+BS287*BS155+BT287*BT155+BU287*BU155+BV287*BV155+BW287*BW155+BX287*BX155+BY287*BY155+BZ287*BZ155+CA287*CA155+CB287*CB155+CC287*CC155+CD287*CD155+CE287*CE155+CF287*CF155+CG287*CG155+CH287*CH155+CI287*CI155+CJ287*CJ155+CK287*CK155+CL287*CL155+CM287*CM155+CN287*CN155+CO287*CO155+CP287*CP155+CQ287*CQ155+CR287*CR155+CS287*CS155+CT287*CT155+CU287*CU155</f>
        <v>0</v>
      </c>
      <c r="CY155" s="2838">
        <f>E288*E155+F288*F155+G288*G155+H288*H155+I288*I155+J288*J155+K288*K155+L288*L155+M288*M155+N288*N155+O288*O155+P288*P155+Q288*Q155+R288*R155+S288*S155+T288*T155+U288*U155+V288*V155+W288*W155+X288*X155+Y288*Y155+Z288*Z155+AA288*AA155+AB288*AB155+AC288*AC155+AD288*AD155+AE288*AE155+AF288*AF155+AG288*AG155+AH288*AH155+AI288*AI155+AJ288*AJ155+AK288*AK155+AL288*AL155+AM288*AM155+AN288*AN155+AO288*AO155+AP288*AP155+AQ288*AQ155+AR288*AR155+AS288*AS155+AT288*AT155+AU288*AU155+AV288*AV155+AW288*AW155+AX288*AX155+AY288*AY155+AZ288*AZ155+BA288*BA155+BB288*BB155+BC288*BC155+BD288*BD155+BE288*BE155+BF288*BF155+BG288*BG155+BH288*BH155+BI288*BI155+BJ288*BJ155+BK288*BK155+BL288*BL155+BM288*BM155+BN288*BN155+BO288*BO155+BP288*BP155+BQ288*BQ155+BR288*BR155+BS288*BS155+BT288*BT155+BU288*BU155+BV288*BV155+BW288*BW155+BX288*BX155+BY288*BY155+BZ288*BZ155+CA288*CA155+CB288*CB155+CC288*CC155+CD288*CD155+CE288*CE155+CF288*CF155+CG288*CG155+CH288*CH155+CI288*CI155+CJ288*CJ155+CK288*CK155+CL288*CL155+CM288*CM155+CN288*CN155+CO288*CO155+CP288*CP155+CQ288*CQ155+CR288*CR155+CS288*CS155+CT288*CT155+CU288*CU155</f>
        <v>-1.1102230246251565E-16</v>
      </c>
      <c r="CZ155" s="2839">
        <f>E289*E155+F289*F155+G289*G155+H289*H155+I289*I155+J289*J155+K289*K155+L289*L155+M289*M155+N289*N155+O289*O155+P289*P155+Q289*Q155+R289*R155+S289*S155+T289*T155+U289*U155+V289*V155+W289*W155+X289*X155+Y289*Y155+Z289*Z155+AA289*AA155+AB289*AB155+AC289*AC155+AD289*AD155+AE289*AE155+AF289*AF155+AG289*AG155+AH289*AH155+AI289*AI155+AJ289*AJ155+AK289*AK155+AL289*AL155+AM289*AM155+AN289*AN155+AO289*AO155+AP289*AP155+AQ289*AQ155+AR289*AR155+AS289*AS155+AT289*AT155+AU289*AU155+AV289*AV155+AW289*AW155+AX289*AX155+AY289*AY155+AZ289*AZ155+BA289*BA155+BB289*BB155+BC289*BC155+BD289*BD155+BE289*BE155+BF289*BF155+BG289*BG155+BH289*BH155+BI289*BI155+BJ289*BJ155+BK289*BK155+BL289*BL155+BM289*BM155+BN289*BN155+BO289*BO155+BP289*BP155+BQ289*BQ155+BR289*BR155+BS289*BS155+BT289*BT155+BU289*BU155+BV289*BV155+BW289*BW155+BX289*BX155+BY289*BY155+BZ289*BZ155+CA289*CA155+CB289*CB155+CC289*CC155+CD289*CD155+CE289*CE155+CF289*CF155+CG289*CG155+CH289*CH155+CI289*CI155+CJ289*CJ155+CK289*CK155+CL289*CL155+CM289*CM155+CN289*CN155+CO289*CO155+CP289*CP155+CQ289*CQ155+CR289*CR155+CS289*CS155+CT289*CT155+CU289*CU155</f>
        <v>0</v>
      </c>
      <c r="DA155" s="2840">
        <f>E290*E155+F290*F155+G290*G155+H290*H155+I290*I155+J290*J155+K290*K155+L290*L155+M290*M155+N290*N155+O290*O155+P290*P155+Q290*Q155+R290*R155+S290*S155+T290*T155+U290*U155+V290*V155+W290*W155+X290*X155+Y290*Y155+Z290*Z155+AA290*AA155+AB290*AB155+AC290*AC155+AD290*AD155+AE290*AE155+AF290*AF155+AG290*AG155+AH290*AH155+AI290*AI155+AJ290*AJ155+AK290*AK155+AL290*AL155+AM290*AM155+AN290*AN155+AO290*AO155+AP290*AP155+AQ290*AQ155+AR290*AR155+AS290*AS155+AT290*AT155+AU290*AU155+AV290*AV155+AW290*AW155+AX290*AX155+AY290*AY155+AZ290*AZ155+BA290*BA155+BB290*BB155+BC290*BC155+BD290*BD155+BE290*BE155+BF290*BF155+BG290*BG155+BH290*BH155+BI290*BI155+BJ290*BJ155+BK290*BK155+BL290*BL155+BM290*BM155+BN290*BN155+BO290*BO155+BP290*BP155+BQ290*BQ155+BR290*BR155+BS290*BS155+BT290*BT155+BU290*BU155+BV290*BV155+BW290*BW155+BX290*BX155+BY290*BY155+BZ290*BZ155+CA290*CA155+CB290*CB155+CC290*CC155+CD290*CD155+CE290*CE155+CF290*CF155+CG290*CG155+CH290*CH155+CI290*CI155+CJ290*CJ155+CK290*CK155+CL290*CL155+CM290*CM155+CN290*CN155+CO290*CO155+CP290*CP155+CQ290*CQ155+CR290*CR155+CS290*CS155+CT290*CT155+CU290*CU155</f>
        <v>0</v>
      </c>
      <c r="DB155" s="2840">
        <f>E291*E155+F291*F155+G291*G155+H291*H155+I291*I155+J291*J155+K291*K155+L291*L155+M291*M155+N291*N155+O291*O155+P291*P155+Q291*Q155+R291*R155+S291*S155+T291*T155+U291*U155+V291*V155+W291*W155+X291*X155+Y291*Y155+Z291*Z155+AA291*AA155+AB291*AB155+AC291*AC155+AD291*AD155+AE291*AE155+AF291*AF155+AG291*AG155+AH291*AH155+AI291*AI155+AJ291*AJ155+AK291*AK155+AL291*AL155+AM291*AM155+AN291*AN155+AO291*AO155+AP291*AP155+AQ291*AQ155+AR291*AR155+AS291*AS155+AT291*AT155+AU291*AU155+AV291*AV155+AW291*AW155+AX291*AX155+AY291*AY155+AZ291*AZ155+BA291*BA155+BB291*BB155+BC291*BC155+BD291*BD155+BE291*BE155+BF291*BF155+BG291*BG155+BH291*BH155+BI291*BI155+BJ291*BJ155+BK291*BK155+BL291*BL155+BM291*BM155+BN291*BN155+BO291*BO155+BP291*BP155+BQ291*BQ155+BR291*BR155+BS291*BS155+BT291*BT155+BU291*BU155+BV291*BV155+BW291*BW155+BX291*BX155+BY291*BY155+BZ291*BZ155+CA291*CA155+CB291*CB155+CC291*CC155+CD291*CD155+CE291*CE155+CF291*CF155+CG291*CG155+CH291*CH155+CI291*CI155+CJ291*CJ155+CK291*CK155+CL291*CL155+CM291*CM155+CN291*CN155+CO291*CO155+CP291*CP155+CQ291*CQ155+CR291*CR155+CS291*CS155+CT291*CT155+CU291*CU155</f>
        <v>0</v>
      </c>
      <c r="DC155" s="2840">
        <f>E292*E155+F292*F155+G292*G155+H292*H155+I292*I155+J292*J155+K292*K155+L292*L155+M292*M155+N292*N155+O292*O155+P292*P155+Q292*Q155+R292*R155+S292*S155+T292*T155+U292*U155+V292*V155+W292*W155+X292*X155+Y292*Y155+Z292*Z155+AA292*AA155+AB292*AB155+AC292*AC155+AD292*AD155+AE292*AE155+AF292*AF155+AG292*AG155+AH292*AH155+AI292*AI155+AJ292*AJ155+AK292*AK155+AL292*AL155+AM292*AM155+AN292*AN155+AO292*AO155+AP292*AP155+AQ292*AQ155+AR292*AR155+AS292*AS155+AT292*AT155+AU292*AU155+AV292*AV155+AW292*AW155+AX292*AX155+AY292*AY155+AZ292*AZ155+BA292*BA155+BB292*BB155+BC292*BC155+BD292*BD155+BE292*BE155+BF292*BF155+BG292*BG155+BH292*BH155+BI292*BI155+BJ292*BJ155+BK292*BK155+BL292*BL155+BM292*BM155+BN292*BN155+BO292*BO155+BP292*BP155+BQ292*BQ155+BR292*BR155+BS292*BS155+BT292*BT155+BU292*BU155+BV292*BV155+BW292*BW155+BX292*BX155+BY292*BY155+BZ292*BZ155+CA292*CA155+CB292*CB155+CC292*CC155+CD292*CD155+CE292*CE155+CF292*CF155+CG292*CG155+CH292*CH155+CI292*CI155+CJ292*CJ155+CK292*CK155+CL292*CL155+CM292*CM155+CN292*CN155+CO292*CO155+CP292*CP155+CQ292*CQ155+CR292*CR155+CS292*CS155+CT292*CT155+CU292*CU155</f>
        <v>0</v>
      </c>
      <c r="DD155" s="2840">
        <f>E293*E155+F293*F155+G293*G155+H293*H155+I293*I155+J293*J155+K293*K155+L293*L155+M293*M155+N293*N155+O293*O155+P293*P155+Q293*Q155+R293*R155+S293*S155+T293*T155+U293*U155+V293*V155+W293*W155+X293*X155+Y293*Y155+Z293*Z155+AA293*AA155+AB293*AB155+AC293*AC155+AD293*AD155+AE293*AE155+AF293*AF155+AG293*AG155+AH293*AH155+AI293*AI155+AJ293*AJ155+AK293*AK155+AL293*AL155+AM293*AM155+AN293*AN155+AO293*AO155+AP293*AP155+AQ293*AQ155+AR293*AR155+AS293*AS155+AT293*AT155+AU293*AU155+AV293*AV155+AW293*AW155+AX293*AX155+AY293*AY155+AZ293*AZ155+BA293*BA155+BB293*BB155+BC293*BC155+BD293*BD155+BE293*BE155+BF293*BF155+BG293*BG155+BH293*BH155+BI293*BI155+BJ293*BJ155+BK293*BK155+BL293*BL155+BM293*BM155+BN293*BN155+BO293*BO155+BP293*BP155+BQ293*BQ155+BR293*BR155+BS293*BS155+BT293*BT155+BU293*BU155+BV293*BV155+BW293*BW155+BX293*BX155+BY293*BY155+BZ293*BZ155+CA293*CA155+CB293*CB155+CC293*CC155+CD293*CD155+CE293*CE155+CF293*CF155+CG293*CG155+CH293*CH155+CI293*CI155+CJ293*CJ155+CK293*CK155+CL293*CL155+CM293*CM155+CN293*CN155+CO293*CO155+CP293*CP155+CQ293*CQ155+CR293*CR155+CS293*CS155+CT293*CT155+CU293*CU155</f>
        <v>0</v>
      </c>
      <c r="DE155" s="2840">
        <f>E294*E155+F294*F155+G294*G155+H294*H155+I294*I155+J294*J155+K294*K155+L294*L155+M294*M155+N294*N155+O294*O155+P294*P155+Q294*Q155+R294*R155+S294*S155+T294*T155+U294*U155+V294*V155+W294*W155+X294*X155+Y294*Y155+Z294*Z155+AA294*AA155+AB294*AB155+AC294*AC155+AD294*AD155+AE294*AE155+AF294*AF155+AG294*AG155+AH294*AH155+AI294*AI155+AJ294*AJ155+AK294*AK155+AL294*AL155+AM294*AM155+AN294*AN155+AO294*AO155+AP294*AP155+AQ294*AQ155+AR294*AR155+AS294*AS155+AT294*AT155+AU294*AU155+AV294*AV155+AW294*AW155+AX294*AX155+AY294*AY155+AZ294*AZ155+BA294*BA155+BB294*BB155+BC294*BC155+BD294*BD155+BE294*BE155+BF294*BF155+BG294*BG155+BH294*BH155+BI294*BI155+BJ294*BJ155+BK294*BK155+BL294*BL155+BM294*BM155+BN294*BN155+BO294*BO155+BP294*BP155+BQ294*BQ155+BR294*BR155+BS294*BS155+BT294*BT155+BU294*BU155+BV294*BV155+BW294*BW155+BX294*BX155+BY294*BY155+BZ294*BZ155+CA294*CA155+CB294*CB155+CC294*CC155+CD294*CD155+CE294*CE155+CF294*CF155+CG294*CG155+CH294*CH155+CI294*CI155+CJ294*CJ155+CK294*CK155+CL294*CL155+CM294*CM155+CN294*CN155+CO294*CO155+CP294*CP155+CQ294*CQ155+CR294*CR155+CS294*CS155+CT294*CT155+CU294*CU155</f>
        <v>0</v>
      </c>
      <c r="DF155" s="2840">
        <f>E295*E155+F295*F155+G295*G155+H295*H155+I295*I155+J295*J155+K295*K155+L295*L155+M295*M155+N295*N155+O295*O155+P295*P155+Q295*Q155+R295*R155+S295*S155+T295*T155+U295*U155+V295*V155+W295*W155+X295*X155+Y295*Y155+Z295*Z155+AA295*AA155+AB295*AB155+AC295*AC155+AD295*AD155+AE295*AE155+AF295*AF155+AG295*AG155+AH295*AH155+AI295*AI155+AJ295*AJ155+AK295*AK155+AL295*AL155+AM295*AM155+AN295*AN155+AO295*AO155+AP295*AP155+AQ295*AQ155+AR295*AR155+AS295*AS155+AT295*AT155+AU295*AU155+AV295*AV155+AW295*AW155+AX295*AX155+AY295*AY155+AZ295*AZ155+BA295*BA155+BB295*BB155+BC295*BC155+BD295*BD155+BE295*BE155+BF295*BF155+BG295*BG155+BH295*BH155+BI295*BI155+BJ295*BJ155+BK295*BK155+BL295*BL155+BM295*BM155+BN295*BN155+BO295*BO155+BP295*BP155+BQ295*BQ155+BR295*BR155+BS295*BS155+BT295*BT155+BU295*BU155+BV295*BV155+BW295*BW155+BX295*BX155+BY295*BY155+BZ295*BZ155+CA295*CA155+CB295*CB155+CC295*CC155+CD295*CD155+CE295*CE155+CF295*CF155+CG295*CG155+CH295*CH155+CI295*CI155+CJ295*CJ155+CK295*CK155+CL295*CL155+CM295*CM155+CN295*CN155+CO295*CO155+CP295*CP155+CQ295*CQ155+CR295*CR155+CS295*CS155+CT295*CT155+CU295*CU155</f>
        <v>0</v>
      </c>
      <c r="DG155" s="2840">
        <f>E296*E155+F296*F155+G296*G155+H296*H155+I296*I155+J296*J155+K296*K155+L296*L155+M296*M155+N296*N155+O296*O155+P296*P155+Q296*Q155+R296*R155+S296*S155+T296*T155+U296*U155+V296*V155+W296*W155+X296*X155+Y296*Y155+Z296*Z155+AA296*AA155+AB296*AB155+AC296*AC155+AD296*AD155+AE296*AE155+AF296*AF155+AG296*AG155+AH296*AH155+AI296*AI155+AJ296*AJ155+AK296*AK155+AL296*AL155+AM296*AM155+AN296*AN155+AO296*AO155+AP296*AP155+AQ296*AQ155+AR296*AR155+AS296*AS155+AT296*AT155+AU296*AU155+AV296*AV155+AW296*AW155+AX296*AX155+AY296*AY155+AZ296*AZ155+BA296*BA155+BB296*BB155+BC296*BC155+BD296*BD155+BE296*BE155+BF296*BF155+BG296*BG155+BH296*BH155+BI296*BI155+BJ296*BJ155+BK296*BK155+BL296*BL155+BM296*BM155+BN296*BN155+BO296*BO155+BP296*BP155+BQ296*BQ155+BR296*BR155+BS296*BS155+BT296*BT155+BU296*BU155+BV296*BV155+BW296*BW155+BX296*BX155+BY296*BY155+BZ296*BZ155+CA296*CA155+CB296*CB155+CC296*CC155+CD296*CD155+CE296*CE155+CF296*CF155+CG296*CG155+CH296*CH155+CI296*CI155+CJ296*CJ155+CK296*CK155+CL296*CL155+CM296*CM155+CN296*CN155+CO296*CO155+CP296*CP155+CQ296*CQ155+CR296*CR155+CS296*CS155+CT296*CT155+CU296*CU155</f>
        <v>0</v>
      </c>
      <c r="DH155" s="2840">
        <f>E297*E155+F297*F155+G297*G155+H297*H155+I297*I155+J297*J155+K297*K155+L297*L155+M297*M155+N297*N155+O297*O155+P297*P155+Q297*Q155+R297*R155+S297*S155+T297*T155+U297*U155+V297*V155+W297*W155+X297*X155+Y297*Y155+Z297*Z155+AA297*AA155+AB297*AB155+AC297*AC155+AD297*AD155+AE297*AE155+AF297*AF155+AG297*AG155+AH297*AH155+AI297*AI155+AJ297*AJ155+AK297*AK155+AL297*AL155+AM297*AM155+AN297*AN155+AO297*AO155+AP297*AP155+AQ297*AQ155+AR297*AR155+AS297*AS155+AT297*AT155+AU297*AU155+AV297*AV155+AW297*AW155+AX297*AX155+AY297*AY155+AZ297*AZ155+BA297*BA155+BB297*BB155+BC297*BC155+BD297*BD155+BE297*BE155+BF297*BF155+BG297*BG155+BH297*BH155+BI297*BI155+BJ297*BJ155+BK297*BK155+BL297*BL155+BM297*BM155+BN297*BN155+BO297*BO155+BP297*BP155+BQ297*BQ155+BR297*BR155+BS297*BS155+BT297*BT155+BU297*BU155+BV297*BV155+BW297*BW155+BX297*BX155+BY297*BY155+BZ297*BZ155+CA297*CA155+CB297*CB155+CC297*CC155+CD297*CD155+CE297*CE155+CF297*CF155+CG297*CG155+CH297*CH155+CI297*CI155+CJ297*CJ155+CK297*CK155+CL297*CL155+CM297*CM155+CN297*CN155+CO297*CO155+CP297*CP155+CQ297*CQ155+CR297*CR155+CS297*CS155+CT297*CT155+CU297*CU155</f>
        <v>0</v>
      </c>
      <c r="DI155" s="2840">
        <f>E298*E155+F298*F155+G298*G155+H298*H155+I298*I155+J298*J155+K298*K155+L298*L155+M298*M155+N298*N155+O298*O155+P298*P155+Q298*Q155+R298*R155+S298*S155+T298*T155+U298*U155+V298*V155+W298*W155+X298*X155+Y298*Y155+Z298*Z155+AA298*AA155+AB298*AB155+AC298*AC155+AD298*AD155+AE298*AE155+AF298*AF155+AG298*AG155+AH298*AH155+AI298*AI155+AJ298*AJ155+AK298*AK155+AL298*AL155+AM298*AM155+AN298*AN155+AO298*AO155+AP298*AP155+AQ298*AQ155+AR298*AR155+AS298*AS155+AT298*AT155+AU298*AU155+AV298*AV155+AW298*AW155+AX298*AX155+AY298*AY155+AZ298*AZ155+BA298*BA155+BB298*BB155+BC298*BC155+BD298*BD155+BE298*BE155+BF298*BF155+BG298*BG155+BH298*BH155+BI298*BI155+BJ298*BJ155+BK298*BK155+BL298*BL155+BM298*BM155+BN298*BN155+BO298*BO155+BP298*BP155+BQ298*BQ155+BR298*BR155+BS298*BS155+BT298*BT155+BU298*BU155+BV298*BV155+BW298*BW155+BX298*BX155+BY298*BY155+BZ298*BZ155+CA298*CA155+CB298*CB155+CC298*CC155+CD298*CD155+CE298*CE155+CF298*CF155+CG298*CG155+CH298*CH155+CI298*CI155+CJ298*CJ155+CK298*CK155+CL298*CL155+CM298*CM155+CN298*CN155+CO298*CO155+CP298*CP155+CQ298*CQ155+CR298*CR155+CS298*CS155+CT298*CT155+CU298*CU155</f>
        <v>0</v>
      </c>
    </row>
    <row r="156" spans="2:113" ht="18" x14ac:dyDescent="0.25">
      <c r="B156" s="2484">
        <v>3</v>
      </c>
      <c r="C156" s="2398" t="s">
        <v>225</v>
      </c>
      <c r="D156" s="2399" t="s">
        <v>1649</v>
      </c>
      <c r="E156" s="3107">
        <f>-1/Y_OHO_VFA_anox</f>
        <v>-2.2222222222222223</v>
      </c>
      <c r="F156" s="3108">
        <f>0</f>
        <v>0</v>
      </c>
      <c r="G156" s="3108">
        <f>0</f>
        <v>0</v>
      </c>
      <c r="H156" s="3108">
        <f>0</f>
        <v>0</v>
      </c>
      <c r="I156" s="3108">
        <f>0</f>
        <v>0</v>
      </c>
      <c r="J156" s="3108">
        <f>0</f>
        <v>0</v>
      </c>
      <c r="K156" s="3108">
        <f>0</f>
        <v>0</v>
      </c>
      <c r="L156" s="3108">
        <f>0</f>
        <v>0</v>
      </c>
      <c r="M156" s="3108">
        <f>0</f>
        <v>0</v>
      </c>
      <c r="N156" s="3108">
        <f>0</f>
        <v>0</v>
      </c>
      <c r="O156" s="3108">
        <f>0</f>
        <v>0</v>
      </c>
      <c r="P156" s="3108">
        <f>0</f>
        <v>0</v>
      </c>
      <c r="Q156" s="3108">
        <f>0</f>
        <v>0</v>
      </c>
      <c r="R156" s="3108">
        <f>1</f>
        <v>1</v>
      </c>
      <c r="S156" s="3108">
        <f>0</f>
        <v>0</v>
      </c>
      <c r="T156" s="3108">
        <f>0</f>
        <v>0</v>
      </c>
      <c r="U156" s="3108">
        <f>0</f>
        <v>0</v>
      </c>
      <c r="V156" s="3108">
        <f>0</f>
        <v>0</v>
      </c>
      <c r="W156" s="3108">
        <f>0</f>
        <v>0</v>
      </c>
      <c r="X156" s="3108">
        <f>0</f>
        <v>0</v>
      </c>
      <c r="Y156" s="3108">
        <f>0</f>
        <v>0</v>
      </c>
      <c r="Z156" s="3108">
        <f>0</f>
        <v>0</v>
      </c>
      <c r="AA156" s="3108">
        <f>0</f>
        <v>0</v>
      </c>
      <c r="AB156" s="3108">
        <f>0</f>
        <v>0</v>
      </c>
      <c r="AC156" s="3108">
        <f>0</f>
        <v>0</v>
      </c>
      <c r="AD156" s="3107">
        <f>-i_N_BIO</f>
        <v>-7.0000000000000007E-2</v>
      </c>
      <c r="AE156" s="3107">
        <f>(1-Y_OHO_VFA_anox)/(E_EQNO2_NO3*Y_OHO_VFA_anox)</f>
        <v>1.0699963748640577</v>
      </c>
      <c r="AF156" s="3107">
        <f>-(1-Y_OHO_VFA_anox)/(E_EQNO2_NO3*Y_OHO_VFA_anox)</f>
        <v>-1.0699963748640577</v>
      </c>
      <c r="AG156" s="3107">
        <f>0</f>
        <v>0</v>
      </c>
      <c r="AH156" s="3108">
        <f>0</f>
        <v>0</v>
      </c>
      <c r="AI156" s="3108">
        <f>0</f>
        <v>0</v>
      </c>
      <c r="AJ156" s="3108">
        <f>0</f>
        <v>0</v>
      </c>
      <c r="AK156" s="3108">
        <f>0</f>
        <v>0</v>
      </c>
      <c r="AL156" s="3107">
        <f>-i_P_BIO</f>
        <v>-0.02</v>
      </c>
      <c r="AM156" s="3108">
        <f>0</f>
        <v>0</v>
      </c>
      <c r="AN156" s="3108">
        <f>0</f>
        <v>0</v>
      </c>
      <c r="AO156" s="3108">
        <f>0</f>
        <v>0</v>
      </c>
      <c r="AP156" s="3108">
        <f>0</f>
        <v>0</v>
      </c>
      <c r="AQ156" s="3108">
        <f>0</f>
        <v>0</v>
      </c>
      <c r="AR156" s="3107">
        <f>0</f>
        <v>0</v>
      </c>
      <c r="AS156" s="3107">
        <f>0</f>
        <v>0</v>
      </c>
      <c r="AT156" s="3107">
        <f>0</f>
        <v>0</v>
      </c>
      <c r="AU156" s="3107">
        <f>i_CIT_VFA/Y_OHO_VFA_anox-i_CIT_BIO</f>
        <v>0.48133333333333328</v>
      </c>
      <c r="AV156" s="3107">
        <f>i_INORG</f>
        <v>0.11</v>
      </c>
      <c r="AW156" s="3107">
        <f>-i_INORG*(1-i_Ca_INORG*(A_MCa+2*A_MCl)/A_MCa-i_Mg_INORG*(A_MMg+2*A_MCl)/A_MMg)*f_Na</f>
        <v>-2.8804303582798466E-2</v>
      </c>
      <c r="AX156" s="3107">
        <f>-i_INORG*(i_Ca_INORG*(2*A_MCl)/A_MCa+i_Mg_INORG*(2*A_MCl)/A_MMg)-i_INORG*(1-i_Ca_INORG*(A_MCa+2*A_MCl)/A_MCa-i_Mg_INORG*(A_MMg+2*A_MCl)/A_MMg)*(1-f_Na)</f>
        <v>-7.0195696417201539E-2</v>
      </c>
      <c r="AY156" s="3107">
        <f>-i_INORG*i_Ca_INORG</f>
        <v>-5.5000000000000005E-3</v>
      </c>
      <c r="AZ156" s="3107">
        <f>-i_INORG*i_Mg_INORG</f>
        <v>-5.5000000000000005E-3</v>
      </c>
      <c r="BA156" s="3107">
        <f>0</f>
        <v>0</v>
      </c>
      <c r="BB156" s="3107">
        <f>0</f>
        <v>0</v>
      </c>
      <c r="BC156" s="3107">
        <f>-i_S_BIO</f>
        <v>-0.01</v>
      </c>
      <c r="BD156" s="3107">
        <f>0</f>
        <v>0</v>
      </c>
      <c r="BE156" s="3107">
        <f>0</f>
        <v>0</v>
      </c>
      <c r="BF156" s="3107">
        <f>0</f>
        <v>0</v>
      </c>
      <c r="BG156" s="3107">
        <f>0</f>
        <v>0</v>
      </c>
      <c r="BH156" s="3107">
        <f>0</f>
        <v>0</v>
      </c>
      <c r="BI156" s="3107">
        <f>0</f>
        <v>0</v>
      </c>
      <c r="BJ156" s="3107">
        <f>0</f>
        <v>0</v>
      </c>
      <c r="BK156" s="3107">
        <f>0</f>
        <v>0</v>
      </c>
      <c r="BL156" s="3107">
        <f>0</f>
        <v>0</v>
      </c>
      <c r="BM156" s="3107">
        <f>0</f>
        <v>0</v>
      </c>
      <c r="BN156" s="3107">
        <f>0</f>
        <v>0</v>
      </c>
      <c r="BO156" s="3107">
        <f>0</f>
        <v>0</v>
      </c>
      <c r="BP156" s="3107">
        <f>0</f>
        <v>0</v>
      </c>
      <c r="BQ156" s="3107">
        <f>0</f>
        <v>0</v>
      </c>
      <c r="BR156" s="3107">
        <f>0</f>
        <v>0</v>
      </c>
      <c r="BS156" s="3107">
        <f>0</f>
        <v>0</v>
      </c>
      <c r="BT156" s="3107">
        <f>0</f>
        <v>0</v>
      </c>
      <c r="BU156" s="3107">
        <f>0</f>
        <v>0</v>
      </c>
      <c r="BV156" s="3107">
        <f>0</f>
        <v>0</v>
      </c>
      <c r="BW156" s="3107">
        <f>0</f>
        <v>0</v>
      </c>
      <c r="BX156" s="3107">
        <f>0</f>
        <v>0</v>
      </c>
      <c r="BY156" s="3107">
        <f>0</f>
        <v>0</v>
      </c>
      <c r="BZ156" s="3186">
        <f>0</f>
        <v>0</v>
      </c>
      <c r="CA156" s="3186">
        <f>0</f>
        <v>0</v>
      </c>
      <c r="CB156" s="3186">
        <f>0</f>
        <v>0</v>
      </c>
      <c r="CC156" s="3186">
        <f>0</f>
        <v>0</v>
      </c>
      <c r="CD156" s="3107">
        <f>0</f>
        <v>0</v>
      </c>
      <c r="CE156" s="3107">
        <f>0</f>
        <v>0</v>
      </c>
      <c r="CF156" s="3107">
        <f>0</f>
        <v>0</v>
      </c>
      <c r="CG156" s="3107">
        <f>0</f>
        <v>0</v>
      </c>
      <c r="CH156" s="3107">
        <f>0</f>
        <v>0</v>
      </c>
      <c r="CI156" s="3107">
        <f>0</f>
        <v>0</v>
      </c>
      <c r="CJ156" s="3107">
        <f>0</f>
        <v>0</v>
      </c>
      <c r="CK156" s="3107">
        <f>0</f>
        <v>0</v>
      </c>
      <c r="CL156" s="3107">
        <f>0</f>
        <v>0</v>
      </c>
      <c r="CM156" s="3107">
        <f>0</f>
        <v>0</v>
      </c>
      <c r="CN156" s="3107">
        <f>0</f>
        <v>0</v>
      </c>
      <c r="CO156" s="3107">
        <f>0</f>
        <v>0</v>
      </c>
      <c r="CP156" s="3107">
        <f>0</f>
        <v>0</v>
      </c>
      <c r="CQ156" s="3107">
        <f>0</f>
        <v>0</v>
      </c>
      <c r="CR156" s="3107">
        <f>0</f>
        <v>0</v>
      </c>
      <c r="CS156" s="3107">
        <f>0</f>
        <v>0</v>
      </c>
      <c r="CT156" s="3107">
        <f>0</f>
        <v>0</v>
      </c>
      <c r="CU156" s="3107">
        <f>0</f>
        <v>0</v>
      </c>
      <c r="CV156" s="3220">
        <f>µ_OHO_T*X_OHO*η_OHO_anox*M_satSVFA_KVFA*L_ogsatSNO3_KNO3_OHO*(L_oginhSVFA_KVFA_OHO_SNO2+M_inhSNO2_KNO2_OHO*L_ogsatSVFA_KVFA_OHO_SNO2)*M_inhSO2_KO2_OHO*M_satSNHx_KNHx_BIO*M_satSPO4_KPO4_BIO*M_satSCAT_KCAT*M_satSAN_KAN*M_satSCa_KCa*M_satSMg_KMg*M_satSSO4_KSO4_BIO*B_ellinhpH</f>
        <v>1.6209295062561631</v>
      </c>
      <c r="CX156" s="2838">
        <f>E287*E156+F287*F156+G287*G156+H287*H156+I287*I156+J287*J156+K287*K156+L287*L156+M287*M156+N287*N156+O287*O156+P287*P156+Q287*Q156+R287*R156+S287*S156+T287*T156+U287*U156+V287*V156+W287*W156+X287*X156+Y287*Y156+Z287*Z156+AA287*AA156+AB287*AB156+AC287*AC156+AD287*AD156+AE287*AE156+AF287*AF156+AG287*AG156+AH287*AH156+AI287*AI156+AJ287*AJ156+AK287*AK156+AL287*AL156+AM287*AM156+AN287*AN156+AO287*AO156+AP287*AP156+AQ287*AQ156+AR287*AR156+AS287*AS156+AT287*AT156+AU287*AU156+AV287*AV156+AW287*AW156+AX287*AX156+AY287*AY156+AZ287*AZ156+BA287*BA156+BB287*BB156+BC287*BC156+BD287*BD156+BE287*BE156+BF287*BF156+BG287*BG156+BH287*BH156+BI287*BI156+BJ287*BJ156+BK287*BK156+BL287*BL156+BM287*BM156+BN287*BN156+BO287*BO156+BP287*BP156+BQ287*BQ156+BR287*BR156+BS287*BS156+BT287*BT156+BU287*BU156+BV287*BV156+BW287*BW156+BX287*BX156+BY287*BY156+BZ287*BZ156+CA287*CA156+CB287*CB156+CC287*CC156+CD287*CD156+CE287*CE156+CF287*CF156+CG287*CG156+CH287*CH156+CI287*CI156+CJ287*CJ156+CK287*CK156+CL287*CL156+CM287*CM156+CN287*CN156+CO287*CO156+CP287*CP156+CQ287*CQ156+CR287*CR156+CS287*CS156+CT287*CT156+CU287*CU156</f>
        <v>8.8817841970012523E-16</v>
      </c>
      <c r="CY156" s="2838">
        <f>E288*E156+F288*F156+G288*G156+H288*H156+I288*I156+J288*J156+K288*K156+L288*L156+M288*M156+N288*N156+O288*O156+P288*P156+Q288*Q156+R288*R156+S288*S156+T288*T156+U288*U156+V288*V156+W288*W156+X288*X156+Y288*Y156+Z288*Z156+AA288*AA156+AB288*AB156+AC288*AC156+AD288*AD156+AE288*AE156+AF288*AF156+AG288*AG156+AH288*AH156+AI288*AI156+AJ288*AJ156+AK288*AK156+AL288*AL156+AM288*AM156+AN288*AN156+AO288*AO156+AP288*AP156+AQ288*AQ156+AR288*AR156+AS288*AS156+AT288*AT156+AU288*AU156+AV288*AV156+AW288*AW156+AX288*AX156+AY288*AY156+AZ288*AZ156+BA288*BA156+BB288*BB156+BC288*BC156+BD288*BD156+BE288*BE156+BF288*BF156+BG288*BG156+BH288*BH156+BI288*BI156+BJ288*BJ156+BK288*BK156+BL288*BL156+BM288*BM156+BN288*BN156+BO288*BO156+BP288*BP156+BQ288*BQ156+BR288*BR156+BS288*BS156+BT288*BT156+BU288*BU156+BV288*BV156+BW288*BW156+BX288*BX156+BY288*BY156+BZ288*BZ156+CA288*CA156+CB288*CB156+CC288*CC156+CD288*CD156+CE288*CE156+CF288*CF156+CG288*CG156+CH288*CH156+CI288*CI156+CJ288*CJ156+CK288*CK156+CL288*CL156+CM288*CM156+CN288*CN156+CO288*CO156+CP288*CP156+CQ288*CQ156+CR288*CR156+CS288*CS156+CT288*CT156+CU288*CU156</f>
        <v>-1.1102230246251565E-16</v>
      </c>
      <c r="CZ156" s="2839">
        <f>E289*E156+F289*F156+G289*G156+H289*H156+I289*I156+J289*J156+K289*K156+L289*L156+M289*M156+N289*N156+O289*O156+P289*P156+Q289*Q156+R289*R156+S289*S156+T289*T156+U289*U156+V289*V156+W289*W156+X289*X156+Y289*Y156+Z289*Z156+AA289*AA156+AB289*AB156+AC289*AC156+AD289*AD156+AE289*AE156+AF289*AF156+AG289*AG156+AH289*AH156+AI289*AI156+AJ289*AJ156+AK289*AK156+AL289*AL156+AM289*AM156+AN289*AN156+AO289*AO156+AP289*AP156+AQ289*AQ156+AR289*AR156+AS289*AS156+AT289*AT156+AU289*AU156+AV289*AV156+AW289*AW156+AX289*AX156+AY289*AY156+AZ289*AZ156+BA289*BA156+BB289*BB156+BC289*BC156+BD289*BD156+BE289*BE156+BF289*BF156+BG289*BG156+BH289*BH156+BI289*BI156+BJ289*BJ156+BK289*BK156+BL289*BL156+BM289*BM156+BN289*BN156+BO289*BO156+BP289*BP156+BQ289*BQ156+BR289*BR156+BS289*BS156+BT289*BT156+BU289*BU156+BV289*BV156+BW289*BW156+BX289*BX156+BY289*BY156+BZ289*BZ156+CA289*CA156+CB289*CB156+CC289*CC156+CD289*CD156+CE289*CE156+CF289*CF156+CG289*CG156+CH289*CH156+CI289*CI156+CJ289*CJ156+CK289*CK156+CL289*CL156+CM289*CM156+CN289*CN156+CO289*CO156+CP289*CP156+CQ289*CQ156+CR289*CR156+CS289*CS156+CT289*CT156+CU289*CU156</f>
        <v>0</v>
      </c>
      <c r="DA156" s="2840">
        <f>E290*E156+F290*F156+G290*G156+H290*H156+I290*I156+J290*J156+K290*K156+L290*L156+M290*M156+N290*N156+O290*O156+P290*P156+Q290*Q156+R290*R156+S290*S156+T290*T156+U290*U156+V290*V156+W290*W156+X290*X156+Y290*Y156+Z290*Z156+AA290*AA156+AB290*AB156+AC290*AC156+AD290*AD156+AE290*AE156+AF290*AF156+AG290*AG156+AH290*AH156+AI290*AI156+AJ290*AJ156+AK290*AK156+AL290*AL156+AM290*AM156+AN290*AN156+AO290*AO156+AP290*AP156+AQ290*AQ156+AR290*AR156+AS290*AS156+AT290*AT156+AU290*AU156+AV290*AV156+AW290*AW156+AX290*AX156+AY290*AY156+AZ290*AZ156+BA290*BA156+BB290*BB156+BC290*BC156+BD290*BD156+BE290*BE156+BF290*BF156+BG290*BG156+BH290*BH156+BI290*BI156+BJ290*BJ156+BK290*BK156+BL290*BL156+BM290*BM156+BN290*BN156+BO290*BO156+BP290*BP156+BQ290*BQ156+BR290*BR156+BS290*BS156+BT290*BT156+BU290*BU156+BV290*BV156+BW290*BW156+BX290*BX156+BY290*BY156+BZ290*BZ156+CA290*CA156+CB290*CB156+CC290*CC156+CD290*CD156+CE290*CE156+CF290*CF156+CG290*CG156+CH290*CH156+CI290*CI156+CJ290*CJ156+CK290*CK156+CL290*CL156+CM290*CM156+CN290*CN156+CO290*CO156+CP290*CP156+CQ290*CQ156+CR290*CR156+CS290*CS156+CT290*CT156+CU290*CU156</f>
        <v>0</v>
      </c>
      <c r="DB156" s="2840">
        <f>E291*E156+F291*F156+G291*G156+H291*H156+I291*I156+J291*J156+K291*K156+L291*L156+M291*M156+N291*N156+O291*O156+P291*P156+Q291*Q156+R291*R156+S291*S156+T291*T156+U291*U156+V291*V156+W291*W156+X291*X156+Y291*Y156+Z291*Z156+AA291*AA156+AB291*AB156+AC291*AC156+AD291*AD156+AE291*AE156+AF291*AF156+AG291*AG156+AH291*AH156+AI291*AI156+AJ291*AJ156+AK291*AK156+AL291*AL156+AM291*AM156+AN291*AN156+AO291*AO156+AP291*AP156+AQ291*AQ156+AR291*AR156+AS291*AS156+AT291*AT156+AU291*AU156+AV291*AV156+AW291*AW156+AX291*AX156+AY291*AY156+AZ291*AZ156+BA291*BA156+BB291*BB156+BC291*BC156+BD291*BD156+BE291*BE156+BF291*BF156+BG291*BG156+BH291*BH156+BI291*BI156+BJ291*BJ156+BK291*BK156+BL291*BL156+BM291*BM156+BN291*BN156+BO291*BO156+BP291*BP156+BQ291*BQ156+BR291*BR156+BS291*BS156+BT291*BT156+BU291*BU156+BV291*BV156+BW291*BW156+BX291*BX156+BY291*BY156+BZ291*BZ156+CA291*CA156+CB291*CB156+CC291*CC156+CD291*CD156+CE291*CE156+CF291*CF156+CG291*CG156+CH291*CH156+CI291*CI156+CJ291*CJ156+CK291*CK156+CL291*CL156+CM291*CM156+CN291*CN156+CO291*CO156+CP291*CP156+CQ291*CQ156+CR291*CR156+CS291*CS156+CT291*CT156+CU291*CU156</f>
        <v>0</v>
      </c>
      <c r="DC156" s="2840">
        <f>E292*E156+F292*F156+G292*G156+H292*H156+I292*I156+J292*J156+K292*K156+L292*L156+M292*M156+N292*N156+O292*O156+P292*P156+Q292*Q156+R292*R156+S292*S156+T292*T156+U292*U156+V292*V156+W292*W156+X292*X156+Y292*Y156+Z292*Z156+AA292*AA156+AB292*AB156+AC292*AC156+AD292*AD156+AE292*AE156+AF292*AF156+AG292*AG156+AH292*AH156+AI292*AI156+AJ292*AJ156+AK292*AK156+AL292*AL156+AM292*AM156+AN292*AN156+AO292*AO156+AP292*AP156+AQ292*AQ156+AR292*AR156+AS292*AS156+AT292*AT156+AU292*AU156+AV292*AV156+AW292*AW156+AX292*AX156+AY292*AY156+AZ292*AZ156+BA292*BA156+BB292*BB156+BC292*BC156+BD292*BD156+BE292*BE156+BF292*BF156+BG292*BG156+BH292*BH156+BI292*BI156+BJ292*BJ156+BK292*BK156+BL292*BL156+BM292*BM156+BN292*BN156+BO292*BO156+BP292*BP156+BQ292*BQ156+BR292*BR156+BS292*BS156+BT292*BT156+BU292*BU156+BV292*BV156+BW292*BW156+BX292*BX156+BY292*BY156+BZ292*BZ156+CA292*CA156+CB292*CB156+CC292*CC156+CD292*CD156+CE292*CE156+CF292*CF156+CG292*CG156+CH292*CH156+CI292*CI156+CJ292*CJ156+CK292*CK156+CL292*CL156+CM292*CM156+CN292*CN156+CO292*CO156+CP292*CP156+CQ292*CQ156+CR292*CR156+CS292*CS156+CT292*CT156+CU292*CU156</f>
        <v>0</v>
      </c>
      <c r="DD156" s="2840">
        <f>E293*E156+F293*F156+G293*G156+H293*H156+I293*I156+J293*J156+K293*K156+L293*L156+M293*M156+N293*N156+O293*O156+P293*P156+Q293*Q156+R293*R156+S293*S156+T293*T156+U293*U156+V293*V156+W293*W156+X293*X156+Y293*Y156+Z293*Z156+AA293*AA156+AB293*AB156+AC293*AC156+AD293*AD156+AE293*AE156+AF293*AF156+AG293*AG156+AH293*AH156+AI293*AI156+AJ293*AJ156+AK293*AK156+AL293*AL156+AM293*AM156+AN293*AN156+AO293*AO156+AP293*AP156+AQ293*AQ156+AR293*AR156+AS293*AS156+AT293*AT156+AU293*AU156+AV293*AV156+AW293*AW156+AX293*AX156+AY293*AY156+AZ293*AZ156+BA293*BA156+BB293*BB156+BC293*BC156+BD293*BD156+BE293*BE156+BF293*BF156+BG293*BG156+BH293*BH156+BI293*BI156+BJ293*BJ156+BK293*BK156+BL293*BL156+BM293*BM156+BN293*BN156+BO293*BO156+BP293*BP156+BQ293*BQ156+BR293*BR156+BS293*BS156+BT293*BT156+BU293*BU156+BV293*BV156+BW293*BW156+BX293*BX156+BY293*BY156+BZ293*BZ156+CA293*CA156+CB293*CB156+CC293*CC156+CD293*CD156+CE293*CE156+CF293*CF156+CG293*CG156+CH293*CH156+CI293*CI156+CJ293*CJ156+CK293*CK156+CL293*CL156+CM293*CM156+CN293*CN156+CO293*CO156+CP293*CP156+CQ293*CQ156+CR293*CR156+CS293*CS156+CT293*CT156+CU293*CU156</f>
        <v>0</v>
      </c>
      <c r="DE156" s="2840">
        <f>E294*E156+F294*F156+G294*G156+H294*H156+I294*I156+J294*J156+K294*K156+L294*L156+M294*M156+N294*N156+O294*O156+P294*P156+Q294*Q156+R294*R156+S294*S156+T294*T156+U294*U156+V294*V156+W294*W156+X294*X156+Y294*Y156+Z294*Z156+AA294*AA156+AB294*AB156+AC294*AC156+AD294*AD156+AE294*AE156+AF294*AF156+AG294*AG156+AH294*AH156+AI294*AI156+AJ294*AJ156+AK294*AK156+AL294*AL156+AM294*AM156+AN294*AN156+AO294*AO156+AP294*AP156+AQ294*AQ156+AR294*AR156+AS294*AS156+AT294*AT156+AU294*AU156+AV294*AV156+AW294*AW156+AX294*AX156+AY294*AY156+AZ294*AZ156+BA294*BA156+BB294*BB156+BC294*BC156+BD294*BD156+BE294*BE156+BF294*BF156+BG294*BG156+BH294*BH156+BI294*BI156+BJ294*BJ156+BK294*BK156+BL294*BL156+BM294*BM156+BN294*BN156+BO294*BO156+BP294*BP156+BQ294*BQ156+BR294*BR156+BS294*BS156+BT294*BT156+BU294*BU156+BV294*BV156+BW294*BW156+BX294*BX156+BY294*BY156+BZ294*BZ156+CA294*CA156+CB294*CB156+CC294*CC156+CD294*CD156+CE294*CE156+CF294*CF156+CG294*CG156+CH294*CH156+CI294*CI156+CJ294*CJ156+CK294*CK156+CL294*CL156+CM294*CM156+CN294*CN156+CO294*CO156+CP294*CP156+CQ294*CQ156+CR294*CR156+CS294*CS156+CT294*CT156+CU294*CU156</f>
        <v>0</v>
      </c>
      <c r="DF156" s="2840">
        <f>E295*E156+F295*F156+G295*G156+H295*H156+I295*I156+J295*J156+K295*K156+L295*L156+M295*M156+N295*N156+O295*O156+P295*P156+Q295*Q156+R295*R156+S295*S156+T295*T156+U295*U156+V295*V156+W295*W156+X295*X156+Y295*Y156+Z295*Z156+AA295*AA156+AB295*AB156+AC295*AC156+AD295*AD156+AE295*AE156+AF295*AF156+AG295*AG156+AH295*AH156+AI295*AI156+AJ295*AJ156+AK295*AK156+AL295*AL156+AM295*AM156+AN295*AN156+AO295*AO156+AP295*AP156+AQ295*AQ156+AR295*AR156+AS295*AS156+AT295*AT156+AU295*AU156+AV295*AV156+AW295*AW156+AX295*AX156+AY295*AY156+AZ295*AZ156+BA295*BA156+BB295*BB156+BC295*BC156+BD295*BD156+BE295*BE156+BF295*BF156+BG295*BG156+BH295*BH156+BI295*BI156+BJ295*BJ156+BK295*BK156+BL295*BL156+BM295*BM156+BN295*BN156+BO295*BO156+BP295*BP156+BQ295*BQ156+BR295*BR156+BS295*BS156+BT295*BT156+BU295*BU156+BV295*BV156+BW295*BW156+BX295*BX156+BY295*BY156+BZ295*BZ156+CA295*CA156+CB295*CB156+CC295*CC156+CD295*CD156+CE295*CE156+CF295*CF156+CG295*CG156+CH295*CH156+CI295*CI156+CJ295*CJ156+CK295*CK156+CL295*CL156+CM295*CM156+CN295*CN156+CO295*CO156+CP295*CP156+CQ295*CQ156+CR295*CR156+CS295*CS156+CT295*CT156+CU295*CU156</f>
        <v>0</v>
      </c>
      <c r="DG156" s="2840">
        <f>E296*E156+F296*F156+G296*G156+H296*H156+I296*I156+J296*J156+K296*K156+L296*L156+M296*M156+N296*N156+O296*O156+P296*P156+Q296*Q156+R296*R156+S296*S156+T296*T156+U296*U156+V296*V156+W296*W156+X296*X156+Y296*Y156+Z296*Z156+AA296*AA156+AB296*AB156+AC296*AC156+AD296*AD156+AE296*AE156+AF296*AF156+AG296*AG156+AH296*AH156+AI296*AI156+AJ296*AJ156+AK296*AK156+AL296*AL156+AM296*AM156+AN296*AN156+AO296*AO156+AP296*AP156+AQ296*AQ156+AR296*AR156+AS296*AS156+AT296*AT156+AU296*AU156+AV296*AV156+AW296*AW156+AX296*AX156+AY296*AY156+AZ296*AZ156+BA296*BA156+BB296*BB156+BC296*BC156+BD296*BD156+BE296*BE156+BF296*BF156+BG296*BG156+BH296*BH156+BI296*BI156+BJ296*BJ156+BK296*BK156+BL296*BL156+BM296*BM156+BN296*BN156+BO296*BO156+BP296*BP156+BQ296*BQ156+BR296*BR156+BS296*BS156+BT296*BT156+BU296*BU156+BV296*BV156+BW296*BW156+BX296*BX156+BY296*BY156+BZ296*BZ156+CA296*CA156+CB296*CB156+CC296*CC156+CD296*CD156+CE296*CE156+CF296*CF156+CG296*CG156+CH296*CH156+CI296*CI156+CJ296*CJ156+CK296*CK156+CL296*CL156+CM296*CM156+CN296*CN156+CO296*CO156+CP296*CP156+CQ296*CQ156+CR296*CR156+CS296*CS156+CT296*CT156+CU296*CU156</f>
        <v>0</v>
      </c>
      <c r="DH156" s="2840">
        <f>E297*E156+F297*F156+G297*G156+H297*H156+I297*I156+J297*J156+K297*K156+L297*L156+M297*M156+N297*N156+O297*O156+P297*P156+Q297*Q156+R297*R156+S297*S156+T297*T156+U297*U156+V297*V156+W297*W156+X297*X156+Y297*Y156+Z297*Z156+AA297*AA156+AB297*AB156+AC297*AC156+AD297*AD156+AE297*AE156+AF297*AF156+AG297*AG156+AH297*AH156+AI297*AI156+AJ297*AJ156+AK297*AK156+AL297*AL156+AM297*AM156+AN297*AN156+AO297*AO156+AP297*AP156+AQ297*AQ156+AR297*AR156+AS297*AS156+AT297*AT156+AU297*AU156+AV297*AV156+AW297*AW156+AX297*AX156+AY297*AY156+AZ297*AZ156+BA297*BA156+BB297*BB156+BC297*BC156+BD297*BD156+BE297*BE156+BF297*BF156+BG297*BG156+BH297*BH156+BI297*BI156+BJ297*BJ156+BK297*BK156+BL297*BL156+BM297*BM156+BN297*BN156+BO297*BO156+BP297*BP156+BQ297*BQ156+BR297*BR156+BS297*BS156+BT297*BT156+BU297*BU156+BV297*BV156+BW297*BW156+BX297*BX156+BY297*BY156+BZ297*BZ156+CA297*CA156+CB297*CB156+CC297*CC156+CD297*CD156+CE297*CE156+CF297*CF156+CG297*CG156+CH297*CH156+CI297*CI156+CJ297*CJ156+CK297*CK156+CL297*CL156+CM297*CM156+CN297*CN156+CO297*CO156+CP297*CP156+CQ297*CQ156+CR297*CR156+CS297*CS156+CT297*CT156+CU297*CU156</f>
        <v>0</v>
      </c>
      <c r="DI156" s="2840">
        <f>E298*E156+F298*F156+G298*G156+H298*H156+I298*I156+J298*J156+K298*K156+L298*L156+M298*M156+N298*N156+O298*O156+P298*P156+Q298*Q156+R298*R156+S298*S156+T298*T156+U298*U156+V298*V156+W298*W156+X298*X156+Y298*Y156+Z298*Z156+AA298*AA156+AB298*AB156+AC298*AC156+AD298*AD156+AE298*AE156+AF298*AF156+AG298*AG156+AH298*AH156+AI298*AI156+AJ298*AJ156+AK298*AK156+AL298*AL156+AM298*AM156+AN298*AN156+AO298*AO156+AP298*AP156+AQ298*AQ156+AR298*AR156+AS298*AS156+AT298*AT156+AU298*AU156+AV298*AV156+AW298*AW156+AX298*AX156+AY298*AY156+AZ298*AZ156+BA298*BA156+BB298*BB156+BC298*BC156+BD298*BD156+BE298*BE156+BF298*BF156+BG298*BG156+BH298*BH156+BI298*BI156+BJ298*BJ156+BK298*BK156+BL298*BL156+BM298*BM156+BN298*BN156+BO298*BO156+BP298*BP156+BQ298*BQ156+BR298*BR156+BS298*BS156+BT298*BT156+BU298*BU156+BV298*BV156+BW298*BW156+BX298*BX156+BY298*BY156+BZ298*BZ156+CA298*CA156+CB298*CB156+CC298*CC156+CD298*CD156+CE298*CE156+CF298*CF156+CG298*CG156+CH298*CH156+CI298*CI156+CJ298*CJ156+CK298*CK156+CL298*CL156+CM298*CM156+CN298*CN156+CO298*CO156+CP298*CP156+CQ298*CQ156+CR298*CR156+CS298*CS156+CT298*CT156+CU298*CU156</f>
        <v>0</v>
      </c>
    </row>
    <row r="157" spans="2:113" ht="18" x14ac:dyDescent="0.25">
      <c r="B157" s="2484">
        <v>4</v>
      </c>
      <c r="C157" s="2398" t="s">
        <v>226</v>
      </c>
      <c r="D157" s="2399" t="s">
        <v>1650</v>
      </c>
      <c r="E157" s="3108">
        <f>0</f>
        <v>0</v>
      </c>
      <c r="F157" s="3107">
        <f>-1/Y_OHO_SB_ox</f>
        <v>-1.4925373134328357</v>
      </c>
      <c r="G157" s="3108">
        <f>0</f>
        <v>0</v>
      </c>
      <c r="H157" s="3108">
        <f>0</f>
        <v>0</v>
      </c>
      <c r="I157" s="3108">
        <f>0</f>
        <v>0</v>
      </c>
      <c r="J157" s="3108">
        <f>0</f>
        <v>0</v>
      </c>
      <c r="K157" s="3108">
        <f>0</f>
        <v>0</v>
      </c>
      <c r="L157" s="3108">
        <f>0</f>
        <v>0</v>
      </c>
      <c r="M157" s="3108">
        <f>0</f>
        <v>0</v>
      </c>
      <c r="N157" s="3108">
        <f>0</f>
        <v>0</v>
      </c>
      <c r="O157" s="3108">
        <f>0</f>
        <v>0</v>
      </c>
      <c r="P157" s="3108">
        <f>0</f>
        <v>0</v>
      </c>
      <c r="Q157" s="3108">
        <f>0</f>
        <v>0</v>
      </c>
      <c r="R157" s="3108">
        <f>1</f>
        <v>1</v>
      </c>
      <c r="S157" s="3108">
        <f>0</f>
        <v>0</v>
      </c>
      <c r="T157" s="3108">
        <f>0</f>
        <v>0</v>
      </c>
      <c r="U157" s="3108">
        <f>0</f>
        <v>0</v>
      </c>
      <c r="V157" s="3108">
        <f>0</f>
        <v>0</v>
      </c>
      <c r="W157" s="3108">
        <f>0</f>
        <v>0</v>
      </c>
      <c r="X157" s="3108">
        <f>0</f>
        <v>0</v>
      </c>
      <c r="Y157" s="3108">
        <f>0</f>
        <v>0</v>
      </c>
      <c r="Z157" s="3108">
        <f>0</f>
        <v>0</v>
      </c>
      <c r="AA157" s="3108">
        <f>0</f>
        <v>0</v>
      </c>
      <c r="AB157" s="3108">
        <f>0</f>
        <v>0</v>
      </c>
      <c r="AC157" s="3108">
        <f>0</f>
        <v>0</v>
      </c>
      <c r="AD157" s="3107">
        <f>-i_N_BIO</f>
        <v>-7.0000000000000007E-2</v>
      </c>
      <c r="AE157" s="3107">
        <f>0</f>
        <v>0</v>
      </c>
      <c r="AF157" s="3107">
        <f>0</f>
        <v>0</v>
      </c>
      <c r="AG157" s="3108">
        <f>0</f>
        <v>0</v>
      </c>
      <c r="AH157" s="3108">
        <f>0</f>
        <v>0</v>
      </c>
      <c r="AI157" s="3108">
        <f>0</f>
        <v>0</v>
      </c>
      <c r="AJ157" s="3108">
        <f>0</f>
        <v>0</v>
      </c>
      <c r="AK157" s="3108">
        <f>0</f>
        <v>0</v>
      </c>
      <c r="AL157" s="3107">
        <f>-i_P_BIO</f>
        <v>-0.02</v>
      </c>
      <c r="AM157" s="3108">
        <f>0</f>
        <v>0</v>
      </c>
      <c r="AN157" s="3108">
        <f>0</f>
        <v>0</v>
      </c>
      <c r="AO157" s="3108">
        <f>0</f>
        <v>0</v>
      </c>
      <c r="AP157" s="3108">
        <f>0</f>
        <v>0</v>
      </c>
      <c r="AQ157" s="3108">
        <f>0</f>
        <v>0</v>
      </c>
      <c r="AR157" s="3107">
        <f>-(1-Y_OHO_SB_ox)/Y_OHO_SB_ox</f>
        <v>-0.49253731343283574</v>
      </c>
      <c r="AS157" s="3107">
        <f>0</f>
        <v>0</v>
      </c>
      <c r="AT157" s="3107">
        <f>0</f>
        <v>0</v>
      </c>
      <c r="AU157" s="3107">
        <f>i_CIT_SB/Y_OHO_SB_ox-i_CIT_BIO</f>
        <v>7.4865671641791032E-2</v>
      </c>
      <c r="AV157" s="3107">
        <f>i_INORG</f>
        <v>0.11</v>
      </c>
      <c r="AW157" s="3107">
        <f>-i_INORG*(1-i_Ca_INORG*(A_MCa+2*A_MCl)/A_MCa-i_Mg_INORG*(A_MMg+2*A_MCl)/A_MMg)*f_Na</f>
        <v>-2.8804303582798466E-2</v>
      </c>
      <c r="AX157" s="3107">
        <f>-i_INORG*(i_Ca_INORG*(2*A_MCl)/A_MCa+i_Mg_INORG*(2*A_MCl)/A_MMg)-i_INORG*(1-i_Ca_INORG*(A_MCa+2*A_MCl)/A_MCa-i_Mg_INORG*(A_MMg+2*A_MCl)/A_MMg)*(1-f_Na)</f>
        <v>-7.0195696417201539E-2</v>
      </c>
      <c r="AY157" s="3107">
        <f>-i_INORG*i_Ca_INORG</f>
        <v>-5.5000000000000005E-3</v>
      </c>
      <c r="AZ157" s="3107">
        <f>-i_INORG*i_Mg_INORG</f>
        <v>-5.5000000000000005E-3</v>
      </c>
      <c r="BA157" s="3107">
        <f>0</f>
        <v>0</v>
      </c>
      <c r="BB157" s="3107">
        <f>0</f>
        <v>0</v>
      </c>
      <c r="BC157" s="3107">
        <f>-i_S_BIO+1/Y_OHO_SB_ox*i_S_SB</f>
        <v>-7.7611940298507468E-3</v>
      </c>
      <c r="BD157" s="3107">
        <f>0</f>
        <v>0</v>
      </c>
      <c r="BE157" s="3107">
        <f>0</f>
        <v>0</v>
      </c>
      <c r="BF157" s="3107">
        <f>0</f>
        <v>0</v>
      </c>
      <c r="BG157" s="3107">
        <f>0</f>
        <v>0</v>
      </c>
      <c r="BH157" s="3107">
        <f>0</f>
        <v>0</v>
      </c>
      <c r="BI157" s="3107">
        <f>0</f>
        <v>0</v>
      </c>
      <c r="BJ157" s="3107">
        <f>0</f>
        <v>0</v>
      </c>
      <c r="BK157" s="3107">
        <f>0</f>
        <v>0</v>
      </c>
      <c r="BL157" s="3107">
        <f>0</f>
        <v>0</v>
      </c>
      <c r="BM157" s="3107">
        <f>0</f>
        <v>0</v>
      </c>
      <c r="BN157" s="3107">
        <f>0</f>
        <v>0</v>
      </c>
      <c r="BO157" s="3107">
        <f>0</f>
        <v>0</v>
      </c>
      <c r="BP157" s="3107">
        <f>0</f>
        <v>0</v>
      </c>
      <c r="BQ157" s="3107">
        <f>0</f>
        <v>0</v>
      </c>
      <c r="BR157" s="3107">
        <f>0</f>
        <v>0</v>
      </c>
      <c r="BS157" s="3107">
        <f>0</f>
        <v>0</v>
      </c>
      <c r="BT157" s="3107">
        <f>0</f>
        <v>0</v>
      </c>
      <c r="BU157" s="3107">
        <f>0</f>
        <v>0</v>
      </c>
      <c r="BV157" s="3107">
        <f>0</f>
        <v>0</v>
      </c>
      <c r="BW157" s="3107">
        <f>0</f>
        <v>0</v>
      </c>
      <c r="BX157" s="3107">
        <f>0</f>
        <v>0</v>
      </c>
      <c r="BY157" s="3107">
        <f>0</f>
        <v>0</v>
      </c>
      <c r="BZ157" s="3186">
        <f>0</f>
        <v>0</v>
      </c>
      <c r="CA157" s="3186">
        <f>0</f>
        <v>0</v>
      </c>
      <c r="CB157" s="3186">
        <f>0</f>
        <v>0</v>
      </c>
      <c r="CC157" s="3186">
        <f>0</f>
        <v>0</v>
      </c>
      <c r="CD157" s="3107">
        <f>0</f>
        <v>0</v>
      </c>
      <c r="CE157" s="3107">
        <f>0</f>
        <v>0</v>
      </c>
      <c r="CF157" s="3107">
        <f>0</f>
        <v>0</v>
      </c>
      <c r="CG157" s="3107">
        <f>0</f>
        <v>0</v>
      </c>
      <c r="CH157" s="3107">
        <f>0</f>
        <v>0</v>
      </c>
      <c r="CI157" s="3107">
        <f>0</f>
        <v>0</v>
      </c>
      <c r="CJ157" s="3107">
        <f>0</f>
        <v>0</v>
      </c>
      <c r="CK157" s="3107">
        <f>0</f>
        <v>0</v>
      </c>
      <c r="CL157" s="3107">
        <f>0</f>
        <v>0</v>
      </c>
      <c r="CM157" s="3107">
        <f>0</f>
        <v>0</v>
      </c>
      <c r="CN157" s="3107">
        <f>0</f>
        <v>0</v>
      </c>
      <c r="CO157" s="3107">
        <f>0</f>
        <v>0</v>
      </c>
      <c r="CP157" s="3107">
        <f>0</f>
        <v>0</v>
      </c>
      <c r="CQ157" s="3107">
        <f>0</f>
        <v>0</v>
      </c>
      <c r="CR157" s="3107">
        <f>0</f>
        <v>0</v>
      </c>
      <c r="CS157" s="3107">
        <f>0</f>
        <v>0</v>
      </c>
      <c r="CT157" s="3107">
        <f>0</f>
        <v>0</v>
      </c>
      <c r="CU157" s="3107">
        <f>0</f>
        <v>0</v>
      </c>
      <c r="CV157" s="3220">
        <f>µ_OHO_T*X_OHO*M_satSB_KSB*M_inhSVFA_KVFA*M_satSO2_KO2_OHO*M_satSNHx_KNHx_BIO*M_satSPO4_KPO4_BIO*M_satSCAT_KCAT*M_satSAN_KAN*M_satSCa_KCa*M_satSMg_KMg*M_satSSO4_KSO4_BIO*B_ellinhpH</f>
        <v>300.17753146472603</v>
      </c>
      <c r="CX157" s="2838">
        <f>E287*E157+F287*F157+G287*G157+H287*H157+I287*I157+J287*J157+K287*K157+L287*L157+M287*M157+N287*N157+O287*O157+P287*P157+Q287*Q157+R287*R157+S287*S157+T287*T157+U287*U157+V287*V157+W287*W157+X287*X157+Y287*Y157+Z287*Z157+AA287*AA157+AB287*AB157+AC287*AC157+AD287*AD157+AE287*AE157+AF287*AF157+AG287*AG157+AH287*AH157+AI287*AI157+AJ287*AJ157+AK287*AK157+AL287*AL157+AM287*AM157+AN287*AN157+AO287*AO157+AP287*AP157+AQ287*AQ157+AR287*AR157+AS287*AS157+AT287*AT157+AU287*AU157+AV287*AV157+AW287*AW157+AX287*AX157+AY287*AY157+AZ287*AZ157+BA287*BA157+BB287*BB157+BC287*BC157+BD287*BD157+BE287*BE157+BF287*BF157+BG287*BG157+BH287*BH157+BI287*BI157+BJ287*BJ157+BK287*BK157+BL287*BL157+BM287*BM157+BN287*BN157+BO287*BO157+BP287*BP157+BQ287*BQ157+BR287*BR157+BS287*BS157+BT287*BT157+BU287*BU157+BV287*BV157+BW287*BW157+BX287*BX157+BY287*BY157+BZ287*BZ157+CA287*CA157+CB287*CB157+CC287*CC157+CD287*CD157+CE287*CE157+CF287*CF157+CG287*CG157+CH287*CH157+CI287*CI157+CJ287*CJ157+CK287*CK157+CL287*CL157+CM287*CM157+CN287*CN157+CO287*CO157+CP287*CP157+CQ287*CQ157+CR287*CR157+CS287*CS157+CT287*CT157+CU287*CU157</f>
        <v>5.5511151231257827E-17</v>
      </c>
      <c r="CY157" s="2838">
        <f>E288*E157+F288*F157+G288*G157+H288*H157+I288*I157+J288*J157+K288*K157+L288*L157+M288*M157+N288*N157+O288*O157+P288*P157+Q288*Q157+R288*R157+S288*S157+T288*T157+U288*U157+V288*V157+W288*W157+X288*X157+Y288*Y157+Z288*Z157+AA288*AA157+AB288*AB157+AC288*AC157+AD288*AD157+AE288*AE157+AF288*AF157+AG288*AG157+AH288*AH157+AI288*AI157+AJ288*AJ157+AK288*AK157+AL288*AL157+AM288*AM157+AN288*AN157+AO288*AO157+AP288*AP157+AQ288*AQ157+AR288*AR157+AS288*AS157+AT288*AT157+AU288*AU157+AV288*AV157+AW288*AW157+AX288*AX157+AY288*AY157+AZ288*AZ157+BA288*BA157+BB288*BB157+BC288*BC157+BD288*BD157+BE288*BE157+BF288*BF157+BG288*BG157+BH288*BH157+BI288*BI157+BJ288*BJ157+BK288*BK157+BL288*BL157+BM288*BM157+BN288*BN157+BO288*BO157+BP288*BP157+BQ288*BQ157+BR288*BR157+BS288*BS157+BT288*BT157+BU288*BU157+BV288*BV157+BW288*BW157+BX288*BX157+BY288*BY157+BZ288*BZ157+CA288*CA157+CB288*CB157+CC288*CC157+CD288*CD157+CE288*CE157+CF288*CF157+CG288*CG157+CH288*CH157+CI288*CI157+CJ288*CJ157+CK288*CK157+CL288*CL157+CM288*CM157+CN288*CN157+CO288*CO157+CP288*CP157+CQ288*CQ157+CR288*CR157+CS288*CS157+CT288*CT157+CU288*CU157</f>
        <v>5.5511151231257827E-17</v>
      </c>
      <c r="CZ157" s="2839">
        <f>E289*E157+F289*F157+G289*G157+H289*H157+I289*I157+J289*J157+K289*K157+L289*L157+M289*M157+N289*N157+O289*O157+P289*P157+Q289*Q157+R289*R157+S289*S157+T289*T157+U289*U157+V289*V157+W289*W157+X289*X157+Y289*Y157+Z289*Z157+AA289*AA157+AB289*AB157+AC289*AC157+AD289*AD157+AE289*AE157+AF289*AF157+AG289*AG157+AH289*AH157+AI289*AI157+AJ289*AJ157+AK289*AK157+AL289*AL157+AM289*AM157+AN289*AN157+AO289*AO157+AP289*AP157+AQ289*AQ157+AR289*AR157+AS289*AS157+AT289*AT157+AU289*AU157+AV289*AV157+AW289*AW157+AX289*AX157+AY289*AY157+AZ289*AZ157+BA289*BA157+BB289*BB157+BC289*BC157+BD289*BD157+BE289*BE157+BF289*BF157+BG289*BG157+BH289*BH157+BI289*BI157+BJ289*BJ157+BK289*BK157+BL289*BL157+BM289*BM157+BN289*BN157+BO289*BO157+BP289*BP157+BQ289*BQ157+BR289*BR157+BS289*BS157+BT289*BT157+BU289*BU157+BV289*BV157+BW289*BW157+BX289*BX157+BY289*BY157+BZ289*BZ157+CA289*CA157+CB289*CB157+CC289*CC157+CD289*CD157+CE289*CE157+CF289*CF157+CG289*CG157+CH289*CH157+CI289*CI157+CJ289*CJ157+CK289*CK157+CL289*CL157+CM289*CM157+CN289*CN157+CO289*CO157+CP289*CP157+CQ289*CQ157+CR289*CR157+CS289*CS157+CT289*CT157+CU289*CU157</f>
        <v>0</v>
      </c>
      <c r="DA157" s="2840">
        <f>E290*E157+F290*F157+G290*G157+H290*H157+I290*I157+J290*J157+K290*K157+L290*L157+M290*M157+N290*N157+O290*O157+P290*P157+Q290*Q157+R290*R157+S290*S157+T290*T157+U290*U157+V290*V157+W290*W157+X290*X157+Y290*Y157+Z290*Z157+AA290*AA157+AB290*AB157+AC290*AC157+AD290*AD157+AE290*AE157+AF290*AF157+AG290*AG157+AH290*AH157+AI290*AI157+AJ290*AJ157+AK290*AK157+AL290*AL157+AM290*AM157+AN290*AN157+AO290*AO157+AP290*AP157+AQ290*AQ157+AR290*AR157+AS290*AS157+AT290*AT157+AU290*AU157+AV290*AV157+AW290*AW157+AX290*AX157+AY290*AY157+AZ290*AZ157+BA290*BA157+BB290*BB157+BC290*BC157+BD290*BD157+BE290*BE157+BF290*BF157+BG290*BG157+BH290*BH157+BI290*BI157+BJ290*BJ157+BK290*BK157+BL290*BL157+BM290*BM157+BN290*BN157+BO290*BO157+BP290*BP157+BQ290*BQ157+BR290*BR157+BS290*BS157+BT290*BT157+BU290*BU157+BV290*BV157+BW290*BW157+BX290*BX157+BY290*BY157+BZ290*BZ157+CA290*CA157+CB290*CB157+CC290*CC157+CD290*CD157+CE290*CE157+CF290*CF157+CG290*CG157+CH290*CH157+CI290*CI157+CJ290*CJ157+CK290*CK157+CL290*CL157+CM290*CM157+CN290*CN157+CO290*CO157+CP290*CP157+CQ290*CQ157+CR290*CR157+CS290*CS157+CT290*CT157+CU290*CU157</f>
        <v>0</v>
      </c>
      <c r="DB157" s="2840">
        <f>E291*E157+F291*F157+G291*G157+H291*H157+I291*I157+J291*J157+K291*K157+L291*L157+M291*M157+N291*N157+O291*O157+P291*P157+Q291*Q157+R291*R157+S291*S157+T291*T157+U291*U157+V291*V157+W291*W157+X291*X157+Y291*Y157+Z291*Z157+AA291*AA157+AB291*AB157+AC291*AC157+AD291*AD157+AE291*AE157+AF291*AF157+AG291*AG157+AH291*AH157+AI291*AI157+AJ291*AJ157+AK291*AK157+AL291*AL157+AM291*AM157+AN291*AN157+AO291*AO157+AP291*AP157+AQ291*AQ157+AR291*AR157+AS291*AS157+AT291*AT157+AU291*AU157+AV291*AV157+AW291*AW157+AX291*AX157+AY291*AY157+AZ291*AZ157+BA291*BA157+BB291*BB157+BC291*BC157+BD291*BD157+BE291*BE157+BF291*BF157+BG291*BG157+BH291*BH157+BI291*BI157+BJ291*BJ157+BK291*BK157+BL291*BL157+BM291*BM157+BN291*BN157+BO291*BO157+BP291*BP157+BQ291*BQ157+BR291*BR157+BS291*BS157+BT291*BT157+BU291*BU157+BV291*BV157+BW291*BW157+BX291*BX157+BY291*BY157+BZ291*BZ157+CA291*CA157+CB291*CB157+CC291*CC157+CD291*CD157+CE291*CE157+CF291*CF157+CG291*CG157+CH291*CH157+CI291*CI157+CJ291*CJ157+CK291*CK157+CL291*CL157+CM291*CM157+CN291*CN157+CO291*CO157+CP291*CP157+CQ291*CQ157+CR291*CR157+CS291*CS157+CT291*CT157+CU291*CU157</f>
        <v>0</v>
      </c>
      <c r="DC157" s="2840">
        <f>E292*E157+F292*F157+G292*G157+H292*H157+I292*I157+J292*J157+K292*K157+L292*L157+M292*M157+N292*N157+O292*O157+P292*P157+Q292*Q157+R292*R157+S292*S157+T292*T157+U292*U157+V292*V157+W292*W157+X292*X157+Y292*Y157+Z292*Z157+AA292*AA157+AB292*AB157+AC292*AC157+AD292*AD157+AE292*AE157+AF292*AF157+AG292*AG157+AH292*AH157+AI292*AI157+AJ292*AJ157+AK292*AK157+AL292*AL157+AM292*AM157+AN292*AN157+AO292*AO157+AP292*AP157+AQ292*AQ157+AR292*AR157+AS292*AS157+AT292*AT157+AU292*AU157+AV292*AV157+AW292*AW157+AX292*AX157+AY292*AY157+AZ292*AZ157+BA292*BA157+BB292*BB157+BC292*BC157+BD292*BD157+BE292*BE157+BF292*BF157+BG292*BG157+BH292*BH157+BI292*BI157+BJ292*BJ157+BK292*BK157+BL292*BL157+BM292*BM157+BN292*BN157+BO292*BO157+BP292*BP157+BQ292*BQ157+BR292*BR157+BS292*BS157+BT292*BT157+BU292*BU157+BV292*BV157+BW292*BW157+BX292*BX157+BY292*BY157+BZ292*BZ157+CA292*CA157+CB292*CB157+CC292*CC157+CD292*CD157+CE292*CE157+CF292*CF157+CG292*CG157+CH292*CH157+CI292*CI157+CJ292*CJ157+CK292*CK157+CL292*CL157+CM292*CM157+CN292*CN157+CO292*CO157+CP292*CP157+CQ292*CQ157+CR292*CR157+CS292*CS157+CT292*CT157+CU292*CU157</f>
        <v>0</v>
      </c>
      <c r="DD157" s="2840">
        <f>E293*E157+F293*F157+G293*G157+H293*H157+I293*I157+J293*J157+K293*K157+L293*L157+M293*M157+N293*N157+O293*O157+P293*P157+Q293*Q157+R293*R157+S293*S157+T293*T157+U293*U157+V293*V157+W293*W157+X293*X157+Y293*Y157+Z293*Z157+AA293*AA157+AB293*AB157+AC293*AC157+AD293*AD157+AE293*AE157+AF293*AF157+AG293*AG157+AH293*AH157+AI293*AI157+AJ293*AJ157+AK293*AK157+AL293*AL157+AM293*AM157+AN293*AN157+AO293*AO157+AP293*AP157+AQ293*AQ157+AR293*AR157+AS293*AS157+AT293*AT157+AU293*AU157+AV293*AV157+AW293*AW157+AX293*AX157+AY293*AY157+AZ293*AZ157+BA293*BA157+BB293*BB157+BC293*BC157+BD293*BD157+BE293*BE157+BF293*BF157+BG293*BG157+BH293*BH157+BI293*BI157+BJ293*BJ157+BK293*BK157+BL293*BL157+BM293*BM157+BN293*BN157+BO293*BO157+BP293*BP157+BQ293*BQ157+BR293*BR157+BS293*BS157+BT293*BT157+BU293*BU157+BV293*BV157+BW293*BW157+BX293*BX157+BY293*BY157+BZ293*BZ157+CA293*CA157+CB293*CB157+CC293*CC157+CD293*CD157+CE293*CE157+CF293*CF157+CG293*CG157+CH293*CH157+CI293*CI157+CJ293*CJ157+CK293*CK157+CL293*CL157+CM293*CM157+CN293*CN157+CO293*CO157+CP293*CP157+CQ293*CQ157+CR293*CR157+CS293*CS157+CT293*CT157+CU293*CU157</f>
        <v>0</v>
      </c>
      <c r="DE157" s="2840">
        <f>E294*E157+F294*F157+G294*G157+H294*H157+I294*I157+J294*J157+K294*K157+L294*L157+M294*M157+N294*N157+O294*O157+P294*P157+Q294*Q157+R294*R157+S294*S157+T294*T157+U294*U157+V294*V157+W294*W157+X294*X157+Y294*Y157+Z294*Z157+AA294*AA157+AB294*AB157+AC294*AC157+AD294*AD157+AE294*AE157+AF294*AF157+AG294*AG157+AH294*AH157+AI294*AI157+AJ294*AJ157+AK294*AK157+AL294*AL157+AM294*AM157+AN294*AN157+AO294*AO157+AP294*AP157+AQ294*AQ157+AR294*AR157+AS294*AS157+AT294*AT157+AU294*AU157+AV294*AV157+AW294*AW157+AX294*AX157+AY294*AY157+AZ294*AZ157+BA294*BA157+BB294*BB157+BC294*BC157+BD294*BD157+BE294*BE157+BF294*BF157+BG294*BG157+BH294*BH157+BI294*BI157+BJ294*BJ157+BK294*BK157+BL294*BL157+BM294*BM157+BN294*BN157+BO294*BO157+BP294*BP157+BQ294*BQ157+BR294*BR157+BS294*BS157+BT294*BT157+BU294*BU157+BV294*BV157+BW294*BW157+BX294*BX157+BY294*BY157+BZ294*BZ157+CA294*CA157+CB294*CB157+CC294*CC157+CD294*CD157+CE294*CE157+CF294*CF157+CG294*CG157+CH294*CH157+CI294*CI157+CJ294*CJ157+CK294*CK157+CL294*CL157+CM294*CM157+CN294*CN157+CO294*CO157+CP294*CP157+CQ294*CQ157+CR294*CR157+CS294*CS157+CT294*CT157+CU294*CU157</f>
        <v>0</v>
      </c>
      <c r="DF157" s="2840">
        <f>E295*E157+F295*F157+G295*G157+H295*H157+I295*I157+J295*J157+K295*K157+L295*L157+M295*M157+N295*N157+O295*O157+P295*P157+Q295*Q157+R295*R157+S295*S157+T295*T157+U295*U157+V295*V157+W295*W157+X295*X157+Y295*Y157+Z295*Z157+AA295*AA157+AB295*AB157+AC295*AC157+AD295*AD157+AE295*AE157+AF295*AF157+AG295*AG157+AH295*AH157+AI295*AI157+AJ295*AJ157+AK295*AK157+AL295*AL157+AM295*AM157+AN295*AN157+AO295*AO157+AP295*AP157+AQ295*AQ157+AR295*AR157+AS295*AS157+AT295*AT157+AU295*AU157+AV295*AV157+AW295*AW157+AX295*AX157+AY295*AY157+AZ295*AZ157+BA295*BA157+BB295*BB157+BC295*BC157+BD295*BD157+BE295*BE157+BF295*BF157+BG295*BG157+BH295*BH157+BI295*BI157+BJ295*BJ157+BK295*BK157+BL295*BL157+BM295*BM157+BN295*BN157+BO295*BO157+BP295*BP157+BQ295*BQ157+BR295*BR157+BS295*BS157+BT295*BT157+BU295*BU157+BV295*BV157+BW295*BW157+BX295*BX157+BY295*BY157+BZ295*BZ157+CA295*CA157+CB295*CB157+CC295*CC157+CD295*CD157+CE295*CE157+CF295*CF157+CG295*CG157+CH295*CH157+CI295*CI157+CJ295*CJ157+CK295*CK157+CL295*CL157+CM295*CM157+CN295*CN157+CO295*CO157+CP295*CP157+CQ295*CQ157+CR295*CR157+CS295*CS157+CT295*CT157+CU295*CU157</f>
        <v>0</v>
      </c>
      <c r="DG157" s="2840">
        <f>E296*E157+F296*F157+G296*G157+H296*H157+I296*I157+J296*J157+K296*K157+L296*L157+M296*M157+N296*N157+O296*O157+P296*P157+Q296*Q157+R296*R157+S296*S157+T296*T157+U296*U157+V296*V157+W296*W157+X296*X157+Y296*Y157+Z296*Z157+AA296*AA157+AB296*AB157+AC296*AC157+AD296*AD157+AE296*AE157+AF296*AF157+AG296*AG157+AH296*AH157+AI296*AI157+AJ296*AJ157+AK296*AK157+AL296*AL157+AM296*AM157+AN296*AN157+AO296*AO157+AP296*AP157+AQ296*AQ157+AR296*AR157+AS296*AS157+AT296*AT157+AU296*AU157+AV296*AV157+AW296*AW157+AX296*AX157+AY296*AY157+AZ296*AZ157+BA296*BA157+BB296*BB157+BC296*BC157+BD296*BD157+BE296*BE157+BF296*BF157+BG296*BG157+BH296*BH157+BI296*BI157+BJ296*BJ157+BK296*BK157+BL296*BL157+BM296*BM157+BN296*BN157+BO296*BO157+BP296*BP157+BQ296*BQ157+BR296*BR157+BS296*BS157+BT296*BT157+BU296*BU157+BV296*BV157+BW296*BW157+BX296*BX157+BY296*BY157+BZ296*BZ157+CA296*CA157+CB296*CB157+CC296*CC157+CD296*CD157+CE296*CE157+CF296*CF157+CG296*CG157+CH296*CH157+CI296*CI157+CJ296*CJ157+CK296*CK157+CL296*CL157+CM296*CM157+CN296*CN157+CO296*CO157+CP296*CP157+CQ296*CQ157+CR296*CR157+CS296*CS157+CT296*CT157+CU296*CU157</f>
        <v>0</v>
      </c>
      <c r="DH157" s="2840">
        <f>E297*E157+F297*F157+G297*G157+H297*H157+I297*I157+J297*J157+K297*K157+L297*L157+M297*M157+N297*N157+O297*O157+P297*P157+Q297*Q157+R297*R157+S297*S157+T297*T157+U297*U157+V297*V157+W297*W157+X297*X157+Y297*Y157+Z297*Z157+AA297*AA157+AB297*AB157+AC297*AC157+AD297*AD157+AE297*AE157+AF297*AF157+AG297*AG157+AH297*AH157+AI297*AI157+AJ297*AJ157+AK297*AK157+AL297*AL157+AM297*AM157+AN297*AN157+AO297*AO157+AP297*AP157+AQ297*AQ157+AR297*AR157+AS297*AS157+AT297*AT157+AU297*AU157+AV297*AV157+AW297*AW157+AX297*AX157+AY297*AY157+AZ297*AZ157+BA297*BA157+BB297*BB157+BC297*BC157+BD297*BD157+BE297*BE157+BF297*BF157+BG297*BG157+BH297*BH157+BI297*BI157+BJ297*BJ157+BK297*BK157+BL297*BL157+BM297*BM157+BN297*BN157+BO297*BO157+BP297*BP157+BQ297*BQ157+BR297*BR157+BS297*BS157+BT297*BT157+BU297*BU157+BV297*BV157+BW297*BW157+BX297*BX157+BY297*BY157+BZ297*BZ157+CA297*CA157+CB297*CB157+CC297*CC157+CD297*CD157+CE297*CE157+CF297*CF157+CG297*CG157+CH297*CH157+CI297*CI157+CJ297*CJ157+CK297*CK157+CL297*CL157+CM297*CM157+CN297*CN157+CO297*CO157+CP297*CP157+CQ297*CQ157+CR297*CR157+CS297*CS157+CT297*CT157+CU297*CU157</f>
        <v>0</v>
      </c>
      <c r="DI157" s="2840">
        <f>E298*E157+F298*F157+G298*G157+H298*H157+I298*I157+J298*J157+K298*K157+L298*L157+M298*M157+N298*N157+O298*O157+P298*P157+Q298*Q157+R298*R157+S298*S157+T298*T157+U298*U157+V298*V157+W298*W157+X298*X157+Y298*Y157+Z298*Z157+AA298*AA157+AB298*AB157+AC298*AC157+AD298*AD157+AE298*AE157+AF298*AF157+AG298*AG157+AH298*AH157+AI298*AI157+AJ298*AJ157+AK298*AK157+AL298*AL157+AM298*AM157+AN298*AN157+AO298*AO157+AP298*AP157+AQ298*AQ157+AR298*AR157+AS298*AS157+AT298*AT157+AU298*AU157+AV298*AV157+AW298*AW157+AX298*AX157+AY298*AY157+AZ298*AZ157+BA298*BA157+BB298*BB157+BC298*BC157+BD298*BD157+BE298*BE157+BF298*BF157+BG298*BG157+BH298*BH157+BI298*BI157+BJ298*BJ157+BK298*BK157+BL298*BL157+BM298*BM157+BN298*BN157+BO298*BO157+BP298*BP157+BQ298*BQ157+BR298*BR157+BS298*BS157+BT298*BT157+BU298*BU157+BV298*BV157+BW298*BW157+BX298*BX157+BY298*BY157+BZ298*BZ157+CA298*CA157+CB298*CB157+CC298*CC157+CD298*CD157+CE298*CE157+CF298*CF157+CG298*CG157+CH298*CH157+CI298*CI157+CJ298*CJ157+CK298*CK157+CL298*CL157+CM298*CM157+CN298*CN157+CO298*CO157+CP298*CP157+CQ298*CQ157+CR298*CR157+CS298*CS157+CT298*CT157+CU298*CU157</f>
        <v>0</v>
      </c>
    </row>
    <row r="158" spans="2:113" ht="18" x14ac:dyDescent="0.25">
      <c r="B158" s="2484">
        <v>5</v>
      </c>
      <c r="C158" s="2398" t="s">
        <v>227</v>
      </c>
      <c r="D158" s="2399" t="s">
        <v>2227</v>
      </c>
      <c r="E158" s="3108">
        <f>0</f>
        <v>0</v>
      </c>
      <c r="F158" s="3107">
        <f>-1/Y_OHO_SB_anox</f>
        <v>-1.8518518518518516</v>
      </c>
      <c r="G158" s="3108">
        <f>0</f>
        <v>0</v>
      </c>
      <c r="H158" s="3108">
        <f>0</f>
        <v>0</v>
      </c>
      <c r="I158" s="3108">
        <f>0</f>
        <v>0</v>
      </c>
      <c r="J158" s="3108">
        <f>0</f>
        <v>0</v>
      </c>
      <c r="K158" s="3108">
        <f>0</f>
        <v>0</v>
      </c>
      <c r="L158" s="3108">
        <f>0</f>
        <v>0</v>
      </c>
      <c r="M158" s="3108">
        <f>0</f>
        <v>0</v>
      </c>
      <c r="N158" s="3108">
        <f>0</f>
        <v>0</v>
      </c>
      <c r="O158" s="3108">
        <f>0</f>
        <v>0</v>
      </c>
      <c r="P158" s="3108">
        <f>0</f>
        <v>0</v>
      </c>
      <c r="Q158" s="3108">
        <f>0</f>
        <v>0</v>
      </c>
      <c r="R158" s="3108">
        <f>1</f>
        <v>1</v>
      </c>
      <c r="S158" s="3108">
        <f>0</f>
        <v>0</v>
      </c>
      <c r="T158" s="3108">
        <f>0</f>
        <v>0</v>
      </c>
      <c r="U158" s="3108">
        <f>0</f>
        <v>0</v>
      </c>
      <c r="V158" s="3108">
        <f>0</f>
        <v>0</v>
      </c>
      <c r="W158" s="3108">
        <f>0</f>
        <v>0</v>
      </c>
      <c r="X158" s="3108">
        <f>0</f>
        <v>0</v>
      </c>
      <c r="Y158" s="3108">
        <f>0</f>
        <v>0</v>
      </c>
      <c r="Z158" s="3108">
        <f>0</f>
        <v>0</v>
      </c>
      <c r="AA158" s="3108">
        <f>0</f>
        <v>0</v>
      </c>
      <c r="AB158" s="3108">
        <f>0</f>
        <v>0</v>
      </c>
      <c r="AC158" s="3108">
        <f>0</f>
        <v>0</v>
      </c>
      <c r="AD158" s="3107">
        <f>-i_N_BIO</f>
        <v>-7.0000000000000007E-2</v>
      </c>
      <c r="AE158" s="3107">
        <f>-(1-Y_OHO_SB_anox)/(E_EQN2_NO2*Y_OHO_SB_anox)</f>
        <v>-0.49717003276511756</v>
      </c>
      <c r="AF158" s="3107">
        <f>0</f>
        <v>0</v>
      </c>
      <c r="AG158" s="3107">
        <f>(1-Y_OHO_SB_anox)/(E_EQN2_NO2*Y_OHO_SB_anox)</f>
        <v>0.49717003276511756</v>
      </c>
      <c r="AH158" s="3108">
        <f>0</f>
        <v>0</v>
      </c>
      <c r="AI158" s="3108">
        <f>0</f>
        <v>0</v>
      </c>
      <c r="AJ158" s="3108">
        <f>0</f>
        <v>0</v>
      </c>
      <c r="AK158" s="3108">
        <f>0</f>
        <v>0</v>
      </c>
      <c r="AL158" s="3107">
        <f>-i_P_BIO</f>
        <v>-0.02</v>
      </c>
      <c r="AM158" s="3108">
        <f>0</f>
        <v>0</v>
      </c>
      <c r="AN158" s="3108">
        <f>0</f>
        <v>0</v>
      </c>
      <c r="AO158" s="3108">
        <f>0</f>
        <v>0</v>
      </c>
      <c r="AP158" s="3108">
        <f>0</f>
        <v>0</v>
      </c>
      <c r="AQ158" s="3108">
        <f>0</f>
        <v>0</v>
      </c>
      <c r="AR158" s="3107">
        <f>0</f>
        <v>0</v>
      </c>
      <c r="AS158" s="3107">
        <f>0</f>
        <v>0</v>
      </c>
      <c r="AT158" s="3107">
        <f>0</f>
        <v>0</v>
      </c>
      <c r="AU158" s="3107">
        <f>i_CIT_SB/Y_OHO_SB_anox-i_CIT_BIO</f>
        <v>0.17762962962962958</v>
      </c>
      <c r="AV158" s="3108">
        <f>i_INORG</f>
        <v>0.11</v>
      </c>
      <c r="AW158" s="3107">
        <f>-i_INORG*(1-i_Ca_INORG*(A_MCa+2*A_MCl)/A_MCa-i_Mg_INORG*(A_MMg+2*A_MCl)/A_MMg)*f_Na</f>
        <v>-2.8804303582798466E-2</v>
      </c>
      <c r="AX158" s="3107">
        <f>-i_INORG*(i_Ca_INORG*(2*A_MCl)/A_MCa+i_Mg_INORG*(2*A_MCl)/A_MMg)-i_INORG*(1-i_Ca_INORG*(A_MCa+2*A_MCl)/A_MCa-i_Mg_INORG*(A_MMg+2*A_MCl)/A_MMg)*(1-f_Na)</f>
        <v>-7.0195696417201539E-2</v>
      </c>
      <c r="AY158" s="3107">
        <f>-i_INORG*i_Ca_INORG</f>
        <v>-5.5000000000000005E-3</v>
      </c>
      <c r="AZ158" s="3107">
        <f>-i_INORG*i_Mg_INORG</f>
        <v>-5.5000000000000005E-3</v>
      </c>
      <c r="BA158" s="3107">
        <f>0</f>
        <v>0</v>
      </c>
      <c r="BB158" s="3107">
        <f>0</f>
        <v>0</v>
      </c>
      <c r="BC158" s="3107">
        <f>-i_S_BIO+1/Y_OHO_SB_anox*i_S_SB</f>
        <v>-7.2222222222222228E-3</v>
      </c>
      <c r="BD158" s="3107">
        <f>0</f>
        <v>0</v>
      </c>
      <c r="BE158" s="3107">
        <f>0</f>
        <v>0</v>
      </c>
      <c r="BF158" s="3107">
        <f>0</f>
        <v>0</v>
      </c>
      <c r="BG158" s="3107">
        <f>0</f>
        <v>0</v>
      </c>
      <c r="BH158" s="3107">
        <f>0</f>
        <v>0</v>
      </c>
      <c r="BI158" s="3107">
        <f>0</f>
        <v>0</v>
      </c>
      <c r="BJ158" s="3107">
        <f>0</f>
        <v>0</v>
      </c>
      <c r="BK158" s="3107">
        <f>0</f>
        <v>0</v>
      </c>
      <c r="BL158" s="3107">
        <f>0</f>
        <v>0</v>
      </c>
      <c r="BM158" s="3107">
        <f>0</f>
        <v>0</v>
      </c>
      <c r="BN158" s="3107">
        <f>0</f>
        <v>0</v>
      </c>
      <c r="BO158" s="3107">
        <f>0</f>
        <v>0</v>
      </c>
      <c r="BP158" s="3107">
        <f>0</f>
        <v>0</v>
      </c>
      <c r="BQ158" s="3107">
        <f>0</f>
        <v>0</v>
      </c>
      <c r="BR158" s="3107">
        <f>0</f>
        <v>0</v>
      </c>
      <c r="BS158" s="3107">
        <f>0</f>
        <v>0</v>
      </c>
      <c r="BT158" s="3107">
        <f>0</f>
        <v>0</v>
      </c>
      <c r="BU158" s="3107">
        <f>0</f>
        <v>0</v>
      </c>
      <c r="BV158" s="3107">
        <f>0</f>
        <v>0</v>
      </c>
      <c r="BW158" s="3107">
        <f>0</f>
        <v>0</v>
      </c>
      <c r="BX158" s="3107">
        <f>0</f>
        <v>0</v>
      </c>
      <c r="BY158" s="3107">
        <f>0</f>
        <v>0</v>
      </c>
      <c r="BZ158" s="3186">
        <f>0</f>
        <v>0</v>
      </c>
      <c r="CA158" s="3186">
        <f>0</f>
        <v>0</v>
      </c>
      <c r="CB158" s="3186">
        <f>0</f>
        <v>0</v>
      </c>
      <c r="CC158" s="3186">
        <f>0</f>
        <v>0</v>
      </c>
      <c r="CD158" s="3107">
        <f>0</f>
        <v>0</v>
      </c>
      <c r="CE158" s="3107">
        <f>0</f>
        <v>0</v>
      </c>
      <c r="CF158" s="3107">
        <f>0</f>
        <v>0</v>
      </c>
      <c r="CG158" s="3107">
        <f>0</f>
        <v>0</v>
      </c>
      <c r="CH158" s="3107">
        <f>0</f>
        <v>0</v>
      </c>
      <c r="CI158" s="3107">
        <f>0</f>
        <v>0</v>
      </c>
      <c r="CJ158" s="3107">
        <f>0</f>
        <v>0</v>
      </c>
      <c r="CK158" s="3107">
        <f>0</f>
        <v>0</v>
      </c>
      <c r="CL158" s="3107">
        <f>0</f>
        <v>0</v>
      </c>
      <c r="CM158" s="3107">
        <f>0</f>
        <v>0</v>
      </c>
      <c r="CN158" s="3107">
        <f>0</f>
        <v>0</v>
      </c>
      <c r="CO158" s="3107">
        <f>0</f>
        <v>0</v>
      </c>
      <c r="CP158" s="3107">
        <f>0</f>
        <v>0</v>
      </c>
      <c r="CQ158" s="3107">
        <f>0</f>
        <v>0</v>
      </c>
      <c r="CR158" s="3107">
        <f>0</f>
        <v>0</v>
      </c>
      <c r="CS158" s="3107">
        <f>0</f>
        <v>0</v>
      </c>
      <c r="CT158" s="3107">
        <f>0</f>
        <v>0</v>
      </c>
      <c r="CU158" s="3107">
        <f>0</f>
        <v>0</v>
      </c>
      <c r="CV158" s="3220">
        <f>µ_OHO_T*X_OHO*η_OHO_anox*M_satSB_KSB*M_inhSVFA_KVFA*M_satSNO2_KNO2_OHO*M_inhSO2_KO2_OHO*M_satSNHx_KNHx_BIO*M_satSPO4_KPO4_BIO*M_satSCAT_KCAT*M_satSAN_KAN*M_satSCa_KCa*M_satSMg_KMg*M_satSSO4_KSO4_BIO*B_ellinhpH</f>
        <v>9.005325943941779</v>
      </c>
      <c r="CX158" s="2838">
        <f>E287*E158+F287*F158+G287*G158+H287*H158+I287*I158+J287*J158+K287*K158+L287*L158+M287*M158+N287*N158+O287*O158+P287*P158+Q287*Q158+R287*R158+S287*S158+T287*T158+U287*U158+V287*V158+W287*W158+X287*X158+Y287*Y158+Z287*Z158+AA287*AA158+AB287*AB158+AC287*AC158+AD287*AD158+AE287*AE158+AF287*AF158+AG287*AG158+AH287*AH158+AI287*AI158+AJ287*AJ158+AK287*AK158+AL287*AL158+AM287*AM158+AN287*AN158+AO287*AO158+AP287*AP158+AQ287*AQ158+AR287*AR158+AS287*AS158+AT287*AT158+AU287*AU158+AV287*AV158+AW287*AW158+AX287*AX158+AY287*AY158+AZ287*AZ158+BA287*BA158+BB287*BB158+BC287*BC158+BD287*BD158+BE287*BE158+BF287*BF158+BG287*BG158+BH287*BH158+BI287*BI158+BJ287*BJ158+BK287*BK158+BL287*BL158+BM287*BM158+BN287*BN158+BO287*BO158+BP287*BP158+BQ287*BQ158+BR287*BR158+BS287*BS158+BT287*BT158+BU287*BU158+BV287*BV158+BW287*BW158+BX287*BX158+BY287*BY158+BZ287*BZ158+CA287*CA158+CB287*CB158+CC287*CC158+CD287*CD158+CE287*CE158+CF287*CF158+CG287*CG158+CH287*CH158+CI287*CI158+CJ287*CJ158+CK287*CK158+CL287*CL158+CM287*CM158+CN287*CN158+CO287*CO158+CP287*CP158+CQ287*CQ158+CR287*CR158+CS287*CS158+CT287*CT158+CU287*CU158</f>
        <v>1.1102230246251565E-16</v>
      </c>
      <c r="CY158" s="2838">
        <f>E288*E158+F288*F158+G288*G158+H288*H158+I288*I158+J288*J158+K288*K158+L288*L158+M288*M158+N288*N158+O288*O158+P288*P158+Q288*Q158+R288*R158+S288*S158+T288*T158+U288*U158+V288*V158+W288*W158+X288*X158+Y288*Y158+Z288*Z158+AA288*AA158+AB288*AB158+AC288*AC158+AD288*AD158+AE288*AE158+AF288*AF158+AG288*AG158+AH288*AH158+AI288*AI158+AJ288*AJ158+AK288*AK158+AL288*AL158+AM288*AM158+AN288*AN158+AO288*AO158+AP288*AP158+AQ288*AQ158+AR288*AR158+AS288*AS158+AT288*AT158+AU288*AU158+AV288*AV158+AW288*AW158+AX288*AX158+AY288*AY158+AZ288*AZ158+BA288*BA158+BB288*BB158+BC288*BC158+BD288*BD158+BE288*BE158+BF288*BF158+BG288*BG158+BH288*BH158+BI288*BI158+BJ288*BJ158+BK288*BK158+BL288*BL158+BM288*BM158+BN288*BN158+BO288*BO158+BP288*BP158+BQ288*BQ158+BR288*BR158+BS288*BS158+BT288*BT158+BU288*BU158+BV288*BV158+BW288*BW158+BX288*BX158+BY288*BY158+BZ288*BZ158+CA288*CA158+CB288*CB158+CC288*CC158+CD288*CD158+CE288*CE158+CF288*CF158+CG288*CG158+CH288*CH158+CI288*CI158+CJ288*CJ158+CK288*CK158+CL288*CL158+CM288*CM158+CN288*CN158+CO288*CO158+CP288*CP158+CQ288*CQ158+CR288*CR158+CS288*CS158+CT288*CT158+CU288*CU158</f>
        <v>0</v>
      </c>
      <c r="CZ158" s="2839">
        <f>E289*E158+F289*F158+G289*G158+H289*H158+I289*I158+J289*J158+K289*K158+L289*L158+M289*M158+N289*N158+O289*O158+P289*P158+Q289*Q158+R289*R158+S289*S158+T289*T158+U289*U158+V289*V158+W289*W158+X289*X158+Y289*Y158+Z289*Z158+AA289*AA158+AB289*AB158+AC289*AC158+AD289*AD158+AE289*AE158+AF289*AF158+AG289*AG158+AH289*AH158+AI289*AI158+AJ289*AJ158+AK289*AK158+AL289*AL158+AM289*AM158+AN289*AN158+AO289*AO158+AP289*AP158+AQ289*AQ158+AR289*AR158+AS289*AS158+AT289*AT158+AU289*AU158+AV289*AV158+AW289*AW158+AX289*AX158+AY289*AY158+AZ289*AZ158+BA289*BA158+BB289*BB158+BC289*BC158+BD289*BD158+BE289*BE158+BF289*BF158+BG289*BG158+BH289*BH158+BI289*BI158+BJ289*BJ158+BK289*BK158+BL289*BL158+BM289*BM158+BN289*BN158+BO289*BO158+BP289*BP158+BQ289*BQ158+BR289*BR158+BS289*BS158+BT289*BT158+BU289*BU158+BV289*BV158+BW289*BW158+BX289*BX158+BY289*BY158+BZ289*BZ158+CA289*CA158+CB289*CB158+CC289*CC158+CD289*CD158+CE289*CE158+CF289*CF158+CG289*CG158+CH289*CH158+CI289*CI158+CJ289*CJ158+CK289*CK158+CL289*CL158+CM289*CM158+CN289*CN158+CO289*CO158+CP289*CP158+CQ289*CQ158+CR289*CR158+CS289*CS158+CT289*CT158+CU289*CU158</f>
        <v>0</v>
      </c>
      <c r="DA158" s="2840">
        <f>E290*E158+F290*F158+G290*G158+H290*H158+I290*I158+J290*J158+K290*K158+L290*L158+M290*M158+N290*N158+O290*O158+P290*P158+Q290*Q158+R290*R158+S290*S158+T290*T158+U290*U158+V290*V158+W290*W158+X290*X158+Y290*Y158+Z290*Z158+AA290*AA158+AB290*AB158+AC290*AC158+AD290*AD158+AE290*AE158+AF290*AF158+AG290*AG158+AH290*AH158+AI290*AI158+AJ290*AJ158+AK290*AK158+AL290*AL158+AM290*AM158+AN290*AN158+AO290*AO158+AP290*AP158+AQ290*AQ158+AR290*AR158+AS290*AS158+AT290*AT158+AU290*AU158+AV290*AV158+AW290*AW158+AX290*AX158+AY290*AY158+AZ290*AZ158+BA290*BA158+BB290*BB158+BC290*BC158+BD290*BD158+BE290*BE158+BF290*BF158+BG290*BG158+BH290*BH158+BI290*BI158+BJ290*BJ158+BK290*BK158+BL290*BL158+BM290*BM158+BN290*BN158+BO290*BO158+BP290*BP158+BQ290*BQ158+BR290*BR158+BS290*BS158+BT290*BT158+BU290*BU158+BV290*BV158+BW290*BW158+BX290*BX158+BY290*BY158+BZ290*BZ158+CA290*CA158+CB290*CB158+CC290*CC158+CD290*CD158+CE290*CE158+CF290*CF158+CG290*CG158+CH290*CH158+CI290*CI158+CJ290*CJ158+CK290*CK158+CL290*CL158+CM290*CM158+CN290*CN158+CO290*CO158+CP290*CP158+CQ290*CQ158+CR290*CR158+CS290*CS158+CT290*CT158+CU290*CU158</f>
        <v>0</v>
      </c>
      <c r="DB158" s="2840">
        <f>E291*E158+F291*F158+G291*G158+H291*H158+I291*I158+J291*J158+K291*K158+L291*L158+M291*M158+N291*N158+O291*O158+P291*P158+Q291*Q158+R291*R158+S291*S158+T291*T158+U291*U158+V291*V158+W291*W158+X291*X158+Y291*Y158+Z291*Z158+AA291*AA158+AB291*AB158+AC291*AC158+AD291*AD158+AE291*AE158+AF291*AF158+AG291*AG158+AH291*AH158+AI291*AI158+AJ291*AJ158+AK291*AK158+AL291*AL158+AM291*AM158+AN291*AN158+AO291*AO158+AP291*AP158+AQ291*AQ158+AR291*AR158+AS291*AS158+AT291*AT158+AU291*AU158+AV291*AV158+AW291*AW158+AX291*AX158+AY291*AY158+AZ291*AZ158+BA291*BA158+BB291*BB158+BC291*BC158+BD291*BD158+BE291*BE158+BF291*BF158+BG291*BG158+BH291*BH158+BI291*BI158+BJ291*BJ158+BK291*BK158+BL291*BL158+BM291*BM158+BN291*BN158+BO291*BO158+BP291*BP158+BQ291*BQ158+BR291*BR158+BS291*BS158+BT291*BT158+BU291*BU158+BV291*BV158+BW291*BW158+BX291*BX158+BY291*BY158+BZ291*BZ158+CA291*CA158+CB291*CB158+CC291*CC158+CD291*CD158+CE291*CE158+CF291*CF158+CG291*CG158+CH291*CH158+CI291*CI158+CJ291*CJ158+CK291*CK158+CL291*CL158+CM291*CM158+CN291*CN158+CO291*CO158+CP291*CP158+CQ291*CQ158+CR291*CR158+CS291*CS158+CT291*CT158+CU291*CU158</f>
        <v>0</v>
      </c>
      <c r="DC158" s="2840">
        <f>E292*E158+F292*F158+G292*G158+H292*H158+I292*I158+J292*J158+K292*K158+L292*L158+M292*M158+N292*N158+O292*O158+P292*P158+Q292*Q158+R292*R158+S292*S158+T292*T158+U292*U158+V292*V158+W292*W158+X292*X158+Y292*Y158+Z292*Z158+AA292*AA158+AB292*AB158+AC292*AC158+AD292*AD158+AE292*AE158+AF292*AF158+AG292*AG158+AH292*AH158+AI292*AI158+AJ292*AJ158+AK292*AK158+AL292*AL158+AM292*AM158+AN292*AN158+AO292*AO158+AP292*AP158+AQ292*AQ158+AR292*AR158+AS292*AS158+AT292*AT158+AU292*AU158+AV292*AV158+AW292*AW158+AX292*AX158+AY292*AY158+AZ292*AZ158+BA292*BA158+BB292*BB158+BC292*BC158+BD292*BD158+BE292*BE158+BF292*BF158+BG292*BG158+BH292*BH158+BI292*BI158+BJ292*BJ158+BK292*BK158+BL292*BL158+BM292*BM158+BN292*BN158+BO292*BO158+BP292*BP158+BQ292*BQ158+BR292*BR158+BS292*BS158+BT292*BT158+BU292*BU158+BV292*BV158+BW292*BW158+BX292*BX158+BY292*BY158+BZ292*BZ158+CA292*CA158+CB292*CB158+CC292*CC158+CD292*CD158+CE292*CE158+CF292*CF158+CG292*CG158+CH292*CH158+CI292*CI158+CJ292*CJ158+CK292*CK158+CL292*CL158+CM292*CM158+CN292*CN158+CO292*CO158+CP292*CP158+CQ292*CQ158+CR292*CR158+CS292*CS158+CT292*CT158+CU292*CU158</f>
        <v>0</v>
      </c>
      <c r="DD158" s="2840">
        <f>E293*E158+F293*F158+G293*G158+H293*H158+I293*I158+J293*J158+K293*K158+L293*L158+M293*M158+N293*N158+O293*O158+P293*P158+Q293*Q158+R293*R158+S293*S158+T293*T158+U293*U158+V293*V158+W293*W158+X293*X158+Y293*Y158+Z293*Z158+AA293*AA158+AB293*AB158+AC293*AC158+AD293*AD158+AE293*AE158+AF293*AF158+AG293*AG158+AH293*AH158+AI293*AI158+AJ293*AJ158+AK293*AK158+AL293*AL158+AM293*AM158+AN293*AN158+AO293*AO158+AP293*AP158+AQ293*AQ158+AR293*AR158+AS293*AS158+AT293*AT158+AU293*AU158+AV293*AV158+AW293*AW158+AX293*AX158+AY293*AY158+AZ293*AZ158+BA293*BA158+BB293*BB158+BC293*BC158+BD293*BD158+BE293*BE158+BF293*BF158+BG293*BG158+BH293*BH158+BI293*BI158+BJ293*BJ158+BK293*BK158+BL293*BL158+BM293*BM158+BN293*BN158+BO293*BO158+BP293*BP158+BQ293*BQ158+BR293*BR158+BS293*BS158+BT293*BT158+BU293*BU158+BV293*BV158+BW293*BW158+BX293*BX158+BY293*BY158+BZ293*BZ158+CA293*CA158+CB293*CB158+CC293*CC158+CD293*CD158+CE293*CE158+CF293*CF158+CG293*CG158+CH293*CH158+CI293*CI158+CJ293*CJ158+CK293*CK158+CL293*CL158+CM293*CM158+CN293*CN158+CO293*CO158+CP293*CP158+CQ293*CQ158+CR293*CR158+CS293*CS158+CT293*CT158+CU293*CU158</f>
        <v>0</v>
      </c>
      <c r="DE158" s="2840">
        <f>E294*E158+F294*F158+G294*G158+H294*H158+I294*I158+J294*J158+K294*K158+L294*L158+M294*M158+N294*N158+O294*O158+P294*P158+Q294*Q158+R294*R158+S294*S158+T294*T158+U294*U158+V294*V158+W294*W158+X294*X158+Y294*Y158+Z294*Z158+AA294*AA158+AB294*AB158+AC294*AC158+AD294*AD158+AE294*AE158+AF294*AF158+AG294*AG158+AH294*AH158+AI294*AI158+AJ294*AJ158+AK294*AK158+AL294*AL158+AM294*AM158+AN294*AN158+AO294*AO158+AP294*AP158+AQ294*AQ158+AR294*AR158+AS294*AS158+AT294*AT158+AU294*AU158+AV294*AV158+AW294*AW158+AX294*AX158+AY294*AY158+AZ294*AZ158+BA294*BA158+BB294*BB158+BC294*BC158+BD294*BD158+BE294*BE158+BF294*BF158+BG294*BG158+BH294*BH158+BI294*BI158+BJ294*BJ158+BK294*BK158+BL294*BL158+BM294*BM158+BN294*BN158+BO294*BO158+BP294*BP158+BQ294*BQ158+BR294*BR158+BS294*BS158+BT294*BT158+BU294*BU158+BV294*BV158+BW294*BW158+BX294*BX158+BY294*BY158+BZ294*BZ158+CA294*CA158+CB294*CB158+CC294*CC158+CD294*CD158+CE294*CE158+CF294*CF158+CG294*CG158+CH294*CH158+CI294*CI158+CJ294*CJ158+CK294*CK158+CL294*CL158+CM294*CM158+CN294*CN158+CO294*CO158+CP294*CP158+CQ294*CQ158+CR294*CR158+CS294*CS158+CT294*CT158+CU294*CU158</f>
        <v>0</v>
      </c>
      <c r="DF158" s="2840">
        <f>E295*E158+F295*F158+G295*G158+H295*H158+I295*I158+J295*J158+K295*K158+L295*L158+M295*M158+N295*N158+O295*O158+P295*P158+Q295*Q158+R295*R158+S295*S158+T295*T158+U295*U158+V295*V158+W295*W158+X295*X158+Y295*Y158+Z295*Z158+AA295*AA158+AB295*AB158+AC295*AC158+AD295*AD158+AE295*AE158+AF295*AF158+AG295*AG158+AH295*AH158+AI295*AI158+AJ295*AJ158+AK295*AK158+AL295*AL158+AM295*AM158+AN295*AN158+AO295*AO158+AP295*AP158+AQ295*AQ158+AR295*AR158+AS295*AS158+AT295*AT158+AU295*AU158+AV295*AV158+AW295*AW158+AX295*AX158+AY295*AY158+AZ295*AZ158+BA295*BA158+BB295*BB158+BC295*BC158+BD295*BD158+BE295*BE158+BF295*BF158+BG295*BG158+BH295*BH158+BI295*BI158+BJ295*BJ158+BK295*BK158+BL295*BL158+BM295*BM158+BN295*BN158+BO295*BO158+BP295*BP158+BQ295*BQ158+BR295*BR158+BS295*BS158+BT295*BT158+BU295*BU158+BV295*BV158+BW295*BW158+BX295*BX158+BY295*BY158+BZ295*BZ158+CA295*CA158+CB295*CB158+CC295*CC158+CD295*CD158+CE295*CE158+CF295*CF158+CG295*CG158+CH295*CH158+CI295*CI158+CJ295*CJ158+CK295*CK158+CL295*CL158+CM295*CM158+CN295*CN158+CO295*CO158+CP295*CP158+CQ295*CQ158+CR295*CR158+CS295*CS158+CT295*CT158+CU295*CU158</f>
        <v>0</v>
      </c>
      <c r="DG158" s="2840">
        <f>E296*E158+F296*F158+G296*G158+H296*H158+I296*I158+J296*J158+K296*K158+L296*L158+M296*M158+N296*N158+O296*O158+P296*P158+Q296*Q158+R296*R158+S296*S158+T296*T158+U296*U158+V296*V158+W296*W158+X296*X158+Y296*Y158+Z296*Z158+AA296*AA158+AB296*AB158+AC296*AC158+AD296*AD158+AE296*AE158+AF296*AF158+AG296*AG158+AH296*AH158+AI296*AI158+AJ296*AJ158+AK296*AK158+AL296*AL158+AM296*AM158+AN296*AN158+AO296*AO158+AP296*AP158+AQ296*AQ158+AR296*AR158+AS296*AS158+AT296*AT158+AU296*AU158+AV296*AV158+AW296*AW158+AX296*AX158+AY296*AY158+AZ296*AZ158+BA296*BA158+BB296*BB158+BC296*BC158+BD296*BD158+BE296*BE158+BF296*BF158+BG296*BG158+BH296*BH158+BI296*BI158+BJ296*BJ158+BK296*BK158+BL296*BL158+BM296*BM158+BN296*BN158+BO296*BO158+BP296*BP158+BQ296*BQ158+BR296*BR158+BS296*BS158+BT296*BT158+BU296*BU158+BV296*BV158+BW296*BW158+BX296*BX158+BY296*BY158+BZ296*BZ158+CA296*CA158+CB296*CB158+CC296*CC158+CD296*CD158+CE296*CE158+CF296*CF158+CG296*CG158+CH296*CH158+CI296*CI158+CJ296*CJ158+CK296*CK158+CL296*CL158+CM296*CM158+CN296*CN158+CO296*CO158+CP296*CP158+CQ296*CQ158+CR296*CR158+CS296*CS158+CT296*CT158+CU296*CU158</f>
        <v>0</v>
      </c>
      <c r="DH158" s="2840">
        <f>E297*E158+F297*F158+G297*G158+H297*H158+I297*I158+J297*J158+K297*K158+L297*L158+M297*M158+N297*N158+O297*O158+P297*P158+Q297*Q158+R297*R158+S297*S158+T297*T158+U297*U158+V297*V158+W297*W158+X297*X158+Y297*Y158+Z297*Z158+AA297*AA158+AB297*AB158+AC297*AC158+AD297*AD158+AE297*AE158+AF297*AF158+AG297*AG158+AH297*AH158+AI297*AI158+AJ297*AJ158+AK297*AK158+AL297*AL158+AM297*AM158+AN297*AN158+AO297*AO158+AP297*AP158+AQ297*AQ158+AR297*AR158+AS297*AS158+AT297*AT158+AU297*AU158+AV297*AV158+AW297*AW158+AX297*AX158+AY297*AY158+AZ297*AZ158+BA297*BA158+BB297*BB158+BC297*BC158+BD297*BD158+BE297*BE158+BF297*BF158+BG297*BG158+BH297*BH158+BI297*BI158+BJ297*BJ158+BK297*BK158+BL297*BL158+BM297*BM158+BN297*BN158+BO297*BO158+BP297*BP158+BQ297*BQ158+BR297*BR158+BS297*BS158+BT297*BT158+BU297*BU158+BV297*BV158+BW297*BW158+BX297*BX158+BY297*BY158+BZ297*BZ158+CA297*CA158+CB297*CB158+CC297*CC158+CD297*CD158+CE297*CE158+CF297*CF158+CG297*CG158+CH297*CH158+CI297*CI158+CJ297*CJ158+CK297*CK158+CL297*CL158+CM297*CM158+CN297*CN158+CO297*CO158+CP297*CP158+CQ297*CQ158+CR297*CR158+CS297*CS158+CT297*CT158+CU297*CU158</f>
        <v>0</v>
      </c>
      <c r="DI158" s="2840">
        <f>E298*E158+F298*F158+G298*G158+H298*H158+I298*I158+J298*J158+K298*K158+L298*L158+M298*M158+N298*N158+O298*O158+P298*P158+Q298*Q158+R298*R158+S298*S158+T298*T158+U298*U158+V298*V158+W298*W158+X298*X158+Y298*Y158+Z298*Z158+AA298*AA158+AB298*AB158+AC298*AC158+AD298*AD158+AE298*AE158+AF298*AF158+AG298*AG158+AH298*AH158+AI298*AI158+AJ298*AJ158+AK298*AK158+AL298*AL158+AM298*AM158+AN298*AN158+AO298*AO158+AP298*AP158+AQ298*AQ158+AR298*AR158+AS298*AS158+AT298*AT158+AU298*AU158+AV298*AV158+AW298*AW158+AX298*AX158+AY298*AY158+AZ298*AZ158+BA298*BA158+BB298*BB158+BC298*BC158+BD298*BD158+BE298*BE158+BF298*BF158+BG298*BG158+BH298*BH158+BI298*BI158+BJ298*BJ158+BK298*BK158+BL298*BL158+BM298*BM158+BN298*BN158+BO298*BO158+BP298*BP158+BQ298*BQ158+BR298*BR158+BS298*BS158+BT298*BT158+BU298*BU158+BV298*BV158+BW298*BW158+BX298*BX158+BY298*BY158+BZ298*BZ158+CA298*CA158+CB298*CB158+CC298*CC158+CD298*CD158+CE298*CE158+CF298*CF158+CG298*CG158+CH298*CH158+CI298*CI158+CJ298*CJ158+CK298*CK158+CL298*CL158+CM298*CM158+CN298*CN158+CO298*CO158+CP298*CP158+CQ298*CQ158+CR298*CR158+CS298*CS158+CT298*CT158+CU298*CU158</f>
        <v>0</v>
      </c>
    </row>
    <row r="159" spans="2:113" ht="18" x14ac:dyDescent="0.25">
      <c r="B159" s="2484">
        <v>6</v>
      </c>
      <c r="C159" s="2398" t="s">
        <v>228</v>
      </c>
      <c r="D159" s="2399" t="s">
        <v>1651</v>
      </c>
      <c r="E159" s="3108">
        <f>0</f>
        <v>0</v>
      </c>
      <c r="F159" s="3107">
        <f>-1/Y_OHO_SB_anox</f>
        <v>-1.8518518518518516</v>
      </c>
      <c r="G159" s="3108">
        <f>0</f>
        <v>0</v>
      </c>
      <c r="H159" s="3108">
        <f>0</f>
        <v>0</v>
      </c>
      <c r="I159" s="3108">
        <f>0</f>
        <v>0</v>
      </c>
      <c r="J159" s="3108">
        <f>0</f>
        <v>0</v>
      </c>
      <c r="K159" s="3108">
        <f>0</f>
        <v>0</v>
      </c>
      <c r="L159" s="3108">
        <f>0</f>
        <v>0</v>
      </c>
      <c r="M159" s="3108">
        <f>0</f>
        <v>0</v>
      </c>
      <c r="N159" s="3108">
        <f>0</f>
        <v>0</v>
      </c>
      <c r="O159" s="3108">
        <f>0</f>
        <v>0</v>
      </c>
      <c r="P159" s="3108">
        <f>0</f>
        <v>0</v>
      </c>
      <c r="Q159" s="3108">
        <f>0</f>
        <v>0</v>
      </c>
      <c r="R159" s="3108">
        <f>1</f>
        <v>1</v>
      </c>
      <c r="S159" s="3108">
        <f>0</f>
        <v>0</v>
      </c>
      <c r="T159" s="3108">
        <f>0</f>
        <v>0</v>
      </c>
      <c r="U159" s="3108">
        <f>0</f>
        <v>0</v>
      </c>
      <c r="V159" s="3108">
        <f>0</f>
        <v>0</v>
      </c>
      <c r="W159" s="3108">
        <f>0</f>
        <v>0</v>
      </c>
      <c r="X159" s="3108">
        <f>0</f>
        <v>0</v>
      </c>
      <c r="Y159" s="3108">
        <f>0</f>
        <v>0</v>
      </c>
      <c r="Z159" s="3108">
        <f>0</f>
        <v>0</v>
      </c>
      <c r="AA159" s="3108">
        <f>0</f>
        <v>0</v>
      </c>
      <c r="AB159" s="3108">
        <f>0</f>
        <v>0</v>
      </c>
      <c r="AC159" s="3108">
        <f>0</f>
        <v>0</v>
      </c>
      <c r="AD159" s="3107">
        <f>-i_N_BIO</f>
        <v>-7.0000000000000007E-2</v>
      </c>
      <c r="AE159" s="3107">
        <f>(1-Y_OHO_SB_anox)/(E_EQNO2_NO3*Y_OHO_SB_anox)</f>
        <v>0.74575504914767643</v>
      </c>
      <c r="AF159" s="3107">
        <f>-(1-Y_OHO_SB_anox)/(E_EQNO2_NO3*Y_OHO_SB_anox)</f>
        <v>-0.74575504914767643</v>
      </c>
      <c r="AG159" s="3107">
        <f>0</f>
        <v>0</v>
      </c>
      <c r="AH159" s="3108">
        <f>0</f>
        <v>0</v>
      </c>
      <c r="AI159" s="3108">
        <f>0</f>
        <v>0</v>
      </c>
      <c r="AJ159" s="3108">
        <f>0</f>
        <v>0</v>
      </c>
      <c r="AK159" s="3108">
        <f>0</f>
        <v>0</v>
      </c>
      <c r="AL159" s="3107">
        <f>-i_P_BIO</f>
        <v>-0.02</v>
      </c>
      <c r="AM159" s="3108">
        <f>0</f>
        <v>0</v>
      </c>
      <c r="AN159" s="3108">
        <f>0</f>
        <v>0</v>
      </c>
      <c r="AO159" s="3108">
        <f>0</f>
        <v>0</v>
      </c>
      <c r="AP159" s="3108">
        <f>0</f>
        <v>0</v>
      </c>
      <c r="AQ159" s="3108">
        <f>0</f>
        <v>0</v>
      </c>
      <c r="AR159" s="3108">
        <f>0</f>
        <v>0</v>
      </c>
      <c r="AS159" s="3108">
        <f>0</f>
        <v>0</v>
      </c>
      <c r="AT159" s="3108">
        <f>0</f>
        <v>0</v>
      </c>
      <c r="AU159" s="3107">
        <f>i_CIT_SB/Y_OHO_SB_anox-i_CIT_BIO</f>
        <v>0.17762962962962958</v>
      </c>
      <c r="AV159" s="3107">
        <f>i_INORG</f>
        <v>0.11</v>
      </c>
      <c r="AW159" s="3107">
        <f>-i_INORG*(1-i_Ca_INORG*(A_MCa+2*A_MCl)/A_MCa-i_Mg_INORG*(A_MMg+2*A_MCl)/A_MMg)*f_Na</f>
        <v>-2.8804303582798466E-2</v>
      </c>
      <c r="AX159" s="3107">
        <f>-i_INORG*(i_Ca_INORG*(2*A_MCl)/A_MCa+i_Mg_INORG*(2*A_MCl)/A_MMg)-i_INORG*(1-i_Ca_INORG*(A_MCa+2*A_MCl)/A_MCa-i_Mg_INORG*(A_MMg+2*A_MCl)/A_MMg)*(1-f_Na)</f>
        <v>-7.0195696417201539E-2</v>
      </c>
      <c r="AY159" s="3107">
        <f>-i_INORG*i_Ca_INORG</f>
        <v>-5.5000000000000005E-3</v>
      </c>
      <c r="AZ159" s="3107">
        <f>-i_INORG*i_Mg_INORG</f>
        <v>-5.5000000000000005E-3</v>
      </c>
      <c r="BA159" s="3107">
        <f>0</f>
        <v>0</v>
      </c>
      <c r="BB159" s="3107">
        <f>0</f>
        <v>0</v>
      </c>
      <c r="BC159" s="3107">
        <f>-i_S_BIO+1/Y_OHO_SB_anox*i_S_SB</f>
        <v>-7.2222222222222228E-3</v>
      </c>
      <c r="BD159" s="3107">
        <f>0</f>
        <v>0</v>
      </c>
      <c r="BE159" s="3107">
        <f>0</f>
        <v>0</v>
      </c>
      <c r="BF159" s="3107">
        <f>0</f>
        <v>0</v>
      </c>
      <c r="BG159" s="3107">
        <f>0</f>
        <v>0</v>
      </c>
      <c r="BH159" s="3107">
        <f>0</f>
        <v>0</v>
      </c>
      <c r="BI159" s="3107">
        <f>0</f>
        <v>0</v>
      </c>
      <c r="BJ159" s="3107">
        <f>0</f>
        <v>0</v>
      </c>
      <c r="BK159" s="3107">
        <f>0</f>
        <v>0</v>
      </c>
      <c r="BL159" s="3107">
        <f>0</f>
        <v>0</v>
      </c>
      <c r="BM159" s="3107">
        <f>0</f>
        <v>0</v>
      </c>
      <c r="BN159" s="3107">
        <f>0</f>
        <v>0</v>
      </c>
      <c r="BO159" s="3107">
        <f>0</f>
        <v>0</v>
      </c>
      <c r="BP159" s="3107">
        <f>0</f>
        <v>0</v>
      </c>
      <c r="BQ159" s="3107">
        <f>0</f>
        <v>0</v>
      </c>
      <c r="BR159" s="3107">
        <f>0</f>
        <v>0</v>
      </c>
      <c r="BS159" s="3107">
        <f>0</f>
        <v>0</v>
      </c>
      <c r="BT159" s="3107">
        <f>0</f>
        <v>0</v>
      </c>
      <c r="BU159" s="3107">
        <f>0</f>
        <v>0</v>
      </c>
      <c r="BV159" s="3107">
        <f>0</f>
        <v>0</v>
      </c>
      <c r="BW159" s="3107">
        <f>0</f>
        <v>0</v>
      </c>
      <c r="BX159" s="3107">
        <f>0</f>
        <v>0</v>
      </c>
      <c r="BY159" s="3107">
        <f>0</f>
        <v>0</v>
      </c>
      <c r="BZ159" s="3186">
        <f>0</f>
        <v>0</v>
      </c>
      <c r="CA159" s="3186">
        <f>0</f>
        <v>0</v>
      </c>
      <c r="CB159" s="3186">
        <f>0</f>
        <v>0</v>
      </c>
      <c r="CC159" s="3186">
        <f>0</f>
        <v>0</v>
      </c>
      <c r="CD159" s="3107">
        <f>0</f>
        <v>0</v>
      </c>
      <c r="CE159" s="3107">
        <f>0</f>
        <v>0</v>
      </c>
      <c r="CF159" s="3107">
        <f>0</f>
        <v>0</v>
      </c>
      <c r="CG159" s="3107">
        <f>0</f>
        <v>0</v>
      </c>
      <c r="CH159" s="3107">
        <f>0</f>
        <v>0</v>
      </c>
      <c r="CI159" s="3107">
        <f>0</f>
        <v>0</v>
      </c>
      <c r="CJ159" s="3107">
        <f>0</f>
        <v>0</v>
      </c>
      <c r="CK159" s="3107">
        <f>0</f>
        <v>0</v>
      </c>
      <c r="CL159" s="3107">
        <f>0</f>
        <v>0</v>
      </c>
      <c r="CM159" s="3107">
        <f>0</f>
        <v>0</v>
      </c>
      <c r="CN159" s="3107">
        <f>0</f>
        <v>0</v>
      </c>
      <c r="CO159" s="3107">
        <f>0</f>
        <v>0</v>
      </c>
      <c r="CP159" s="3107">
        <f>0</f>
        <v>0</v>
      </c>
      <c r="CQ159" s="3107">
        <f>0</f>
        <v>0</v>
      </c>
      <c r="CR159" s="3107">
        <f>0</f>
        <v>0</v>
      </c>
      <c r="CS159" s="3107">
        <f>0</f>
        <v>0</v>
      </c>
      <c r="CT159" s="3107">
        <f>0</f>
        <v>0</v>
      </c>
      <c r="CU159" s="3107">
        <f>0</f>
        <v>0</v>
      </c>
      <c r="CV159" s="3220">
        <f>µ_OHO_T*X_OHO*η_OHO_anox*M_satSB_KSB*M_inhSVFA_KVFA*M_satSNO3_KNO3_OHO*M_inhSO2_KO2_OHO*M_inhSNO2_KNO2_OHO*M_satSNHx_KNHx_BIO*M_satSPO4_KPO4_BIO*M_satSCAT_KCAT*M_satSAN_KAN*M_satSCa_KCa*M_satSMg_KMg*M_satSSO4_KSO4_BIO*B_ellinhpH</f>
        <v>3.6021303775767128</v>
      </c>
      <c r="CX159" s="2838">
        <f>E287*E159+F287*F159+G287*G159+H287*H159+I287*I159+J287*J159+K287*K159+L287*L159+M287*M159+N287*N159+O287*O159+P287*P159+Q287*Q159+R287*R159+S287*S159+T287*T159+U287*U159+V287*V159+W287*W159+X287*X159+Y287*Y159+Z287*Z159+AA287*AA159+AB287*AB159+AC287*AC159+AD287*AD159+AE287*AE159+AF287*AF159+AG287*AG159+AH287*AH159+AI287*AI159+AJ287*AJ159+AK287*AK159+AL287*AL159+AM287*AM159+AN287*AN159+AO287*AO159+AP287*AP159+AQ287*AQ159+AR287*AR159+AS287*AS159+AT287*AT159+AU287*AU159+AV287*AV159+AW287*AW159+AX287*AX159+AY287*AY159+AZ287*AZ159+BA287*BA159+BB287*BB159+BC287*BC159+BD287*BD159+BE287*BE159+BF287*BF159+BG287*BG159+BH287*BH159+BI287*BI159+BJ287*BJ159+BK287*BK159+BL287*BL159+BM287*BM159+BN287*BN159+BO287*BO159+BP287*BP159+BQ287*BQ159+BR287*BR159+BS287*BS159+BT287*BT159+BU287*BU159+BV287*BV159+BW287*BW159+BX287*BX159+BY287*BY159+BZ287*BZ159+CA287*CA159+CB287*CB159+CC287*CC159+CD287*CD159+CE287*CE159+CF287*CF159+CG287*CG159+CH287*CH159+CI287*CI159+CJ287*CJ159+CK287*CK159+CL287*CL159+CM287*CM159+CN287*CN159+CO287*CO159+CP287*CP159+CQ287*CQ159+CR287*CR159+CS287*CS159+CT287*CT159+CU287*CU159</f>
        <v>0</v>
      </c>
      <c r="CY159" s="2838">
        <f>E288*E159+F288*F159+G288*G159+H288*H159+I288*I159+J288*J159+K288*K159+L288*L159+M288*M159+N288*N159+O288*O159+P288*P159+Q288*Q159+R288*R159+S288*S159+T288*T159+U288*U159+V288*V159+W288*W159+X288*X159+Y288*Y159+Z288*Z159+AA288*AA159+AB288*AB159+AC288*AC159+AD288*AD159+AE288*AE159+AF288*AF159+AG288*AG159+AH288*AH159+AI288*AI159+AJ288*AJ159+AK288*AK159+AL288*AL159+AM288*AM159+AN288*AN159+AO288*AO159+AP288*AP159+AQ288*AQ159+AR288*AR159+AS288*AS159+AT288*AT159+AU288*AU159+AV288*AV159+AW288*AW159+AX288*AX159+AY288*AY159+AZ288*AZ159+BA288*BA159+BB288*BB159+BC288*BC159+BD288*BD159+BE288*BE159+BF288*BF159+BG288*BG159+BH288*BH159+BI288*BI159+BJ288*BJ159+BK288*BK159+BL288*BL159+BM288*BM159+BN288*BN159+BO288*BO159+BP288*BP159+BQ288*BQ159+BR288*BR159+BS288*BS159+BT288*BT159+BU288*BU159+BV288*BV159+BW288*BW159+BX288*BX159+BY288*BY159+BZ288*BZ159+CA288*CA159+CB288*CB159+CC288*CC159+CD288*CD159+CE288*CE159+CF288*CF159+CG288*CG159+CH288*CH159+CI288*CI159+CJ288*CJ159+CK288*CK159+CL288*CL159+CM288*CM159+CN288*CN159+CO288*CO159+CP288*CP159+CQ288*CQ159+CR288*CR159+CS288*CS159+CT288*CT159+CU288*CU159</f>
        <v>0</v>
      </c>
      <c r="CZ159" s="2839">
        <f>E289*E159+F289*F159+G289*G159+H289*H159+I289*I159+J289*J159+K289*K159+L289*L159+M289*M159+N289*N159+O289*O159+P289*P159+Q289*Q159+R289*R159+S289*S159+T289*T159+U289*U159+V289*V159+W289*W159+X289*X159+Y289*Y159+Z289*Z159+AA289*AA159+AB289*AB159+AC289*AC159+AD289*AD159+AE289*AE159+AF289*AF159+AG289*AG159+AH289*AH159+AI289*AI159+AJ289*AJ159+AK289*AK159+AL289*AL159+AM289*AM159+AN289*AN159+AO289*AO159+AP289*AP159+AQ289*AQ159+AR289*AR159+AS289*AS159+AT289*AT159+AU289*AU159+AV289*AV159+AW289*AW159+AX289*AX159+AY289*AY159+AZ289*AZ159+BA289*BA159+BB289*BB159+BC289*BC159+BD289*BD159+BE289*BE159+BF289*BF159+BG289*BG159+BH289*BH159+BI289*BI159+BJ289*BJ159+BK289*BK159+BL289*BL159+BM289*BM159+BN289*BN159+BO289*BO159+BP289*BP159+BQ289*BQ159+BR289*BR159+BS289*BS159+BT289*BT159+BU289*BU159+BV289*BV159+BW289*BW159+BX289*BX159+BY289*BY159+BZ289*BZ159+CA289*CA159+CB289*CB159+CC289*CC159+CD289*CD159+CE289*CE159+CF289*CF159+CG289*CG159+CH289*CH159+CI289*CI159+CJ289*CJ159+CK289*CK159+CL289*CL159+CM289*CM159+CN289*CN159+CO289*CO159+CP289*CP159+CQ289*CQ159+CR289*CR159+CS289*CS159+CT289*CT159+CU289*CU159</f>
        <v>0</v>
      </c>
      <c r="DA159" s="2840">
        <f>E290*E159+F290*F159+G290*G159+H290*H159+I290*I159+J290*J159+K290*K159+L290*L159+M290*M159+N290*N159+O290*O159+P290*P159+Q290*Q159+R290*R159+S290*S159+T290*T159+U290*U159+V290*V159+W290*W159+X290*X159+Y290*Y159+Z290*Z159+AA290*AA159+AB290*AB159+AC290*AC159+AD290*AD159+AE290*AE159+AF290*AF159+AG290*AG159+AH290*AH159+AI290*AI159+AJ290*AJ159+AK290*AK159+AL290*AL159+AM290*AM159+AN290*AN159+AO290*AO159+AP290*AP159+AQ290*AQ159+AR290*AR159+AS290*AS159+AT290*AT159+AU290*AU159+AV290*AV159+AW290*AW159+AX290*AX159+AY290*AY159+AZ290*AZ159+BA290*BA159+BB290*BB159+BC290*BC159+BD290*BD159+BE290*BE159+BF290*BF159+BG290*BG159+BH290*BH159+BI290*BI159+BJ290*BJ159+BK290*BK159+BL290*BL159+BM290*BM159+BN290*BN159+BO290*BO159+BP290*BP159+BQ290*BQ159+BR290*BR159+BS290*BS159+BT290*BT159+BU290*BU159+BV290*BV159+BW290*BW159+BX290*BX159+BY290*BY159+BZ290*BZ159+CA290*CA159+CB290*CB159+CC290*CC159+CD290*CD159+CE290*CE159+CF290*CF159+CG290*CG159+CH290*CH159+CI290*CI159+CJ290*CJ159+CK290*CK159+CL290*CL159+CM290*CM159+CN290*CN159+CO290*CO159+CP290*CP159+CQ290*CQ159+CR290*CR159+CS290*CS159+CT290*CT159+CU290*CU159</f>
        <v>0</v>
      </c>
      <c r="DB159" s="2840">
        <f>E291*E159+F291*F159+G291*G159+H291*H159+I291*I159+J291*J159+K291*K159+L291*L159+M291*M159+N291*N159+O291*O159+P291*P159+Q291*Q159+R291*R159+S291*S159+T291*T159+U291*U159+V291*V159+W291*W159+X291*X159+Y291*Y159+Z291*Z159+AA291*AA159+AB291*AB159+AC291*AC159+AD291*AD159+AE291*AE159+AF291*AF159+AG291*AG159+AH291*AH159+AI291*AI159+AJ291*AJ159+AK291*AK159+AL291*AL159+AM291*AM159+AN291*AN159+AO291*AO159+AP291*AP159+AQ291*AQ159+AR291*AR159+AS291*AS159+AT291*AT159+AU291*AU159+AV291*AV159+AW291*AW159+AX291*AX159+AY291*AY159+AZ291*AZ159+BA291*BA159+BB291*BB159+BC291*BC159+BD291*BD159+BE291*BE159+BF291*BF159+BG291*BG159+BH291*BH159+BI291*BI159+BJ291*BJ159+BK291*BK159+BL291*BL159+BM291*BM159+BN291*BN159+BO291*BO159+BP291*BP159+BQ291*BQ159+BR291*BR159+BS291*BS159+BT291*BT159+BU291*BU159+BV291*BV159+BW291*BW159+BX291*BX159+BY291*BY159+BZ291*BZ159+CA291*CA159+CB291*CB159+CC291*CC159+CD291*CD159+CE291*CE159+CF291*CF159+CG291*CG159+CH291*CH159+CI291*CI159+CJ291*CJ159+CK291*CK159+CL291*CL159+CM291*CM159+CN291*CN159+CO291*CO159+CP291*CP159+CQ291*CQ159+CR291*CR159+CS291*CS159+CT291*CT159+CU291*CU159</f>
        <v>0</v>
      </c>
      <c r="DC159" s="2840">
        <f>E292*E159+F292*F159+G292*G159+H292*H159+I292*I159+J292*J159+K292*K159+L292*L159+M292*M159+N292*N159+O292*O159+P292*P159+Q292*Q159+R292*R159+S292*S159+T292*T159+U292*U159+V292*V159+W292*W159+X292*X159+Y292*Y159+Z292*Z159+AA292*AA159+AB292*AB159+AC292*AC159+AD292*AD159+AE292*AE159+AF292*AF159+AG292*AG159+AH292*AH159+AI292*AI159+AJ292*AJ159+AK292*AK159+AL292*AL159+AM292*AM159+AN292*AN159+AO292*AO159+AP292*AP159+AQ292*AQ159+AR292*AR159+AS292*AS159+AT292*AT159+AU292*AU159+AV292*AV159+AW292*AW159+AX292*AX159+AY292*AY159+AZ292*AZ159+BA292*BA159+BB292*BB159+BC292*BC159+BD292*BD159+BE292*BE159+BF292*BF159+BG292*BG159+BH292*BH159+BI292*BI159+BJ292*BJ159+BK292*BK159+BL292*BL159+BM292*BM159+BN292*BN159+BO292*BO159+BP292*BP159+BQ292*BQ159+BR292*BR159+BS292*BS159+BT292*BT159+BU292*BU159+BV292*BV159+BW292*BW159+BX292*BX159+BY292*BY159+BZ292*BZ159+CA292*CA159+CB292*CB159+CC292*CC159+CD292*CD159+CE292*CE159+CF292*CF159+CG292*CG159+CH292*CH159+CI292*CI159+CJ292*CJ159+CK292*CK159+CL292*CL159+CM292*CM159+CN292*CN159+CO292*CO159+CP292*CP159+CQ292*CQ159+CR292*CR159+CS292*CS159+CT292*CT159+CU292*CU159</f>
        <v>0</v>
      </c>
      <c r="DD159" s="2840">
        <f>E293*E159+F293*F159+G293*G159+H293*H159+I293*I159+J293*J159+K293*K159+L293*L159+M293*M159+N293*N159+O293*O159+P293*P159+Q293*Q159+R293*R159+S293*S159+T293*T159+U293*U159+V293*V159+W293*W159+X293*X159+Y293*Y159+Z293*Z159+AA293*AA159+AB293*AB159+AC293*AC159+AD293*AD159+AE293*AE159+AF293*AF159+AG293*AG159+AH293*AH159+AI293*AI159+AJ293*AJ159+AK293*AK159+AL293*AL159+AM293*AM159+AN293*AN159+AO293*AO159+AP293*AP159+AQ293*AQ159+AR293*AR159+AS293*AS159+AT293*AT159+AU293*AU159+AV293*AV159+AW293*AW159+AX293*AX159+AY293*AY159+AZ293*AZ159+BA293*BA159+BB293*BB159+BC293*BC159+BD293*BD159+BE293*BE159+BF293*BF159+BG293*BG159+BH293*BH159+BI293*BI159+BJ293*BJ159+BK293*BK159+BL293*BL159+BM293*BM159+BN293*BN159+BO293*BO159+BP293*BP159+BQ293*BQ159+BR293*BR159+BS293*BS159+BT293*BT159+BU293*BU159+BV293*BV159+BW293*BW159+BX293*BX159+BY293*BY159+BZ293*BZ159+CA293*CA159+CB293*CB159+CC293*CC159+CD293*CD159+CE293*CE159+CF293*CF159+CG293*CG159+CH293*CH159+CI293*CI159+CJ293*CJ159+CK293*CK159+CL293*CL159+CM293*CM159+CN293*CN159+CO293*CO159+CP293*CP159+CQ293*CQ159+CR293*CR159+CS293*CS159+CT293*CT159+CU293*CU159</f>
        <v>0</v>
      </c>
      <c r="DE159" s="2840">
        <f>E294*E159+F294*F159+G294*G159+H294*H159+I294*I159+J294*J159+K294*K159+L294*L159+M294*M159+N294*N159+O294*O159+P294*P159+Q294*Q159+R294*R159+S294*S159+T294*T159+U294*U159+V294*V159+W294*W159+X294*X159+Y294*Y159+Z294*Z159+AA294*AA159+AB294*AB159+AC294*AC159+AD294*AD159+AE294*AE159+AF294*AF159+AG294*AG159+AH294*AH159+AI294*AI159+AJ294*AJ159+AK294*AK159+AL294*AL159+AM294*AM159+AN294*AN159+AO294*AO159+AP294*AP159+AQ294*AQ159+AR294*AR159+AS294*AS159+AT294*AT159+AU294*AU159+AV294*AV159+AW294*AW159+AX294*AX159+AY294*AY159+AZ294*AZ159+BA294*BA159+BB294*BB159+BC294*BC159+BD294*BD159+BE294*BE159+BF294*BF159+BG294*BG159+BH294*BH159+BI294*BI159+BJ294*BJ159+BK294*BK159+BL294*BL159+BM294*BM159+BN294*BN159+BO294*BO159+BP294*BP159+BQ294*BQ159+BR294*BR159+BS294*BS159+BT294*BT159+BU294*BU159+BV294*BV159+BW294*BW159+BX294*BX159+BY294*BY159+BZ294*BZ159+CA294*CA159+CB294*CB159+CC294*CC159+CD294*CD159+CE294*CE159+CF294*CF159+CG294*CG159+CH294*CH159+CI294*CI159+CJ294*CJ159+CK294*CK159+CL294*CL159+CM294*CM159+CN294*CN159+CO294*CO159+CP294*CP159+CQ294*CQ159+CR294*CR159+CS294*CS159+CT294*CT159+CU294*CU159</f>
        <v>0</v>
      </c>
      <c r="DF159" s="2840">
        <f>E295*E159+F295*F159+G295*G159+H295*H159+I295*I159+J295*J159+K295*K159+L295*L159+M295*M159+N295*N159+O295*O159+P295*P159+Q295*Q159+R295*R159+S295*S159+T295*T159+U295*U159+V295*V159+W295*W159+X295*X159+Y295*Y159+Z295*Z159+AA295*AA159+AB295*AB159+AC295*AC159+AD295*AD159+AE295*AE159+AF295*AF159+AG295*AG159+AH295*AH159+AI295*AI159+AJ295*AJ159+AK295*AK159+AL295*AL159+AM295*AM159+AN295*AN159+AO295*AO159+AP295*AP159+AQ295*AQ159+AR295*AR159+AS295*AS159+AT295*AT159+AU295*AU159+AV295*AV159+AW295*AW159+AX295*AX159+AY295*AY159+AZ295*AZ159+BA295*BA159+BB295*BB159+BC295*BC159+BD295*BD159+BE295*BE159+BF295*BF159+BG295*BG159+BH295*BH159+BI295*BI159+BJ295*BJ159+BK295*BK159+BL295*BL159+BM295*BM159+BN295*BN159+BO295*BO159+BP295*BP159+BQ295*BQ159+BR295*BR159+BS295*BS159+BT295*BT159+BU295*BU159+BV295*BV159+BW295*BW159+BX295*BX159+BY295*BY159+BZ295*BZ159+CA295*CA159+CB295*CB159+CC295*CC159+CD295*CD159+CE295*CE159+CF295*CF159+CG295*CG159+CH295*CH159+CI295*CI159+CJ295*CJ159+CK295*CK159+CL295*CL159+CM295*CM159+CN295*CN159+CO295*CO159+CP295*CP159+CQ295*CQ159+CR295*CR159+CS295*CS159+CT295*CT159+CU295*CU159</f>
        <v>0</v>
      </c>
      <c r="DG159" s="2840">
        <f>E296*E159+F296*F159+G296*G159+H296*H159+I296*I159+J296*J159+K296*K159+L296*L159+M296*M159+N296*N159+O296*O159+P296*P159+Q296*Q159+R296*R159+S296*S159+T296*T159+U296*U159+V296*V159+W296*W159+X296*X159+Y296*Y159+Z296*Z159+AA296*AA159+AB296*AB159+AC296*AC159+AD296*AD159+AE296*AE159+AF296*AF159+AG296*AG159+AH296*AH159+AI296*AI159+AJ296*AJ159+AK296*AK159+AL296*AL159+AM296*AM159+AN296*AN159+AO296*AO159+AP296*AP159+AQ296*AQ159+AR296*AR159+AS296*AS159+AT296*AT159+AU296*AU159+AV296*AV159+AW296*AW159+AX296*AX159+AY296*AY159+AZ296*AZ159+BA296*BA159+BB296*BB159+BC296*BC159+BD296*BD159+BE296*BE159+BF296*BF159+BG296*BG159+BH296*BH159+BI296*BI159+BJ296*BJ159+BK296*BK159+BL296*BL159+BM296*BM159+BN296*BN159+BO296*BO159+BP296*BP159+BQ296*BQ159+BR296*BR159+BS296*BS159+BT296*BT159+BU296*BU159+BV296*BV159+BW296*BW159+BX296*BX159+BY296*BY159+BZ296*BZ159+CA296*CA159+CB296*CB159+CC296*CC159+CD296*CD159+CE296*CE159+CF296*CF159+CG296*CG159+CH296*CH159+CI296*CI159+CJ296*CJ159+CK296*CK159+CL296*CL159+CM296*CM159+CN296*CN159+CO296*CO159+CP296*CP159+CQ296*CQ159+CR296*CR159+CS296*CS159+CT296*CT159+CU296*CU159</f>
        <v>0</v>
      </c>
      <c r="DH159" s="2840">
        <f>E297*E159+F297*F159+G297*G159+H297*H159+I297*I159+J297*J159+K297*K159+L297*L159+M297*M159+N297*N159+O297*O159+P297*P159+Q297*Q159+R297*R159+S297*S159+T297*T159+U297*U159+V297*V159+W297*W159+X297*X159+Y297*Y159+Z297*Z159+AA297*AA159+AB297*AB159+AC297*AC159+AD297*AD159+AE297*AE159+AF297*AF159+AG297*AG159+AH297*AH159+AI297*AI159+AJ297*AJ159+AK297*AK159+AL297*AL159+AM297*AM159+AN297*AN159+AO297*AO159+AP297*AP159+AQ297*AQ159+AR297*AR159+AS297*AS159+AT297*AT159+AU297*AU159+AV297*AV159+AW297*AW159+AX297*AX159+AY297*AY159+AZ297*AZ159+BA297*BA159+BB297*BB159+BC297*BC159+BD297*BD159+BE297*BE159+BF297*BF159+BG297*BG159+BH297*BH159+BI297*BI159+BJ297*BJ159+BK297*BK159+BL297*BL159+BM297*BM159+BN297*BN159+BO297*BO159+BP297*BP159+BQ297*BQ159+BR297*BR159+BS297*BS159+BT297*BT159+BU297*BU159+BV297*BV159+BW297*BW159+BX297*BX159+BY297*BY159+BZ297*BZ159+CA297*CA159+CB297*CB159+CC297*CC159+CD297*CD159+CE297*CE159+CF297*CF159+CG297*CG159+CH297*CH159+CI297*CI159+CJ297*CJ159+CK297*CK159+CL297*CL159+CM297*CM159+CN297*CN159+CO297*CO159+CP297*CP159+CQ297*CQ159+CR297*CR159+CS297*CS159+CT297*CT159+CU297*CU159</f>
        <v>0</v>
      </c>
      <c r="DI159" s="2840">
        <f>E298*E159+F298*F159+G298*G159+H298*H159+I298*I159+J298*J159+K298*K159+L298*L159+M298*M159+N298*N159+O298*O159+P298*P159+Q298*Q159+R298*R159+S298*S159+T298*T159+U298*U159+V298*V159+W298*W159+X298*X159+Y298*Y159+Z298*Z159+AA298*AA159+AB298*AB159+AC298*AC159+AD298*AD159+AE298*AE159+AF298*AF159+AG298*AG159+AH298*AH159+AI298*AI159+AJ298*AJ159+AK298*AK159+AL298*AL159+AM298*AM159+AN298*AN159+AO298*AO159+AP298*AP159+AQ298*AQ159+AR298*AR159+AS298*AS159+AT298*AT159+AU298*AU159+AV298*AV159+AW298*AW159+AX298*AX159+AY298*AY159+AZ298*AZ159+BA298*BA159+BB298*BB159+BC298*BC159+BD298*BD159+BE298*BE159+BF298*BF159+BG298*BG159+BH298*BH159+BI298*BI159+BJ298*BJ159+BK298*BK159+BL298*BL159+BM298*BM159+BN298*BN159+BO298*BO159+BP298*BP159+BQ298*BQ159+BR298*BR159+BS298*BS159+BT298*BT159+BU298*BU159+BV298*BV159+BW298*BW159+BX298*BX159+BY298*BY159+BZ298*BZ159+CA298*CA159+CB298*CB159+CC298*CC159+CD298*CD159+CE298*CE159+CF298*CF159+CG298*CG159+CH298*CH159+CI298*CI159+CJ298*CJ159+CK298*CK159+CL298*CL159+CM298*CM159+CN298*CN159+CO298*CO159+CP298*CP159+CQ298*CQ159+CR298*CR159+CS298*CS159+CT298*CT159+CU298*CU159</f>
        <v>0</v>
      </c>
    </row>
    <row r="160" spans="2:113" ht="18" x14ac:dyDescent="0.25">
      <c r="B160" s="2484">
        <v>7</v>
      </c>
      <c r="C160" s="2398" t="s">
        <v>229</v>
      </c>
      <c r="D160" s="2399" t="s">
        <v>2159</v>
      </c>
      <c r="E160" s="3108">
        <f>(1-Y_OHO_SB_ana-Y_OHO_H2_ana_high)/Y_OHO_SB_ana</f>
        <v>5.5</v>
      </c>
      <c r="F160" s="3107">
        <f>-1/Y_OHO_SB_ana</f>
        <v>-10</v>
      </c>
      <c r="G160" s="3108">
        <f>0</f>
        <v>0</v>
      </c>
      <c r="H160" s="3108">
        <f>0</f>
        <v>0</v>
      </c>
      <c r="I160" s="3108">
        <f>0</f>
        <v>0</v>
      </c>
      <c r="J160" s="3108">
        <f>0</f>
        <v>0</v>
      </c>
      <c r="K160" s="3108">
        <f>0</f>
        <v>0</v>
      </c>
      <c r="L160" s="3108">
        <f>0</f>
        <v>0</v>
      </c>
      <c r="M160" s="3108">
        <f>0</f>
        <v>0</v>
      </c>
      <c r="N160" s="3108">
        <f>0</f>
        <v>0</v>
      </c>
      <c r="O160" s="3108">
        <f>0</f>
        <v>0</v>
      </c>
      <c r="P160" s="3108">
        <f>0</f>
        <v>0</v>
      </c>
      <c r="Q160" s="3108">
        <f>0</f>
        <v>0</v>
      </c>
      <c r="R160" s="3108">
        <f>1</f>
        <v>1</v>
      </c>
      <c r="S160" s="3108">
        <f>0</f>
        <v>0</v>
      </c>
      <c r="T160" s="3108">
        <f>0</f>
        <v>0</v>
      </c>
      <c r="U160" s="3108">
        <f>0</f>
        <v>0</v>
      </c>
      <c r="V160" s="3108">
        <f>0</f>
        <v>0</v>
      </c>
      <c r="W160" s="3108">
        <f>0</f>
        <v>0</v>
      </c>
      <c r="X160" s="3108">
        <f>0</f>
        <v>0</v>
      </c>
      <c r="Y160" s="3108">
        <f>0</f>
        <v>0</v>
      </c>
      <c r="Z160" s="3108">
        <f>0</f>
        <v>0</v>
      </c>
      <c r="AA160" s="3108">
        <f>0</f>
        <v>0</v>
      </c>
      <c r="AB160" s="3108">
        <f>0</f>
        <v>0</v>
      </c>
      <c r="AC160" s="3108">
        <f>0</f>
        <v>0</v>
      </c>
      <c r="AD160" s="3107">
        <f>-i_N_BIO</f>
        <v>-7.0000000000000007E-2</v>
      </c>
      <c r="AE160" s="3108">
        <f>0</f>
        <v>0</v>
      </c>
      <c r="AF160" s="3108">
        <f>0</f>
        <v>0</v>
      </c>
      <c r="AG160" s="3108">
        <f>0</f>
        <v>0</v>
      </c>
      <c r="AH160" s="3108">
        <f>0</f>
        <v>0</v>
      </c>
      <c r="AI160" s="3108">
        <f>0</f>
        <v>0</v>
      </c>
      <c r="AJ160" s="3108">
        <f>0</f>
        <v>0</v>
      </c>
      <c r="AK160" s="3108">
        <f>0</f>
        <v>0</v>
      </c>
      <c r="AL160" s="3107">
        <f>-i_P_BIO</f>
        <v>-0.02</v>
      </c>
      <c r="AM160" s="3108">
        <f>0</f>
        <v>0</v>
      </c>
      <c r="AN160" s="3108">
        <f>0</f>
        <v>0</v>
      </c>
      <c r="AO160" s="3108">
        <f>0</f>
        <v>0</v>
      </c>
      <c r="AP160" s="3108">
        <f>0</f>
        <v>0</v>
      </c>
      <c r="AQ160" s="3108">
        <f>0</f>
        <v>0</v>
      </c>
      <c r="AR160" s="3108">
        <f>0</f>
        <v>0</v>
      </c>
      <c r="AS160" s="3108">
        <f>0</f>
        <v>0</v>
      </c>
      <c r="AT160" s="3108">
        <f>Y_OHO_H2_ana_high/Y_OHO_SB_ana</f>
        <v>3.4999999999999996</v>
      </c>
      <c r="AU160" s="3108">
        <f>(i_CIT_SB-i_CIT_VFA*(1-Y_OHO_SB_ana-Y_OHO_H2_ana_high)-i_CIT_BIO*Y_OHO_SB_ana)/Y_OHO_SB_ana</f>
        <v>0.44549999999999956</v>
      </c>
      <c r="AV160" s="3107">
        <f>i_INORG</f>
        <v>0.11</v>
      </c>
      <c r="AW160" s="3107">
        <f>-i_INORG*(1-i_Ca_INORG*(A_MCa+2*A_MCl)/A_MCa-i_Mg_INORG*(A_MMg+2*A_MCl)/A_MMg)*f_Na</f>
        <v>-2.8804303582798466E-2</v>
      </c>
      <c r="AX160" s="3107">
        <f>-i_INORG*(i_Ca_INORG*(2*A_MCl)/A_MCa+i_Mg_INORG*(2*A_MCl)/A_MMg)-i_INORG*(1-i_Ca_INORG*(A_MCa+2*A_MCl)/A_MCa-i_Mg_INORG*(A_MMg+2*A_MCl)/A_MMg)*(1-f_Na)</f>
        <v>-7.0195696417201539E-2</v>
      </c>
      <c r="AY160" s="3107">
        <f>-i_INORG*i_Ca_INORG</f>
        <v>-5.5000000000000005E-3</v>
      </c>
      <c r="AZ160" s="3107">
        <f>-i_INORG*i_Mg_INORG</f>
        <v>-5.5000000000000005E-3</v>
      </c>
      <c r="BA160" s="3107">
        <f>0</f>
        <v>0</v>
      </c>
      <c r="BB160" s="3107">
        <f>0</f>
        <v>0</v>
      </c>
      <c r="BC160" s="3107">
        <f>-i_S_BIO+1/Y_OHO_SB_ana*i_S_SB</f>
        <v>4.9999999999999992E-3</v>
      </c>
      <c r="BD160" s="3107">
        <f>0</f>
        <v>0</v>
      </c>
      <c r="BE160" s="3107">
        <f>0</f>
        <v>0</v>
      </c>
      <c r="BF160" s="3107">
        <f>0</f>
        <v>0</v>
      </c>
      <c r="BG160" s="3107">
        <f>0</f>
        <v>0</v>
      </c>
      <c r="BH160" s="3107">
        <f>0</f>
        <v>0</v>
      </c>
      <c r="BI160" s="3107">
        <f>0</f>
        <v>0</v>
      </c>
      <c r="BJ160" s="3107">
        <f>0</f>
        <v>0</v>
      </c>
      <c r="BK160" s="3107">
        <f>0</f>
        <v>0</v>
      </c>
      <c r="BL160" s="3107">
        <f>0</f>
        <v>0</v>
      </c>
      <c r="BM160" s="3107">
        <f>0</f>
        <v>0</v>
      </c>
      <c r="BN160" s="3107">
        <f>0</f>
        <v>0</v>
      </c>
      <c r="BO160" s="3107">
        <f>0</f>
        <v>0</v>
      </c>
      <c r="BP160" s="3107">
        <f>0</f>
        <v>0</v>
      </c>
      <c r="BQ160" s="3107">
        <f>0</f>
        <v>0</v>
      </c>
      <c r="BR160" s="3107">
        <f>0</f>
        <v>0</v>
      </c>
      <c r="BS160" s="3107">
        <f>0</f>
        <v>0</v>
      </c>
      <c r="BT160" s="3107">
        <f>0</f>
        <v>0</v>
      </c>
      <c r="BU160" s="3107">
        <f>0</f>
        <v>0</v>
      </c>
      <c r="BV160" s="3107">
        <f>0</f>
        <v>0</v>
      </c>
      <c r="BW160" s="3107">
        <f>0</f>
        <v>0</v>
      </c>
      <c r="BX160" s="3107">
        <f>0</f>
        <v>0</v>
      </c>
      <c r="BY160" s="3107">
        <f>0</f>
        <v>0</v>
      </c>
      <c r="BZ160" s="3186">
        <f>0</f>
        <v>0</v>
      </c>
      <c r="CA160" s="3186">
        <f>0</f>
        <v>0</v>
      </c>
      <c r="CB160" s="3186">
        <f>0</f>
        <v>0</v>
      </c>
      <c r="CC160" s="3186">
        <f>0</f>
        <v>0</v>
      </c>
      <c r="CD160" s="3107">
        <f>0</f>
        <v>0</v>
      </c>
      <c r="CE160" s="3107">
        <f>0</f>
        <v>0</v>
      </c>
      <c r="CF160" s="3107">
        <f>0</f>
        <v>0</v>
      </c>
      <c r="CG160" s="3107">
        <f>0</f>
        <v>0</v>
      </c>
      <c r="CH160" s="3107">
        <f>0</f>
        <v>0</v>
      </c>
      <c r="CI160" s="3107">
        <f>0</f>
        <v>0</v>
      </c>
      <c r="CJ160" s="3107">
        <f>0</f>
        <v>0</v>
      </c>
      <c r="CK160" s="3107">
        <f>0</f>
        <v>0</v>
      </c>
      <c r="CL160" s="3107">
        <f>0</f>
        <v>0</v>
      </c>
      <c r="CM160" s="3107">
        <f>0</f>
        <v>0</v>
      </c>
      <c r="CN160" s="3107">
        <f>0</f>
        <v>0</v>
      </c>
      <c r="CO160" s="3107">
        <f>0</f>
        <v>0</v>
      </c>
      <c r="CP160" s="3107">
        <f>0</f>
        <v>0</v>
      </c>
      <c r="CQ160" s="3107">
        <f>0</f>
        <v>0</v>
      </c>
      <c r="CR160" s="3107">
        <f>0</f>
        <v>0</v>
      </c>
      <c r="CS160" s="3107">
        <f>0</f>
        <v>0</v>
      </c>
      <c r="CT160" s="3107">
        <f>0</f>
        <v>0</v>
      </c>
      <c r="CU160" s="3107">
        <f>0</f>
        <v>0</v>
      </c>
      <c r="CV160" s="3220">
        <f>µ_FERM_OHO_T*X_OHO*L_ogsatSVFA_KVFA_FERM*M_satSB_KSB_ana*M_inhSO2_KO2_OHO*M_inhSNO2_KNO2_OHO*M_inhSNO3_KNO3_OHO*M_satSNHx_KNHx_BIO*M_satSPO4_KPO4_BIO*M_satSCAT_KCAT*M_satSAN_KAN*M_satSCa_KCa*M_satSMg_KMg*M_satSSO4_KSO4_BIO*B_ellinhpH</f>
        <v>5.1401378415675668E-218</v>
      </c>
      <c r="CX160" s="2838">
        <f>E287*E160+F287*F160+G287*G160+H287*H160+I287*I160+J287*J160+K287*K160+L287*L160+M287*M160+N287*N160+O287*O160+P287*P160+Q287*Q160+R287*R160+S287*S160+T287*T160+U287*U160+V287*V160+W287*W160+X287*X160+Y287*Y160+Z287*Z160+AA287*AA160+AB287*AB160+AC287*AC160+AD287*AD160+AE287*AE160+AF287*AF160+AG287*AG160+AH287*AH160+AI287*AI160+AJ287*AJ160+AK287*AK160+AL287*AL160+AM287*AM160+AN287*AN160+AO287*AO160+AP287*AP160+AQ287*AQ160+AR287*AR160+AS287*AS160+AT287*AT160+AU287*AU160+AV287*AV160+AW287*AW160+AX287*AX160+AY287*AY160+AZ287*AZ160+BA287*BA160+BB287*BB160+BC287*BC160+BD287*BD160+BE287*BE160+BF287*BF160+BG287*BG160+BH287*BH160+BI287*BI160+BJ287*BJ160+BK287*BK160+BL287*BL160+BM287*BM160+BN287*BN160+BO287*BO160+BP287*BP160+BQ287*BQ160+BR287*BR160+BS287*BS160+BT287*BT160+BU287*BU160+BV287*BV160+BW287*BW160+BX287*BX160+BY287*BY160+BZ287*BZ160+CA287*CA160+CB287*CB160+CC287*CC160+CD287*CD160+CE287*CE160+CF287*CF160+CG287*CG160+CH287*CH160+CI287*CI160+CJ287*CJ160+CK287*CK160+CL287*CL160+CM287*CM160+CN287*CN160+CO287*CO160+CP287*CP160+CQ287*CQ160+CR287*CR160+CS287*CS160+CT287*CT160+CU287*CU160</f>
        <v>-4.4408920985006262E-16</v>
      </c>
      <c r="CY160" s="2838">
        <f>E288*E160+F288*F160+G288*G160+H288*H160+I288*I160+J288*J160+K288*K160+L288*L160+M288*M160+N288*N160+O288*O160+P288*P160+Q288*Q160+R288*R160+S288*S160+T288*T160+U288*U160+V288*V160+W288*W160+X288*X160+Y288*Y160+Z288*Z160+AA288*AA160+AB288*AB160+AC288*AC160+AD288*AD160+AE288*AE160+AF288*AF160+AG288*AG160+AH288*AH160+AI288*AI160+AJ288*AJ160+AK288*AK160+AL288*AL160+AM288*AM160+AN288*AN160+AO288*AO160+AP288*AP160+AQ288*AQ160+AR288*AR160+AS288*AS160+AT288*AT160+AU288*AU160+AV288*AV160+AW288*AW160+AX288*AX160+AY288*AY160+AZ288*AZ160+BA288*BA160+BB288*BB160+BC288*BC160+BD288*BD160+BE288*BE160+BF288*BF160+BG288*BG160+BH288*BH160+BI288*BI160+BJ288*BJ160+BK288*BK160+BL288*BL160+BM288*BM160+BN288*BN160+BO288*BO160+BP288*BP160+BQ288*BQ160+BR288*BR160+BS288*BS160+BT288*BT160+BU288*BU160+BV288*BV160+BW288*BW160+BX288*BX160+BY288*BY160+BZ288*BZ160+CA288*CA160+CB288*CB160+CC288*CC160+CD288*CD160+CE288*CE160+CF288*CF160+CG288*CG160+CH288*CH160+CI288*CI160+CJ288*CJ160+CK288*CK160+CL288*CL160+CM288*CM160+CN288*CN160+CO288*CO160+CP288*CP160+CQ288*CQ160+CR288*CR160+CS288*CS160+CT288*CT160+CU288*CU160</f>
        <v>-3.3306690738754696E-16</v>
      </c>
      <c r="CZ160" s="2839">
        <f>E289*E160+F289*F160+G289*G160+H289*H160+I289*I160+J289*J160+K289*K160+L289*L160+M289*M160+N289*N160+O289*O160+P289*P160+Q289*Q160+R289*R160+S289*S160+T289*T160+U289*U160+V289*V160+W289*W160+X289*X160+Y289*Y160+Z289*Z160+AA289*AA160+AB289*AB160+AC289*AC160+AD289*AD160+AE289*AE160+AF289*AF160+AG289*AG160+AH289*AH160+AI289*AI160+AJ289*AJ160+AK289*AK160+AL289*AL160+AM289*AM160+AN289*AN160+AO289*AO160+AP289*AP160+AQ289*AQ160+AR289*AR160+AS289*AS160+AT289*AT160+AU289*AU160+AV289*AV160+AW289*AW160+AX289*AX160+AY289*AY160+AZ289*AZ160+BA289*BA160+BB289*BB160+BC289*BC160+BD289*BD160+BE289*BE160+BF289*BF160+BG289*BG160+BH289*BH160+BI289*BI160+BJ289*BJ160+BK289*BK160+BL289*BL160+BM289*BM160+BN289*BN160+BO289*BO160+BP289*BP160+BQ289*BQ160+BR289*BR160+BS289*BS160+BT289*BT160+BU289*BU160+BV289*BV160+BW289*BW160+BX289*BX160+BY289*BY160+BZ289*BZ160+CA289*CA160+CB289*CB160+CC289*CC160+CD289*CD160+CE289*CE160+CF289*CF160+CG289*CG160+CH289*CH160+CI289*CI160+CJ289*CJ160+CK289*CK160+CL289*CL160+CM289*CM160+CN289*CN160+CO289*CO160+CP289*CP160+CQ289*CQ160+CR289*CR160+CS289*CS160+CT289*CT160+CU289*CU160</f>
        <v>0</v>
      </c>
      <c r="DA160" s="2840">
        <f>E290*E160+F290*F160+G290*G160+H290*H160+I290*I160+J290*J160+K290*K160+L290*L160+M290*M160+N290*N160+O290*O160+P290*P160+Q290*Q160+R290*R160+S290*S160+T290*T160+U290*U160+V290*V160+W290*W160+X290*X160+Y290*Y160+Z290*Z160+AA290*AA160+AB290*AB160+AC290*AC160+AD290*AD160+AE290*AE160+AF290*AF160+AG290*AG160+AH290*AH160+AI290*AI160+AJ290*AJ160+AK290*AK160+AL290*AL160+AM290*AM160+AN290*AN160+AO290*AO160+AP290*AP160+AQ290*AQ160+AR290*AR160+AS290*AS160+AT290*AT160+AU290*AU160+AV290*AV160+AW290*AW160+AX290*AX160+AY290*AY160+AZ290*AZ160+BA290*BA160+BB290*BB160+BC290*BC160+BD290*BD160+BE290*BE160+BF290*BF160+BG290*BG160+BH290*BH160+BI290*BI160+BJ290*BJ160+BK290*BK160+BL290*BL160+BM290*BM160+BN290*BN160+BO290*BO160+BP290*BP160+BQ290*BQ160+BR290*BR160+BS290*BS160+BT290*BT160+BU290*BU160+BV290*BV160+BW290*BW160+BX290*BX160+BY290*BY160+BZ290*BZ160+CA290*CA160+CB290*CB160+CC290*CC160+CD290*CD160+CE290*CE160+CF290*CF160+CG290*CG160+CH290*CH160+CI290*CI160+CJ290*CJ160+CK290*CK160+CL290*CL160+CM290*CM160+CN290*CN160+CO290*CO160+CP290*CP160+CQ290*CQ160+CR290*CR160+CS290*CS160+CT290*CT160+CU290*CU160</f>
        <v>0</v>
      </c>
      <c r="DB160" s="2840">
        <f>E291*E160+F291*F160+G291*G160+H291*H160+I291*I160+J291*J160+K291*K160+L291*L160+M291*M160+N291*N160+O291*O160+P291*P160+Q291*Q160+R291*R160+S291*S160+T291*T160+U291*U160+V291*V160+W291*W160+X291*X160+Y291*Y160+Z291*Z160+AA291*AA160+AB291*AB160+AC291*AC160+AD291*AD160+AE291*AE160+AF291*AF160+AG291*AG160+AH291*AH160+AI291*AI160+AJ291*AJ160+AK291*AK160+AL291*AL160+AM291*AM160+AN291*AN160+AO291*AO160+AP291*AP160+AQ291*AQ160+AR291*AR160+AS291*AS160+AT291*AT160+AU291*AU160+AV291*AV160+AW291*AW160+AX291*AX160+AY291*AY160+AZ291*AZ160+BA291*BA160+BB291*BB160+BC291*BC160+BD291*BD160+BE291*BE160+BF291*BF160+BG291*BG160+BH291*BH160+BI291*BI160+BJ291*BJ160+BK291*BK160+BL291*BL160+BM291*BM160+BN291*BN160+BO291*BO160+BP291*BP160+BQ291*BQ160+BR291*BR160+BS291*BS160+BT291*BT160+BU291*BU160+BV291*BV160+BW291*BW160+BX291*BX160+BY291*BY160+BZ291*BZ160+CA291*CA160+CB291*CB160+CC291*CC160+CD291*CD160+CE291*CE160+CF291*CF160+CG291*CG160+CH291*CH160+CI291*CI160+CJ291*CJ160+CK291*CK160+CL291*CL160+CM291*CM160+CN291*CN160+CO291*CO160+CP291*CP160+CQ291*CQ160+CR291*CR160+CS291*CS160+CT291*CT160+CU291*CU160</f>
        <v>0</v>
      </c>
      <c r="DC160" s="2840">
        <f>E292*E160+F292*F160+G292*G160+H292*H160+I292*I160+J292*J160+K292*K160+L292*L160+M292*M160+N292*N160+O292*O160+P292*P160+Q292*Q160+R292*R160+S292*S160+T292*T160+U292*U160+V292*V160+W292*W160+X292*X160+Y292*Y160+Z292*Z160+AA292*AA160+AB292*AB160+AC292*AC160+AD292*AD160+AE292*AE160+AF292*AF160+AG292*AG160+AH292*AH160+AI292*AI160+AJ292*AJ160+AK292*AK160+AL292*AL160+AM292*AM160+AN292*AN160+AO292*AO160+AP292*AP160+AQ292*AQ160+AR292*AR160+AS292*AS160+AT292*AT160+AU292*AU160+AV292*AV160+AW292*AW160+AX292*AX160+AY292*AY160+AZ292*AZ160+BA292*BA160+BB292*BB160+BC292*BC160+BD292*BD160+BE292*BE160+BF292*BF160+BG292*BG160+BH292*BH160+BI292*BI160+BJ292*BJ160+BK292*BK160+BL292*BL160+BM292*BM160+BN292*BN160+BO292*BO160+BP292*BP160+BQ292*BQ160+BR292*BR160+BS292*BS160+BT292*BT160+BU292*BU160+BV292*BV160+BW292*BW160+BX292*BX160+BY292*BY160+BZ292*BZ160+CA292*CA160+CB292*CB160+CC292*CC160+CD292*CD160+CE292*CE160+CF292*CF160+CG292*CG160+CH292*CH160+CI292*CI160+CJ292*CJ160+CK292*CK160+CL292*CL160+CM292*CM160+CN292*CN160+CO292*CO160+CP292*CP160+CQ292*CQ160+CR292*CR160+CS292*CS160+CT292*CT160+CU292*CU160</f>
        <v>0</v>
      </c>
      <c r="DD160" s="2840">
        <f>E293*E160+F293*F160+G293*G160+H293*H160+I293*I160+J293*J160+K293*K160+L293*L160+M293*M160+N293*N160+O293*O160+P293*P160+Q293*Q160+R293*R160+S293*S160+T293*T160+U293*U160+V293*V160+W293*W160+X293*X160+Y293*Y160+Z293*Z160+AA293*AA160+AB293*AB160+AC293*AC160+AD293*AD160+AE293*AE160+AF293*AF160+AG293*AG160+AH293*AH160+AI293*AI160+AJ293*AJ160+AK293*AK160+AL293*AL160+AM293*AM160+AN293*AN160+AO293*AO160+AP293*AP160+AQ293*AQ160+AR293*AR160+AS293*AS160+AT293*AT160+AU293*AU160+AV293*AV160+AW293*AW160+AX293*AX160+AY293*AY160+AZ293*AZ160+BA293*BA160+BB293*BB160+BC293*BC160+BD293*BD160+BE293*BE160+BF293*BF160+BG293*BG160+BH293*BH160+BI293*BI160+BJ293*BJ160+BK293*BK160+BL293*BL160+BM293*BM160+BN293*BN160+BO293*BO160+BP293*BP160+BQ293*BQ160+BR293*BR160+BS293*BS160+BT293*BT160+BU293*BU160+BV293*BV160+BW293*BW160+BX293*BX160+BY293*BY160+BZ293*BZ160+CA293*CA160+CB293*CB160+CC293*CC160+CD293*CD160+CE293*CE160+CF293*CF160+CG293*CG160+CH293*CH160+CI293*CI160+CJ293*CJ160+CK293*CK160+CL293*CL160+CM293*CM160+CN293*CN160+CO293*CO160+CP293*CP160+CQ293*CQ160+CR293*CR160+CS293*CS160+CT293*CT160+CU293*CU160</f>
        <v>0</v>
      </c>
      <c r="DE160" s="2840">
        <f>E294*E160+F294*F160+G294*G160+H294*H160+I294*I160+J294*J160+K294*K160+L294*L160+M294*M160+N294*N160+O294*O160+P294*P160+Q294*Q160+R294*R160+S294*S160+T294*T160+U294*U160+V294*V160+W294*W160+X294*X160+Y294*Y160+Z294*Z160+AA294*AA160+AB294*AB160+AC294*AC160+AD294*AD160+AE294*AE160+AF294*AF160+AG294*AG160+AH294*AH160+AI294*AI160+AJ294*AJ160+AK294*AK160+AL294*AL160+AM294*AM160+AN294*AN160+AO294*AO160+AP294*AP160+AQ294*AQ160+AR294*AR160+AS294*AS160+AT294*AT160+AU294*AU160+AV294*AV160+AW294*AW160+AX294*AX160+AY294*AY160+AZ294*AZ160+BA294*BA160+BB294*BB160+BC294*BC160+BD294*BD160+BE294*BE160+BF294*BF160+BG294*BG160+BH294*BH160+BI294*BI160+BJ294*BJ160+BK294*BK160+BL294*BL160+BM294*BM160+BN294*BN160+BO294*BO160+BP294*BP160+BQ294*BQ160+BR294*BR160+BS294*BS160+BT294*BT160+BU294*BU160+BV294*BV160+BW294*BW160+BX294*BX160+BY294*BY160+BZ294*BZ160+CA294*CA160+CB294*CB160+CC294*CC160+CD294*CD160+CE294*CE160+CF294*CF160+CG294*CG160+CH294*CH160+CI294*CI160+CJ294*CJ160+CK294*CK160+CL294*CL160+CM294*CM160+CN294*CN160+CO294*CO160+CP294*CP160+CQ294*CQ160+CR294*CR160+CS294*CS160+CT294*CT160+CU294*CU160</f>
        <v>0</v>
      </c>
      <c r="DF160" s="2840">
        <f>E295*E160+F295*F160+G295*G160+H295*H160+I295*I160+J295*J160+K295*K160+L295*L160+M295*M160+N295*N160+O295*O160+P295*P160+Q295*Q160+R295*R160+S295*S160+T295*T160+U295*U160+V295*V160+W295*W160+X295*X160+Y295*Y160+Z295*Z160+AA295*AA160+AB295*AB160+AC295*AC160+AD295*AD160+AE295*AE160+AF295*AF160+AG295*AG160+AH295*AH160+AI295*AI160+AJ295*AJ160+AK295*AK160+AL295*AL160+AM295*AM160+AN295*AN160+AO295*AO160+AP295*AP160+AQ295*AQ160+AR295*AR160+AS295*AS160+AT295*AT160+AU295*AU160+AV295*AV160+AW295*AW160+AX295*AX160+AY295*AY160+AZ295*AZ160+BA295*BA160+BB295*BB160+BC295*BC160+BD295*BD160+BE295*BE160+BF295*BF160+BG295*BG160+BH295*BH160+BI295*BI160+BJ295*BJ160+BK295*BK160+BL295*BL160+BM295*BM160+BN295*BN160+BO295*BO160+BP295*BP160+BQ295*BQ160+BR295*BR160+BS295*BS160+BT295*BT160+BU295*BU160+BV295*BV160+BW295*BW160+BX295*BX160+BY295*BY160+BZ295*BZ160+CA295*CA160+CB295*CB160+CC295*CC160+CD295*CD160+CE295*CE160+CF295*CF160+CG295*CG160+CH295*CH160+CI295*CI160+CJ295*CJ160+CK295*CK160+CL295*CL160+CM295*CM160+CN295*CN160+CO295*CO160+CP295*CP160+CQ295*CQ160+CR295*CR160+CS295*CS160+CT295*CT160+CU295*CU160</f>
        <v>0</v>
      </c>
      <c r="DG160" s="2840">
        <f>E296*E160+F296*F160+G296*G160+H296*H160+I296*I160+J296*J160+K296*K160+L296*L160+M296*M160+N296*N160+O296*O160+P296*P160+Q296*Q160+R296*R160+S296*S160+T296*T160+U296*U160+V296*V160+W296*W160+X296*X160+Y296*Y160+Z296*Z160+AA296*AA160+AB296*AB160+AC296*AC160+AD296*AD160+AE296*AE160+AF296*AF160+AG296*AG160+AH296*AH160+AI296*AI160+AJ296*AJ160+AK296*AK160+AL296*AL160+AM296*AM160+AN296*AN160+AO296*AO160+AP296*AP160+AQ296*AQ160+AR296*AR160+AS296*AS160+AT296*AT160+AU296*AU160+AV296*AV160+AW296*AW160+AX296*AX160+AY296*AY160+AZ296*AZ160+BA296*BA160+BB296*BB160+BC296*BC160+BD296*BD160+BE296*BE160+BF296*BF160+BG296*BG160+BH296*BH160+BI296*BI160+BJ296*BJ160+BK296*BK160+BL296*BL160+BM296*BM160+BN296*BN160+BO296*BO160+BP296*BP160+BQ296*BQ160+BR296*BR160+BS296*BS160+BT296*BT160+BU296*BU160+BV296*BV160+BW296*BW160+BX296*BX160+BY296*BY160+BZ296*BZ160+CA296*CA160+CB296*CB160+CC296*CC160+CD296*CD160+CE296*CE160+CF296*CF160+CG296*CG160+CH296*CH160+CI296*CI160+CJ296*CJ160+CK296*CK160+CL296*CL160+CM296*CM160+CN296*CN160+CO296*CO160+CP296*CP160+CQ296*CQ160+CR296*CR160+CS296*CS160+CT296*CT160+CU296*CU160</f>
        <v>0</v>
      </c>
      <c r="DH160" s="2840">
        <f>E297*E160+F297*F160+G297*G160+H297*H160+I297*I160+J297*J160+K297*K160+L297*L160+M297*M160+N297*N160+O297*O160+P297*P160+Q297*Q160+R297*R160+S297*S160+T297*T160+U297*U160+V297*V160+W297*W160+X297*X160+Y297*Y160+Z297*Z160+AA297*AA160+AB297*AB160+AC297*AC160+AD297*AD160+AE297*AE160+AF297*AF160+AG297*AG160+AH297*AH160+AI297*AI160+AJ297*AJ160+AK297*AK160+AL297*AL160+AM297*AM160+AN297*AN160+AO297*AO160+AP297*AP160+AQ297*AQ160+AR297*AR160+AS297*AS160+AT297*AT160+AU297*AU160+AV297*AV160+AW297*AW160+AX297*AX160+AY297*AY160+AZ297*AZ160+BA297*BA160+BB297*BB160+BC297*BC160+BD297*BD160+BE297*BE160+BF297*BF160+BG297*BG160+BH297*BH160+BI297*BI160+BJ297*BJ160+BK297*BK160+BL297*BL160+BM297*BM160+BN297*BN160+BO297*BO160+BP297*BP160+BQ297*BQ160+BR297*BR160+BS297*BS160+BT297*BT160+BU297*BU160+BV297*BV160+BW297*BW160+BX297*BX160+BY297*BY160+BZ297*BZ160+CA297*CA160+CB297*CB160+CC297*CC160+CD297*CD160+CE297*CE160+CF297*CF160+CG297*CG160+CH297*CH160+CI297*CI160+CJ297*CJ160+CK297*CK160+CL297*CL160+CM297*CM160+CN297*CN160+CO297*CO160+CP297*CP160+CQ297*CQ160+CR297*CR160+CS297*CS160+CT297*CT160+CU297*CU160</f>
        <v>0</v>
      </c>
      <c r="DI160" s="2840">
        <f>E298*E160+F298*F160+G298*G160+H298*H160+I298*I160+J298*J160+K298*K160+L298*L160+M298*M160+N298*N160+O298*O160+P298*P160+Q298*Q160+R298*R160+S298*S160+T298*T160+U298*U160+V298*V160+W298*W160+X298*X160+Y298*Y160+Z298*Z160+AA298*AA160+AB298*AB160+AC298*AC160+AD298*AD160+AE298*AE160+AF298*AF160+AG298*AG160+AH298*AH160+AI298*AI160+AJ298*AJ160+AK298*AK160+AL298*AL160+AM298*AM160+AN298*AN160+AO298*AO160+AP298*AP160+AQ298*AQ160+AR298*AR160+AS298*AS160+AT298*AT160+AU298*AU160+AV298*AV160+AW298*AW160+AX298*AX160+AY298*AY160+AZ298*AZ160+BA298*BA160+BB298*BB160+BC298*BC160+BD298*BD160+BE298*BE160+BF298*BF160+BG298*BG160+BH298*BH160+BI298*BI160+BJ298*BJ160+BK298*BK160+BL298*BL160+BM298*BM160+BN298*BN160+BO298*BO160+BP298*BP160+BQ298*BQ160+BR298*BR160+BS298*BS160+BT298*BT160+BU298*BU160+BV298*BV160+BW298*BW160+BX298*BX160+BY298*BY160+BZ298*BZ160+CA298*CA160+CB298*CB160+CC298*CC160+CD298*CD160+CE298*CE160+CF298*CF160+CG298*CG160+CH298*CH160+CI298*CI160+CJ298*CJ160+CK298*CK160+CL298*CL160+CM298*CM160+CN298*CN160+CO298*CO160+CP298*CP160+CQ298*CQ160+CR298*CR160+CS298*CS160+CT298*CT160+CU298*CU160</f>
        <v>0</v>
      </c>
    </row>
    <row r="161" spans="2:113" ht="18" x14ac:dyDescent="0.25">
      <c r="B161" s="2484">
        <v>8</v>
      </c>
      <c r="C161" s="2398" t="s">
        <v>230</v>
      </c>
      <c r="D161" s="2399" t="s">
        <v>2875</v>
      </c>
      <c r="E161" s="3108">
        <f>(1-Y_OHO_SB_ana-Y_OHO_H2_ana_low)/Y_OHO_SB_ana</f>
        <v>8</v>
      </c>
      <c r="F161" s="3107">
        <f>-1/Y_OHO_SB_ana</f>
        <v>-10</v>
      </c>
      <c r="G161" s="3108">
        <f>0</f>
        <v>0</v>
      </c>
      <c r="H161" s="3108">
        <f>0</f>
        <v>0</v>
      </c>
      <c r="I161" s="3108">
        <f>0</f>
        <v>0</v>
      </c>
      <c r="J161" s="3108">
        <f>0</f>
        <v>0</v>
      </c>
      <c r="K161" s="3108">
        <f>0</f>
        <v>0</v>
      </c>
      <c r="L161" s="3108">
        <f>0</f>
        <v>0</v>
      </c>
      <c r="M161" s="3108">
        <f>0</f>
        <v>0</v>
      </c>
      <c r="N161" s="3108">
        <f>0</f>
        <v>0</v>
      </c>
      <c r="O161" s="3108">
        <f>0</f>
        <v>0</v>
      </c>
      <c r="P161" s="3108">
        <f>0</f>
        <v>0</v>
      </c>
      <c r="Q161" s="3108">
        <f>0</f>
        <v>0</v>
      </c>
      <c r="R161" s="3108">
        <f>1</f>
        <v>1</v>
      </c>
      <c r="S161" s="3108">
        <f>0</f>
        <v>0</v>
      </c>
      <c r="T161" s="3108">
        <f>0</f>
        <v>0</v>
      </c>
      <c r="U161" s="3108">
        <f>0</f>
        <v>0</v>
      </c>
      <c r="V161" s="3108">
        <f>0</f>
        <v>0</v>
      </c>
      <c r="W161" s="3108">
        <f>0</f>
        <v>0</v>
      </c>
      <c r="X161" s="3108">
        <f>0</f>
        <v>0</v>
      </c>
      <c r="Y161" s="3108">
        <f>0</f>
        <v>0</v>
      </c>
      <c r="Z161" s="3108">
        <f>0</f>
        <v>0</v>
      </c>
      <c r="AA161" s="3108">
        <f>0</f>
        <v>0</v>
      </c>
      <c r="AB161" s="3108">
        <f>0</f>
        <v>0</v>
      </c>
      <c r="AC161" s="3108">
        <f>0</f>
        <v>0</v>
      </c>
      <c r="AD161" s="3107">
        <f>-i_N_BIO</f>
        <v>-7.0000000000000007E-2</v>
      </c>
      <c r="AE161" s="3108">
        <f>0</f>
        <v>0</v>
      </c>
      <c r="AF161" s="3108">
        <f>0</f>
        <v>0</v>
      </c>
      <c r="AG161" s="3108">
        <f>0</f>
        <v>0</v>
      </c>
      <c r="AH161" s="3108">
        <f>0</f>
        <v>0</v>
      </c>
      <c r="AI161" s="3108">
        <f>0</f>
        <v>0</v>
      </c>
      <c r="AJ161" s="3108">
        <f>0</f>
        <v>0</v>
      </c>
      <c r="AK161" s="3108">
        <f>0</f>
        <v>0</v>
      </c>
      <c r="AL161" s="3107">
        <f>-i_P_BIO</f>
        <v>-0.02</v>
      </c>
      <c r="AM161" s="3108">
        <f>0</f>
        <v>0</v>
      </c>
      <c r="AN161" s="3108">
        <f>0</f>
        <v>0</v>
      </c>
      <c r="AO161" s="3108">
        <f>0</f>
        <v>0</v>
      </c>
      <c r="AP161" s="3108">
        <f>0</f>
        <v>0</v>
      </c>
      <c r="AQ161" s="3108">
        <f>0</f>
        <v>0</v>
      </c>
      <c r="AR161" s="3108">
        <f>0</f>
        <v>0</v>
      </c>
      <c r="AS161" s="3108">
        <f>0</f>
        <v>0</v>
      </c>
      <c r="AT161" s="3108">
        <f>Y_OHO_H2_ana_low/Y_OHO_SB_ana</f>
        <v>1</v>
      </c>
      <c r="AU161" s="3108">
        <f>(i_CIT_SB-i_CIT_VFA*(1-Y_OHO_SB_ana-Y_OHO_H2_ana_low)-i_CIT_BIO*Y_OHO_SB_ana)/Y_OHO_SB_ana</f>
        <v>-0.49200000000000066</v>
      </c>
      <c r="AV161" s="3107">
        <f>i_INORG</f>
        <v>0.11</v>
      </c>
      <c r="AW161" s="3107">
        <f>-i_INORG*(1-i_Ca_INORG*(A_MCa+2*A_MCl)/A_MCa-i_Mg_INORG*(A_MMg+2*A_MCl)/A_MMg)*f_Na</f>
        <v>-2.8804303582798466E-2</v>
      </c>
      <c r="AX161" s="3107">
        <f>-i_INORG*(i_Ca_INORG*(2*A_MCl)/A_MCa+i_Mg_INORG*(2*A_MCl)/A_MMg)-i_INORG*(1-i_Ca_INORG*(A_MCa+2*A_MCl)/A_MCa-i_Mg_INORG*(A_MMg+2*A_MCl)/A_MMg)*(1-f_Na)</f>
        <v>-7.0195696417201539E-2</v>
      </c>
      <c r="AY161" s="3107">
        <f>-i_INORG*i_Ca_INORG</f>
        <v>-5.5000000000000005E-3</v>
      </c>
      <c r="AZ161" s="3107">
        <f>-i_INORG*i_Mg_INORG</f>
        <v>-5.5000000000000005E-3</v>
      </c>
      <c r="BA161" s="3107">
        <f>0</f>
        <v>0</v>
      </c>
      <c r="BB161" s="3107">
        <f>0</f>
        <v>0</v>
      </c>
      <c r="BC161" s="3107">
        <f>-i_S_BIO+1/Y_OHO_SB_ana*i_S_SB</f>
        <v>4.9999999999999992E-3</v>
      </c>
      <c r="BD161" s="3107">
        <f>0</f>
        <v>0</v>
      </c>
      <c r="BE161" s="3107">
        <f>0</f>
        <v>0</v>
      </c>
      <c r="BF161" s="3107">
        <f>0</f>
        <v>0</v>
      </c>
      <c r="BG161" s="3107">
        <f>0</f>
        <v>0</v>
      </c>
      <c r="BH161" s="3107">
        <f>0</f>
        <v>0</v>
      </c>
      <c r="BI161" s="3107">
        <f>0</f>
        <v>0</v>
      </c>
      <c r="BJ161" s="3107">
        <f>0</f>
        <v>0</v>
      </c>
      <c r="BK161" s="3107">
        <f>0</f>
        <v>0</v>
      </c>
      <c r="BL161" s="3107">
        <f>0</f>
        <v>0</v>
      </c>
      <c r="BM161" s="3107">
        <f>0</f>
        <v>0</v>
      </c>
      <c r="BN161" s="3107">
        <f>0</f>
        <v>0</v>
      </c>
      <c r="BO161" s="3107">
        <f>0</f>
        <v>0</v>
      </c>
      <c r="BP161" s="3107">
        <f>0</f>
        <v>0</v>
      </c>
      <c r="BQ161" s="3107">
        <f>0</f>
        <v>0</v>
      </c>
      <c r="BR161" s="3107">
        <f>0</f>
        <v>0</v>
      </c>
      <c r="BS161" s="3107">
        <f>0</f>
        <v>0</v>
      </c>
      <c r="BT161" s="3107">
        <f>0</f>
        <v>0</v>
      </c>
      <c r="BU161" s="3107">
        <f>0</f>
        <v>0</v>
      </c>
      <c r="BV161" s="3107">
        <f>0</f>
        <v>0</v>
      </c>
      <c r="BW161" s="3107">
        <f>0</f>
        <v>0</v>
      </c>
      <c r="BX161" s="3107">
        <f>0</f>
        <v>0</v>
      </c>
      <c r="BY161" s="3107">
        <f>0</f>
        <v>0</v>
      </c>
      <c r="BZ161" s="3186">
        <f>0</f>
        <v>0</v>
      </c>
      <c r="CA161" s="3186">
        <f>0</f>
        <v>0</v>
      </c>
      <c r="CB161" s="3186">
        <f>0</f>
        <v>0</v>
      </c>
      <c r="CC161" s="3186">
        <f>0</f>
        <v>0</v>
      </c>
      <c r="CD161" s="3107">
        <f>0</f>
        <v>0</v>
      </c>
      <c r="CE161" s="3107">
        <f>0</f>
        <v>0</v>
      </c>
      <c r="CF161" s="3107">
        <f>0</f>
        <v>0</v>
      </c>
      <c r="CG161" s="3107">
        <f>0</f>
        <v>0</v>
      </c>
      <c r="CH161" s="3107">
        <f>0</f>
        <v>0</v>
      </c>
      <c r="CI161" s="3107">
        <f>0</f>
        <v>0</v>
      </c>
      <c r="CJ161" s="3107">
        <f>0</f>
        <v>0</v>
      </c>
      <c r="CK161" s="3107">
        <f>0</f>
        <v>0</v>
      </c>
      <c r="CL161" s="3107">
        <f>0</f>
        <v>0</v>
      </c>
      <c r="CM161" s="3107">
        <f>0</f>
        <v>0</v>
      </c>
      <c r="CN161" s="3107">
        <f>0</f>
        <v>0</v>
      </c>
      <c r="CO161" s="3107">
        <f>0</f>
        <v>0</v>
      </c>
      <c r="CP161" s="3107">
        <f>0</f>
        <v>0</v>
      </c>
      <c r="CQ161" s="3107">
        <f>0</f>
        <v>0</v>
      </c>
      <c r="CR161" s="3107">
        <f>0</f>
        <v>0</v>
      </c>
      <c r="CS161" s="3107">
        <f>0</f>
        <v>0</v>
      </c>
      <c r="CT161" s="3107">
        <f>0</f>
        <v>0</v>
      </c>
      <c r="CU161" s="3107">
        <f>0</f>
        <v>0</v>
      </c>
      <c r="CV161" s="3220">
        <f>µ_FERM_OHO_T*X_OHO*L_oginhSVFA_KVFA_FERM*M_satSB_KSB_ana*M_inhSO2_KO2_OHO*M_inhSNO2_KNO2_OHO*M_inhSNO3_KNO3_OHO*M_satSNHx_KNHx_BIO*M_satSPO4_KPO4_BIO*M_satSCAT_KCAT*M_satSAN_KAN*M_satSCa_KCa*M_satSMg_KMg*M_satSCO2_KCO2_BIO*M_satSSO4_KSO4_BIO*B_ellinhpH</f>
        <v>0.11298570516102488</v>
      </c>
      <c r="CX161" s="2838">
        <f>E287*E161+F287*F161+G287*G161+H287*H161+I287*I161+J287*J161+K287*K161+L287*L161+M287*M161+N287*N161+O287*O161+P287*P161+Q287*Q161+R287*R161+S287*S161+T287*T161+U287*U161+V287*V161+W287*W161+X287*X161+Y287*Y161+Z287*Z161+AA287*AA161+AB287*AB161+AC287*AC161+AD287*AD161+AE287*AE161+AF287*AF161+AG287*AG161+AH287*AH161+AI287*AI161+AJ287*AJ161+AK287*AK161+AL287*AL161+AM287*AM161+AN287*AN161+AO287*AO161+AP287*AP161+AQ287*AQ161+AR287*AR161+AS287*AS161+AT287*AT161+AU287*AU161+AV287*AV161+AW287*AW161+AX287*AX161+AY287*AY161+AZ287*AZ161+BA287*BA161+BB287*BB161+BC287*BC161+BD287*BD161+BE287*BE161+BF287*BF161+BG287*BG161+BH287*BH161+BI287*BI161+BJ287*BJ161+BK287*BK161+BL287*BL161+BM287*BM161+BN287*BN161+BO287*BO161+BP287*BP161+BQ287*BQ161+BR287*BR161+BS287*BS161+BT287*BT161+BU287*BU161+BV287*BV161+BW287*BW161+BX287*BX161+BY287*BY161+BZ287*BZ161+CA287*CA161+CB287*CB161+CC287*CC161+CD287*CD161+CE287*CE161+CF287*CF161+CG287*CG161+CH287*CH161+CI287*CI161+CJ287*CJ161+CK287*CK161+CL287*CL161+CM287*CM161+CN287*CN161+CO287*CO161+CP287*CP161+CQ287*CQ161+CR287*CR161+CS287*CS161+CT287*CT161+CU287*CU161</f>
        <v>0</v>
      </c>
      <c r="CY161" s="2838">
        <f>E288*E161+F288*F161+G288*G161+H288*H161+I288*I161+J288*J161+K288*K161+L288*L161+M288*M161+N288*N161+O288*O161+P288*P161+Q288*Q161+R288*R161+S288*S161+T288*T161+U288*U161+V288*V161+W288*W161+X288*X161+Y288*Y161+Z288*Z161+AA288*AA161+AB288*AB161+AC288*AC161+AD288*AD161+AE288*AE161+AF288*AF161+AG288*AG161+AH288*AH161+AI288*AI161+AJ288*AJ161+AK288*AK161+AL288*AL161+AM288*AM161+AN288*AN161+AO288*AO161+AP288*AP161+AQ288*AQ161+AR288*AR161+AS288*AS161+AT288*AT161+AU288*AU161+AV288*AV161+AW288*AW161+AX288*AX161+AY288*AY161+AZ288*AZ161+BA288*BA161+BB288*BB161+BC288*BC161+BD288*BD161+BE288*BE161+BF288*BF161+BG288*BG161+BH288*BH161+BI288*BI161+BJ288*BJ161+BK288*BK161+BL288*BL161+BM288*BM161+BN288*BN161+BO288*BO161+BP288*BP161+BQ288*BQ161+BR288*BR161+BS288*BS161+BT288*BT161+BU288*BU161+BV288*BV161+BW288*BW161+BX288*BX161+BY288*BY161+BZ288*BZ161+CA288*CA161+CB288*CB161+CC288*CC161+CD288*CD161+CE288*CE161+CF288*CF161+CG288*CG161+CH288*CH161+CI288*CI161+CJ288*CJ161+CK288*CK161+CL288*CL161+CM288*CM161+CN288*CN161+CO288*CO161+CP288*CP161+CQ288*CQ161+CR288*CR161+CS288*CS161+CT288*CT161+CU288*CU161</f>
        <v>-5.5511151231257827E-16</v>
      </c>
      <c r="CZ161" s="2839">
        <f>E289*E161+F289*F161+G289*G161+H289*H161+I289*I161+J289*J161+K289*K161+L289*L161+M289*M161+N289*N161+O289*O161+P289*P161+Q289*Q161+R289*R161+S289*S161+T289*T161+U289*U161+V289*V161+W289*W161+X289*X161+Y289*Y161+Z289*Z161+AA289*AA161+AB289*AB161+AC289*AC161+AD289*AD161+AE289*AE161+AF289*AF161+AG289*AG161+AH289*AH161+AI289*AI161+AJ289*AJ161+AK289*AK161+AL289*AL161+AM289*AM161+AN289*AN161+AO289*AO161+AP289*AP161+AQ289*AQ161+AR289*AR161+AS289*AS161+AT289*AT161+AU289*AU161+AV289*AV161+AW289*AW161+AX289*AX161+AY289*AY161+AZ289*AZ161+BA289*BA161+BB289*BB161+BC289*BC161+BD289*BD161+BE289*BE161+BF289*BF161+BG289*BG161+BH289*BH161+BI289*BI161+BJ289*BJ161+BK289*BK161+BL289*BL161+BM289*BM161+BN289*BN161+BO289*BO161+BP289*BP161+BQ289*BQ161+BR289*BR161+BS289*BS161+BT289*BT161+BU289*BU161+BV289*BV161+BW289*BW161+BX289*BX161+BY289*BY161+BZ289*BZ161+CA289*CA161+CB289*CB161+CC289*CC161+CD289*CD161+CE289*CE161+CF289*CF161+CG289*CG161+CH289*CH161+CI289*CI161+CJ289*CJ161+CK289*CK161+CL289*CL161+CM289*CM161+CN289*CN161+CO289*CO161+CP289*CP161+CQ289*CQ161+CR289*CR161+CS289*CS161+CT289*CT161+CU289*CU161</f>
        <v>0</v>
      </c>
      <c r="DA161" s="2840">
        <f>E290*E161+F290*F161+G290*G161+H290*H161+I290*I161+J290*J161+K290*K161+L290*L161+M290*M161+N290*N161+O290*O161+P290*P161+Q290*Q161+R290*R161+S290*S161+T290*T161+U290*U161+V290*V161+W290*W161+X290*X161+Y290*Y161+Z290*Z161+AA290*AA161+AB290*AB161+AC290*AC161+AD290*AD161+AE290*AE161+AF290*AF161+AG290*AG161+AH290*AH161+AI290*AI161+AJ290*AJ161+AK290*AK161+AL290*AL161+AM290*AM161+AN290*AN161+AO290*AO161+AP290*AP161+AQ290*AQ161+AR290*AR161+AS290*AS161+AT290*AT161+AU290*AU161+AV290*AV161+AW290*AW161+AX290*AX161+AY290*AY161+AZ290*AZ161+BA290*BA161+BB290*BB161+BC290*BC161+BD290*BD161+BE290*BE161+BF290*BF161+BG290*BG161+BH290*BH161+BI290*BI161+BJ290*BJ161+BK290*BK161+BL290*BL161+BM290*BM161+BN290*BN161+BO290*BO161+BP290*BP161+BQ290*BQ161+BR290*BR161+BS290*BS161+BT290*BT161+BU290*BU161+BV290*BV161+BW290*BW161+BX290*BX161+BY290*BY161+BZ290*BZ161+CA290*CA161+CB290*CB161+CC290*CC161+CD290*CD161+CE290*CE161+CF290*CF161+CG290*CG161+CH290*CH161+CI290*CI161+CJ290*CJ161+CK290*CK161+CL290*CL161+CM290*CM161+CN290*CN161+CO290*CO161+CP290*CP161+CQ290*CQ161+CR290*CR161+CS290*CS161+CT290*CT161+CU290*CU161</f>
        <v>0</v>
      </c>
      <c r="DB161" s="2840">
        <f>E291*E161+F291*F161+G291*G161+H291*H161+I291*I161+J291*J161+K291*K161+L291*L161+M291*M161+N291*N161+O291*O161+P291*P161+Q291*Q161+R291*R161+S291*S161+T291*T161+U291*U161+V291*V161+W291*W161+X291*X161+Y291*Y161+Z291*Z161+AA291*AA161+AB291*AB161+AC291*AC161+AD291*AD161+AE291*AE161+AF291*AF161+AG291*AG161+AH291*AH161+AI291*AI161+AJ291*AJ161+AK291*AK161+AL291*AL161+AM291*AM161+AN291*AN161+AO291*AO161+AP291*AP161+AQ291*AQ161+AR291*AR161+AS291*AS161+AT291*AT161+AU291*AU161+AV291*AV161+AW291*AW161+AX291*AX161+AY291*AY161+AZ291*AZ161+BA291*BA161+BB291*BB161+BC291*BC161+BD291*BD161+BE291*BE161+BF291*BF161+BG291*BG161+BH291*BH161+BI291*BI161+BJ291*BJ161+BK291*BK161+BL291*BL161+BM291*BM161+BN291*BN161+BO291*BO161+BP291*BP161+BQ291*BQ161+BR291*BR161+BS291*BS161+BT291*BT161+BU291*BU161+BV291*BV161+BW291*BW161+BX291*BX161+BY291*BY161+BZ291*BZ161+CA291*CA161+CB291*CB161+CC291*CC161+CD291*CD161+CE291*CE161+CF291*CF161+CG291*CG161+CH291*CH161+CI291*CI161+CJ291*CJ161+CK291*CK161+CL291*CL161+CM291*CM161+CN291*CN161+CO291*CO161+CP291*CP161+CQ291*CQ161+CR291*CR161+CS291*CS161+CT291*CT161+CU291*CU161</f>
        <v>0</v>
      </c>
      <c r="DC161" s="2840">
        <f>E292*E161+F292*F161+G292*G161+H292*H161+I292*I161+J292*J161+K292*K161+L292*L161+M292*M161+N292*N161+O292*O161+P292*P161+Q292*Q161+R292*R161+S292*S161+T292*T161+U292*U161+V292*V161+W292*W161+X292*X161+Y292*Y161+Z292*Z161+AA292*AA161+AB292*AB161+AC292*AC161+AD292*AD161+AE292*AE161+AF292*AF161+AG292*AG161+AH292*AH161+AI292*AI161+AJ292*AJ161+AK292*AK161+AL292*AL161+AM292*AM161+AN292*AN161+AO292*AO161+AP292*AP161+AQ292*AQ161+AR292*AR161+AS292*AS161+AT292*AT161+AU292*AU161+AV292*AV161+AW292*AW161+AX292*AX161+AY292*AY161+AZ292*AZ161+BA292*BA161+BB292*BB161+BC292*BC161+BD292*BD161+BE292*BE161+BF292*BF161+BG292*BG161+BH292*BH161+BI292*BI161+BJ292*BJ161+BK292*BK161+BL292*BL161+BM292*BM161+BN292*BN161+BO292*BO161+BP292*BP161+BQ292*BQ161+BR292*BR161+BS292*BS161+BT292*BT161+BU292*BU161+BV292*BV161+BW292*BW161+BX292*BX161+BY292*BY161+BZ292*BZ161+CA292*CA161+CB292*CB161+CC292*CC161+CD292*CD161+CE292*CE161+CF292*CF161+CG292*CG161+CH292*CH161+CI292*CI161+CJ292*CJ161+CK292*CK161+CL292*CL161+CM292*CM161+CN292*CN161+CO292*CO161+CP292*CP161+CQ292*CQ161+CR292*CR161+CS292*CS161+CT292*CT161+CU292*CU161</f>
        <v>0</v>
      </c>
      <c r="DD161" s="2840">
        <f>E293*E161+F293*F161+G293*G161+H293*H161+I293*I161+J293*J161+K293*K161+L293*L161+M293*M161+N293*N161+O293*O161+P293*P161+Q293*Q161+R293*R161+S293*S161+T293*T161+U293*U161+V293*V161+W293*W161+X293*X161+Y293*Y161+Z293*Z161+AA293*AA161+AB293*AB161+AC293*AC161+AD293*AD161+AE293*AE161+AF293*AF161+AG293*AG161+AH293*AH161+AI293*AI161+AJ293*AJ161+AK293*AK161+AL293*AL161+AM293*AM161+AN293*AN161+AO293*AO161+AP293*AP161+AQ293*AQ161+AR293*AR161+AS293*AS161+AT293*AT161+AU293*AU161+AV293*AV161+AW293*AW161+AX293*AX161+AY293*AY161+AZ293*AZ161+BA293*BA161+BB293*BB161+BC293*BC161+BD293*BD161+BE293*BE161+BF293*BF161+BG293*BG161+BH293*BH161+BI293*BI161+BJ293*BJ161+BK293*BK161+BL293*BL161+BM293*BM161+BN293*BN161+BO293*BO161+BP293*BP161+BQ293*BQ161+BR293*BR161+BS293*BS161+BT293*BT161+BU293*BU161+BV293*BV161+BW293*BW161+BX293*BX161+BY293*BY161+BZ293*BZ161+CA293*CA161+CB293*CB161+CC293*CC161+CD293*CD161+CE293*CE161+CF293*CF161+CG293*CG161+CH293*CH161+CI293*CI161+CJ293*CJ161+CK293*CK161+CL293*CL161+CM293*CM161+CN293*CN161+CO293*CO161+CP293*CP161+CQ293*CQ161+CR293*CR161+CS293*CS161+CT293*CT161+CU293*CU161</f>
        <v>0</v>
      </c>
      <c r="DE161" s="2840">
        <f>E294*E161+F294*F161+G294*G161+H294*H161+I294*I161+J294*J161+K294*K161+L294*L161+M294*M161+N294*N161+O294*O161+P294*P161+Q294*Q161+R294*R161+S294*S161+T294*T161+U294*U161+V294*V161+W294*W161+X294*X161+Y294*Y161+Z294*Z161+AA294*AA161+AB294*AB161+AC294*AC161+AD294*AD161+AE294*AE161+AF294*AF161+AG294*AG161+AH294*AH161+AI294*AI161+AJ294*AJ161+AK294*AK161+AL294*AL161+AM294*AM161+AN294*AN161+AO294*AO161+AP294*AP161+AQ294*AQ161+AR294*AR161+AS294*AS161+AT294*AT161+AU294*AU161+AV294*AV161+AW294*AW161+AX294*AX161+AY294*AY161+AZ294*AZ161+BA294*BA161+BB294*BB161+BC294*BC161+BD294*BD161+BE294*BE161+BF294*BF161+BG294*BG161+BH294*BH161+BI294*BI161+BJ294*BJ161+BK294*BK161+BL294*BL161+BM294*BM161+BN294*BN161+BO294*BO161+BP294*BP161+BQ294*BQ161+BR294*BR161+BS294*BS161+BT294*BT161+BU294*BU161+BV294*BV161+BW294*BW161+BX294*BX161+BY294*BY161+BZ294*BZ161+CA294*CA161+CB294*CB161+CC294*CC161+CD294*CD161+CE294*CE161+CF294*CF161+CG294*CG161+CH294*CH161+CI294*CI161+CJ294*CJ161+CK294*CK161+CL294*CL161+CM294*CM161+CN294*CN161+CO294*CO161+CP294*CP161+CQ294*CQ161+CR294*CR161+CS294*CS161+CT294*CT161+CU294*CU161</f>
        <v>0</v>
      </c>
      <c r="DF161" s="2840">
        <f>E295*E161+F295*F161+G295*G161+H295*H161+I295*I161+J295*J161+K295*K161+L295*L161+M295*M161+N295*N161+O295*O161+P295*P161+Q295*Q161+R295*R161+S295*S161+T295*T161+U295*U161+V295*V161+W295*W161+X295*X161+Y295*Y161+Z295*Z161+AA295*AA161+AB295*AB161+AC295*AC161+AD295*AD161+AE295*AE161+AF295*AF161+AG295*AG161+AH295*AH161+AI295*AI161+AJ295*AJ161+AK295*AK161+AL295*AL161+AM295*AM161+AN295*AN161+AO295*AO161+AP295*AP161+AQ295*AQ161+AR295*AR161+AS295*AS161+AT295*AT161+AU295*AU161+AV295*AV161+AW295*AW161+AX295*AX161+AY295*AY161+AZ295*AZ161+BA295*BA161+BB295*BB161+BC295*BC161+BD295*BD161+BE295*BE161+BF295*BF161+BG295*BG161+BH295*BH161+BI295*BI161+BJ295*BJ161+BK295*BK161+BL295*BL161+BM295*BM161+BN295*BN161+BO295*BO161+BP295*BP161+BQ295*BQ161+BR295*BR161+BS295*BS161+BT295*BT161+BU295*BU161+BV295*BV161+BW295*BW161+BX295*BX161+BY295*BY161+BZ295*BZ161+CA295*CA161+CB295*CB161+CC295*CC161+CD295*CD161+CE295*CE161+CF295*CF161+CG295*CG161+CH295*CH161+CI295*CI161+CJ295*CJ161+CK295*CK161+CL295*CL161+CM295*CM161+CN295*CN161+CO295*CO161+CP295*CP161+CQ295*CQ161+CR295*CR161+CS295*CS161+CT295*CT161+CU295*CU161</f>
        <v>0</v>
      </c>
      <c r="DG161" s="2840">
        <f>E296*E161+F296*F161+G296*G161+H296*H161+I296*I161+J296*J161+K296*K161+L296*L161+M296*M161+N296*N161+O296*O161+P296*P161+Q296*Q161+R296*R161+S296*S161+T296*T161+U296*U161+V296*V161+W296*W161+X296*X161+Y296*Y161+Z296*Z161+AA296*AA161+AB296*AB161+AC296*AC161+AD296*AD161+AE296*AE161+AF296*AF161+AG296*AG161+AH296*AH161+AI296*AI161+AJ296*AJ161+AK296*AK161+AL296*AL161+AM296*AM161+AN296*AN161+AO296*AO161+AP296*AP161+AQ296*AQ161+AR296*AR161+AS296*AS161+AT296*AT161+AU296*AU161+AV296*AV161+AW296*AW161+AX296*AX161+AY296*AY161+AZ296*AZ161+BA296*BA161+BB296*BB161+BC296*BC161+BD296*BD161+BE296*BE161+BF296*BF161+BG296*BG161+BH296*BH161+BI296*BI161+BJ296*BJ161+BK296*BK161+BL296*BL161+BM296*BM161+BN296*BN161+BO296*BO161+BP296*BP161+BQ296*BQ161+BR296*BR161+BS296*BS161+BT296*BT161+BU296*BU161+BV296*BV161+BW296*BW161+BX296*BX161+BY296*BY161+BZ296*BZ161+CA296*CA161+CB296*CB161+CC296*CC161+CD296*CD161+CE296*CE161+CF296*CF161+CG296*CG161+CH296*CH161+CI296*CI161+CJ296*CJ161+CK296*CK161+CL296*CL161+CM296*CM161+CN296*CN161+CO296*CO161+CP296*CP161+CQ296*CQ161+CR296*CR161+CS296*CS161+CT296*CT161+CU296*CU161</f>
        <v>0</v>
      </c>
      <c r="DH161" s="2840">
        <f>E297*E161+F297*F161+G297*G161+H297*H161+I297*I161+J297*J161+K297*K161+L297*L161+M297*M161+N297*N161+O297*O161+P297*P161+Q297*Q161+R297*R161+S297*S161+T297*T161+U297*U161+V297*V161+W297*W161+X297*X161+Y297*Y161+Z297*Z161+AA297*AA161+AB297*AB161+AC297*AC161+AD297*AD161+AE297*AE161+AF297*AF161+AG297*AG161+AH297*AH161+AI297*AI161+AJ297*AJ161+AK297*AK161+AL297*AL161+AM297*AM161+AN297*AN161+AO297*AO161+AP297*AP161+AQ297*AQ161+AR297*AR161+AS297*AS161+AT297*AT161+AU297*AU161+AV297*AV161+AW297*AW161+AX297*AX161+AY297*AY161+AZ297*AZ161+BA297*BA161+BB297*BB161+BC297*BC161+BD297*BD161+BE297*BE161+BF297*BF161+BG297*BG161+BH297*BH161+BI297*BI161+BJ297*BJ161+BK297*BK161+BL297*BL161+BM297*BM161+BN297*BN161+BO297*BO161+BP297*BP161+BQ297*BQ161+BR297*BR161+BS297*BS161+BT297*BT161+BU297*BU161+BV297*BV161+BW297*BW161+BX297*BX161+BY297*BY161+BZ297*BZ161+CA297*CA161+CB297*CB161+CC297*CC161+CD297*CD161+CE297*CE161+CF297*CF161+CG297*CG161+CH297*CH161+CI297*CI161+CJ297*CJ161+CK297*CK161+CL297*CL161+CM297*CM161+CN297*CN161+CO297*CO161+CP297*CP161+CQ297*CQ161+CR297*CR161+CS297*CS161+CT297*CT161+CU297*CU161</f>
        <v>0</v>
      </c>
      <c r="DI161" s="2840">
        <f>E298*E161+F298*F161+G298*G161+H298*H161+I298*I161+J298*J161+K298*K161+L298*L161+M298*M161+N298*N161+O298*O161+P298*P161+Q298*Q161+R298*R161+S298*S161+T298*T161+U298*U161+V298*V161+W298*W161+X298*X161+Y298*Y161+Z298*Z161+AA298*AA161+AB298*AB161+AC298*AC161+AD298*AD161+AE298*AE161+AF298*AF161+AG298*AG161+AH298*AH161+AI298*AI161+AJ298*AJ161+AK298*AK161+AL298*AL161+AM298*AM161+AN298*AN161+AO298*AO161+AP298*AP161+AQ298*AQ161+AR298*AR161+AS298*AS161+AT298*AT161+AU298*AU161+AV298*AV161+AW298*AW161+AX298*AX161+AY298*AY161+AZ298*AZ161+BA298*BA161+BB298*BB161+BC298*BC161+BD298*BD161+BE298*BE161+BF298*BF161+BG298*BG161+BH298*BH161+BI298*BI161+BJ298*BJ161+BK298*BK161+BL298*BL161+BM298*BM161+BN298*BN161+BO298*BO161+BP298*BP161+BQ298*BQ161+BR298*BR161+BS298*BS161+BT298*BT161+BU298*BU161+BV298*BV161+BW298*BW161+BX298*BX161+BY298*BY161+BZ298*BZ161+CA298*CA161+CB298*CB161+CC298*CC161+CD298*CD161+CE298*CE161+CF298*CF161+CG298*CG161+CH298*CH161+CI298*CI161+CJ298*CJ161+CK298*CK161+CL298*CL161+CM298*CM161+CN298*CN161+CO298*CO161+CP298*CP161+CQ298*CQ161+CR298*CR161+CS298*CS161+CT298*CT161+CU298*CU161</f>
        <v>0</v>
      </c>
    </row>
    <row r="162" spans="2:113" ht="18" x14ac:dyDescent="0.25">
      <c r="B162" s="2484">
        <v>9</v>
      </c>
      <c r="C162" s="2398" t="s">
        <v>231</v>
      </c>
      <c r="D162" s="2399" t="s">
        <v>1652</v>
      </c>
      <c r="E162" s="3108">
        <f>0</f>
        <v>0</v>
      </c>
      <c r="F162" s="3108">
        <f>0</f>
        <v>0</v>
      </c>
      <c r="G162" s="3107">
        <f>-1/Y_OHO_SMEOL_ox</f>
        <v>-2.5</v>
      </c>
      <c r="H162" s="3108">
        <f>0</f>
        <v>0</v>
      </c>
      <c r="I162" s="3108">
        <f>0</f>
        <v>0</v>
      </c>
      <c r="J162" s="3108">
        <f>0</f>
        <v>0</v>
      </c>
      <c r="K162" s="3108">
        <f>0</f>
        <v>0</v>
      </c>
      <c r="L162" s="3108">
        <f>0</f>
        <v>0</v>
      </c>
      <c r="M162" s="3108">
        <f>0</f>
        <v>0</v>
      </c>
      <c r="N162" s="3108">
        <f>0</f>
        <v>0</v>
      </c>
      <c r="O162" s="3108">
        <f>0</f>
        <v>0</v>
      </c>
      <c r="P162" s="3108">
        <f>0</f>
        <v>0</v>
      </c>
      <c r="Q162" s="3108">
        <f>0</f>
        <v>0</v>
      </c>
      <c r="R162" s="3108">
        <f>1</f>
        <v>1</v>
      </c>
      <c r="S162" s="3108">
        <f>0</f>
        <v>0</v>
      </c>
      <c r="T162" s="3108">
        <f>0</f>
        <v>0</v>
      </c>
      <c r="U162" s="3108">
        <f>0</f>
        <v>0</v>
      </c>
      <c r="V162" s="3108">
        <f>0</f>
        <v>0</v>
      </c>
      <c r="W162" s="3108">
        <f>0</f>
        <v>0</v>
      </c>
      <c r="X162" s="3108">
        <f>0</f>
        <v>0</v>
      </c>
      <c r="Y162" s="3108">
        <f>0</f>
        <v>0</v>
      </c>
      <c r="Z162" s="3108">
        <f>0</f>
        <v>0</v>
      </c>
      <c r="AA162" s="3108">
        <f>0</f>
        <v>0</v>
      </c>
      <c r="AB162" s="3108">
        <f>0</f>
        <v>0</v>
      </c>
      <c r="AC162" s="3108">
        <f>0</f>
        <v>0</v>
      </c>
      <c r="AD162" s="3107">
        <f>-i_N_BIO</f>
        <v>-7.0000000000000007E-2</v>
      </c>
      <c r="AE162" s="3108">
        <f>0</f>
        <v>0</v>
      </c>
      <c r="AF162" s="3108">
        <f>0</f>
        <v>0</v>
      </c>
      <c r="AG162" s="3108">
        <f>0</f>
        <v>0</v>
      </c>
      <c r="AH162" s="3108">
        <f>0</f>
        <v>0</v>
      </c>
      <c r="AI162" s="3108">
        <f>0</f>
        <v>0</v>
      </c>
      <c r="AJ162" s="3108">
        <f>0</f>
        <v>0</v>
      </c>
      <c r="AK162" s="3108">
        <f>0</f>
        <v>0</v>
      </c>
      <c r="AL162" s="3107">
        <f>-i_P_BIO</f>
        <v>-0.02</v>
      </c>
      <c r="AM162" s="3108">
        <f>0</f>
        <v>0</v>
      </c>
      <c r="AN162" s="3108">
        <f>0</f>
        <v>0</v>
      </c>
      <c r="AO162" s="3108">
        <f>0</f>
        <v>0</v>
      </c>
      <c r="AP162" s="3108">
        <f>0</f>
        <v>0</v>
      </c>
      <c r="AQ162" s="3108">
        <f>0</f>
        <v>0</v>
      </c>
      <c r="AR162" s="3107">
        <f>-(1-Y_OHO_SMEOL_ox)/Y_OHO_SMEOL_ox</f>
        <v>-1.4999999999999998</v>
      </c>
      <c r="AS162" s="3107">
        <f>0</f>
        <v>0</v>
      </c>
      <c r="AT162" s="3107">
        <f>0</f>
        <v>0</v>
      </c>
      <c r="AU162" s="3107">
        <f>i_CIT_MEOL/Y_OHO_SMEOL_ox-i_CIT_BIO</f>
        <v>0.27300000000000002</v>
      </c>
      <c r="AV162" s="3107">
        <f>i_INORG</f>
        <v>0.11</v>
      </c>
      <c r="AW162" s="3107">
        <f>-i_INORG*(1-i_Ca_INORG*(A_MCa+2*A_MCl)/A_MCa-i_Mg_INORG*(A_MMg+2*A_MCl)/A_MMg)*f_Na</f>
        <v>-2.8804303582798466E-2</v>
      </c>
      <c r="AX162" s="3107">
        <f>-i_INORG*(i_Ca_INORG*(2*A_MCl)/A_MCa+i_Mg_INORG*(2*A_MCl)/A_MMg)-i_INORG*(1-i_Ca_INORG*(A_MCa+2*A_MCl)/A_MCa-i_Mg_INORG*(A_MMg+2*A_MCl)/A_MMg)*(1-f_Na)</f>
        <v>-7.0195696417201539E-2</v>
      </c>
      <c r="AY162" s="3107">
        <f>-i_INORG*i_Ca_INORG</f>
        <v>-5.5000000000000005E-3</v>
      </c>
      <c r="AZ162" s="3107">
        <f>-i_INORG*i_Mg_INORG</f>
        <v>-5.5000000000000005E-3</v>
      </c>
      <c r="BA162" s="3107">
        <f>0</f>
        <v>0</v>
      </c>
      <c r="BB162" s="3107">
        <f>0</f>
        <v>0</v>
      </c>
      <c r="BC162" s="3107">
        <f>-i_S_BIO</f>
        <v>-0.01</v>
      </c>
      <c r="BD162" s="3107">
        <f>0</f>
        <v>0</v>
      </c>
      <c r="BE162" s="3107">
        <f>0</f>
        <v>0</v>
      </c>
      <c r="BF162" s="3107">
        <f>0</f>
        <v>0</v>
      </c>
      <c r="BG162" s="3107">
        <f>0</f>
        <v>0</v>
      </c>
      <c r="BH162" s="3107">
        <f>0</f>
        <v>0</v>
      </c>
      <c r="BI162" s="3107">
        <f>0</f>
        <v>0</v>
      </c>
      <c r="BJ162" s="3107">
        <f>0</f>
        <v>0</v>
      </c>
      <c r="BK162" s="3107">
        <f>0</f>
        <v>0</v>
      </c>
      <c r="BL162" s="3107">
        <f>0</f>
        <v>0</v>
      </c>
      <c r="BM162" s="3107">
        <f>0</f>
        <v>0</v>
      </c>
      <c r="BN162" s="3107">
        <f>0</f>
        <v>0</v>
      </c>
      <c r="BO162" s="3107">
        <f>0</f>
        <v>0</v>
      </c>
      <c r="BP162" s="3107">
        <f>0</f>
        <v>0</v>
      </c>
      <c r="BQ162" s="3107">
        <f>0</f>
        <v>0</v>
      </c>
      <c r="BR162" s="3107">
        <f>0</f>
        <v>0</v>
      </c>
      <c r="BS162" s="3107">
        <f>0</f>
        <v>0</v>
      </c>
      <c r="BT162" s="3107">
        <f>0</f>
        <v>0</v>
      </c>
      <c r="BU162" s="3107">
        <f>0</f>
        <v>0</v>
      </c>
      <c r="BV162" s="3107">
        <f>0</f>
        <v>0</v>
      </c>
      <c r="BW162" s="3107">
        <f>0</f>
        <v>0</v>
      </c>
      <c r="BX162" s="3107">
        <f>0</f>
        <v>0</v>
      </c>
      <c r="BY162" s="3107">
        <f>0</f>
        <v>0</v>
      </c>
      <c r="BZ162" s="3186">
        <f>0</f>
        <v>0</v>
      </c>
      <c r="CA162" s="3186">
        <f>0</f>
        <v>0</v>
      </c>
      <c r="CB162" s="3186">
        <f>0</f>
        <v>0</v>
      </c>
      <c r="CC162" s="3186">
        <f>0</f>
        <v>0</v>
      </c>
      <c r="CD162" s="3107">
        <f>0</f>
        <v>0</v>
      </c>
      <c r="CE162" s="3107">
        <f>0</f>
        <v>0</v>
      </c>
      <c r="CF162" s="3107">
        <f>0</f>
        <v>0</v>
      </c>
      <c r="CG162" s="3107">
        <f>0</f>
        <v>0</v>
      </c>
      <c r="CH162" s="3107">
        <f>0</f>
        <v>0</v>
      </c>
      <c r="CI162" s="3107">
        <f>0</f>
        <v>0</v>
      </c>
      <c r="CJ162" s="3107">
        <f>0</f>
        <v>0</v>
      </c>
      <c r="CK162" s="3107">
        <f>0</f>
        <v>0</v>
      </c>
      <c r="CL162" s="3107">
        <f>0</f>
        <v>0</v>
      </c>
      <c r="CM162" s="3107">
        <f>0</f>
        <v>0</v>
      </c>
      <c r="CN162" s="3107">
        <f>0</f>
        <v>0</v>
      </c>
      <c r="CO162" s="3107">
        <f>0</f>
        <v>0</v>
      </c>
      <c r="CP162" s="3107">
        <f>0</f>
        <v>0</v>
      </c>
      <c r="CQ162" s="3107">
        <f>0</f>
        <v>0</v>
      </c>
      <c r="CR162" s="3107">
        <f>0</f>
        <v>0</v>
      </c>
      <c r="CS162" s="3107">
        <f>0</f>
        <v>0</v>
      </c>
      <c r="CT162" s="3107">
        <f>0</f>
        <v>0</v>
      </c>
      <c r="CU162" s="3107">
        <f>0</f>
        <v>0</v>
      </c>
      <c r="CV162" s="3220">
        <f>µ_OHO_T*X_OHO*M_satSMEOL_KMEOL_OHO*M_satSO2_KO2_OHO*M_satSNHx_KNHx_BIO*M_satSPO4_KPO4_BIO*M_satSCAT_KCAT*M_satSAN_KAN*M_satSCa_KCa*M_satSMg_KMg*M_satSSO4_KSO4_BIO*B_ellinhpH</f>
        <v>0</v>
      </c>
      <c r="CX162" s="2838">
        <f>E287*E162+F287*F162+G287*G162+H287*H162+I287*I162+J287*J162+K287*K162+L287*L162+M287*M162+N287*N162+O287*O162+P287*P162+Q287*Q162+R287*R162+S287*S162+T287*T162+U287*U162+V287*V162+W287*W162+X287*X162+Y287*Y162+Z287*Z162+AA287*AA162+AB287*AB162+AC287*AC162+AD287*AD162+AE287*AE162+AF287*AF162+AG287*AG162+AH287*AH162+AI287*AI162+AJ287*AJ162+AK287*AK162+AL287*AL162+AM287*AM162+AN287*AN162+AO287*AO162+AP287*AP162+AQ287*AQ162+AR287*AR162+AS287*AS162+AT287*AT162+AU287*AU162+AV287*AV162+AW287*AW162+AX287*AX162+AY287*AY162+AZ287*AZ162+BA287*BA162+BB287*BB162+BC287*BC162+BD287*BD162+BE287*BE162+BF287*BF162+BG287*BG162+BH287*BH162+BI287*BI162+BJ287*BJ162+BK287*BK162+BL287*BL162+BM287*BM162+BN287*BN162+BO287*BO162+BP287*BP162+BQ287*BQ162+BR287*BR162+BS287*BS162+BT287*BT162+BU287*BU162+BV287*BV162+BW287*BW162+BX287*BX162+BY287*BY162+BZ287*BZ162+CA287*CA162+CB287*CB162+CC287*CC162+CD287*CD162+CE287*CE162+CF287*CF162+CG287*CG162+CH287*CH162+CI287*CI162+CJ287*CJ162+CK287*CK162+CL287*CL162+CM287*CM162+CN287*CN162+CO287*CO162+CP287*CP162+CQ287*CQ162+CR287*CR162+CS287*CS162+CT287*CT162+CU287*CU162</f>
        <v>-2.2204460492503131E-16</v>
      </c>
      <c r="CY162" s="2838">
        <f>E288*E162+F288*F162+G288*G162+H288*H162+I288*I162+J288*J162+K288*K162+L288*L162+M288*M162+N288*N162+O288*O162+P288*P162+Q288*Q162+R288*R162+S288*S162+T288*T162+U288*U162+V288*V162+W288*W162+X288*X162+Y288*Y162+Z288*Z162+AA288*AA162+AB288*AB162+AC288*AC162+AD288*AD162+AE288*AE162+AF288*AF162+AG288*AG162+AH288*AH162+AI288*AI162+AJ288*AJ162+AK288*AK162+AL288*AL162+AM288*AM162+AN288*AN162+AO288*AO162+AP288*AP162+AQ288*AQ162+AR288*AR162+AS288*AS162+AT288*AT162+AU288*AU162+AV288*AV162+AW288*AW162+AX288*AX162+AY288*AY162+AZ288*AZ162+BA288*BA162+BB288*BB162+BC288*BC162+BD288*BD162+BE288*BE162+BF288*BF162+BG288*BG162+BH288*BH162+BI288*BI162+BJ288*BJ162+BK288*BK162+BL288*BL162+BM288*BM162+BN288*BN162+BO288*BO162+BP288*BP162+BQ288*BQ162+BR288*BR162+BS288*BS162+BT288*BT162+BU288*BU162+BV288*BV162+BW288*BW162+BX288*BX162+BY288*BY162+BZ288*BZ162+CA288*CA162+CB288*CB162+CC288*CC162+CD288*CD162+CE288*CE162+CF288*CF162+CG288*CG162+CH288*CH162+CI288*CI162+CJ288*CJ162+CK288*CK162+CL288*CL162+CM288*CM162+CN288*CN162+CO288*CO162+CP288*CP162+CQ288*CQ162+CR288*CR162+CS288*CS162+CT288*CT162+CU288*CU162</f>
        <v>0</v>
      </c>
      <c r="CZ162" s="2839">
        <f>E289*E162+F289*F162+G289*G162+H289*H162+I289*I162+J289*J162+K289*K162+L289*L162+M289*M162+N289*N162+O289*O162+P289*P162+Q289*Q162+R289*R162+S289*S162+T289*T162+U289*U162+V289*V162+W289*W162+X289*X162+Y289*Y162+Z289*Z162+AA289*AA162+AB289*AB162+AC289*AC162+AD289*AD162+AE289*AE162+AF289*AF162+AG289*AG162+AH289*AH162+AI289*AI162+AJ289*AJ162+AK289*AK162+AL289*AL162+AM289*AM162+AN289*AN162+AO289*AO162+AP289*AP162+AQ289*AQ162+AR289*AR162+AS289*AS162+AT289*AT162+AU289*AU162+AV289*AV162+AW289*AW162+AX289*AX162+AY289*AY162+AZ289*AZ162+BA289*BA162+BB289*BB162+BC289*BC162+BD289*BD162+BE289*BE162+BF289*BF162+BG289*BG162+BH289*BH162+BI289*BI162+BJ289*BJ162+BK289*BK162+BL289*BL162+BM289*BM162+BN289*BN162+BO289*BO162+BP289*BP162+BQ289*BQ162+BR289*BR162+BS289*BS162+BT289*BT162+BU289*BU162+BV289*BV162+BW289*BW162+BX289*BX162+BY289*BY162+BZ289*BZ162+CA289*CA162+CB289*CB162+CC289*CC162+CD289*CD162+CE289*CE162+CF289*CF162+CG289*CG162+CH289*CH162+CI289*CI162+CJ289*CJ162+CK289*CK162+CL289*CL162+CM289*CM162+CN289*CN162+CO289*CO162+CP289*CP162+CQ289*CQ162+CR289*CR162+CS289*CS162+CT289*CT162+CU289*CU162</f>
        <v>0</v>
      </c>
      <c r="DA162" s="2840">
        <f>E290*E162+F290*F162+G290*G162+H290*H162+I290*I162+J290*J162+K290*K162+L290*L162+M290*M162+N290*N162+O290*O162+P290*P162+Q290*Q162+R290*R162+S290*S162+T290*T162+U290*U162+V290*V162+W290*W162+X290*X162+Y290*Y162+Z290*Z162+AA290*AA162+AB290*AB162+AC290*AC162+AD290*AD162+AE290*AE162+AF290*AF162+AG290*AG162+AH290*AH162+AI290*AI162+AJ290*AJ162+AK290*AK162+AL290*AL162+AM290*AM162+AN290*AN162+AO290*AO162+AP290*AP162+AQ290*AQ162+AR290*AR162+AS290*AS162+AT290*AT162+AU290*AU162+AV290*AV162+AW290*AW162+AX290*AX162+AY290*AY162+AZ290*AZ162+BA290*BA162+BB290*BB162+BC290*BC162+BD290*BD162+BE290*BE162+BF290*BF162+BG290*BG162+BH290*BH162+BI290*BI162+BJ290*BJ162+BK290*BK162+BL290*BL162+BM290*BM162+BN290*BN162+BO290*BO162+BP290*BP162+BQ290*BQ162+BR290*BR162+BS290*BS162+BT290*BT162+BU290*BU162+BV290*BV162+BW290*BW162+BX290*BX162+BY290*BY162+BZ290*BZ162+CA290*CA162+CB290*CB162+CC290*CC162+CD290*CD162+CE290*CE162+CF290*CF162+CG290*CG162+CH290*CH162+CI290*CI162+CJ290*CJ162+CK290*CK162+CL290*CL162+CM290*CM162+CN290*CN162+CO290*CO162+CP290*CP162+CQ290*CQ162+CR290*CR162+CS290*CS162+CT290*CT162+CU290*CU162</f>
        <v>0</v>
      </c>
      <c r="DB162" s="2840">
        <f>E291*E162+F291*F162+G291*G162+H291*H162+I291*I162+J291*J162+K291*K162+L291*L162+M291*M162+N291*N162+O291*O162+P291*P162+Q291*Q162+R291*R162+S291*S162+T291*T162+U291*U162+V291*V162+W291*W162+X291*X162+Y291*Y162+Z291*Z162+AA291*AA162+AB291*AB162+AC291*AC162+AD291*AD162+AE291*AE162+AF291*AF162+AG291*AG162+AH291*AH162+AI291*AI162+AJ291*AJ162+AK291*AK162+AL291*AL162+AM291*AM162+AN291*AN162+AO291*AO162+AP291*AP162+AQ291*AQ162+AR291*AR162+AS291*AS162+AT291*AT162+AU291*AU162+AV291*AV162+AW291*AW162+AX291*AX162+AY291*AY162+AZ291*AZ162+BA291*BA162+BB291*BB162+BC291*BC162+BD291*BD162+BE291*BE162+BF291*BF162+BG291*BG162+BH291*BH162+BI291*BI162+BJ291*BJ162+BK291*BK162+BL291*BL162+BM291*BM162+BN291*BN162+BO291*BO162+BP291*BP162+BQ291*BQ162+BR291*BR162+BS291*BS162+BT291*BT162+BU291*BU162+BV291*BV162+BW291*BW162+BX291*BX162+BY291*BY162+BZ291*BZ162+CA291*CA162+CB291*CB162+CC291*CC162+CD291*CD162+CE291*CE162+CF291*CF162+CG291*CG162+CH291*CH162+CI291*CI162+CJ291*CJ162+CK291*CK162+CL291*CL162+CM291*CM162+CN291*CN162+CO291*CO162+CP291*CP162+CQ291*CQ162+CR291*CR162+CS291*CS162+CT291*CT162+CU291*CU162</f>
        <v>0</v>
      </c>
      <c r="DC162" s="2840">
        <f>E292*E162+F292*F162+G292*G162+H292*H162+I292*I162+J292*J162+K292*K162+L292*L162+M292*M162+N292*N162+O292*O162+P292*P162+Q292*Q162+R292*R162+S292*S162+T292*T162+U292*U162+V292*V162+W292*W162+X292*X162+Y292*Y162+Z292*Z162+AA292*AA162+AB292*AB162+AC292*AC162+AD292*AD162+AE292*AE162+AF292*AF162+AG292*AG162+AH292*AH162+AI292*AI162+AJ292*AJ162+AK292*AK162+AL292*AL162+AM292*AM162+AN292*AN162+AO292*AO162+AP292*AP162+AQ292*AQ162+AR292*AR162+AS292*AS162+AT292*AT162+AU292*AU162+AV292*AV162+AW292*AW162+AX292*AX162+AY292*AY162+AZ292*AZ162+BA292*BA162+BB292*BB162+BC292*BC162+BD292*BD162+BE292*BE162+BF292*BF162+BG292*BG162+BH292*BH162+BI292*BI162+BJ292*BJ162+BK292*BK162+BL292*BL162+BM292*BM162+BN292*BN162+BO292*BO162+BP292*BP162+BQ292*BQ162+BR292*BR162+BS292*BS162+BT292*BT162+BU292*BU162+BV292*BV162+BW292*BW162+BX292*BX162+BY292*BY162+BZ292*BZ162+CA292*CA162+CB292*CB162+CC292*CC162+CD292*CD162+CE292*CE162+CF292*CF162+CG292*CG162+CH292*CH162+CI292*CI162+CJ292*CJ162+CK292*CK162+CL292*CL162+CM292*CM162+CN292*CN162+CO292*CO162+CP292*CP162+CQ292*CQ162+CR292*CR162+CS292*CS162+CT292*CT162+CU292*CU162</f>
        <v>0</v>
      </c>
      <c r="DD162" s="2840">
        <f>E293*E162+F293*F162+G293*G162+H293*H162+I293*I162+J293*J162+K293*K162+L293*L162+M293*M162+N293*N162+O293*O162+P293*P162+Q293*Q162+R293*R162+S293*S162+T293*T162+U293*U162+V293*V162+W293*W162+X293*X162+Y293*Y162+Z293*Z162+AA293*AA162+AB293*AB162+AC293*AC162+AD293*AD162+AE293*AE162+AF293*AF162+AG293*AG162+AH293*AH162+AI293*AI162+AJ293*AJ162+AK293*AK162+AL293*AL162+AM293*AM162+AN293*AN162+AO293*AO162+AP293*AP162+AQ293*AQ162+AR293*AR162+AS293*AS162+AT293*AT162+AU293*AU162+AV293*AV162+AW293*AW162+AX293*AX162+AY293*AY162+AZ293*AZ162+BA293*BA162+BB293*BB162+BC293*BC162+BD293*BD162+BE293*BE162+BF293*BF162+BG293*BG162+BH293*BH162+BI293*BI162+BJ293*BJ162+BK293*BK162+BL293*BL162+BM293*BM162+BN293*BN162+BO293*BO162+BP293*BP162+BQ293*BQ162+BR293*BR162+BS293*BS162+BT293*BT162+BU293*BU162+BV293*BV162+BW293*BW162+BX293*BX162+BY293*BY162+BZ293*BZ162+CA293*CA162+CB293*CB162+CC293*CC162+CD293*CD162+CE293*CE162+CF293*CF162+CG293*CG162+CH293*CH162+CI293*CI162+CJ293*CJ162+CK293*CK162+CL293*CL162+CM293*CM162+CN293*CN162+CO293*CO162+CP293*CP162+CQ293*CQ162+CR293*CR162+CS293*CS162+CT293*CT162+CU293*CU162</f>
        <v>0</v>
      </c>
      <c r="DE162" s="2840">
        <f>E294*E162+F294*F162+G294*G162+H294*H162+I294*I162+J294*J162+K294*K162+L294*L162+M294*M162+N294*N162+O294*O162+P294*P162+Q294*Q162+R294*R162+S294*S162+T294*T162+U294*U162+V294*V162+W294*W162+X294*X162+Y294*Y162+Z294*Z162+AA294*AA162+AB294*AB162+AC294*AC162+AD294*AD162+AE294*AE162+AF294*AF162+AG294*AG162+AH294*AH162+AI294*AI162+AJ294*AJ162+AK294*AK162+AL294*AL162+AM294*AM162+AN294*AN162+AO294*AO162+AP294*AP162+AQ294*AQ162+AR294*AR162+AS294*AS162+AT294*AT162+AU294*AU162+AV294*AV162+AW294*AW162+AX294*AX162+AY294*AY162+AZ294*AZ162+BA294*BA162+BB294*BB162+BC294*BC162+BD294*BD162+BE294*BE162+BF294*BF162+BG294*BG162+BH294*BH162+BI294*BI162+BJ294*BJ162+BK294*BK162+BL294*BL162+BM294*BM162+BN294*BN162+BO294*BO162+BP294*BP162+BQ294*BQ162+BR294*BR162+BS294*BS162+BT294*BT162+BU294*BU162+BV294*BV162+BW294*BW162+BX294*BX162+BY294*BY162+BZ294*BZ162+CA294*CA162+CB294*CB162+CC294*CC162+CD294*CD162+CE294*CE162+CF294*CF162+CG294*CG162+CH294*CH162+CI294*CI162+CJ294*CJ162+CK294*CK162+CL294*CL162+CM294*CM162+CN294*CN162+CO294*CO162+CP294*CP162+CQ294*CQ162+CR294*CR162+CS294*CS162+CT294*CT162+CU294*CU162</f>
        <v>0</v>
      </c>
      <c r="DF162" s="2840">
        <f>E295*E162+F295*F162+G295*G162+H295*H162+I295*I162+J295*J162+K295*K162+L295*L162+M295*M162+N295*N162+O295*O162+P295*P162+Q295*Q162+R295*R162+S295*S162+T295*T162+U295*U162+V295*V162+W295*W162+X295*X162+Y295*Y162+Z295*Z162+AA295*AA162+AB295*AB162+AC295*AC162+AD295*AD162+AE295*AE162+AF295*AF162+AG295*AG162+AH295*AH162+AI295*AI162+AJ295*AJ162+AK295*AK162+AL295*AL162+AM295*AM162+AN295*AN162+AO295*AO162+AP295*AP162+AQ295*AQ162+AR295*AR162+AS295*AS162+AT295*AT162+AU295*AU162+AV295*AV162+AW295*AW162+AX295*AX162+AY295*AY162+AZ295*AZ162+BA295*BA162+BB295*BB162+BC295*BC162+BD295*BD162+BE295*BE162+BF295*BF162+BG295*BG162+BH295*BH162+BI295*BI162+BJ295*BJ162+BK295*BK162+BL295*BL162+BM295*BM162+BN295*BN162+BO295*BO162+BP295*BP162+BQ295*BQ162+BR295*BR162+BS295*BS162+BT295*BT162+BU295*BU162+BV295*BV162+BW295*BW162+BX295*BX162+BY295*BY162+BZ295*BZ162+CA295*CA162+CB295*CB162+CC295*CC162+CD295*CD162+CE295*CE162+CF295*CF162+CG295*CG162+CH295*CH162+CI295*CI162+CJ295*CJ162+CK295*CK162+CL295*CL162+CM295*CM162+CN295*CN162+CO295*CO162+CP295*CP162+CQ295*CQ162+CR295*CR162+CS295*CS162+CT295*CT162+CU295*CU162</f>
        <v>0</v>
      </c>
      <c r="DG162" s="2840">
        <f>E296*E162+F296*F162+G296*G162+H296*H162+I296*I162+J296*J162+K296*K162+L296*L162+M296*M162+N296*N162+O296*O162+P296*P162+Q296*Q162+R296*R162+S296*S162+T296*T162+U296*U162+V296*V162+W296*W162+X296*X162+Y296*Y162+Z296*Z162+AA296*AA162+AB296*AB162+AC296*AC162+AD296*AD162+AE296*AE162+AF296*AF162+AG296*AG162+AH296*AH162+AI296*AI162+AJ296*AJ162+AK296*AK162+AL296*AL162+AM296*AM162+AN296*AN162+AO296*AO162+AP296*AP162+AQ296*AQ162+AR296*AR162+AS296*AS162+AT296*AT162+AU296*AU162+AV296*AV162+AW296*AW162+AX296*AX162+AY296*AY162+AZ296*AZ162+BA296*BA162+BB296*BB162+BC296*BC162+BD296*BD162+BE296*BE162+BF296*BF162+BG296*BG162+BH296*BH162+BI296*BI162+BJ296*BJ162+BK296*BK162+BL296*BL162+BM296*BM162+BN296*BN162+BO296*BO162+BP296*BP162+BQ296*BQ162+BR296*BR162+BS296*BS162+BT296*BT162+BU296*BU162+BV296*BV162+BW296*BW162+BX296*BX162+BY296*BY162+BZ296*BZ162+CA296*CA162+CB296*CB162+CC296*CC162+CD296*CD162+CE296*CE162+CF296*CF162+CG296*CG162+CH296*CH162+CI296*CI162+CJ296*CJ162+CK296*CK162+CL296*CL162+CM296*CM162+CN296*CN162+CO296*CO162+CP296*CP162+CQ296*CQ162+CR296*CR162+CS296*CS162+CT296*CT162+CU296*CU162</f>
        <v>0</v>
      </c>
      <c r="DH162" s="2840">
        <f>E297*E162+F297*F162+G297*G162+H297*H162+I297*I162+J297*J162+K297*K162+L297*L162+M297*M162+N297*N162+O297*O162+P297*P162+Q297*Q162+R297*R162+S297*S162+T297*T162+U297*U162+V297*V162+W297*W162+X297*X162+Y297*Y162+Z297*Z162+AA297*AA162+AB297*AB162+AC297*AC162+AD297*AD162+AE297*AE162+AF297*AF162+AG297*AG162+AH297*AH162+AI297*AI162+AJ297*AJ162+AK297*AK162+AL297*AL162+AM297*AM162+AN297*AN162+AO297*AO162+AP297*AP162+AQ297*AQ162+AR297*AR162+AS297*AS162+AT297*AT162+AU297*AU162+AV297*AV162+AW297*AW162+AX297*AX162+AY297*AY162+AZ297*AZ162+BA297*BA162+BB297*BB162+BC297*BC162+BD297*BD162+BE297*BE162+BF297*BF162+BG297*BG162+BH297*BH162+BI297*BI162+BJ297*BJ162+BK297*BK162+BL297*BL162+BM297*BM162+BN297*BN162+BO297*BO162+BP297*BP162+BQ297*BQ162+BR297*BR162+BS297*BS162+BT297*BT162+BU297*BU162+BV297*BV162+BW297*BW162+BX297*BX162+BY297*BY162+BZ297*BZ162+CA297*CA162+CB297*CB162+CC297*CC162+CD297*CD162+CE297*CE162+CF297*CF162+CG297*CG162+CH297*CH162+CI297*CI162+CJ297*CJ162+CK297*CK162+CL297*CL162+CM297*CM162+CN297*CN162+CO297*CO162+CP297*CP162+CQ297*CQ162+CR297*CR162+CS297*CS162+CT297*CT162+CU297*CU162</f>
        <v>0</v>
      </c>
      <c r="DI162" s="2840">
        <f>E298*E162+F298*F162+G298*G162+H298*H162+I298*I162+J298*J162+K298*K162+L298*L162+M298*M162+N298*N162+O298*O162+P298*P162+Q298*Q162+R298*R162+S298*S162+T298*T162+U298*U162+V298*V162+W298*W162+X298*X162+Y298*Y162+Z298*Z162+AA298*AA162+AB298*AB162+AC298*AC162+AD298*AD162+AE298*AE162+AF298*AF162+AG298*AG162+AH298*AH162+AI298*AI162+AJ298*AJ162+AK298*AK162+AL298*AL162+AM298*AM162+AN298*AN162+AO298*AO162+AP298*AP162+AQ298*AQ162+AR298*AR162+AS298*AS162+AT298*AT162+AU298*AU162+AV298*AV162+AW298*AW162+AX298*AX162+AY298*AY162+AZ298*AZ162+BA298*BA162+BB298*BB162+BC298*BC162+BD298*BD162+BE298*BE162+BF298*BF162+BG298*BG162+BH298*BH162+BI298*BI162+BJ298*BJ162+BK298*BK162+BL298*BL162+BM298*BM162+BN298*BN162+BO298*BO162+BP298*BP162+BQ298*BQ162+BR298*BR162+BS298*BS162+BT298*BT162+BU298*BU162+BV298*BV162+BW298*BW162+BX298*BX162+BY298*BY162+BZ298*BZ162+CA298*CA162+CB298*CB162+CC298*CC162+CD298*CD162+CE298*CE162+CF298*CF162+CG298*CG162+CH298*CH162+CI298*CI162+CJ298*CJ162+CK298*CK162+CL298*CL162+CM298*CM162+CN298*CN162+CO298*CO162+CP298*CP162+CQ298*CQ162+CR298*CR162+CS298*CS162+CT298*CT162+CU298*CU162</f>
        <v>0</v>
      </c>
    </row>
    <row r="163" spans="2:113" ht="18" x14ac:dyDescent="0.25">
      <c r="B163" s="2484">
        <v>10</v>
      </c>
      <c r="C163" s="2398" t="s">
        <v>232</v>
      </c>
      <c r="D163" s="2399" t="s">
        <v>288</v>
      </c>
      <c r="E163" s="3108">
        <f>0</f>
        <v>0</v>
      </c>
      <c r="F163" s="3108">
        <f>0</f>
        <v>0</v>
      </c>
      <c r="G163" s="3108">
        <f>0</f>
        <v>0</v>
      </c>
      <c r="H163" s="3108">
        <f>0</f>
        <v>0</v>
      </c>
      <c r="I163" s="3108">
        <f>0</f>
        <v>0</v>
      </c>
      <c r="J163" s="3108">
        <f>1-f_E</f>
        <v>0.92</v>
      </c>
      <c r="K163" s="3108">
        <f>0</f>
        <v>0</v>
      </c>
      <c r="L163" s="3108">
        <f>0</f>
        <v>0</v>
      </c>
      <c r="M163" s="3108">
        <f>0</f>
        <v>0</v>
      </c>
      <c r="N163" s="3108">
        <f>0</f>
        <v>0</v>
      </c>
      <c r="O163" s="3108">
        <f>0</f>
        <v>0</v>
      </c>
      <c r="P163" s="3108">
        <f>f_E</f>
        <v>0.08</v>
      </c>
      <c r="Q163" s="3108">
        <f>0</f>
        <v>0</v>
      </c>
      <c r="R163" s="3108">
        <f>-1</f>
        <v>-1</v>
      </c>
      <c r="S163" s="3108">
        <f>0</f>
        <v>0</v>
      </c>
      <c r="T163" s="3108">
        <f>0</f>
        <v>0</v>
      </c>
      <c r="U163" s="3108">
        <f>0</f>
        <v>0</v>
      </c>
      <c r="V163" s="3108">
        <f>0</f>
        <v>0</v>
      </c>
      <c r="W163" s="3108">
        <f>0</f>
        <v>0</v>
      </c>
      <c r="X163" s="3108">
        <f>0</f>
        <v>0</v>
      </c>
      <c r="Y163" s="3108">
        <f>0</f>
        <v>0</v>
      </c>
      <c r="Z163" s="3108">
        <f>0</f>
        <v>0</v>
      </c>
      <c r="AA163" s="3108">
        <f>0</f>
        <v>0</v>
      </c>
      <c r="AB163" s="3108">
        <f>0</f>
        <v>0</v>
      </c>
      <c r="AC163" s="3108">
        <f>0</f>
        <v>0</v>
      </c>
      <c r="AD163" s="3107">
        <f>-f_E*(i_N_XE-i_N_BIO)</f>
        <v>8.0000000000000069E-4</v>
      </c>
      <c r="AE163" s="3108">
        <f>0</f>
        <v>0</v>
      </c>
      <c r="AF163" s="3108">
        <f>0</f>
        <v>0</v>
      </c>
      <c r="AG163" s="3108">
        <f>0</f>
        <v>0</v>
      </c>
      <c r="AH163" s="3108">
        <f>0</f>
        <v>0</v>
      </c>
      <c r="AI163" s="3108">
        <f>0</f>
        <v>0</v>
      </c>
      <c r="AJ163" s="3108">
        <f>(1-f_E)*i_N_BIO</f>
        <v>6.4400000000000013E-2</v>
      </c>
      <c r="AK163" s="3108">
        <f>0</f>
        <v>0</v>
      </c>
      <c r="AL163" s="3108">
        <f>0</f>
        <v>0</v>
      </c>
      <c r="AM163" s="3108">
        <f>0</f>
        <v>0</v>
      </c>
      <c r="AN163" s="3108">
        <f>0</f>
        <v>0</v>
      </c>
      <c r="AO163" s="3108">
        <f>0</f>
        <v>0</v>
      </c>
      <c r="AP163" s="3108">
        <f>(1-f_E)*i_P_BIO</f>
        <v>1.84E-2</v>
      </c>
      <c r="AQ163" s="3108">
        <f>0</f>
        <v>0</v>
      </c>
      <c r="AR163" s="3108">
        <f>0</f>
        <v>0</v>
      </c>
      <c r="AS163" s="3108">
        <f>0</f>
        <v>0</v>
      </c>
      <c r="AT163" s="3108">
        <f>0</f>
        <v>0</v>
      </c>
      <c r="AU163" s="3174">
        <f>(1-f_E)*(i_CIT_BIO-i_CIT_XBe)</f>
        <v>6.0720000000000003E-2</v>
      </c>
      <c r="AV163" s="3174">
        <f>0</f>
        <v>0</v>
      </c>
      <c r="AW163" s="3186">
        <f>0</f>
        <v>0</v>
      </c>
      <c r="AX163" s="3186">
        <f>0</f>
        <v>0</v>
      </c>
      <c r="AY163" s="3186">
        <f>0</f>
        <v>0</v>
      </c>
      <c r="AZ163" s="3186">
        <f>0</f>
        <v>0</v>
      </c>
      <c r="BA163" s="3107">
        <f>0</f>
        <v>0</v>
      </c>
      <c r="BB163" s="3107">
        <f>0</f>
        <v>0</v>
      </c>
      <c r="BC163" s="3107">
        <f>(1-f_E)*i_S_BIO-(1-f_E)*i_S_XB</f>
        <v>7.8200000000000006E-3</v>
      </c>
      <c r="BD163" s="3107">
        <f>0</f>
        <v>0</v>
      </c>
      <c r="BE163" s="3107">
        <f>0</f>
        <v>0</v>
      </c>
      <c r="BF163" s="3107">
        <f>0</f>
        <v>0</v>
      </c>
      <c r="BG163" s="3107">
        <f>0</f>
        <v>0</v>
      </c>
      <c r="BH163" s="3107">
        <f>0</f>
        <v>0</v>
      </c>
      <c r="BI163" s="3107">
        <f>0</f>
        <v>0</v>
      </c>
      <c r="BJ163" s="3107">
        <f>0</f>
        <v>0</v>
      </c>
      <c r="BK163" s="3107">
        <f>0</f>
        <v>0</v>
      </c>
      <c r="BL163" s="3107">
        <f>0</f>
        <v>0</v>
      </c>
      <c r="BM163" s="3107">
        <f>0</f>
        <v>0</v>
      </c>
      <c r="BN163" s="3107">
        <f>0</f>
        <v>0</v>
      </c>
      <c r="BO163" s="3107">
        <f>0</f>
        <v>0</v>
      </c>
      <c r="BP163" s="3107">
        <f>0</f>
        <v>0</v>
      </c>
      <c r="BQ163" s="3107">
        <f>0</f>
        <v>0</v>
      </c>
      <c r="BR163" s="3107">
        <f>0</f>
        <v>0</v>
      </c>
      <c r="BS163" s="3107">
        <f>0</f>
        <v>0</v>
      </c>
      <c r="BT163" s="3107">
        <f>0</f>
        <v>0</v>
      </c>
      <c r="BU163" s="3107">
        <f>0</f>
        <v>0</v>
      </c>
      <c r="BV163" s="3107">
        <f>0</f>
        <v>0</v>
      </c>
      <c r="BW163" s="3107">
        <f>0</f>
        <v>0</v>
      </c>
      <c r="BX163" s="3107">
        <f>0</f>
        <v>0</v>
      </c>
      <c r="BY163" s="3107">
        <f>0</f>
        <v>0</v>
      </c>
      <c r="BZ163" s="3186">
        <f>0</f>
        <v>0</v>
      </c>
      <c r="CA163" s="3186">
        <f>0</f>
        <v>0</v>
      </c>
      <c r="CB163" s="3186">
        <f>0</f>
        <v>0</v>
      </c>
      <c r="CC163" s="3186">
        <f>0</f>
        <v>0</v>
      </c>
      <c r="CD163" s="3107">
        <f>0</f>
        <v>0</v>
      </c>
      <c r="CE163" s="3107">
        <f>0</f>
        <v>0</v>
      </c>
      <c r="CF163" s="3107">
        <f>0</f>
        <v>0</v>
      </c>
      <c r="CG163" s="3107">
        <f>0</f>
        <v>0</v>
      </c>
      <c r="CH163" s="3107">
        <f>0</f>
        <v>0</v>
      </c>
      <c r="CI163" s="3107">
        <f>0</f>
        <v>0</v>
      </c>
      <c r="CJ163" s="3107">
        <f>0</f>
        <v>0</v>
      </c>
      <c r="CK163" s="3107">
        <f>0</f>
        <v>0</v>
      </c>
      <c r="CL163" s="3107">
        <f>0</f>
        <v>0</v>
      </c>
      <c r="CM163" s="3107">
        <f>0</f>
        <v>0</v>
      </c>
      <c r="CN163" s="3107">
        <f>0</f>
        <v>0</v>
      </c>
      <c r="CO163" s="3107">
        <f>0</f>
        <v>0</v>
      </c>
      <c r="CP163" s="3107">
        <f>0</f>
        <v>0</v>
      </c>
      <c r="CQ163" s="3107">
        <f>0</f>
        <v>0</v>
      </c>
      <c r="CR163" s="3107">
        <f>0</f>
        <v>0</v>
      </c>
      <c r="CS163" s="3107">
        <f>0</f>
        <v>0</v>
      </c>
      <c r="CT163" s="3107">
        <f>0</f>
        <v>0</v>
      </c>
      <c r="CU163" s="3107">
        <f>0</f>
        <v>0</v>
      </c>
      <c r="CV163" s="3220">
        <f>b_OHO_T*X_OHO*(M_satSO2_KO2_OHO+η_b_anox*M_satSNO2_KNO2_OHO*M_inhSO2_KO2_OHO+η_b_anox*M_satSNO3_KNO3_OHO*M_inhSNO2_KNO2_OHO*M_inhSO2_KO2_OHO)</f>
        <v>298.46511627906978</v>
      </c>
      <c r="CX163" s="2838">
        <f>E287*E163+F287*F163+G287*G163+H287*H163+I287*I163+J287*J163+K287*K163+L287*L163+M287*M163+N287*N163+O287*O163+P287*P163+Q287*Q163+R287*R163+S287*S163+T287*T163+U287*U163+V287*V163+W287*W163+X287*X163+Y287*Y163+Z287*Z163+AA287*AA163+AB287*AB163+AC287*AC163+AD287*AD163+AE287*AE163+AF287*AF163+AG287*AG163+AH287*AH163+AI287*AI163+AJ287*AJ163+AK287*AK163+AL287*AL163+AM287*AM163+AN287*AN163+AO287*AO163+AP287*AP163+AQ287*AQ163+AR287*AR163+AS287*AS163+AT287*AT163+AU287*AU163+AV287*AV163+AW287*AW163+AX287*AX163+AY287*AY163+AZ287*AZ163+BA287*BA163+BB287*BB163+BC287*BC163+BD287*BD163+BE287*BE163+BF287*BF163+BG287*BG163+BH287*BH163+BI287*BI163+BJ287*BJ163+BK287*BK163+BL287*BL163+BM287*BM163+BN287*BN163+BO287*BO163+BP287*BP163+BQ287*BQ163+BR287*BR163+BS287*BS163+BT287*BT163+BU287*BU163+BV287*BV163+BW287*BW163+BX287*BX163+BY287*BY163+BZ287*BZ163+CA287*CA163+CB287*CB163+CC287*CC163+CD287*CD163+CE287*CE163+CF287*CF163+CG287*CG163+CH287*CH163+CI287*CI163+CJ287*CJ163+CK287*CK163+CL287*CL163+CM287*CM163+CN287*CN163+CO287*CO163+CP287*CP163+CQ287*CQ163+CR287*CR163+CS287*CS163+CT287*CT163+CU287*CU163</f>
        <v>0</v>
      </c>
      <c r="CY163" s="2838">
        <f>E288*E163+F288*F163+G288*G163+H288*H163+I288*I163+J288*J163+K288*K163+L288*L163+M288*M163+N288*N163+O288*O163+P288*P163+Q288*Q163+R288*R163+S288*S163+T288*T163+U288*U163+V288*V163+W288*W163+X288*X163+Y288*Y163+Z288*Z163+AA288*AA163+AB288*AB163+AC288*AC163+AD288*AD163+AE288*AE163+AF288*AF163+AG288*AG163+AH288*AH163+AI288*AI163+AJ288*AJ163+AK288*AK163+AL288*AL163+AM288*AM163+AN288*AN163+AO288*AO163+AP288*AP163+AQ288*AQ163+AR288*AR163+AS288*AS163+AT288*AT163+AU288*AU163+AV288*AV163+AW288*AW163+AX288*AX163+AY288*AY163+AZ288*AZ163+BA288*BA163+BB288*BB163+BC288*BC163+BD288*BD163+BE288*BE163+BF288*BF163+BG288*BG163+BH288*BH163+BI288*BI163+BJ288*BJ163+BK288*BK163+BL288*BL163+BM288*BM163+BN288*BN163+BO288*BO163+BP288*BP163+BQ288*BQ163+BR288*BR163+BS288*BS163+BT288*BT163+BU288*BU163+BV288*BV163+BW288*BW163+BX288*BX163+BY288*BY163+BZ288*BZ163+CA288*CA163+CB288*CB163+CC288*CC163+CD288*CD163+CE288*CE163+CF288*CF163+CG288*CG163+CH288*CH163+CI288*CI163+CJ288*CJ163+CK288*CK163+CL288*CL163+CM288*CM163+CN288*CN163+CO288*CO163+CP288*CP163+CQ288*CQ163+CR288*CR163+CS288*CS163+CT288*CT163+CU288*CU163</f>
        <v>6.9388939039072284E-18</v>
      </c>
      <c r="CZ163" s="2839">
        <f>E289*E163+F289*F163+G289*G163+H289*H163+I289*I163+J289*J163+K289*K163+L289*L163+M289*M163+N289*N163+O289*O163+P289*P163+Q289*Q163+R289*R163+S289*S163+T289*T163+U289*U163+V289*V163+W289*W163+X289*X163+Y289*Y163+Z289*Z163+AA289*AA163+AB289*AB163+AC289*AC163+AD289*AD163+AE289*AE163+AF289*AF163+AG289*AG163+AH289*AH163+AI289*AI163+AJ289*AJ163+AK289*AK163+AL289*AL163+AM289*AM163+AN289*AN163+AO289*AO163+AP289*AP163+AQ289*AQ163+AR289*AR163+AS289*AS163+AT289*AT163+AU289*AU163+AV289*AV163+AW289*AW163+AX289*AX163+AY289*AY163+AZ289*AZ163+BA289*BA163+BB289*BB163+BC289*BC163+BD289*BD163+BE289*BE163+BF289*BF163+BG289*BG163+BH289*BH163+BI289*BI163+BJ289*BJ163+BK289*BK163+BL289*BL163+BM289*BM163+BN289*BN163+BO289*BO163+BP289*BP163+BQ289*BQ163+BR289*BR163+BS289*BS163+BT289*BT163+BU289*BU163+BV289*BV163+BW289*BW163+BX289*BX163+BY289*BY163+BZ289*BZ163+CA289*CA163+CB289*CB163+CC289*CC163+CD289*CD163+CE289*CE163+CF289*CF163+CG289*CG163+CH289*CH163+CI289*CI163+CJ289*CJ163+CK289*CK163+CL289*CL163+CM289*CM163+CN289*CN163+CO289*CO163+CP289*CP163+CQ289*CQ163+CR289*CR163+CS289*CS163+CT289*CT163+CU289*CU163</f>
        <v>0</v>
      </c>
      <c r="DA163" s="2840">
        <f>E290*E163+F290*F163+G290*G163+H290*H163+I290*I163+J290*J163+K290*K163+L290*L163+M290*M163+N290*N163+O290*O163+P290*P163+Q290*Q163+R290*R163+S290*S163+T290*T163+U290*U163+V290*V163+W290*W163+X290*X163+Y290*Y163+Z290*Z163+AA290*AA163+AB290*AB163+AC290*AC163+AD290*AD163+AE290*AE163+AF290*AF163+AG290*AG163+AH290*AH163+AI290*AI163+AJ290*AJ163+AK290*AK163+AL290*AL163+AM290*AM163+AN290*AN163+AO290*AO163+AP290*AP163+AQ290*AQ163+AR290*AR163+AS290*AS163+AT290*AT163+AU290*AU163+AV290*AV163+AW290*AW163+AX290*AX163+AY290*AY163+AZ290*AZ163+BA290*BA163+BB290*BB163+BC290*BC163+BD290*BD163+BE290*BE163+BF290*BF163+BG290*BG163+BH290*BH163+BI290*BI163+BJ290*BJ163+BK290*BK163+BL290*BL163+BM290*BM163+BN290*BN163+BO290*BO163+BP290*BP163+BQ290*BQ163+BR290*BR163+BS290*BS163+BT290*BT163+BU290*BU163+BV290*BV163+BW290*BW163+BX290*BX163+BY290*BY163+BZ290*BZ163+CA290*CA163+CB290*CB163+CC290*CC163+CD290*CD163+CE290*CE163+CF290*CF163+CG290*CG163+CH290*CH163+CI290*CI163+CJ290*CJ163+CK290*CK163+CL290*CL163+CM290*CM163+CN290*CN163+CO290*CO163+CP290*CP163+CQ290*CQ163+CR290*CR163+CS290*CS163+CT290*CT163+CU290*CU163</f>
        <v>0</v>
      </c>
      <c r="DB163" s="2840">
        <f>E291*E163+F291*F163+G291*G163+H291*H163+I291*I163+J291*J163+K291*K163+L291*L163+M291*M163+N291*N163+O291*O163+P291*P163+Q291*Q163+R291*R163+S291*S163+T291*T163+U291*U163+V291*V163+W291*W163+X291*X163+Y291*Y163+Z291*Z163+AA291*AA163+AB291*AB163+AC291*AC163+AD291*AD163+AE291*AE163+AF291*AF163+AG291*AG163+AH291*AH163+AI291*AI163+AJ291*AJ163+AK291*AK163+AL291*AL163+AM291*AM163+AN291*AN163+AO291*AO163+AP291*AP163+AQ291*AQ163+AR291*AR163+AS291*AS163+AT291*AT163+AU291*AU163+AV291*AV163+AW291*AW163+AX291*AX163+AY291*AY163+AZ291*AZ163+BA291*BA163+BB291*BB163+BC291*BC163+BD291*BD163+BE291*BE163+BF291*BF163+BG291*BG163+BH291*BH163+BI291*BI163+BJ291*BJ163+BK291*BK163+BL291*BL163+BM291*BM163+BN291*BN163+BO291*BO163+BP291*BP163+BQ291*BQ163+BR291*BR163+BS291*BS163+BT291*BT163+BU291*BU163+BV291*BV163+BW291*BW163+BX291*BX163+BY291*BY163+BZ291*BZ163+CA291*CA163+CB291*CB163+CC291*CC163+CD291*CD163+CE291*CE163+CF291*CF163+CG291*CG163+CH291*CH163+CI291*CI163+CJ291*CJ163+CK291*CK163+CL291*CL163+CM291*CM163+CN291*CN163+CO291*CO163+CP291*CP163+CQ291*CQ163+CR291*CR163+CS291*CS163+CT291*CT163+CU291*CU163</f>
        <v>0</v>
      </c>
      <c r="DC163" s="2840">
        <f>E292*E163+F292*F163+G292*G163+H292*H163+I292*I163+J292*J163+K292*K163+L292*L163+M292*M163+N292*N163+O292*O163+P292*P163+Q292*Q163+R292*R163+S292*S163+T292*T163+U292*U163+V292*V163+W292*W163+X292*X163+Y292*Y163+Z292*Z163+AA292*AA163+AB292*AB163+AC292*AC163+AD292*AD163+AE292*AE163+AF292*AF163+AG292*AG163+AH292*AH163+AI292*AI163+AJ292*AJ163+AK292*AK163+AL292*AL163+AM292*AM163+AN292*AN163+AO292*AO163+AP292*AP163+AQ292*AQ163+AR292*AR163+AS292*AS163+AT292*AT163+AU292*AU163+AV292*AV163+AW292*AW163+AX292*AX163+AY292*AY163+AZ292*AZ163+BA292*BA163+BB292*BB163+BC292*BC163+BD292*BD163+BE292*BE163+BF292*BF163+BG292*BG163+BH292*BH163+BI292*BI163+BJ292*BJ163+BK292*BK163+BL292*BL163+BM292*BM163+BN292*BN163+BO292*BO163+BP292*BP163+BQ292*BQ163+BR292*BR163+BS292*BS163+BT292*BT163+BU292*BU163+BV292*BV163+BW292*BW163+BX292*BX163+BY292*BY163+BZ292*BZ163+CA292*CA163+CB292*CB163+CC292*CC163+CD292*CD163+CE292*CE163+CF292*CF163+CG292*CG163+CH292*CH163+CI292*CI163+CJ292*CJ163+CK292*CK163+CL292*CL163+CM292*CM163+CN292*CN163+CO292*CO163+CP292*CP163+CQ292*CQ163+CR292*CR163+CS292*CS163+CT292*CT163+CU292*CU163</f>
        <v>0</v>
      </c>
      <c r="DD163" s="2840">
        <f>E293*E163+F293*F163+G293*G163+H293*H163+I293*I163+J293*J163+K293*K163+L293*L163+M293*M163+N293*N163+O293*O163+P293*P163+Q293*Q163+R293*R163+S293*S163+T293*T163+U293*U163+V293*V163+W293*W163+X293*X163+Y293*Y163+Z293*Z163+AA293*AA163+AB293*AB163+AC293*AC163+AD293*AD163+AE293*AE163+AF293*AF163+AG293*AG163+AH293*AH163+AI293*AI163+AJ293*AJ163+AK293*AK163+AL293*AL163+AM293*AM163+AN293*AN163+AO293*AO163+AP293*AP163+AQ293*AQ163+AR293*AR163+AS293*AS163+AT293*AT163+AU293*AU163+AV293*AV163+AW293*AW163+AX293*AX163+AY293*AY163+AZ293*AZ163+BA293*BA163+BB293*BB163+BC293*BC163+BD293*BD163+BE293*BE163+BF293*BF163+BG293*BG163+BH293*BH163+BI293*BI163+BJ293*BJ163+BK293*BK163+BL293*BL163+BM293*BM163+BN293*BN163+BO293*BO163+BP293*BP163+BQ293*BQ163+BR293*BR163+BS293*BS163+BT293*BT163+BU293*BU163+BV293*BV163+BW293*BW163+BX293*BX163+BY293*BY163+BZ293*BZ163+CA293*CA163+CB293*CB163+CC293*CC163+CD293*CD163+CE293*CE163+CF293*CF163+CG293*CG163+CH293*CH163+CI293*CI163+CJ293*CJ163+CK293*CK163+CL293*CL163+CM293*CM163+CN293*CN163+CO293*CO163+CP293*CP163+CQ293*CQ163+CR293*CR163+CS293*CS163+CT293*CT163+CU293*CU163</f>
        <v>0</v>
      </c>
      <c r="DE163" s="2840">
        <f>E294*E163+F294*F163+G294*G163+H294*H163+I294*I163+J294*J163+K294*K163+L294*L163+M294*M163+N294*N163+O294*O163+P294*P163+Q294*Q163+R294*R163+S294*S163+T294*T163+U294*U163+V294*V163+W294*W163+X294*X163+Y294*Y163+Z294*Z163+AA294*AA163+AB294*AB163+AC294*AC163+AD294*AD163+AE294*AE163+AF294*AF163+AG294*AG163+AH294*AH163+AI294*AI163+AJ294*AJ163+AK294*AK163+AL294*AL163+AM294*AM163+AN294*AN163+AO294*AO163+AP294*AP163+AQ294*AQ163+AR294*AR163+AS294*AS163+AT294*AT163+AU294*AU163+AV294*AV163+AW294*AW163+AX294*AX163+AY294*AY163+AZ294*AZ163+BA294*BA163+BB294*BB163+BC294*BC163+BD294*BD163+BE294*BE163+BF294*BF163+BG294*BG163+BH294*BH163+BI294*BI163+BJ294*BJ163+BK294*BK163+BL294*BL163+BM294*BM163+BN294*BN163+BO294*BO163+BP294*BP163+BQ294*BQ163+BR294*BR163+BS294*BS163+BT294*BT163+BU294*BU163+BV294*BV163+BW294*BW163+BX294*BX163+BY294*BY163+BZ294*BZ163+CA294*CA163+CB294*CB163+CC294*CC163+CD294*CD163+CE294*CE163+CF294*CF163+CG294*CG163+CH294*CH163+CI294*CI163+CJ294*CJ163+CK294*CK163+CL294*CL163+CM294*CM163+CN294*CN163+CO294*CO163+CP294*CP163+CQ294*CQ163+CR294*CR163+CS294*CS163+CT294*CT163+CU294*CU163</f>
        <v>0</v>
      </c>
      <c r="DF163" s="2840">
        <f>E295*E163+F295*F163+G295*G163+H295*H163+I295*I163+J295*J163+K295*K163+L295*L163+M295*M163+N295*N163+O295*O163+P295*P163+Q295*Q163+R295*R163+S295*S163+T295*T163+U295*U163+V295*V163+W295*W163+X295*X163+Y295*Y163+Z295*Z163+AA295*AA163+AB295*AB163+AC295*AC163+AD295*AD163+AE295*AE163+AF295*AF163+AG295*AG163+AH295*AH163+AI295*AI163+AJ295*AJ163+AK295*AK163+AL295*AL163+AM295*AM163+AN295*AN163+AO295*AO163+AP295*AP163+AQ295*AQ163+AR295*AR163+AS295*AS163+AT295*AT163+AU295*AU163+AV295*AV163+AW295*AW163+AX295*AX163+AY295*AY163+AZ295*AZ163+BA295*BA163+BB295*BB163+BC295*BC163+BD295*BD163+BE295*BE163+BF295*BF163+BG295*BG163+BH295*BH163+BI295*BI163+BJ295*BJ163+BK295*BK163+BL295*BL163+BM295*BM163+BN295*BN163+BO295*BO163+BP295*BP163+BQ295*BQ163+BR295*BR163+BS295*BS163+BT295*BT163+BU295*BU163+BV295*BV163+BW295*BW163+BX295*BX163+BY295*BY163+BZ295*BZ163+CA295*CA163+CB295*CB163+CC295*CC163+CD295*CD163+CE295*CE163+CF295*CF163+CG295*CG163+CH295*CH163+CI295*CI163+CJ295*CJ163+CK295*CK163+CL295*CL163+CM295*CM163+CN295*CN163+CO295*CO163+CP295*CP163+CQ295*CQ163+CR295*CR163+CS295*CS163+CT295*CT163+CU295*CU163</f>
        <v>0</v>
      </c>
      <c r="DG163" s="2840">
        <f>E296*E163+F296*F163+G296*G163+H296*H163+I296*I163+J296*J163+K296*K163+L296*L163+M296*M163+N296*N163+O296*O163+P296*P163+Q296*Q163+R296*R163+S296*S163+T296*T163+U296*U163+V296*V163+W296*W163+X296*X163+Y296*Y163+Z296*Z163+AA296*AA163+AB296*AB163+AC296*AC163+AD296*AD163+AE296*AE163+AF296*AF163+AG296*AG163+AH296*AH163+AI296*AI163+AJ296*AJ163+AK296*AK163+AL296*AL163+AM296*AM163+AN296*AN163+AO296*AO163+AP296*AP163+AQ296*AQ163+AR296*AR163+AS296*AS163+AT296*AT163+AU296*AU163+AV296*AV163+AW296*AW163+AX296*AX163+AY296*AY163+AZ296*AZ163+BA296*BA163+BB296*BB163+BC296*BC163+BD296*BD163+BE296*BE163+BF296*BF163+BG296*BG163+BH296*BH163+BI296*BI163+BJ296*BJ163+BK296*BK163+BL296*BL163+BM296*BM163+BN296*BN163+BO296*BO163+BP296*BP163+BQ296*BQ163+BR296*BR163+BS296*BS163+BT296*BT163+BU296*BU163+BV296*BV163+BW296*BW163+BX296*BX163+BY296*BY163+BZ296*BZ163+CA296*CA163+CB296*CB163+CC296*CC163+CD296*CD163+CE296*CE163+CF296*CF163+CG296*CG163+CH296*CH163+CI296*CI163+CJ296*CJ163+CK296*CK163+CL296*CL163+CM296*CM163+CN296*CN163+CO296*CO163+CP296*CP163+CQ296*CQ163+CR296*CR163+CS296*CS163+CT296*CT163+CU296*CU163</f>
        <v>0</v>
      </c>
      <c r="DH163" s="2840">
        <f>E297*E163+F297*F163+G297*G163+H297*H163+I297*I163+J297*J163+K297*K163+L297*L163+M297*M163+N297*N163+O297*O163+P297*P163+Q297*Q163+R297*R163+S297*S163+T297*T163+U297*U163+V297*V163+W297*W163+X297*X163+Y297*Y163+Z297*Z163+AA297*AA163+AB297*AB163+AC297*AC163+AD297*AD163+AE297*AE163+AF297*AF163+AG297*AG163+AH297*AH163+AI297*AI163+AJ297*AJ163+AK297*AK163+AL297*AL163+AM297*AM163+AN297*AN163+AO297*AO163+AP297*AP163+AQ297*AQ163+AR297*AR163+AS297*AS163+AT297*AT163+AU297*AU163+AV297*AV163+AW297*AW163+AX297*AX163+AY297*AY163+AZ297*AZ163+BA297*BA163+BB297*BB163+BC297*BC163+BD297*BD163+BE297*BE163+BF297*BF163+BG297*BG163+BH297*BH163+BI297*BI163+BJ297*BJ163+BK297*BK163+BL297*BL163+BM297*BM163+BN297*BN163+BO297*BO163+BP297*BP163+BQ297*BQ163+BR297*BR163+BS297*BS163+BT297*BT163+BU297*BU163+BV297*BV163+BW297*BW163+BX297*BX163+BY297*BY163+BZ297*BZ163+CA297*CA163+CB297*CB163+CC297*CC163+CD297*CD163+CE297*CE163+CF297*CF163+CG297*CG163+CH297*CH163+CI297*CI163+CJ297*CJ163+CK297*CK163+CL297*CL163+CM297*CM163+CN297*CN163+CO297*CO163+CP297*CP163+CQ297*CQ163+CR297*CR163+CS297*CS163+CT297*CT163+CU297*CU163</f>
        <v>0</v>
      </c>
      <c r="DI163" s="2840">
        <f>E298*E163+F298*F163+G298*G163+H298*H163+I298*I163+J298*J163+K298*K163+L298*L163+M298*M163+N298*N163+O298*O163+P298*P163+Q298*Q163+R298*R163+S298*S163+T298*T163+U298*U163+V298*V163+W298*W163+X298*X163+Y298*Y163+Z298*Z163+AA298*AA163+AB298*AB163+AC298*AC163+AD298*AD163+AE298*AE163+AF298*AF163+AG298*AG163+AH298*AH163+AI298*AI163+AJ298*AJ163+AK298*AK163+AL298*AL163+AM298*AM163+AN298*AN163+AO298*AO163+AP298*AP163+AQ298*AQ163+AR298*AR163+AS298*AS163+AT298*AT163+AU298*AU163+AV298*AV163+AW298*AW163+AX298*AX163+AY298*AY163+AZ298*AZ163+BA298*BA163+BB298*BB163+BC298*BC163+BD298*BD163+BE298*BE163+BF298*BF163+BG298*BG163+BH298*BH163+BI298*BI163+BJ298*BJ163+BK298*BK163+BL298*BL163+BM298*BM163+BN298*BN163+BO298*BO163+BP298*BP163+BQ298*BQ163+BR298*BR163+BS298*BS163+BT298*BT163+BU298*BU163+BV298*BV163+BW298*BW163+BX298*BX163+BY298*BY163+BZ298*BZ163+CA298*CA163+CB298*CB163+CC298*CC163+CD298*CD163+CE298*CE163+CF298*CF163+CG298*CG163+CH298*CH163+CI298*CI163+CJ298*CJ163+CK298*CK163+CL298*CL163+CM298*CM163+CN298*CN163+CO298*CO163+CP298*CP163+CQ298*CQ163+CR298*CR163+CS298*CS163+CT298*CT163+CU298*CU163</f>
        <v>0</v>
      </c>
    </row>
    <row r="164" spans="2:113" ht="18" x14ac:dyDescent="0.25">
      <c r="B164" s="2484">
        <v>11</v>
      </c>
      <c r="C164" s="2398" t="s">
        <v>233</v>
      </c>
      <c r="D164" s="2399" t="s">
        <v>2993</v>
      </c>
      <c r="E164" s="3108">
        <f>0</f>
        <v>0</v>
      </c>
      <c r="F164" s="3108">
        <f>0</f>
        <v>0</v>
      </c>
      <c r="G164" s="3108">
        <f>0</f>
        <v>0</v>
      </c>
      <c r="H164" s="3108">
        <f>0</f>
        <v>0</v>
      </c>
      <c r="I164" s="3108">
        <f>0</f>
        <v>0</v>
      </c>
      <c r="J164" s="3108">
        <f>1-f_E</f>
        <v>0.92</v>
      </c>
      <c r="K164" s="3108">
        <f>0</f>
        <v>0</v>
      </c>
      <c r="L164" s="3108">
        <f>0</f>
        <v>0</v>
      </c>
      <c r="M164" s="3108">
        <f>0</f>
        <v>0</v>
      </c>
      <c r="N164" s="3108">
        <f>0</f>
        <v>0</v>
      </c>
      <c r="O164" s="3108">
        <f>0</f>
        <v>0</v>
      </c>
      <c r="P164" s="3108">
        <f>0</f>
        <v>0</v>
      </c>
      <c r="Q164" s="3108">
        <f>f_E</f>
        <v>0.08</v>
      </c>
      <c r="R164" s="3108">
        <f>-1</f>
        <v>-1</v>
      </c>
      <c r="S164" s="3108">
        <f>0</f>
        <v>0</v>
      </c>
      <c r="T164" s="3108">
        <f>0</f>
        <v>0</v>
      </c>
      <c r="U164" s="3108">
        <f>0</f>
        <v>0</v>
      </c>
      <c r="V164" s="3108">
        <f>0</f>
        <v>0</v>
      </c>
      <c r="W164" s="3108">
        <f>0</f>
        <v>0</v>
      </c>
      <c r="X164" s="3108">
        <f>0</f>
        <v>0</v>
      </c>
      <c r="Y164" s="3108">
        <f>0</f>
        <v>0</v>
      </c>
      <c r="Z164" s="3108">
        <f>0</f>
        <v>0</v>
      </c>
      <c r="AA164" s="3108">
        <f>0</f>
        <v>0</v>
      </c>
      <c r="AB164" s="3108">
        <f>0</f>
        <v>0</v>
      </c>
      <c r="AC164" s="3108">
        <f>0</f>
        <v>0</v>
      </c>
      <c r="AD164" s="3107">
        <f>-f_E*(i_N_XE-i_N_BIO)</f>
        <v>8.0000000000000069E-4</v>
      </c>
      <c r="AE164" s="3108">
        <f>0</f>
        <v>0</v>
      </c>
      <c r="AF164" s="3108">
        <f>0</f>
        <v>0</v>
      </c>
      <c r="AG164" s="3108">
        <f>0</f>
        <v>0</v>
      </c>
      <c r="AH164" s="3108">
        <f>0</f>
        <v>0</v>
      </c>
      <c r="AI164" s="3108">
        <f>0</f>
        <v>0</v>
      </c>
      <c r="AJ164" s="3108">
        <f>(1-f_E)*i_N_BIO</f>
        <v>6.4400000000000013E-2</v>
      </c>
      <c r="AK164" s="3108">
        <f>0</f>
        <v>0</v>
      </c>
      <c r="AL164" s="3108">
        <f>0</f>
        <v>0</v>
      </c>
      <c r="AM164" s="3108">
        <f>0</f>
        <v>0</v>
      </c>
      <c r="AN164" s="3108">
        <f>0</f>
        <v>0</v>
      </c>
      <c r="AO164" s="3108">
        <f>0</f>
        <v>0</v>
      </c>
      <c r="AP164" s="3108">
        <f>(1-f_E)*i_P_BIO</f>
        <v>1.84E-2</v>
      </c>
      <c r="AQ164" s="3108">
        <f>0</f>
        <v>0</v>
      </c>
      <c r="AR164" s="3108">
        <f>0</f>
        <v>0</v>
      </c>
      <c r="AS164" s="3108">
        <f>0</f>
        <v>0</v>
      </c>
      <c r="AT164" s="3108">
        <f>0</f>
        <v>0</v>
      </c>
      <c r="AU164" s="3174">
        <f>(1-f_E)*(i_CIT_BIO-i_CIT_XBe)</f>
        <v>6.0720000000000003E-2</v>
      </c>
      <c r="AV164" s="3174">
        <f>0</f>
        <v>0</v>
      </c>
      <c r="AW164" s="3186">
        <f>0</f>
        <v>0</v>
      </c>
      <c r="AX164" s="3186">
        <f>0</f>
        <v>0</v>
      </c>
      <c r="AY164" s="3186">
        <f>0</f>
        <v>0</v>
      </c>
      <c r="AZ164" s="3186">
        <f>0</f>
        <v>0</v>
      </c>
      <c r="BA164" s="3107">
        <f>0</f>
        <v>0</v>
      </c>
      <c r="BB164" s="3107">
        <f>0</f>
        <v>0</v>
      </c>
      <c r="BC164" s="3107">
        <f>(1-f_E)*i_S_BIO-(1-f_E)*i_S_XB</f>
        <v>7.8200000000000006E-3</v>
      </c>
      <c r="BD164" s="3107">
        <f>0</f>
        <v>0</v>
      </c>
      <c r="BE164" s="3107">
        <f>0</f>
        <v>0</v>
      </c>
      <c r="BF164" s="3107">
        <f>0</f>
        <v>0</v>
      </c>
      <c r="BG164" s="3107">
        <f>0</f>
        <v>0</v>
      </c>
      <c r="BH164" s="3107">
        <f>0</f>
        <v>0</v>
      </c>
      <c r="BI164" s="3107">
        <f>0</f>
        <v>0</v>
      </c>
      <c r="BJ164" s="3107">
        <f>0</f>
        <v>0</v>
      </c>
      <c r="BK164" s="3107">
        <f>0</f>
        <v>0</v>
      </c>
      <c r="BL164" s="3107">
        <f>0</f>
        <v>0</v>
      </c>
      <c r="BM164" s="3107">
        <f>0</f>
        <v>0</v>
      </c>
      <c r="BN164" s="3107">
        <f>0</f>
        <v>0</v>
      </c>
      <c r="BO164" s="3107">
        <f>0</f>
        <v>0</v>
      </c>
      <c r="BP164" s="3107">
        <f>0</f>
        <v>0</v>
      </c>
      <c r="BQ164" s="3107">
        <f>0</f>
        <v>0</v>
      </c>
      <c r="BR164" s="3107">
        <f>0</f>
        <v>0</v>
      </c>
      <c r="BS164" s="3107">
        <f>0</f>
        <v>0</v>
      </c>
      <c r="BT164" s="3107">
        <f>0</f>
        <v>0</v>
      </c>
      <c r="BU164" s="3107">
        <f>0</f>
        <v>0</v>
      </c>
      <c r="BV164" s="3107">
        <f>0</f>
        <v>0</v>
      </c>
      <c r="BW164" s="3107">
        <f>0</f>
        <v>0</v>
      </c>
      <c r="BX164" s="3107">
        <f>0</f>
        <v>0</v>
      </c>
      <c r="BY164" s="3107">
        <f>0</f>
        <v>0</v>
      </c>
      <c r="BZ164" s="3186">
        <f>0</f>
        <v>0</v>
      </c>
      <c r="CA164" s="3186">
        <f>0</f>
        <v>0</v>
      </c>
      <c r="CB164" s="3186">
        <f>0</f>
        <v>0</v>
      </c>
      <c r="CC164" s="3186">
        <f>0</f>
        <v>0</v>
      </c>
      <c r="CD164" s="3107">
        <f>0</f>
        <v>0</v>
      </c>
      <c r="CE164" s="3107">
        <f>0</f>
        <v>0</v>
      </c>
      <c r="CF164" s="3107">
        <f>0</f>
        <v>0</v>
      </c>
      <c r="CG164" s="3107">
        <f>0</f>
        <v>0</v>
      </c>
      <c r="CH164" s="3107">
        <f>0</f>
        <v>0</v>
      </c>
      <c r="CI164" s="3107">
        <f>0</f>
        <v>0</v>
      </c>
      <c r="CJ164" s="3107">
        <f>0</f>
        <v>0</v>
      </c>
      <c r="CK164" s="3107">
        <f>0</f>
        <v>0</v>
      </c>
      <c r="CL164" s="3107">
        <f>0</f>
        <v>0</v>
      </c>
      <c r="CM164" s="3107">
        <f>0</f>
        <v>0</v>
      </c>
      <c r="CN164" s="3107">
        <f>0</f>
        <v>0</v>
      </c>
      <c r="CO164" s="3107">
        <f>0</f>
        <v>0</v>
      </c>
      <c r="CP164" s="3107">
        <f>0</f>
        <v>0</v>
      </c>
      <c r="CQ164" s="3107">
        <f>0</f>
        <v>0</v>
      </c>
      <c r="CR164" s="3107">
        <f>0</f>
        <v>0</v>
      </c>
      <c r="CS164" s="3107">
        <f>0</f>
        <v>0</v>
      </c>
      <c r="CT164" s="3107">
        <f>0</f>
        <v>0</v>
      </c>
      <c r="CU164" s="3107">
        <f>0</f>
        <v>0</v>
      </c>
      <c r="CV164" s="3220">
        <f>b_OHO_T*X_OHO*η_b_ana*M_inhSNO2_KNO2_OHO*M_inhSNO3_KNO3_OHO*M_inhSO2_KO2_OHO</f>
        <v>0.3604651162790698</v>
      </c>
      <c r="CX164" s="2838">
        <f>E287*E164+F287*F164+G287*G164+H287*H164+I287*I164+J287*J164+K287*K164+L287*L164+M287*M164+N287*N164+O287*O164+P287*P164+Q287*Q164+R287*R164+S287*S164+T287*T164+U287*U164+V287*V164+W287*W164+X287*X164+Y287*Y164+Z287*Z164+AA287*AA164+AB287*AB164+AC287*AC164+AD287*AD164+AE287*AE164+AF287*AF164+AG287*AG164+AH287*AH164+AI287*AI164+AJ287*AJ164+AK287*AK164+AL287*AL164+AM287*AM164+AN287*AN164+AO287*AO164+AP287*AP164+AQ287*AQ164+AR287*AR164+AS287*AS164+AT287*AT164+AU287*AU164+AV287*AV164+AW287*AW164+AX287*AX164+AY287*AY164+AZ287*AZ164+BA287*BA164+BB287*BB164+BC287*BC164+BD287*BD164+BE287*BE164+BF287*BF164+BG287*BG164+BH287*BH164+BI287*BI164+BJ287*BJ164+BK287*BK164+BL287*BL164+BM287*BM164+BN287*BN164+BO287*BO164+BP287*BP164+BQ287*BQ164+BR287*BR164+BS287*BS164+BT287*BT164+BU287*BU164+BV287*BV164+BW287*BW164+BX287*BX164+BY287*BY164+BZ287*BZ164+CA287*CA164+CB287*CB164+CC287*CC164+CD287*CD164+CE287*CE164+CF287*CF164+CG287*CG164+CH287*CH164+CI287*CI164+CJ287*CJ164+CK287*CK164+CL287*CL164+CM287*CM164+CN287*CN164+CO287*CO164+CP287*CP164+CQ287*CQ164+CR287*CR164+CS287*CS164+CT287*CT164+CU287*CU164</f>
        <v>0</v>
      </c>
      <c r="CY164" s="2838">
        <f>E288*E164+F288*F164+G288*G164+H288*H164+I288*I164+J288*J164+K288*K164+L288*L164+M288*M164+N288*N164+O288*O164+P288*P164+Q288*Q164+R288*R164+S288*S164+T288*T164+U288*U164+V288*V164+W288*W164+X288*X164+Y288*Y164+Z288*Z164+AA288*AA164+AB288*AB164+AC288*AC164+AD288*AD164+AE288*AE164+AF288*AF164+AG288*AG164+AH288*AH164+AI288*AI164+AJ288*AJ164+AK288*AK164+AL288*AL164+AM288*AM164+AN288*AN164+AO288*AO164+AP288*AP164+AQ288*AQ164+AR288*AR164+AS288*AS164+AT288*AT164+AU288*AU164+AV288*AV164+AW288*AW164+AX288*AX164+AY288*AY164+AZ288*AZ164+BA288*BA164+BB288*BB164+BC288*BC164+BD288*BD164+BE288*BE164+BF288*BF164+BG288*BG164+BH288*BH164+BI288*BI164+BJ288*BJ164+BK288*BK164+BL288*BL164+BM288*BM164+BN288*BN164+BO288*BO164+BP288*BP164+BQ288*BQ164+BR288*BR164+BS288*BS164+BT288*BT164+BU288*BU164+BV288*BV164+BW288*BW164+BX288*BX164+BY288*BY164+BZ288*BZ164+CA288*CA164+CB288*CB164+CC288*CC164+CD288*CD164+CE288*CE164+CF288*CF164+CG288*CG164+CH288*CH164+CI288*CI164+CJ288*CJ164+CK288*CK164+CL288*CL164+CM288*CM164+CN288*CN164+CO288*CO164+CP288*CP164+CQ288*CQ164+CR288*CR164+CS288*CS164+CT288*CT164+CU288*CU164</f>
        <v>6.9388939039072284E-18</v>
      </c>
      <c r="CZ164" s="2839">
        <f>E289*E164+F289*F164+G289*G164+H289*H164+I289*I164+J289*J164+K289*K164+L289*L164+M289*M164+N289*N164+O289*O164+P289*P164+Q289*Q164+R289*R164+S289*S164+T289*T164+U289*U164+V289*V164+W289*W164+X289*X164+Y289*Y164+Z289*Z164+AA289*AA164+AB289*AB164+AC289*AC164+AD289*AD164+AE289*AE164+AF289*AF164+AG289*AG164+AH289*AH164+AI289*AI164+AJ289*AJ164+AK289*AK164+AL289*AL164+AM289*AM164+AN289*AN164+AO289*AO164+AP289*AP164+AQ289*AQ164+AR289*AR164+AS289*AS164+AT289*AT164+AU289*AU164+AV289*AV164+AW289*AW164+AX289*AX164+AY289*AY164+AZ289*AZ164+BA289*BA164+BB289*BB164+BC289*BC164+BD289*BD164+BE289*BE164+BF289*BF164+BG289*BG164+BH289*BH164+BI289*BI164+BJ289*BJ164+BK289*BK164+BL289*BL164+BM289*BM164+BN289*BN164+BO289*BO164+BP289*BP164+BQ289*BQ164+BR289*BR164+BS289*BS164+BT289*BT164+BU289*BU164+BV289*BV164+BW289*BW164+BX289*BX164+BY289*BY164+BZ289*BZ164+CA289*CA164+CB289*CB164+CC289*CC164+CD289*CD164+CE289*CE164+CF289*CF164+CG289*CG164+CH289*CH164+CI289*CI164+CJ289*CJ164+CK289*CK164+CL289*CL164+CM289*CM164+CN289*CN164+CO289*CO164+CP289*CP164+CQ289*CQ164+CR289*CR164+CS289*CS164+CT289*CT164+CU289*CU164</f>
        <v>0</v>
      </c>
      <c r="DA164" s="2840">
        <f>E290*E164+F290*F164+G290*G164+H290*H164+I290*I164+J290*J164+K290*K164+L290*L164+M290*M164+N290*N164+O290*O164+P290*P164+Q290*Q164+R290*R164+S290*S164+T290*T164+U290*U164+V290*V164+W290*W164+X290*X164+Y290*Y164+Z290*Z164+AA290*AA164+AB290*AB164+AC290*AC164+AD290*AD164+AE290*AE164+AF290*AF164+AG290*AG164+AH290*AH164+AI290*AI164+AJ290*AJ164+AK290*AK164+AL290*AL164+AM290*AM164+AN290*AN164+AO290*AO164+AP290*AP164+AQ290*AQ164+AR290*AR164+AS290*AS164+AT290*AT164+AU290*AU164+AV290*AV164+AW290*AW164+AX290*AX164+AY290*AY164+AZ290*AZ164+BA290*BA164+BB290*BB164+BC290*BC164+BD290*BD164+BE290*BE164+BF290*BF164+BG290*BG164+BH290*BH164+BI290*BI164+BJ290*BJ164+BK290*BK164+BL290*BL164+BM290*BM164+BN290*BN164+BO290*BO164+BP290*BP164+BQ290*BQ164+BR290*BR164+BS290*BS164+BT290*BT164+BU290*BU164+BV290*BV164+BW290*BW164+BX290*BX164+BY290*BY164+BZ290*BZ164+CA290*CA164+CB290*CB164+CC290*CC164+CD290*CD164+CE290*CE164+CF290*CF164+CG290*CG164+CH290*CH164+CI290*CI164+CJ290*CJ164+CK290*CK164+CL290*CL164+CM290*CM164+CN290*CN164+CO290*CO164+CP290*CP164+CQ290*CQ164+CR290*CR164+CS290*CS164+CT290*CT164+CU290*CU164</f>
        <v>0</v>
      </c>
      <c r="DB164" s="2840">
        <f>E291*E164+F291*F164+G291*G164+H291*H164+I291*I164+J291*J164+K291*K164+L291*L164+M291*M164+N291*N164+O291*O164+P291*P164+Q291*Q164+R291*R164+S291*S164+T291*T164+U291*U164+V291*V164+W291*W164+X291*X164+Y291*Y164+Z291*Z164+AA291*AA164+AB291*AB164+AC291*AC164+AD291*AD164+AE291*AE164+AF291*AF164+AG291*AG164+AH291*AH164+AI291*AI164+AJ291*AJ164+AK291*AK164+AL291*AL164+AM291*AM164+AN291*AN164+AO291*AO164+AP291*AP164+AQ291*AQ164+AR291*AR164+AS291*AS164+AT291*AT164+AU291*AU164+AV291*AV164+AW291*AW164+AX291*AX164+AY291*AY164+AZ291*AZ164+BA291*BA164+BB291*BB164+BC291*BC164+BD291*BD164+BE291*BE164+BF291*BF164+BG291*BG164+BH291*BH164+BI291*BI164+BJ291*BJ164+BK291*BK164+BL291*BL164+BM291*BM164+BN291*BN164+BO291*BO164+BP291*BP164+BQ291*BQ164+BR291*BR164+BS291*BS164+BT291*BT164+BU291*BU164+BV291*BV164+BW291*BW164+BX291*BX164+BY291*BY164+BZ291*BZ164+CA291*CA164+CB291*CB164+CC291*CC164+CD291*CD164+CE291*CE164+CF291*CF164+CG291*CG164+CH291*CH164+CI291*CI164+CJ291*CJ164+CK291*CK164+CL291*CL164+CM291*CM164+CN291*CN164+CO291*CO164+CP291*CP164+CQ291*CQ164+CR291*CR164+CS291*CS164+CT291*CT164+CU291*CU164</f>
        <v>0</v>
      </c>
      <c r="DC164" s="2840">
        <f>E292*E164+F292*F164+G292*G164+H292*H164+I292*I164+J292*J164+K292*K164+L292*L164+M292*M164+N292*N164+O292*O164+P292*P164+Q292*Q164+R292*R164+S292*S164+T292*T164+U292*U164+V292*V164+W292*W164+X292*X164+Y292*Y164+Z292*Z164+AA292*AA164+AB292*AB164+AC292*AC164+AD292*AD164+AE292*AE164+AF292*AF164+AG292*AG164+AH292*AH164+AI292*AI164+AJ292*AJ164+AK292*AK164+AL292*AL164+AM292*AM164+AN292*AN164+AO292*AO164+AP292*AP164+AQ292*AQ164+AR292*AR164+AS292*AS164+AT292*AT164+AU292*AU164+AV292*AV164+AW292*AW164+AX292*AX164+AY292*AY164+AZ292*AZ164+BA292*BA164+BB292*BB164+BC292*BC164+BD292*BD164+BE292*BE164+BF292*BF164+BG292*BG164+BH292*BH164+BI292*BI164+BJ292*BJ164+BK292*BK164+BL292*BL164+BM292*BM164+BN292*BN164+BO292*BO164+BP292*BP164+BQ292*BQ164+BR292*BR164+BS292*BS164+BT292*BT164+BU292*BU164+BV292*BV164+BW292*BW164+BX292*BX164+BY292*BY164+BZ292*BZ164+CA292*CA164+CB292*CB164+CC292*CC164+CD292*CD164+CE292*CE164+CF292*CF164+CG292*CG164+CH292*CH164+CI292*CI164+CJ292*CJ164+CK292*CK164+CL292*CL164+CM292*CM164+CN292*CN164+CO292*CO164+CP292*CP164+CQ292*CQ164+CR292*CR164+CS292*CS164+CT292*CT164+CU292*CU164</f>
        <v>0</v>
      </c>
      <c r="DD164" s="2840">
        <f>E293*E164+F293*F164+G293*G164+H293*H164+I293*I164+J293*J164+K293*K164+L293*L164+M293*M164+N293*N164+O293*O164+P293*P164+Q293*Q164+R293*R164+S293*S164+T293*T164+U293*U164+V293*V164+W293*W164+X293*X164+Y293*Y164+Z293*Z164+AA293*AA164+AB293*AB164+AC293*AC164+AD293*AD164+AE293*AE164+AF293*AF164+AG293*AG164+AH293*AH164+AI293*AI164+AJ293*AJ164+AK293*AK164+AL293*AL164+AM293*AM164+AN293*AN164+AO293*AO164+AP293*AP164+AQ293*AQ164+AR293*AR164+AS293*AS164+AT293*AT164+AU293*AU164+AV293*AV164+AW293*AW164+AX293*AX164+AY293*AY164+AZ293*AZ164+BA293*BA164+BB293*BB164+BC293*BC164+BD293*BD164+BE293*BE164+BF293*BF164+BG293*BG164+BH293*BH164+BI293*BI164+BJ293*BJ164+BK293*BK164+BL293*BL164+BM293*BM164+BN293*BN164+BO293*BO164+BP293*BP164+BQ293*BQ164+BR293*BR164+BS293*BS164+BT293*BT164+BU293*BU164+BV293*BV164+BW293*BW164+BX293*BX164+BY293*BY164+BZ293*BZ164+CA293*CA164+CB293*CB164+CC293*CC164+CD293*CD164+CE293*CE164+CF293*CF164+CG293*CG164+CH293*CH164+CI293*CI164+CJ293*CJ164+CK293*CK164+CL293*CL164+CM293*CM164+CN293*CN164+CO293*CO164+CP293*CP164+CQ293*CQ164+CR293*CR164+CS293*CS164+CT293*CT164+CU293*CU164</f>
        <v>0</v>
      </c>
      <c r="DE164" s="2840">
        <f>E294*E164+F294*F164+G294*G164+H294*H164+I294*I164+J294*J164+K294*K164+L294*L164+M294*M164+N294*N164+O294*O164+P294*P164+Q294*Q164+R294*R164+S294*S164+T294*T164+U294*U164+V294*V164+W294*W164+X294*X164+Y294*Y164+Z294*Z164+AA294*AA164+AB294*AB164+AC294*AC164+AD294*AD164+AE294*AE164+AF294*AF164+AG294*AG164+AH294*AH164+AI294*AI164+AJ294*AJ164+AK294*AK164+AL294*AL164+AM294*AM164+AN294*AN164+AO294*AO164+AP294*AP164+AQ294*AQ164+AR294*AR164+AS294*AS164+AT294*AT164+AU294*AU164+AV294*AV164+AW294*AW164+AX294*AX164+AY294*AY164+AZ294*AZ164+BA294*BA164+BB294*BB164+BC294*BC164+BD294*BD164+BE294*BE164+BF294*BF164+BG294*BG164+BH294*BH164+BI294*BI164+BJ294*BJ164+BK294*BK164+BL294*BL164+BM294*BM164+BN294*BN164+BO294*BO164+BP294*BP164+BQ294*BQ164+BR294*BR164+BS294*BS164+BT294*BT164+BU294*BU164+BV294*BV164+BW294*BW164+BX294*BX164+BY294*BY164+BZ294*BZ164+CA294*CA164+CB294*CB164+CC294*CC164+CD294*CD164+CE294*CE164+CF294*CF164+CG294*CG164+CH294*CH164+CI294*CI164+CJ294*CJ164+CK294*CK164+CL294*CL164+CM294*CM164+CN294*CN164+CO294*CO164+CP294*CP164+CQ294*CQ164+CR294*CR164+CS294*CS164+CT294*CT164+CU294*CU164</f>
        <v>0</v>
      </c>
      <c r="DF164" s="2840">
        <f>E295*E164+F295*F164+G295*G164+H295*H164+I295*I164+J295*J164+K295*K164+L295*L164+M295*M164+N295*N164+O295*O164+P295*P164+Q295*Q164+R295*R164+S295*S164+T295*T164+U295*U164+V295*V164+W295*W164+X295*X164+Y295*Y164+Z295*Z164+AA295*AA164+AB295*AB164+AC295*AC164+AD295*AD164+AE295*AE164+AF295*AF164+AG295*AG164+AH295*AH164+AI295*AI164+AJ295*AJ164+AK295*AK164+AL295*AL164+AM295*AM164+AN295*AN164+AO295*AO164+AP295*AP164+AQ295*AQ164+AR295*AR164+AS295*AS164+AT295*AT164+AU295*AU164+AV295*AV164+AW295*AW164+AX295*AX164+AY295*AY164+AZ295*AZ164+BA295*BA164+BB295*BB164+BC295*BC164+BD295*BD164+BE295*BE164+BF295*BF164+BG295*BG164+BH295*BH164+BI295*BI164+BJ295*BJ164+BK295*BK164+BL295*BL164+BM295*BM164+BN295*BN164+BO295*BO164+BP295*BP164+BQ295*BQ164+BR295*BR164+BS295*BS164+BT295*BT164+BU295*BU164+BV295*BV164+BW295*BW164+BX295*BX164+BY295*BY164+BZ295*BZ164+CA295*CA164+CB295*CB164+CC295*CC164+CD295*CD164+CE295*CE164+CF295*CF164+CG295*CG164+CH295*CH164+CI295*CI164+CJ295*CJ164+CK295*CK164+CL295*CL164+CM295*CM164+CN295*CN164+CO295*CO164+CP295*CP164+CQ295*CQ164+CR295*CR164+CS295*CS164+CT295*CT164+CU295*CU164</f>
        <v>0</v>
      </c>
      <c r="DG164" s="2840">
        <f>E296*E164+F296*F164+G296*G164+H296*H164+I296*I164+J296*J164+K296*K164+L296*L164+M296*M164+N296*N164+O296*O164+P296*P164+Q296*Q164+R296*R164+S296*S164+T296*T164+U296*U164+V296*V164+W296*W164+X296*X164+Y296*Y164+Z296*Z164+AA296*AA164+AB296*AB164+AC296*AC164+AD296*AD164+AE296*AE164+AF296*AF164+AG296*AG164+AH296*AH164+AI296*AI164+AJ296*AJ164+AK296*AK164+AL296*AL164+AM296*AM164+AN296*AN164+AO296*AO164+AP296*AP164+AQ296*AQ164+AR296*AR164+AS296*AS164+AT296*AT164+AU296*AU164+AV296*AV164+AW296*AW164+AX296*AX164+AY296*AY164+AZ296*AZ164+BA296*BA164+BB296*BB164+BC296*BC164+BD296*BD164+BE296*BE164+BF296*BF164+BG296*BG164+BH296*BH164+BI296*BI164+BJ296*BJ164+BK296*BK164+BL296*BL164+BM296*BM164+BN296*BN164+BO296*BO164+BP296*BP164+BQ296*BQ164+BR296*BR164+BS296*BS164+BT296*BT164+BU296*BU164+BV296*BV164+BW296*BW164+BX296*BX164+BY296*BY164+BZ296*BZ164+CA296*CA164+CB296*CB164+CC296*CC164+CD296*CD164+CE296*CE164+CF296*CF164+CG296*CG164+CH296*CH164+CI296*CI164+CJ296*CJ164+CK296*CK164+CL296*CL164+CM296*CM164+CN296*CN164+CO296*CO164+CP296*CP164+CQ296*CQ164+CR296*CR164+CS296*CS164+CT296*CT164+CU296*CU164</f>
        <v>0</v>
      </c>
      <c r="DH164" s="2840">
        <f>E297*E164+F297*F164+G297*G164+H297*H164+I297*I164+J297*J164+K297*K164+L297*L164+M297*M164+N297*N164+O297*O164+P297*P164+Q297*Q164+R297*R164+S297*S164+T297*T164+U297*U164+V297*V164+W297*W164+X297*X164+Y297*Y164+Z297*Z164+AA297*AA164+AB297*AB164+AC297*AC164+AD297*AD164+AE297*AE164+AF297*AF164+AG297*AG164+AH297*AH164+AI297*AI164+AJ297*AJ164+AK297*AK164+AL297*AL164+AM297*AM164+AN297*AN164+AO297*AO164+AP297*AP164+AQ297*AQ164+AR297*AR164+AS297*AS164+AT297*AT164+AU297*AU164+AV297*AV164+AW297*AW164+AX297*AX164+AY297*AY164+AZ297*AZ164+BA297*BA164+BB297*BB164+BC297*BC164+BD297*BD164+BE297*BE164+BF297*BF164+BG297*BG164+BH297*BH164+BI297*BI164+BJ297*BJ164+BK297*BK164+BL297*BL164+BM297*BM164+BN297*BN164+BO297*BO164+BP297*BP164+BQ297*BQ164+BR297*BR164+BS297*BS164+BT297*BT164+BU297*BU164+BV297*BV164+BW297*BW164+BX297*BX164+BY297*BY164+BZ297*BZ164+CA297*CA164+CB297*CB164+CC297*CC164+CD297*CD164+CE297*CE164+CF297*CF164+CG297*CG164+CH297*CH164+CI297*CI164+CJ297*CJ164+CK297*CK164+CL297*CL164+CM297*CM164+CN297*CN164+CO297*CO164+CP297*CP164+CQ297*CQ164+CR297*CR164+CS297*CS164+CT297*CT164+CU297*CU164</f>
        <v>0</v>
      </c>
      <c r="DI164" s="2840">
        <f>E298*E164+F298*F164+G298*G164+H298*H164+I298*I164+J298*J164+K298*K164+L298*L164+M298*M164+N298*N164+O298*O164+P298*P164+Q298*Q164+R298*R164+S298*S164+T298*T164+U298*U164+V298*V164+W298*W164+X298*X164+Y298*Y164+Z298*Z164+AA298*AA164+AB298*AB164+AC298*AC164+AD298*AD164+AE298*AE164+AF298*AF164+AG298*AG164+AH298*AH164+AI298*AI164+AJ298*AJ164+AK298*AK164+AL298*AL164+AM298*AM164+AN298*AN164+AO298*AO164+AP298*AP164+AQ298*AQ164+AR298*AR164+AS298*AS164+AT298*AT164+AU298*AU164+AV298*AV164+AW298*AW164+AX298*AX164+AY298*AY164+AZ298*AZ164+BA298*BA164+BB298*BB164+BC298*BC164+BD298*BD164+BE298*BE164+BF298*BF164+BG298*BG164+BH298*BH164+BI298*BI164+BJ298*BJ164+BK298*BK164+BL298*BL164+BM298*BM164+BN298*BN164+BO298*BO164+BP298*BP164+BQ298*BQ164+BR298*BR164+BS298*BS164+BT298*BT164+BU298*BU164+BV298*BV164+BW298*BW164+BX298*BX164+BY298*BY164+BZ298*BZ164+CA298*CA164+CB298*CB164+CC298*CC164+CD298*CD164+CE298*CE164+CF298*CF164+CG298*CG164+CH298*CH164+CI298*CI164+CJ298*CJ164+CK298*CK164+CL298*CL164+CM298*CM164+CN298*CN164+CO298*CO164+CP298*CP164+CQ298*CQ164+CR298*CR164+CS298*CS164+CT298*CT164+CU298*CU164</f>
        <v>0</v>
      </c>
    </row>
    <row r="165" spans="2:113" ht="18" x14ac:dyDescent="0.25">
      <c r="B165" s="2487">
        <v>12</v>
      </c>
      <c r="C165" s="2402" t="s">
        <v>234</v>
      </c>
      <c r="D165" s="2403" t="s">
        <v>2228</v>
      </c>
      <c r="E165" s="3109">
        <f>0</f>
        <v>0</v>
      </c>
      <c r="F165" s="3109">
        <f>0</f>
        <v>0</v>
      </c>
      <c r="G165" s="3140">
        <f>-1/Y_MEOLO</f>
        <v>-2.5</v>
      </c>
      <c r="H165" s="3109">
        <f>0</f>
        <v>0</v>
      </c>
      <c r="I165" s="3109">
        <f>0</f>
        <v>0</v>
      </c>
      <c r="J165" s="3109">
        <f>0</f>
        <v>0</v>
      </c>
      <c r="K165" s="3109">
        <f>0</f>
        <v>0</v>
      </c>
      <c r="L165" s="3109">
        <f>0</f>
        <v>0</v>
      </c>
      <c r="M165" s="3109">
        <f>0</f>
        <v>0</v>
      </c>
      <c r="N165" s="3109">
        <f>0</f>
        <v>0</v>
      </c>
      <c r="O165" s="3109">
        <f>0</f>
        <v>0</v>
      </c>
      <c r="P165" s="3109">
        <f>0</f>
        <v>0</v>
      </c>
      <c r="Q165" s="3109">
        <f>0</f>
        <v>0</v>
      </c>
      <c r="R165" s="3109">
        <f>0</f>
        <v>0</v>
      </c>
      <c r="S165" s="3109">
        <f>0</f>
        <v>0</v>
      </c>
      <c r="T165" s="3109">
        <f>1</f>
        <v>1</v>
      </c>
      <c r="U165" s="3109">
        <f>0</f>
        <v>0</v>
      </c>
      <c r="V165" s="3109">
        <f>0</f>
        <v>0</v>
      </c>
      <c r="W165" s="3109">
        <f>0</f>
        <v>0</v>
      </c>
      <c r="X165" s="3109">
        <f>0</f>
        <v>0</v>
      </c>
      <c r="Y165" s="3109">
        <f>0</f>
        <v>0</v>
      </c>
      <c r="Z165" s="3109">
        <f>0</f>
        <v>0</v>
      </c>
      <c r="AA165" s="3109">
        <f>0</f>
        <v>0</v>
      </c>
      <c r="AB165" s="3109">
        <f>0</f>
        <v>0</v>
      </c>
      <c r="AC165" s="3109">
        <f>0</f>
        <v>0</v>
      </c>
      <c r="AD165" s="3109">
        <f>-i_N_BIO</f>
        <v>-7.0000000000000007E-2</v>
      </c>
      <c r="AE165" s="3140">
        <f>-(1-Y_MEOLO)/(E_EQN2_NO2*Y_MEOLO)</f>
        <v>-0.87545157943422891</v>
      </c>
      <c r="AF165" s="3140">
        <f>0</f>
        <v>0</v>
      </c>
      <c r="AG165" s="3140">
        <f>(1-Y_MEOLO)/(E_EQN2_NO2*Y_MEOLO)</f>
        <v>0.87545157943422891</v>
      </c>
      <c r="AH165" s="3109">
        <f>0</f>
        <v>0</v>
      </c>
      <c r="AI165" s="3109">
        <f>0</f>
        <v>0</v>
      </c>
      <c r="AJ165" s="3109">
        <f>0</f>
        <v>0</v>
      </c>
      <c r="AK165" s="3109">
        <f>0</f>
        <v>0</v>
      </c>
      <c r="AL165" s="3140">
        <f>-i_P_BIO</f>
        <v>-0.02</v>
      </c>
      <c r="AM165" s="3109">
        <f>0</f>
        <v>0</v>
      </c>
      <c r="AN165" s="3109">
        <f>0</f>
        <v>0</v>
      </c>
      <c r="AO165" s="3109">
        <f>0</f>
        <v>0</v>
      </c>
      <c r="AP165" s="3109">
        <f>0</f>
        <v>0</v>
      </c>
      <c r="AQ165" s="3109">
        <f>0</f>
        <v>0</v>
      </c>
      <c r="AR165" s="3109">
        <f>0</f>
        <v>0</v>
      </c>
      <c r="AS165" s="3109">
        <f>0</f>
        <v>0</v>
      </c>
      <c r="AT165" s="3109">
        <f>0</f>
        <v>0</v>
      </c>
      <c r="AU165" s="3140">
        <f>i_CIT_MEOL/Y_MEOLO-i_CIT_BIO</f>
        <v>0.27300000000000002</v>
      </c>
      <c r="AV165" s="3140">
        <f>i_INORG</f>
        <v>0.11</v>
      </c>
      <c r="AW165" s="3140">
        <f>-i_INORG*(1-i_Ca_INORG*(A_MCa+2*A_MCl)/A_MCa-i_Mg_INORG*(A_MMg+2*A_MCl)/A_MMg)*f_Na</f>
        <v>-2.8804303582798466E-2</v>
      </c>
      <c r="AX165" s="3140">
        <f>-i_INORG*(i_Ca_INORG*(2*A_MCl)/A_MCa+i_Mg_INORG*(2*A_MCl)/A_MMg)-i_INORG*(1-i_Ca_INORG*(A_MCa+2*A_MCl)/A_MCa-i_Mg_INORG*(A_MMg+2*A_MCl)/A_MMg)*(1-f_Na)</f>
        <v>-7.0195696417201539E-2</v>
      </c>
      <c r="AY165" s="3140">
        <f>-i_INORG*i_Ca_INORG</f>
        <v>-5.5000000000000005E-3</v>
      </c>
      <c r="AZ165" s="3140">
        <f>-i_INORG*i_Mg_INORG</f>
        <v>-5.5000000000000005E-3</v>
      </c>
      <c r="BA165" s="3140">
        <f>0</f>
        <v>0</v>
      </c>
      <c r="BB165" s="3140">
        <f>0</f>
        <v>0</v>
      </c>
      <c r="BC165" s="3140">
        <f>-i_S_BIO</f>
        <v>-0.01</v>
      </c>
      <c r="BD165" s="3140">
        <f>0</f>
        <v>0</v>
      </c>
      <c r="BE165" s="3140">
        <f>0</f>
        <v>0</v>
      </c>
      <c r="BF165" s="3140">
        <f>0</f>
        <v>0</v>
      </c>
      <c r="BG165" s="3140">
        <f>0</f>
        <v>0</v>
      </c>
      <c r="BH165" s="3140">
        <f>0</f>
        <v>0</v>
      </c>
      <c r="BI165" s="3140">
        <f>0</f>
        <v>0</v>
      </c>
      <c r="BJ165" s="3140">
        <f>0</f>
        <v>0</v>
      </c>
      <c r="BK165" s="3140">
        <f>0</f>
        <v>0</v>
      </c>
      <c r="BL165" s="3140">
        <f>0</f>
        <v>0</v>
      </c>
      <c r="BM165" s="3140">
        <f>0</f>
        <v>0</v>
      </c>
      <c r="BN165" s="3140">
        <f>0</f>
        <v>0</v>
      </c>
      <c r="BO165" s="3140">
        <f>0</f>
        <v>0</v>
      </c>
      <c r="BP165" s="3140">
        <f>0</f>
        <v>0</v>
      </c>
      <c r="BQ165" s="3140">
        <f>0</f>
        <v>0</v>
      </c>
      <c r="BR165" s="3140">
        <f>0</f>
        <v>0</v>
      </c>
      <c r="BS165" s="3140">
        <f>0</f>
        <v>0</v>
      </c>
      <c r="BT165" s="3140">
        <f>0</f>
        <v>0</v>
      </c>
      <c r="BU165" s="3140">
        <f>0</f>
        <v>0</v>
      </c>
      <c r="BV165" s="3140">
        <f>0</f>
        <v>0</v>
      </c>
      <c r="BW165" s="3140">
        <f>0</f>
        <v>0</v>
      </c>
      <c r="BX165" s="3140">
        <f>0</f>
        <v>0</v>
      </c>
      <c r="BY165" s="3140">
        <f>0</f>
        <v>0</v>
      </c>
      <c r="BZ165" s="3187">
        <f>0</f>
        <v>0</v>
      </c>
      <c r="CA165" s="3187">
        <f>0</f>
        <v>0</v>
      </c>
      <c r="CB165" s="3187">
        <f>0</f>
        <v>0</v>
      </c>
      <c r="CC165" s="3187">
        <f>0</f>
        <v>0</v>
      </c>
      <c r="CD165" s="3140">
        <f>0</f>
        <v>0</v>
      </c>
      <c r="CE165" s="3140">
        <f>0</f>
        <v>0</v>
      </c>
      <c r="CF165" s="3140">
        <f>0</f>
        <v>0</v>
      </c>
      <c r="CG165" s="3140">
        <f>0</f>
        <v>0</v>
      </c>
      <c r="CH165" s="3140">
        <f>0</f>
        <v>0</v>
      </c>
      <c r="CI165" s="3140">
        <f>0</f>
        <v>0</v>
      </c>
      <c r="CJ165" s="3140">
        <f>0</f>
        <v>0</v>
      </c>
      <c r="CK165" s="3140">
        <f>0</f>
        <v>0</v>
      </c>
      <c r="CL165" s="3140">
        <f>0</f>
        <v>0</v>
      </c>
      <c r="CM165" s="3140">
        <f>0</f>
        <v>0</v>
      </c>
      <c r="CN165" s="3140">
        <f>0</f>
        <v>0</v>
      </c>
      <c r="CO165" s="3140">
        <f>0</f>
        <v>0</v>
      </c>
      <c r="CP165" s="3140">
        <f>0</f>
        <v>0</v>
      </c>
      <c r="CQ165" s="3140">
        <f>0</f>
        <v>0</v>
      </c>
      <c r="CR165" s="3140">
        <f>0</f>
        <v>0</v>
      </c>
      <c r="CS165" s="3140">
        <f>0</f>
        <v>0</v>
      </c>
      <c r="CT165" s="3140">
        <f>0</f>
        <v>0</v>
      </c>
      <c r="CU165" s="3140">
        <f>0</f>
        <v>0</v>
      </c>
      <c r="CV165" s="3221">
        <f>µ_MEOLO_T*X_MEOLO*M_satSMEOL_KMEOL*M_satSNO2_KNO2_MEOLO*(L_oginhSNO3_KNO3_MEOLO*L_oginhSMEOL_KMEOL_SNO2+L_ogsatSMEOL_KMEOL_SNO2)*M_inhSO2_KiO2_MEOLO*M_satSNHx_KNHx_BIO*M_satSPO4_KPO4_BIO*M_satSCAT_KCAT*M_satSAN_KAN*M_satSCa_KCa*M_satSMg_KMg*M_satSSO4_KSO4_BIO*B_ellinhpH</f>
        <v>0</v>
      </c>
      <c r="CX165" s="2838">
        <f>E287*E165+F287*F165+G287*G165+H287*H165+I287*I165+J287*J165+K287*K165+L287*L165+M287*M165+N287*N165+O287*O165+P287*P165+Q287*Q165+R287*R165+S287*S165+T287*T165+U287*U165+V287*V165+W287*W165+X287*X165+Y287*Y165+Z287*Z165+AA287*AA165+AB287*AB165+AC287*AC165+AD287*AD165+AE287*AE165+AF287*AF165+AG287*AG165+AH287*AH165+AI287*AI165+AJ287*AJ165+AK287*AK165+AL287*AL165+AM287*AM165+AN287*AN165+AO287*AO165+AP287*AP165+AQ287*AQ165+AR287*AR165+AS287*AS165+AT287*AT165+AU287*AU165+AV287*AV165+AW287*AW165+AX287*AX165+AY287*AY165+AZ287*AZ165+BA287*BA165+BB287*BB165+BC287*BC165+BD287*BD165+BE287*BE165+BF287*BF165+BG287*BG165+BH287*BH165+BI287*BI165+BJ287*BJ165+BK287*BK165+BL287*BL165+BM287*BM165+BN287*BN165+BO287*BO165+BP287*BP165+BQ287*BQ165+BR287*BR165+BS287*BS165+BT287*BT165+BU287*BU165+BV287*BV165+BW287*BW165+BX287*BX165+BY287*BY165+BZ287*BZ165+CA287*CA165+CB287*CB165+CC287*CC165+CD287*CD165+CE287*CE165+CF287*CF165+CG287*CG165+CH287*CH165+CI287*CI165+CJ287*CJ165+CK287*CK165+CL287*CL165+CM287*CM165+CN287*CN165+CO287*CO165+CP287*CP165+CQ287*CQ165+CR287*CR165+CS287*CS165+CT287*CT165+CU287*CU165</f>
        <v>0</v>
      </c>
      <c r="CY165" s="2838">
        <f>E288*E165+F288*F165+G288*G165+H288*H165+I288*I165+J288*J165+K288*K165+L288*L165+M288*M165+N288*N165+O288*O165+P288*P165+Q288*Q165+R288*R165+S288*S165+T288*T165+U288*U165+V288*V165+W288*W165+X288*X165+Y288*Y165+Z288*Z165+AA288*AA165+AB288*AB165+AC288*AC165+AD288*AD165+AE288*AE165+AF288*AF165+AG288*AG165+AH288*AH165+AI288*AI165+AJ288*AJ165+AK288*AK165+AL288*AL165+AM288*AM165+AN288*AN165+AO288*AO165+AP288*AP165+AQ288*AQ165+AR288*AR165+AS288*AS165+AT288*AT165+AU288*AU165+AV288*AV165+AW288*AW165+AX288*AX165+AY288*AY165+AZ288*AZ165+BA288*BA165+BB288*BB165+BC288*BC165+BD288*BD165+BE288*BE165+BF288*BF165+BG288*BG165+BH288*BH165+BI288*BI165+BJ288*BJ165+BK288*BK165+BL288*BL165+BM288*BM165+BN288*BN165+BO288*BO165+BP288*BP165+BQ288*BQ165+BR288*BR165+BS288*BS165+BT288*BT165+BU288*BU165+BV288*BV165+BW288*BW165+BX288*BX165+BY288*BY165+BZ288*BZ165+CA288*CA165+CB288*CB165+CC288*CC165+CD288*CD165+CE288*CE165+CF288*CF165+CG288*CG165+CH288*CH165+CI288*CI165+CJ288*CJ165+CK288*CK165+CL288*CL165+CM288*CM165+CN288*CN165+CO288*CO165+CP288*CP165+CQ288*CQ165+CR288*CR165+CS288*CS165+CT288*CT165+CU288*CU165</f>
        <v>0</v>
      </c>
      <c r="CZ165" s="2839">
        <f>E289*E165+F289*F165+G289*G165+H289*H165+I289*I165+J289*J165+K289*K165+L289*L165+M289*M165+N289*N165+O289*O165+P289*P165+Q289*Q165+R289*R165+S289*S165+T289*T165+U289*U165+V289*V165+W289*W165+X289*X165+Y289*Y165+Z289*Z165+AA289*AA165+AB289*AB165+AC289*AC165+AD289*AD165+AE289*AE165+AF289*AF165+AG289*AG165+AH289*AH165+AI289*AI165+AJ289*AJ165+AK289*AK165+AL289*AL165+AM289*AM165+AN289*AN165+AO289*AO165+AP289*AP165+AQ289*AQ165+AR289*AR165+AS289*AS165+AT289*AT165+AU289*AU165+AV289*AV165+AW289*AW165+AX289*AX165+AY289*AY165+AZ289*AZ165+BA289*BA165+BB289*BB165+BC289*BC165+BD289*BD165+BE289*BE165+BF289*BF165+BG289*BG165+BH289*BH165+BI289*BI165+BJ289*BJ165+BK289*BK165+BL289*BL165+BM289*BM165+BN289*BN165+BO289*BO165+BP289*BP165+BQ289*BQ165+BR289*BR165+BS289*BS165+BT289*BT165+BU289*BU165+BV289*BV165+BW289*BW165+BX289*BX165+BY289*BY165+BZ289*BZ165+CA289*CA165+CB289*CB165+CC289*CC165+CD289*CD165+CE289*CE165+CF289*CF165+CG289*CG165+CH289*CH165+CI289*CI165+CJ289*CJ165+CK289*CK165+CL289*CL165+CM289*CM165+CN289*CN165+CO289*CO165+CP289*CP165+CQ289*CQ165+CR289*CR165+CS289*CS165+CT289*CT165+CU289*CU165</f>
        <v>0</v>
      </c>
      <c r="DA165" s="2840">
        <f>E290*E165+F290*F165+G290*G165+H290*H165+I290*I165+J290*J165+K290*K165+L290*L165+M290*M165+N290*N165+O290*O165+P290*P165+Q290*Q165+R290*R165+S290*S165+T290*T165+U290*U165+V290*V165+W290*W165+X290*X165+Y290*Y165+Z290*Z165+AA290*AA165+AB290*AB165+AC290*AC165+AD290*AD165+AE290*AE165+AF290*AF165+AG290*AG165+AH290*AH165+AI290*AI165+AJ290*AJ165+AK290*AK165+AL290*AL165+AM290*AM165+AN290*AN165+AO290*AO165+AP290*AP165+AQ290*AQ165+AR290*AR165+AS290*AS165+AT290*AT165+AU290*AU165+AV290*AV165+AW290*AW165+AX290*AX165+AY290*AY165+AZ290*AZ165+BA290*BA165+BB290*BB165+BC290*BC165+BD290*BD165+BE290*BE165+BF290*BF165+BG290*BG165+BH290*BH165+BI290*BI165+BJ290*BJ165+BK290*BK165+BL290*BL165+BM290*BM165+BN290*BN165+BO290*BO165+BP290*BP165+BQ290*BQ165+BR290*BR165+BS290*BS165+BT290*BT165+BU290*BU165+BV290*BV165+BW290*BW165+BX290*BX165+BY290*BY165+BZ290*BZ165+CA290*CA165+CB290*CB165+CC290*CC165+CD290*CD165+CE290*CE165+CF290*CF165+CG290*CG165+CH290*CH165+CI290*CI165+CJ290*CJ165+CK290*CK165+CL290*CL165+CM290*CM165+CN290*CN165+CO290*CO165+CP290*CP165+CQ290*CQ165+CR290*CR165+CS290*CS165+CT290*CT165+CU290*CU165</f>
        <v>0</v>
      </c>
      <c r="DB165" s="2840">
        <f>E291*E165+F291*F165+G291*G165+H291*H165+I291*I165+J291*J165+K291*K165+L291*L165+M291*M165+N291*N165+O291*O165+P291*P165+Q291*Q165+R291*R165+S291*S165+T291*T165+U291*U165+V291*V165+W291*W165+X291*X165+Y291*Y165+Z291*Z165+AA291*AA165+AB291*AB165+AC291*AC165+AD291*AD165+AE291*AE165+AF291*AF165+AG291*AG165+AH291*AH165+AI291*AI165+AJ291*AJ165+AK291*AK165+AL291*AL165+AM291*AM165+AN291*AN165+AO291*AO165+AP291*AP165+AQ291*AQ165+AR291*AR165+AS291*AS165+AT291*AT165+AU291*AU165+AV291*AV165+AW291*AW165+AX291*AX165+AY291*AY165+AZ291*AZ165+BA291*BA165+BB291*BB165+BC291*BC165+BD291*BD165+BE291*BE165+BF291*BF165+BG291*BG165+BH291*BH165+BI291*BI165+BJ291*BJ165+BK291*BK165+BL291*BL165+BM291*BM165+BN291*BN165+BO291*BO165+BP291*BP165+BQ291*BQ165+BR291*BR165+BS291*BS165+BT291*BT165+BU291*BU165+BV291*BV165+BW291*BW165+BX291*BX165+BY291*BY165+BZ291*BZ165+CA291*CA165+CB291*CB165+CC291*CC165+CD291*CD165+CE291*CE165+CF291*CF165+CG291*CG165+CH291*CH165+CI291*CI165+CJ291*CJ165+CK291*CK165+CL291*CL165+CM291*CM165+CN291*CN165+CO291*CO165+CP291*CP165+CQ291*CQ165+CR291*CR165+CS291*CS165+CT291*CT165+CU291*CU165</f>
        <v>0</v>
      </c>
      <c r="DC165" s="2840">
        <f>E292*E165+F292*F165+G292*G165+H292*H165+I292*I165+J292*J165+K292*K165+L292*L165+M292*M165+N292*N165+O292*O165+P292*P165+Q292*Q165+R292*R165+S292*S165+T292*T165+U292*U165+V292*V165+W292*W165+X292*X165+Y292*Y165+Z292*Z165+AA292*AA165+AB292*AB165+AC292*AC165+AD292*AD165+AE292*AE165+AF292*AF165+AG292*AG165+AH292*AH165+AI292*AI165+AJ292*AJ165+AK292*AK165+AL292*AL165+AM292*AM165+AN292*AN165+AO292*AO165+AP292*AP165+AQ292*AQ165+AR292*AR165+AS292*AS165+AT292*AT165+AU292*AU165+AV292*AV165+AW292*AW165+AX292*AX165+AY292*AY165+AZ292*AZ165+BA292*BA165+BB292*BB165+BC292*BC165+BD292*BD165+BE292*BE165+BF292*BF165+BG292*BG165+BH292*BH165+BI292*BI165+BJ292*BJ165+BK292*BK165+BL292*BL165+BM292*BM165+BN292*BN165+BO292*BO165+BP292*BP165+BQ292*BQ165+BR292*BR165+BS292*BS165+BT292*BT165+BU292*BU165+BV292*BV165+BW292*BW165+BX292*BX165+BY292*BY165+BZ292*BZ165+CA292*CA165+CB292*CB165+CC292*CC165+CD292*CD165+CE292*CE165+CF292*CF165+CG292*CG165+CH292*CH165+CI292*CI165+CJ292*CJ165+CK292*CK165+CL292*CL165+CM292*CM165+CN292*CN165+CO292*CO165+CP292*CP165+CQ292*CQ165+CR292*CR165+CS292*CS165+CT292*CT165+CU292*CU165</f>
        <v>0</v>
      </c>
      <c r="DD165" s="2840">
        <f>E293*E165+F293*F165+G293*G165+H293*H165+I293*I165+J293*J165+K293*K165+L293*L165+M293*M165+N293*N165+O293*O165+P293*P165+Q293*Q165+R293*R165+S293*S165+T293*T165+U293*U165+V293*V165+W293*W165+X293*X165+Y293*Y165+Z293*Z165+AA293*AA165+AB293*AB165+AC293*AC165+AD293*AD165+AE293*AE165+AF293*AF165+AG293*AG165+AH293*AH165+AI293*AI165+AJ293*AJ165+AK293*AK165+AL293*AL165+AM293*AM165+AN293*AN165+AO293*AO165+AP293*AP165+AQ293*AQ165+AR293*AR165+AS293*AS165+AT293*AT165+AU293*AU165+AV293*AV165+AW293*AW165+AX293*AX165+AY293*AY165+AZ293*AZ165+BA293*BA165+BB293*BB165+BC293*BC165+BD293*BD165+BE293*BE165+BF293*BF165+BG293*BG165+BH293*BH165+BI293*BI165+BJ293*BJ165+BK293*BK165+BL293*BL165+BM293*BM165+BN293*BN165+BO293*BO165+BP293*BP165+BQ293*BQ165+BR293*BR165+BS293*BS165+BT293*BT165+BU293*BU165+BV293*BV165+BW293*BW165+BX293*BX165+BY293*BY165+BZ293*BZ165+CA293*CA165+CB293*CB165+CC293*CC165+CD293*CD165+CE293*CE165+CF293*CF165+CG293*CG165+CH293*CH165+CI293*CI165+CJ293*CJ165+CK293*CK165+CL293*CL165+CM293*CM165+CN293*CN165+CO293*CO165+CP293*CP165+CQ293*CQ165+CR293*CR165+CS293*CS165+CT293*CT165+CU293*CU165</f>
        <v>0</v>
      </c>
      <c r="DE165" s="2840">
        <f>E294*E165+F294*F165+G294*G165+H294*H165+I294*I165+J294*J165+K294*K165+L294*L165+M294*M165+N294*N165+O294*O165+P294*P165+Q294*Q165+R294*R165+S294*S165+T294*T165+U294*U165+V294*V165+W294*W165+X294*X165+Y294*Y165+Z294*Z165+AA294*AA165+AB294*AB165+AC294*AC165+AD294*AD165+AE294*AE165+AF294*AF165+AG294*AG165+AH294*AH165+AI294*AI165+AJ294*AJ165+AK294*AK165+AL294*AL165+AM294*AM165+AN294*AN165+AO294*AO165+AP294*AP165+AQ294*AQ165+AR294*AR165+AS294*AS165+AT294*AT165+AU294*AU165+AV294*AV165+AW294*AW165+AX294*AX165+AY294*AY165+AZ294*AZ165+BA294*BA165+BB294*BB165+BC294*BC165+BD294*BD165+BE294*BE165+BF294*BF165+BG294*BG165+BH294*BH165+BI294*BI165+BJ294*BJ165+BK294*BK165+BL294*BL165+BM294*BM165+BN294*BN165+BO294*BO165+BP294*BP165+BQ294*BQ165+BR294*BR165+BS294*BS165+BT294*BT165+BU294*BU165+BV294*BV165+BW294*BW165+BX294*BX165+BY294*BY165+BZ294*BZ165+CA294*CA165+CB294*CB165+CC294*CC165+CD294*CD165+CE294*CE165+CF294*CF165+CG294*CG165+CH294*CH165+CI294*CI165+CJ294*CJ165+CK294*CK165+CL294*CL165+CM294*CM165+CN294*CN165+CO294*CO165+CP294*CP165+CQ294*CQ165+CR294*CR165+CS294*CS165+CT294*CT165+CU294*CU165</f>
        <v>0</v>
      </c>
      <c r="DF165" s="2840">
        <f>E295*E165+F295*F165+G295*G165+H295*H165+I295*I165+J295*J165+K295*K165+L295*L165+M295*M165+N295*N165+O295*O165+P295*P165+Q295*Q165+R295*R165+S295*S165+T295*T165+U295*U165+V295*V165+W295*W165+X295*X165+Y295*Y165+Z295*Z165+AA295*AA165+AB295*AB165+AC295*AC165+AD295*AD165+AE295*AE165+AF295*AF165+AG295*AG165+AH295*AH165+AI295*AI165+AJ295*AJ165+AK295*AK165+AL295*AL165+AM295*AM165+AN295*AN165+AO295*AO165+AP295*AP165+AQ295*AQ165+AR295*AR165+AS295*AS165+AT295*AT165+AU295*AU165+AV295*AV165+AW295*AW165+AX295*AX165+AY295*AY165+AZ295*AZ165+BA295*BA165+BB295*BB165+BC295*BC165+BD295*BD165+BE295*BE165+BF295*BF165+BG295*BG165+BH295*BH165+BI295*BI165+BJ295*BJ165+BK295*BK165+BL295*BL165+BM295*BM165+BN295*BN165+BO295*BO165+BP295*BP165+BQ295*BQ165+BR295*BR165+BS295*BS165+BT295*BT165+BU295*BU165+BV295*BV165+BW295*BW165+BX295*BX165+BY295*BY165+BZ295*BZ165+CA295*CA165+CB295*CB165+CC295*CC165+CD295*CD165+CE295*CE165+CF295*CF165+CG295*CG165+CH295*CH165+CI295*CI165+CJ295*CJ165+CK295*CK165+CL295*CL165+CM295*CM165+CN295*CN165+CO295*CO165+CP295*CP165+CQ295*CQ165+CR295*CR165+CS295*CS165+CT295*CT165+CU295*CU165</f>
        <v>0</v>
      </c>
      <c r="DG165" s="2840">
        <f>E296*E165+F296*F165+G296*G165+H296*H165+I296*I165+J296*J165+K296*K165+L296*L165+M296*M165+N296*N165+O296*O165+P296*P165+Q296*Q165+R296*R165+S296*S165+T296*T165+U296*U165+V296*V165+W296*W165+X296*X165+Y296*Y165+Z296*Z165+AA296*AA165+AB296*AB165+AC296*AC165+AD296*AD165+AE296*AE165+AF296*AF165+AG296*AG165+AH296*AH165+AI296*AI165+AJ296*AJ165+AK296*AK165+AL296*AL165+AM296*AM165+AN296*AN165+AO296*AO165+AP296*AP165+AQ296*AQ165+AR296*AR165+AS296*AS165+AT296*AT165+AU296*AU165+AV296*AV165+AW296*AW165+AX296*AX165+AY296*AY165+AZ296*AZ165+BA296*BA165+BB296*BB165+BC296*BC165+BD296*BD165+BE296*BE165+BF296*BF165+BG296*BG165+BH296*BH165+BI296*BI165+BJ296*BJ165+BK296*BK165+BL296*BL165+BM296*BM165+BN296*BN165+BO296*BO165+BP296*BP165+BQ296*BQ165+BR296*BR165+BS296*BS165+BT296*BT165+BU296*BU165+BV296*BV165+BW296*BW165+BX296*BX165+BY296*BY165+BZ296*BZ165+CA296*CA165+CB296*CB165+CC296*CC165+CD296*CD165+CE296*CE165+CF296*CF165+CG296*CG165+CH296*CH165+CI296*CI165+CJ296*CJ165+CK296*CK165+CL296*CL165+CM296*CM165+CN296*CN165+CO296*CO165+CP296*CP165+CQ296*CQ165+CR296*CR165+CS296*CS165+CT296*CT165+CU296*CU165</f>
        <v>0</v>
      </c>
      <c r="DH165" s="2840">
        <f>E297*E165+F297*F165+G297*G165+H297*H165+I297*I165+J297*J165+K297*K165+L297*L165+M297*M165+N297*N165+O297*O165+P297*P165+Q297*Q165+R297*R165+S297*S165+T297*T165+U297*U165+V297*V165+W297*W165+X297*X165+Y297*Y165+Z297*Z165+AA297*AA165+AB297*AB165+AC297*AC165+AD297*AD165+AE297*AE165+AF297*AF165+AG297*AG165+AH297*AH165+AI297*AI165+AJ297*AJ165+AK297*AK165+AL297*AL165+AM297*AM165+AN297*AN165+AO297*AO165+AP297*AP165+AQ297*AQ165+AR297*AR165+AS297*AS165+AT297*AT165+AU297*AU165+AV297*AV165+AW297*AW165+AX297*AX165+AY297*AY165+AZ297*AZ165+BA297*BA165+BB297*BB165+BC297*BC165+BD297*BD165+BE297*BE165+BF297*BF165+BG297*BG165+BH297*BH165+BI297*BI165+BJ297*BJ165+BK297*BK165+BL297*BL165+BM297*BM165+BN297*BN165+BO297*BO165+BP297*BP165+BQ297*BQ165+BR297*BR165+BS297*BS165+BT297*BT165+BU297*BU165+BV297*BV165+BW297*BW165+BX297*BX165+BY297*BY165+BZ297*BZ165+CA297*CA165+CB297*CB165+CC297*CC165+CD297*CD165+CE297*CE165+CF297*CF165+CG297*CG165+CH297*CH165+CI297*CI165+CJ297*CJ165+CK297*CK165+CL297*CL165+CM297*CM165+CN297*CN165+CO297*CO165+CP297*CP165+CQ297*CQ165+CR297*CR165+CS297*CS165+CT297*CT165+CU297*CU165</f>
        <v>0</v>
      </c>
      <c r="DI165" s="2840">
        <f>E298*E165+F298*F165+G298*G165+H298*H165+I298*I165+J298*J165+K298*K165+L298*L165+M298*M165+N298*N165+O298*O165+P298*P165+Q298*Q165+R298*R165+S298*S165+T298*T165+U298*U165+V298*V165+W298*W165+X298*X165+Y298*Y165+Z298*Z165+AA298*AA165+AB298*AB165+AC298*AC165+AD298*AD165+AE298*AE165+AF298*AF165+AG298*AG165+AH298*AH165+AI298*AI165+AJ298*AJ165+AK298*AK165+AL298*AL165+AM298*AM165+AN298*AN165+AO298*AO165+AP298*AP165+AQ298*AQ165+AR298*AR165+AS298*AS165+AT298*AT165+AU298*AU165+AV298*AV165+AW298*AW165+AX298*AX165+AY298*AY165+AZ298*AZ165+BA298*BA165+BB298*BB165+BC298*BC165+BD298*BD165+BE298*BE165+BF298*BF165+BG298*BG165+BH298*BH165+BI298*BI165+BJ298*BJ165+BK298*BK165+BL298*BL165+BM298*BM165+BN298*BN165+BO298*BO165+BP298*BP165+BQ298*BQ165+BR298*BR165+BS298*BS165+BT298*BT165+BU298*BU165+BV298*BV165+BW298*BW165+BX298*BX165+BY298*BY165+BZ298*BZ165+CA298*CA165+CB298*CB165+CC298*CC165+CD298*CD165+CE298*CE165+CF298*CF165+CG298*CG165+CH298*CH165+CI298*CI165+CJ298*CJ165+CK298*CK165+CL298*CL165+CM298*CM165+CN298*CN165+CO298*CO165+CP298*CP165+CQ298*CQ165+CR298*CR165+CS298*CS165+CT298*CT165+CU298*CU165</f>
        <v>0</v>
      </c>
    </row>
    <row r="166" spans="2:113" ht="18" x14ac:dyDescent="0.25">
      <c r="B166" s="2487">
        <v>13</v>
      </c>
      <c r="C166" s="2402" t="s">
        <v>235</v>
      </c>
      <c r="D166" s="2403" t="s">
        <v>1657</v>
      </c>
      <c r="E166" s="3109">
        <f>0</f>
        <v>0</v>
      </c>
      <c r="F166" s="3109">
        <f>0</f>
        <v>0</v>
      </c>
      <c r="G166" s="3140">
        <f>-1/Y_MEOLO</f>
        <v>-2.5</v>
      </c>
      <c r="H166" s="3109">
        <f>0</f>
        <v>0</v>
      </c>
      <c r="I166" s="3109">
        <f>0</f>
        <v>0</v>
      </c>
      <c r="J166" s="3109">
        <f>0</f>
        <v>0</v>
      </c>
      <c r="K166" s="3109">
        <f>0</f>
        <v>0</v>
      </c>
      <c r="L166" s="3109">
        <f>0</f>
        <v>0</v>
      </c>
      <c r="M166" s="3109">
        <f>0</f>
        <v>0</v>
      </c>
      <c r="N166" s="3109">
        <f>0</f>
        <v>0</v>
      </c>
      <c r="O166" s="3109">
        <f>0</f>
        <v>0</v>
      </c>
      <c r="P166" s="3109">
        <f>0</f>
        <v>0</v>
      </c>
      <c r="Q166" s="3109">
        <f>0</f>
        <v>0</v>
      </c>
      <c r="R166" s="3109">
        <f>0</f>
        <v>0</v>
      </c>
      <c r="S166" s="3109">
        <f>0</f>
        <v>0</v>
      </c>
      <c r="T166" s="3109">
        <f>1</f>
        <v>1</v>
      </c>
      <c r="U166" s="3109">
        <f>0</f>
        <v>0</v>
      </c>
      <c r="V166" s="3109">
        <f>0</f>
        <v>0</v>
      </c>
      <c r="W166" s="3109">
        <f>0</f>
        <v>0</v>
      </c>
      <c r="X166" s="3109">
        <f>0</f>
        <v>0</v>
      </c>
      <c r="Y166" s="3109">
        <f>0</f>
        <v>0</v>
      </c>
      <c r="Z166" s="3109">
        <f>0</f>
        <v>0</v>
      </c>
      <c r="AA166" s="3109">
        <f>0</f>
        <v>0</v>
      </c>
      <c r="AB166" s="3109">
        <f>0</f>
        <v>0</v>
      </c>
      <c r="AC166" s="3109">
        <f>0</f>
        <v>0</v>
      </c>
      <c r="AD166" s="3109">
        <f>-i_N_BIO</f>
        <v>-7.0000000000000007E-2</v>
      </c>
      <c r="AE166" s="3140">
        <f>(1-Y_MEOLO)/(E_EQNO2_NO3*Y_MEOLO)</f>
        <v>1.3131773691513433</v>
      </c>
      <c r="AF166" s="3140">
        <f>-(1-Y_MEOLO)/(E_EQNO2_NO3*Y_MEOLO)</f>
        <v>-1.3131773691513433</v>
      </c>
      <c r="AG166" s="3140">
        <f>0</f>
        <v>0</v>
      </c>
      <c r="AH166" s="3109">
        <f>0</f>
        <v>0</v>
      </c>
      <c r="AI166" s="3109">
        <f>0</f>
        <v>0</v>
      </c>
      <c r="AJ166" s="3109">
        <f>0</f>
        <v>0</v>
      </c>
      <c r="AK166" s="3109">
        <f>0</f>
        <v>0</v>
      </c>
      <c r="AL166" s="3140">
        <f>-i_P_BIO</f>
        <v>-0.02</v>
      </c>
      <c r="AM166" s="3109">
        <f>0</f>
        <v>0</v>
      </c>
      <c r="AN166" s="3109">
        <f>0</f>
        <v>0</v>
      </c>
      <c r="AO166" s="3109">
        <f>0</f>
        <v>0</v>
      </c>
      <c r="AP166" s="3109">
        <f>0</f>
        <v>0</v>
      </c>
      <c r="AQ166" s="3109">
        <f>0</f>
        <v>0</v>
      </c>
      <c r="AR166" s="3109">
        <f>0</f>
        <v>0</v>
      </c>
      <c r="AS166" s="3109">
        <f>0</f>
        <v>0</v>
      </c>
      <c r="AT166" s="3109">
        <f>0</f>
        <v>0</v>
      </c>
      <c r="AU166" s="3140">
        <f>i_CIT_MEOL/Y_MEOLO-i_CIT_BIO</f>
        <v>0.27300000000000002</v>
      </c>
      <c r="AV166" s="3140">
        <f>i_INORG</f>
        <v>0.11</v>
      </c>
      <c r="AW166" s="3140">
        <f>-i_INORG*(1-i_Ca_INORG*(A_MCa+2*A_MCl)/A_MCa-i_Mg_INORG*(A_MMg+2*A_MCl)/A_MMg)*f_Na</f>
        <v>-2.8804303582798466E-2</v>
      </c>
      <c r="AX166" s="3140">
        <f>-i_INORG*(i_Ca_INORG*(2*A_MCl)/A_MCa+i_Mg_INORG*(2*A_MCl)/A_MMg)-i_INORG*(1-i_Ca_INORG*(A_MCa+2*A_MCl)/A_MCa-i_Mg_INORG*(A_MMg+2*A_MCl)/A_MMg)*(1-f_Na)</f>
        <v>-7.0195696417201539E-2</v>
      </c>
      <c r="AY166" s="3140">
        <f>-i_INORG*i_Ca_INORG</f>
        <v>-5.5000000000000005E-3</v>
      </c>
      <c r="AZ166" s="3140">
        <f>-i_INORG*i_Mg_INORG</f>
        <v>-5.5000000000000005E-3</v>
      </c>
      <c r="BA166" s="3140">
        <f>0</f>
        <v>0</v>
      </c>
      <c r="BB166" s="3140">
        <f>0</f>
        <v>0</v>
      </c>
      <c r="BC166" s="3140">
        <f>-i_S_BIO</f>
        <v>-0.01</v>
      </c>
      <c r="BD166" s="3140">
        <f>0</f>
        <v>0</v>
      </c>
      <c r="BE166" s="3140">
        <f>0</f>
        <v>0</v>
      </c>
      <c r="BF166" s="3140">
        <f>0</f>
        <v>0</v>
      </c>
      <c r="BG166" s="3140">
        <f>0</f>
        <v>0</v>
      </c>
      <c r="BH166" s="3140">
        <f>0</f>
        <v>0</v>
      </c>
      <c r="BI166" s="3140">
        <f>0</f>
        <v>0</v>
      </c>
      <c r="BJ166" s="3140">
        <f>0</f>
        <v>0</v>
      </c>
      <c r="BK166" s="3140">
        <f>0</f>
        <v>0</v>
      </c>
      <c r="BL166" s="3140">
        <f>0</f>
        <v>0</v>
      </c>
      <c r="BM166" s="3140">
        <f>0</f>
        <v>0</v>
      </c>
      <c r="BN166" s="3140">
        <f>0</f>
        <v>0</v>
      </c>
      <c r="BO166" s="3140">
        <f>0</f>
        <v>0</v>
      </c>
      <c r="BP166" s="3140">
        <f>0</f>
        <v>0</v>
      </c>
      <c r="BQ166" s="3140">
        <f>0</f>
        <v>0</v>
      </c>
      <c r="BR166" s="3140">
        <f>0</f>
        <v>0</v>
      </c>
      <c r="BS166" s="3140">
        <f>0</f>
        <v>0</v>
      </c>
      <c r="BT166" s="3140">
        <f>0</f>
        <v>0</v>
      </c>
      <c r="BU166" s="3140">
        <f>0</f>
        <v>0</v>
      </c>
      <c r="BV166" s="3140">
        <f>0</f>
        <v>0</v>
      </c>
      <c r="BW166" s="3140">
        <f>0</f>
        <v>0</v>
      </c>
      <c r="BX166" s="3140">
        <f>0</f>
        <v>0</v>
      </c>
      <c r="BY166" s="3140">
        <f>0</f>
        <v>0</v>
      </c>
      <c r="BZ166" s="3187">
        <f>0</f>
        <v>0</v>
      </c>
      <c r="CA166" s="3187">
        <f>0</f>
        <v>0</v>
      </c>
      <c r="CB166" s="3187">
        <f>0</f>
        <v>0</v>
      </c>
      <c r="CC166" s="3187">
        <f>0</f>
        <v>0</v>
      </c>
      <c r="CD166" s="3140">
        <f>0</f>
        <v>0</v>
      </c>
      <c r="CE166" s="3140">
        <f>0</f>
        <v>0</v>
      </c>
      <c r="CF166" s="3140">
        <f>0</f>
        <v>0</v>
      </c>
      <c r="CG166" s="3140">
        <f>0</f>
        <v>0</v>
      </c>
      <c r="CH166" s="3140">
        <f>0</f>
        <v>0</v>
      </c>
      <c r="CI166" s="3140">
        <f>0</f>
        <v>0</v>
      </c>
      <c r="CJ166" s="3140">
        <f>0</f>
        <v>0</v>
      </c>
      <c r="CK166" s="3140">
        <f>0</f>
        <v>0</v>
      </c>
      <c r="CL166" s="3140">
        <f>0</f>
        <v>0</v>
      </c>
      <c r="CM166" s="3140">
        <f>0</f>
        <v>0</v>
      </c>
      <c r="CN166" s="3140">
        <f>0</f>
        <v>0</v>
      </c>
      <c r="CO166" s="3140">
        <f>0</f>
        <v>0</v>
      </c>
      <c r="CP166" s="3140">
        <f>0</f>
        <v>0</v>
      </c>
      <c r="CQ166" s="3140">
        <f>0</f>
        <v>0</v>
      </c>
      <c r="CR166" s="3140">
        <f>0</f>
        <v>0</v>
      </c>
      <c r="CS166" s="3140">
        <f>0</f>
        <v>0</v>
      </c>
      <c r="CT166" s="3140">
        <f>0</f>
        <v>0</v>
      </c>
      <c r="CU166" s="3140">
        <f>0</f>
        <v>0</v>
      </c>
      <c r="CV166" s="3221">
        <f>µ_MEOLO_T*X_MEOLO*M_satSMEOL_KMEOL*M_satSNO3_KNO3_MEOLO*L_ogsatSNO3_KNO3_MEOLO*(L_oginhSMEOL_KMEOL_SNO2+M_inhSNO2_KNO2_MEOLO*L_ogsatSMEOL_KMEOL_SNO2)*M_inhSO2_KiO2_MEOLO*M_satSNHx_KNHx_BIO*M_satSPO4_KPO4_BIO*M_satSCAT_KCAT*M_satSAN_KAN*M_satSCa_KCa*M_satSMg_KMg*M_satSSO4_KSO4_BIO*B_ellinhpH</f>
        <v>0</v>
      </c>
      <c r="CX166" s="2838">
        <f>E287*E166+F287*F166+G287*G166+H287*H166+I287*I166+J287*J166+K287*K166+L287*L166+M287*M166+N287*N166+O287*O166+P287*P166+Q287*Q166+R287*R166+S287*S166+T287*T166+U287*U166+V287*V166+W287*W166+X287*X166+Y287*Y166+Z287*Z166+AA287*AA166+AB287*AB166+AC287*AC166+AD287*AD166+AE287*AE166+AF287*AF166+AG287*AG166+AH287*AH166+AI287*AI166+AJ287*AJ166+AK287*AK166+AL287*AL166+AM287*AM166+AN287*AN166+AO287*AO166+AP287*AP166+AQ287*AQ166+AR287*AR166+AS287*AS166+AT287*AT166+AU287*AU166+AV287*AV166+AW287*AW166+AX287*AX166+AY287*AY166+AZ287*AZ166+BA287*BA166+BB287*BB166+BC287*BC166+BD287*BD166+BE287*BE166+BF287*BF166+BG287*BG166+BH287*BH166+BI287*BI166+BJ287*BJ166+BK287*BK166+BL287*BL166+BM287*BM166+BN287*BN166+BO287*BO166+BP287*BP166+BQ287*BQ166+BR287*BR166+BS287*BS166+BT287*BT166+BU287*BU166+BV287*BV166+BW287*BW166+BX287*BX166+BY287*BY166+BZ287*BZ166+CA287*CA166+CB287*CB166+CC287*CC166+CD287*CD166+CE287*CE166+CF287*CF166+CG287*CG166+CH287*CH166+CI287*CI166+CJ287*CJ166+CK287*CK166+CL287*CL166+CM287*CM166+CN287*CN166+CO287*CO166+CP287*CP166+CQ287*CQ166+CR287*CR166+CS287*CS166+CT287*CT166+CU287*CU166</f>
        <v>0</v>
      </c>
      <c r="CY166" s="2838">
        <f>E288*E166+F288*F166+G288*G166+H288*H166+I288*I166+J288*J166+K288*K166+L288*L166+M288*M166+N288*N166+O288*O166+P288*P166+Q288*Q166+R288*R166+S288*S166+T288*T166+U288*U166+V288*V166+W288*W166+X288*X166+Y288*Y166+Z288*Z166+AA288*AA166+AB288*AB166+AC288*AC166+AD288*AD166+AE288*AE166+AF288*AF166+AG288*AG166+AH288*AH166+AI288*AI166+AJ288*AJ166+AK288*AK166+AL288*AL166+AM288*AM166+AN288*AN166+AO288*AO166+AP288*AP166+AQ288*AQ166+AR288*AR166+AS288*AS166+AT288*AT166+AU288*AU166+AV288*AV166+AW288*AW166+AX288*AX166+AY288*AY166+AZ288*AZ166+BA288*BA166+BB288*BB166+BC288*BC166+BD288*BD166+BE288*BE166+BF288*BF166+BG288*BG166+BH288*BH166+BI288*BI166+BJ288*BJ166+BK288*BK166+BL288*BL166+BM288*BM166+BN288*BN166+BO288*BO166+BP288*BP166+BQ288*BQ166+BR288*BR166+BS288*BS166+BT288*BT166+BU288*BU166+BV288*BV166+BW288*BW166+BX288*BX166+BY288*BY166+BZ288*BZ166+CA288*CA166+CB288*CB166+CC288*CC166+CD288*CD166+CE288*CE166+CF288*CF166+CG288*CG166+CH288*CH166+CI288*CI166+CJ288*CJ166+CK288*CK166+CL288*CL166+CM288*CM166+CN288*CN166+CO288*CO166+CP288*CP166+CQ288*CQ166+CR288*CR166+CS288*CS166+CT288*CT166+CU288*CU166</f>
        <v>0</v>
      </c>
      <c r="CZ166" s="2839">
        <f>E289*E166+F289*F166+G289*G166+H289*H166+I289*I166+J289*J166+K289*K166+L289*L166+M289*M166+N289*N166+O289*O166+P289*P166+Q289*Q166+R289*R166+S289*S166+T289*T166+U289*U166+V289*V166+W289*W166+X289*X166+Y289*Y166+Z289*Z166+AA289*AA166+AB289*AB166+AC289*AC166+AD289*AD166+AE289*AE166+AF289*AF166+AG289*AG166+AH289*AH166+AI289*AI166+AJ289*AJ166+AK289*AK166+AL289*AL166+AM289*AM166+AN289*AN166+AO289*AO166+AP289*AP166+AQ289*AQ166+AR289*AR166+AS289*AS166+AT289*AT166+AU289*AU166+AV289*AV166+AW289*AW166+AX289*AX166+AY289*AY166+AZ289*AZ166+BA289*BA166+BB289*BB166+BC289*BC166+BD289*BD166+BE289*BE166+BF289*BF166+BG289*BG166+BH289*BH166+BI289*BI166+BJ289*BJ166+BK289*BK166+BL289*BL166+BM289*BM166+BN289*BN166+BO289*BO166+BP289*BP166+BQ289*BQ166+BR289*BR166+BS289*BS166+BT289*BT166+BU289*BU166+BV289*BV166+BW289*BW166+BX289*BX166+BY289*BY166+BZ289*BZ166+CA289*CA166+CB289*CB166+CC289*CC166+CD289*CD166+CE289*CE166+CF289*CF166+CG289*CG166+CH289*CH166+CI289*CI166+CJ289*CJ166+CK289*CK166+CL289*CL166+CM289*CM166+CN289*CN166+CO289*CO166+CP289*CP166+CQ289*CQ166+CR289*CR166+CS289*CS166+CT289*CT166+CU289*CU166</f>
        <v>0</v>
      </c>
      <c r="DA166" s="2840">
        <f>E290*E166+F290*F166+G290*G166+H290*H166+I290*I166+J290*J166+K290*K166+L290*L166+M290*M166+N290*N166+O290*O166+P290*P166+Q290*Q166+R290*R166+S290*S166+T290*T166+U290*U166+V290*V166+W290*W166+X290*X166+Y290*Y166+Z290*Z166+AA290*AA166+AB290*AB166+AC290*AC166+AD290*AD166+AE290*AE166+AF290*AF166+AG290*AG166+AH290*AH166+AI290*AI166+AJ290*AJ166+AK290*AK166+AL290*AL166+AM290*AM166+AN290*AN166+AO290*AO166+AP290*AP166+AQ290*AQ166+AR290*AR166+AS290*AS166+AT290*AT166+AU290*AU166+AV290*AV166+AW290*AW166+AX290*AX166+AY290*AY166+AZ290*AZ166+BA290*BA166+BB290*BB166+BC290*BC166+BD290*BD166+BE290*BE166+BF290*BF166+BG290*BG166+BH290*BH166+BI290*BI166+BJ290*BJ166+BK290*BK166+BL290*BL166+BM290*BM166+BN290*BN166+BO290*BO166+BP290*BP166+BQ290*BQ166+BR290*BR166+BS290*BS166+BT290*BT166+BU290*BU166+BV290*BV166+BW290*BW166+BX290*BX166+BY290*BY166+BZ290*BZ166+CA290*CA166+CB290*CB166+CC290*CC166+CD290*CD166+CE290*CE166+CF290*CF166+CG290*CG166+CH290*CH166+CI290*CI166+CJ290*CJ166+CK290*CK166+CL290*CL166+CM290*CM166+CN290*CN166+CO290*CO166+CP290*CP166+CQ290*CQ166+CR290*CR166+CS290*CS166+CT290*CT166+CU290*CU166</f>
        <v>0</v>
      </c>
      <c r="DB166" s="2840">
        <f>E291*E166+F291*F166+G291*G166+H291*H166+I291*I166+J291*J166+K291*K166+L291*L166+M291*M166+N291*N166+O291*O166+P291*P166+Q291*Q166+R291*R166+S291*S166+T291*T166+U291*U166+V291*V166+W291*W166+X291*X166+Y291*Y166+Z291*Z166+AA291*AA166+AB291*AB166+AC291*AC166+AD291*AD166+AE291*AE166+AF291*AF166+AG291*AG166+AH291*AH166+AI291*AI166+AJ291*AJ166+AK291*AK166+AL291*AL166+AM291*AM166+AN291*AN166+AO291*AO166+AP291*AP166+AQ291*AQ166+AR291*AR166+AS291*AS166+AT291*AT166+AU291*AU166+AV291*AV166+AW291*AW166+AX291*AX166+AY291*AY166+AZ291*AZ166+BA291*BA166+BB291*BB166+BC291*BC166+BD291*BD166+BE291*BE166+BF291*BF166+BG291*BG166+BH291*BH166+BI291*BI166+BJ291*BJ166+BK291*BK166+BL291*BL166+BM291*BM166+BN291*BN166+BO291*BO166+BP291*BP166+BQ291*BQ166+BR291*BR166+BS291*BS166+BT291*BT166+BU291*BU166+BV291*BV166+BW291*BW166+BX291*BX166+BY291*BY166+BZ291*BZ166+CA291*CA166+CB291*CB166+CC291*CC166+CD291*CD166+CE291*CE166+CF291*CF166+CG291*CG166+CH291*CH166+CI291*CI166+CJ291*CJ166+CK291*CK166+CL291*CL166+CM291*CM166+CN291*CN166+CO291*CO166+CP291*CP166+CQ291*CQ166+CR291*CR166+CS291*CS166+CT291*CT166+CU291*CU166</f>
        <v>0</v>
      </c>
      <c r="DC166" s="2840">
        <f>E292*E166+F292*F166+G292*G166+H292*H166+I292*I166+J292*J166+K292*K166+L292*L166+M292*M166+N292*N166+O292*O166+P292*P166+Q292*Q166+R292*R166+S292*S166+T292*T166+U292*U166+V292*V166+W292*W166+X292*X166+Y292*Y166+Z292*Z166+AA292*AA166+AB292*AB166+AC292*AC166+AD292*AD166+AE292*AE166+AF292*AF166+AG292*AG166+AH292*AH166+AI292*AI166+AJ292*AJ166+AK292*AK166+AL292*AL166+AM292*AM166+AN292*AN166+AO292*AO166+AP292*AP166+AQ292*AQ166+AR292*AR166+AS292*AS166+AT292*AT166+AU292*AU166+AV292*AV166+AW292*AW166+AX292*AX166+AY292*AY166+AZ292*AZ166+BA292*BA166+BB292*BB166+BC292*BC166+BD292*BD166+BE292*BE166+BF292*BF166+BG292*BG166+BH292*BH166+BI292*BI166+BJ292*BJ166+BK292*BK166+BL292*BL166+BM292*BM166+BN292*BN166+BO292*BO166+BP292*BP166+BQ292*BQ166+BR292*BR166+BS292*BS166+BT292*BT166+BU292*BU166+BV292*BV166+BW292*BW166+BX292*BX166+BY292*BY166+BZ292*BZ166+CA292*CA166+CB292*CB166+CC292*CC166+CD292*CD166+CE292*CE166+CF292*CF166+CG292*CG166+CH292*CH166+CI292*CI166+CJ292*CJ166+CK292*CK166+CL292*CL166+CM292*CM166+CN292*CN166+CO292*CO166+CP292*CP166+CQ292*CQ166+CR292*CR166+CS292*CS166+CT292*CT166+CU292*CU166</f>
        <v>0</v>
      </c>
      <c r="DD166" s="2840">
        <f>E293*E166+F293*F166+G293*G166+H293*H166+I293*I166+J293*J166+K293*K166+L293*L166+M293*M166+N293*N166+O293*O166+P293*P166+Q293*Q166+R293*R166+S293*S166+T293*T166+U293*U166+V293*V166+W293*W166+X293*X166+Y293*Y166+Z293*Z166+AA293*AA166+AB293*AB166+AC293*AC166+AD293*AD166+AE293*AE166+AF293*AF166+AG293*AG166+AH293*AH166+AI293*AI166+AJ293*AJ166+AK293*AK166+AL293*AL166+AM293*AM166+AN293*AN166+AO293*AO166+AP293*AP166+AQ293*AQ166+AR293*AR166+AS293*AS166+AT293*AT166+AU293*AU166+AV293*AV166+AW293*AW166+AX293*AX166+AY293*AY166+AZ293*AZ166+BA293*BA166+BB293*BB166+BC293*BC166+BD293*BD166+BE293*BE166+BF293*BF166+BG293*BG166+BH293*BH166+BI293*BI166+BJ293*BJ166+BK293*BK166+BL293*BL166+BM293*BM166+BN293*BN166+BO293*BO166+BP293*BP166+BQ293*BQ166+BR293*BR166+BS293*BS166+BT293*BT166+BU293*BU166+BV293*BV166+BW293*BW166+BX293*BX166+BY293*BY166+BZ293*BZ166+CA293*CA166+CB293*CB166+CC293*CC166+CD293*CD166+CE293*CE166+CF293*CF166+CG293*CG166+CH293*CH166+CI293*CI166+CJ293*CJ166+CK293*CK166+CL293*CL166+CM293*CM166+CN293*CN166+CO293*CO166+CP293*CP166+CQ293*CQ166+CR293*CR166+CS293*CS166+CT293*CT166+CU293*CU166</f>
        <v>0</v>
      </c>
      <c r="DE166" s="2840">
        <f>E294*E166+F294*F166+G294*G166+H294*H166+I294*I166+J294*J166+K294*K166+L294*L166+M294*M166+N294*N166+O294*O166+P294*P166+Q294*Q166+R294*R166+S294*S166+T294*T166+U294*U166+V294*V166+W294*W166+X294*X166+Y294*Y166+Z294*Z166+AA294*AA166+AB294*AB166+AC294*AC166+AD294*AD166+AE294*AE166+AF294*AF166+AG294*AG166+AH294*AH166+AI294*AI166+AJ294*AJ166+AK294*AK166+AL294*AL166+AM294*AM166+AN294*AN166+AO294*AO166+AP294*AP166+AQ294*AQ166+AR294*AR166+AS294*AS166+AT294*AT166+AU294*AU166+AV294*AV166+AW294*AW166+AX294*AX166+AY294*AY166+AZ294*AZ166+BA294*BA166+BB294*BB166+BC294*BC166+BD294*BD166+BE294*BE166+BF294*BF166+BG294*BG166+BH294*BH166+BI294*BI166+BJ294*BJ166+BK294*BK166+BL294*BL166+BM294*BM166+BN294*BN166+BO294*BO166+BP294*BP166+BQ294*BQ166+BR294*BR166+BS294*BS166+BT294*BT166+BU294*BU166+BV294*BV166+BW294*BW166+BX294*BX166+BY294*BY166+BZ294*BZ166+CA294*CA166+CB294*CB166+CC294*CC166+CD294*CD166+CE294*CE166+CF294*CF166+CG294*CG166+CH294*CH166+CI294*CI166+CJ294*CJ166+CK294*CK166+CL294*CL166+CM294*CM166+CN294*CN166+CO294*CO166+CP294*CP166+CQ294*CQ166+CR294*CR166+CS294*CS166+CT294*CT166+CU294*CU166</f>
        <v>0</v>
      </c>
      <c r="DF166" s="2840">
        <f>E295*E166+F295*F166+G295*G166+H295*H166+I295*I166+J295*J166+K295*K166+L295*L166+M295*M166+N295*N166+O295*O166+P295*P166+Q295*Q166+R295*R166+S295*S166+T295*T166+U295*U166+V295*V166+W295*W166+X295*X166+Y295*Y166+Z295*Z166+AA295*AA166+AB295*AB166+AC295*AC166+AD295*AD166+AE295*AE166+AF295*AF166+AG295*AG166+AH295*AH166+AI295*AI166+AJ295*AJ166+AK295*AK166+AL295*AL166+AM295*AM166+AN295*AN166+AO295*AO166+AP295*AP166+AQ295*AQ166+AR295*AR166+AS295*AS166+AT295*AT166+AU295*AU166+AV295*AV166+AW295*AW166+AX295*AX166+AY295*AY166+AZ295*AZ166+BA295*BA166+BB295*BB166+BC295*BC166+BD295*BD166+BE295*BE166+BF295*BF166+BG295*BG166+BH295*BH166+BI295*BI166+BJ295*BJ166+BK295*BK166+BL295*BL166+BM295*BM166+BN295*BN166+BO295*BO166+BP295*BP166+BQ295*BQ166+BR295*BR166+BS295*BS166+BT295*BT166+BU295*BU166+BV295*BV166+BW295*BW166+BX295*BX166+BY295*BY166+BZ295*BZ166+CA295*CA166+CB295*CB166+CC295*CC166+CD295*CD166+CE295*CE166+CF295*CF166+CG295*CG166+CH295*CH166+CI295*CI166+CJ295*CJ166+CK295*CK166+CL295*CL166+CM295*CM166+CN295*CN166+CO295*CO166+CP295*CP166+CQ295*CQ166+CR295*CR166+CS295*CS166+CT295*CT166+CU295*CU166</f>
        <v>0</v>
      </c>
      <c r="DG166" s="2840">
        <f>E296*E166+F296*F166+G296*G166+H296*H166+I296*I166+J296*J166+K296*K166+L296*L166+M296*M166+N296*N166+O296*O166+P296*P166+Q296*Q166+R296*R166+S296*S166+T296*T166+U296*U166+V296*V166+W296*W166+X296*X166+Y296*Y166+Z296*Z166+AA296*AA166+AB296*AB166+AC296*AC166+AD296*AD166+AE296*AE166+AF296*AF166+AG296*AG166+AH296*AH166+AI296*AI166+AJ296*AJ166+AK296*AK166+AL296*AL166+AM296*AM166+AN296*AN166+AO296*AO166+AP296*AP166+AQ296*AQ166+AR296*AR166+AS296*AS166+AT296*AT166+AU296*AU166+AV296*AV166+AW296*AW166+AX296*AX166+AY296*AY166+AZ296*AZ166+BA296*BA166+BB296*BB166+BC296*BC166+BD296*BD166+BE296*BE166+BF296*BF166+BG296*BG166+BH296*BH166+BI296*BI166+BJ296*BJ166+BK296*BK166+BL296*BL166+BM296*BM166+BN296*BN166+BO296*BO166+BP296*BP166+BQ296*BQ166+BR296*BR166+BS296*BS166+BT296*BT166+BU296*BU166+BV296*BV166+BW296*BW166+BX296*BX166+BY296*BY166+BZ296*BZ166+CA296*CA166+CB296*CB166+CC296*CC166+CD296*CD166+CE296*CE166+CF296*CF166+CG296*CG166+CH296*CH166+CI296*CI166+CJ296*CJ166+CK296*CK166+CL296*CL166+CM296*CM166+CN296*CN166+CO296*CO166+CP296*CP166+CQ296*CQ166+CR296*CR166+CS296*CS166+CT296*CT166+CU296*CU166</f>
        <v>0</v>
      </c>
      <c r="DH166" s="2840">
        <f>E297*E166+F297*F166+G297*G166+H297*H166+I297*I166+J297*J166+K297*K166+L297*L166+M297*M166+N297*N166+O297*O166+P297*P166+Q297*Q166+R297*R166+S297*S166+T297*T166+U297*U166+V297*V166+W297*W166+X297*X166+Y297*Y166+Z297*Z166+AA297*AA166+AB297*AB166+AC297*AC166+AD297*AD166+AE297*AE166+AF297*AF166+AG297*AG166+AH297*AH166+AI297*AI166+AJ297*AJ166+AK297*AK166+AL297*AL166+AM297*AM166+AN297*AN166+AO297*AO166+AP297*AP166+AQ297*AQ166+AR297*AR166+AS297*AS166+AT297*AT166+AU297*AU166+AV297*AV166+AW297*AW166+AX297*AX166+AY297*AY166+AZ297*AZ166+BA297*BA166+BB297*BB166+BC297*BC166+BD297*BD166+BE297*BE166+BF297*BF166+BG297*BG166+BH297*BH166+BI297*BI166+BJ297*BJ166+BK297*BK166+BL297*BL166+BM297*BM166+BN297*BN166+BO297*BO166+BP297*BP166+BQ297*BQ166+BR297*BR166+BS297*BS166+BT297*BT166+BU297*BU166+BV297*BV166+BW297*BW166+BX297*BX166+BY297*BY166+BZ297*BZ166+CA297*CA166+CB297*CB166+CC297*CC166+CD297*CD166+CE297*CE166+CF297*CF166+CG297*CG166+CH297*CH166+CI297*CI166+CJ297*CJ166+CK297*CK166+CL297*CL166+CM297*CM166+CN297*CN166+CO297*CO166+CP297*CP166+CQ297*CQ166+CR297*CR166+CS297*CS166+CT297*CT166+CU297*CU166</f>
        <v>0</v>
      </c>
      <c r="DI166" s="2840">
        <f>E298*E166+F298*F166+G298*G166+H298*H166+I298*I166+J298*J166+K298*K166+L298*L166+M298*M166+N298*N166+O298*O166+P298*P166+Q298*Q166+R298*R166+S298*S166+T298*T166+U298*U166+V298*V166+W298*W166+X298*X166+Y298*Y166+Z298*Z166+AA298*AA166+AB298*AB166+AC298*AC166+AD298*AD166+AE298*AE166+AF298*AF166+AG298*AG166+AH298*AH166+AI298*AI166+AJ298*AJ166+AK298*AK166+AL298*AL166+AM298*AM166+AN298*AN166+AO298*AO166+AP298*AP166+AQ298*AQ166+AR298*AR166+AS298*AS166+AT298*AT166+AU298*AU166+AV298*AV166+AW298*AW166+AX298*AX166+AY298*AY166+AZ298*AZ166+BA298*BA166+BB298*BB166+BC298*BC166+BD298*BD166+BE298*BE166+BF298*BF166+BG298*BG166+BH298*BH166+BI298*BI166+BJ298*BJ166+BK298*BK166+BL298*BL166+BM298*BM166+BN298*BN166+BO298*BO166+BP298*BP166+BQ298*BQ166+BR298*BR166+BS298*BS166+BT298*BT166+BU298*BU166+BV298*BV166+BW298*BW166+BX298*BX166+BY298*BY166+BZ298*BZ166+CA298*CA166+CB298*CB166+CC298*CC166+CD298*CD166+CE298*CE166+CF298*CF166+CG298*CG166+CH298*CH166+CI298*CI166+CJ298*CJ166+CK298*CK166+CL298*CL166+CM298*CM166+CN298*CN166+CO298*CO166+CP298*CP166+CQ298*CQ166+CR298*CR166+CS298*CS166+CT298*CT166+CU298*CU166</f>
        <v>0</v>
      </c>
    </row>
    <row r="167" spans="2:113" ht="18" x14ac:dyDescent="0.25">
      <c r="B167" s="2487">
        <v>14</v>
      </c>
      <c r="C167" s="2402" t="s">
        <v>236</v>
      </c>
      <c r="D167" s="2403" t="s">
        <v>289</v>
      </c>
      <c r="E167" s="3109">
        <f>0</f>
        <v>0</v>
      </c>
      <c r="F167" s="3109">
        <f>0</f>
        <v>0</v>
      </c>
      <c r="G167" s="3109">
        <f>0</f>
        <v>0</v>
      </c>
      <c r="H167" s="3109">
        <f>0</f>
        <v>0</v>
      </c>
      <c r="I167" s="3109">
        <f>0</f>
        <v>0</v>
      </c>
      <c r="J167" s="3109">
        <f>1-f_E</f>
        <v>0.92</v>
      </c>
      <c r="K167" s="3109">
        <f>0</f>
        <v>0</v>
      </c>
      <c r="L167" s="3109">
        <f>0</f>
        <v>0</v>
      </c>
      <c r="M167" s="3109">
        <f>0</f>
        <v>0</v>
      </c>
      <c r="N167" s="3109">
        <f>0</f>
        <v>0</v>
      </c>
      <c r="O167" s="3109">
        <f>0</f>
        <v>0</v>
      </c>
      <c r="P167" s="3109">
        <f>f_E</f>
        <v>0.08</v>
      </c>
      <c r="Q167" s="3109">
        <f>0</f>
        <v>0</v>
      </c>
      <c r="R167" s="3109">
        <f>0</f>
        <v>0</v>
      </c>
      <c r="S167" s="3109">
        <f>0</f>
        <v>0</v>
      </c>
      <c r="T167" s="3109">
        <f>-1</f>
        <v>-1</v>
      </c>
      <c r="U167" s="3109">
        <f>0</f>
        <v>0</v>
      </c>
      <c r="V167" s="3109">
        <f>0</f>
        <v>0</v>
      </c>
      <c r="W167" s="3109">
        <f>0</f>
        <v>0</v>
      </c>
      <c r="X167" s="3109">
        <f>0</f>
        <v>0</v>
      </c>
      <c r="Y167" s="3109">
        <f>0</f>
        <v>0</v>
      </c>
      <c r="Z167" s="3109">
        <f>0</f>
        <v>0</v>
      </c>
      <c r="AA167" s="3109">
        <f>0</f>
        <v>0</v>
      </c>
      <c r="AB167" s="3109">
        <f>0</f>
        <v>0</v>
      </c>
      <c r="AC167" s="3109">
        <f>0</f>
        <v>0</v>
      </c>
      <c r="AD167" s="3109">
        <f>-f_E*(i_N_XE-i_N_BIO)</f>
        <v>8.0000000000000069E-4</v>
      </c>
      <c r="AE167" s="3109">
        <f>0</f>
        <v>0</v>
      </c>
      <c r="AF167" s="3109">
        <f>0</f>
        <v>0</v>
      </c>
      <c r="AG167" s="3109">
        <f>0</f>
        <v>0</v>
      </c>
      <c r="AH167" s="3109">
        <f>0</f>
        <v>0</v>
      </c>
      <c r="AI167" s="3109">
        <f>0</f>
        <v>0</v>
      </c>
      <c r="AJ167" s="3109">
        <f>(1-f_E)*i_N_BIO</f>
        <v>6.4400000000000013E-2</v>
      </c>
      <c r="AK167" s="3109">
        <f>0</f>
        <v>0</v>
      </c>
      <c r="AL167" s="3109">
        <f>0</f>
        <v>0</v>
      </c>
      <c r="AM167" s="3109">
        <f>0</f>
        <v>0</v>
      </c>
      <c r="AN167" s="3109">
        <f>0</f>
        <v>0</v>
      </c>
      <c r="AO167" s="3109">
        <f>0</f>
        <v>0</v>
      </c>
      <c r="AP167" s="3109">
        <f>(1-f_E)*i_P_BIO</f>
        <v>1.84E-2</v>
      </c>
      <c r="AQ167" s="3109">
        <f>0</f>
        <v>0</v>
      </c>
      <c r="AR167" s="3109">
        <f>0</f>
        <v>0</v>
      </c>
      <c r="AS167" s="3109">
        <f>0</f>
        <v>0</v>
      </c>
      <c r="AT167" s="3109">
        <f>0</f>
        <v>0</v>
      </c>
      <c r="AU167" s="3175">
        <f>(1-f_E)*(i_CIT_BIO-i_CIT_XBe)</f>
        <v>6.0720000000000003E-2</v>
      </c>
      <c r="AV167" s="3175">
        <f>0</f>
        <v>0</v>
      </c>
      <c r="AW167" s="3187">
        <f>0</f>
        <v>0</v>
      </c>
      <c r="AX167" s="3187">
        <f>0</f>
        <v>0</v>
      </c>
      <c r="AY167" s="3187">
        <f>0</f>
        <v>0</v>
      </c>
      <c r="AZ167" s="3187">
        <f>0</f>
        <v>0</v>
      </c>
      <c r="BA167" s="3140">
        <f>0</f>
        <v>0</v>
      </c>
      <c r="BB167" s="3140">
        <f>0</f>
        <v>0</v>
      </c>
      <c r="BC167" s="3140">
        <f>(1-f_E)*i_S_BIO-(1-f_E)*i_S_XB</f>
        <v>7.8200000000000006E-3</v>
      </c>
      <c r="BD167" s="3140">
        <f>0</f>
        <v>0</v>
      </c>
      <c r="BE167" s="3140">
        <f>0</f>
        <v>0</v>
      </c>
      <c r="BF167" s="3140">
        <f>0</f>
        <v>0</v>
      </c>
      <c r="BG167" s="3140">
        <f>0</f>
        <v>0</v>
      </c>
      <c r="BH167" s="3140">
        <f>0</f>
        <v>0</v>
      </c>
      <c r="BI167" s="3140">
        <f>0</f>
        <v>0</v>
      </c>
      <c r="BJ167" s="3140">
        <f>0</f>
        <v>0</v>
      </c>
      <c r="BK167" s="3140">
        <f>0</f>
        <v>0</v>
      </c>
      <c r="BL167" s="3140">
        <f>0</f>
        <v>0</v>
      </c>
      <c r="BM167" s="3140">
        <f>0</f>
        <v>0</v>
      </c>
      <c r="BN167" s="3140">
        <f>0</f>
        <v>0</v>
      </c>
      <c r="BO167" s="3140">
        <f>0</f>
        <v>0</v>
      </c>
      <c r="BP167" s="3140">
        <f>0</f>
        <v>0</v>
      </c>
      <c r="BQ167" s="3140">
        <f>0</f>
        <v>0</v>
      </c>
      <c r="BR167" s="3140">
        <f>0</f>
        <v>0</v>
      </c>
      <c r="BS167" s="3140">
        <f>0</f>
        <v>0</v>
      </c>
      <c r="BT167" s="3140">
        <f>0</f>
        <v>0</v>
      </c>
      <c r="BU167" s="3140">
        <f>0</f>
        <v>0</v>
      </c>
      <c r="BV167" s="3140">
        <f>0</f>
        <v>0</v>
      </c>
      <c r="BW167" s="3140">
        <f>0</f>
        <v>0</v>
      </c>
      <c r="BX167" s="3140">
        <f>0</f>
        <v>0</v>
      </c>
      <c r="BY167" s="3140">
        <f>0</f>
        <v>0</v>
      </c>
      <c r="BZ167" s="3187">
        <f>0</f>
        <v>0</v>
      </c>
      <c r="CA167" s="3187">
        <f>0</f>
        <v>0</v>
      </c>
      <c r="CB167" s="3187">
        <f>0</f>
        <v>0</v>
      </c>
      <c r="CC167" s="3187">
        <f>0</f>
        <v>0</v>
      </c>
      <c r="CD167" s="3140">
        <f>0</f>
        <v>0</v>
      </c>
      <c r="CE167" s="3140">
        <f>0</f>
        <v>0</v>
      </c>
      <c r="CF167" s="3140">
        <f>0</f>
        <v>0</v>
      </c>
      <c r="CG167" s="3140">
        <f>0</f>
        <v>0</v>
      </c>
      <c r="CH167" s="3140">
        <f>0</f>
        <v>0</v>
      </c>
      <c r="CI167" s="3140">
        <f>0</f>
        <v>0</v>
      </c>
      <c r="CJ167" s="3140">
        <f>0</f>
        <v>0</v>
      </c>
      <c r="CK167" s="3140">
        <f>0</f>
        <v>0</v>
      </c>
      <c r="CL167" s="3140">
        <f>0</f>
        <v>0</v>
      </c>
      <c r="CM167" s="3140">
        <f>0</f>
        <v>0</v>
      </c>
      <c r="CN167" s="3140">
        <f>0</f>
        <v>0</v>
      </c>
      <c r="CO167" s="3140">
        <f>0</f>
        <v>0</v>
      </c>
      <c r="CP167" s="3140">
        <f>0</f>
        <v>0</v>
      </c>
      <c r="CQ167" s="3140">
        <f>0</f>
        <v>0</v>
      </c>
      <c r="CR167" s="3140">
        <f>0</f>
        <v>0</v>
      </c>
      <c r="CS167" s="3140">
        <f>0</f>
        <v>0</v>
      </c>
      <c r="CT167" s="3140">
        <f>0</f>
        <v>0</v>
      </c>
      <c r="CU167" s="3140">
        <f>0</f>
        <v>0</v>
      </c>
      <c r="CV167" s="3221">
        <f>b_MEOLO_T*X_MEOLO*(M_satSO2_KiO2_MEOLO+η_b_anox*M_satSNO2_KNO2_MEOLO*M_inhSO2_KiO2_MEOLO+m_tox_anox*M_satSNO3_KNO3_MEOLO*M_inhSNO2_KNO2_MEOLO*M_inhSO2_KiO2_MEOLO)</f>
        <v>5.0294816066972559E-2</v>
      </c>
      <c r="CX167" s="2838">
        <f>E287*E167+F287*F167+G287*G167+H287*H167+I287*I167+J287*J167+K287*K167+L287*L167+M287*M167+N287*N167+O287*O167+P287*P167+Q287*Q167+R287*R167+S287*S167+T287*T167+U287*U167+V287*V167+W287*W167+X287*X167+Y287*Y167+Z287*Z167+AA287*AA167+AB287*AB167+AC287*AC167+AD287*AD167+AE287*AE167+AF287*AF167+AG287*AG167+AH287*AH167+AI287*AI167+AJ287*AJ167+AK287*AK167+AL287*AL167+AM287*AM167+AN287*AN167+AO287*AO167+AP287*AP167+AQ287*AQ167+AR287*AR167+AS287*AS167+AT287*AT167+AU287*AU167+AV287*AV167+AW287*AW167+AX287*AX167+AY287*AY167+AZ287*AZ167+BA287*BA167+BB287*BB167+BC287*BC167+BD287*BD167+BE287*BE167+BF287*BF167+BG287*BG167+BH287*BH167+BI287*BI167+BJ287*BJ167+BK287*BK167+BL287*BL167+BM287*BM167+BN287*BN167+BO287*BO167+BP287*BP167+BQ287*BQ167+BR287*BR167+BS287*BS167+BT287*BT167+BU287*BU167+BV287*BV167+BW287*BW167+BX287*BX167+BY287*BY167+BZ287*BZ167+CA287*CA167+CB287*CB167+CC287*CC167+CD287*CD167+CE287*CE167+CF287*CF167+CG287*CG167+CH287*CH167+CI287*CI167+CJ287*CJ167+CK287*CK167+CL287*CL167+CM287*CM167+CN287*CN167+CO287*CO167+CP287*CP167+CQ287*CQ167+CR287*CR167+CS287*CS167+CT287*CT167+CU287*CU167</f>
        <v>0</v>
      </c>
      <c r="CY167" s="2838">
        <f>E288*E167+F288*F167+G288*G167+H288*H167+I288*I167+J288*J167+K288*K167+L288*L167+M288*M167+N288*N167+O288*O167+P288*P167+Q288*Q167+R288*R167+S288*S167+T288*T167+U288*U167+V288*V167+W288*W167+X288*X167+Y288*Y167+Z288*Z167+AA288*AA167+AB288*AB167+AC288*AC167+AD288*AD167+AE288*AE167+AF288*AF167+AG288*AG167+AH288*AH167+AI288*AI167+AJ288*AJ167+AK288*AK167+AL288*AL167+AM288*AM167+AN288*AN167+AO288*AO167+AP288*AP167+AQ288*AQ167+AR288*AR167+AS288*AS167+AT288*AT167+AU288*AU167+AV288*AV167+AW288*AW167+AX288*AX167+AY288*AY167+AZ288*AZ167+BA288*BA167+BB288*BB167+BC288*BC167+BD288*BD167+BE288*BE167+BF288*BF167+BG288*BG167+BH288*BH167+BI288*BI167+BJ288*BJ167+BK288*BK167+BL288*BL167+BM288*BM167+BN288*BN167+BO288*BO167+BP288*BP167+BQ288*BQ167+BR288*BR167+BS288*BS167+BT288*BT167+BU288*BU167+BV288*BV167+BW288*BW167+BX288*BX167+BY288*BY167+BZ288*BZ167+CA288*CA167+CB288*CB167+CC288*CC167+CD288*CD167+CE288*CE167+CF288*CF167+CG288*CG167+CH288*CH167+CI288*CI167+CJ288*CJ167+CK288*CK167+CL288*CL167+CM288*CM167+CN288*CN167+CO288*CO167+CP288*CP167+CQ288*CQ167+CR288*CR167+CS288*CS167+CT288*CT167+CU288*CU167</f>
        <v>6.9388939039072284E-18</v>
      </c>
      <c r="CZ167" s="2839">
        <f>E289*E167+F289*F167+G289*G167+H289*H167+I289*I167+J289*J167+K289*K167+L289*L167+M289*M167+N289*N167+O289*O167+P289*P167+Q289*Q167+R289*R167+S289*S167+T289*T167+U289*U167+V289*V167+W289*W167+X289*X167+Y289*Y167+Z289*Z167+AA289*AA167+AB289*AB167+AC289*AC167+AD289*AD167+AE289*AE167+AF289*AF167+AG289*AG167+AH289*AH167+AI289*AI167+AJ289*AJ167+AK289*AK167+AL289*AL167+AM289*AM167+AN289*AN167+AO289*AO167+AP289*AP167+AQ289*AQ167+AR289*AR167+AS289*AS167+AT289*AT167+AU289*AU167+AV289*AV167+AW289*AW167+AX289*AX167+AY289*AY167+AZ289*AZ167+BA289*BA167+BB289*BB167+BC289*BC167+BD289*BD167+BE289*BE167+BF289*BF167+BG289*BG167+BH289*BH167+BI289*BI167+BJ289*BJ167+BK289*BK167+BL289*BL167+BM289*BM167+BN289*BN167+BO289*BO167+BP289*BP167+BQ289*BQ167+BR289*BR167+BS289*BS167+BT289*BT167+BU289*BU167+BV289*BV167+BW289*BW167+BX289*BX167+BY289*BY167+BZ289*BZ167+CA289*CA167+CB289*CB167+CC289*CC167+CD289*CD167+CE289*CE167+CF289*CF167+CG289*CG167+CH289*CH167+CI289*CI167+CJ289*CJ167+CK289*CK167+CL289*CL167+CM289*CM167+CN289*CN167+CO289*CO167+CP289*CP167+CQ289*CQ167+CR289*CR167+CS289*CS167+CT289*CT167+CU289*CU167</f>
        <v>0</v>
      </c>
      <c r="DA167" s="2840">
        <f>E290*E167+F290*F167+G290*G167+H290*H167+I290*I167+J290*J167+K290*K167+L290*L167+M290*M167+N290*N167+O290*O167+P290*P167+Q290*Q167+R290*R167+S290*S167+T290*T167+U290*U167+V290*V167+W290*W167+X290*X167+Y290*Y167+Z290*Z167+AA290*AA167+AB290*AB167+AC290*AC167+AD290*AD167+AE290*AE167+AF290*AF167+AG290*AG167+AH290*AH167+AI290*AI167+AJ290*AJ167+AK290*AK167+AL290*AL167+AM290*AM167+AN290*AN167+AO290*AO167+AP290*AP167+AQ290*AQ167+AR290*AR167+AS290*AS167+AT290*AT167+AU290*AU167+AV290*AV167+AW290*AW167+AX290*AX167+AY290*AY167+AZ290*AZ167+BA290*BA167+BB290*BB167+BC290*BC167+BD290*BD167+BE290*BE167+BF290*BF167+BG290*BG167+BH290*BH167+BI290*BI167+BJ290*BJ167+BK290*BK167+BL290*BL167+BM290*BM167+BN290*BN167+BO290*BO167+BP290*BP167+BQ290*BQ167+BR290*BR167+BS290*BS167+BT290*BT167+BU290*BU167+BV290*BV167+BW290*BW167+BX290*BX167+BY290*BY167+BZ290*BZ167+CA290*CA167+CB290*CB167+CC290*CC167+CD290*CD167+CE290*CE167+CF290*CF167+CG290*CG167+CH290*CH167+CI290*CI167+CJ290*CJ167+CK290*CK167+CL290*CL167+CM290*CM167+CN290*CN167+CO290*CO167+CP290*CP167+CQ290*CQ167+CR290*CR167+CS290*CS167+CT290*CT167+CU290*CU167</f>
        <v>0</v>
      </c>
      <c r="DB167" s="2840">
        <f>E291*E167+F291*F167+G291*G167+H291*H167+I291*I167+J291*J167+K291*K167+L291*L167+M291*M167+N291*N167+O291*O167+P291*P167+Q291*Q167+R291*R167+S291*S167+T291*T167+U291*U167+V291*V167+W291*W167+X291*X167+Y291*Y167+Z291*Z167+AA291*AA167+AB291*AB167+AC291*AC167+AD291*AD167+AE291*AE167+AF291*AF167+AG291*AG167+AH291*AH167+AI291*AI167+AJ291*AJ167+AK291*AK167+AL291*AL167+AM291*AM167+AN291*AN167+AO291*AO167+AP291*AP167+AQ291*AQ167+AR291*AR167+AS291*AS167+AT291*AT167+AU291*AU167+AV291*AV167+AW291*AW167+AX291*AX167+AY291*AY167+AZ291*AZ167+BA291*BA167+BB291*BB167+BC291*BC167+BD291*BD167+BE291*BE167+BF291*BF167+BG291*BG167+BH291*BH167+BI291*BI167+BJ291*BJ167+BK291*BK167+BL291*BL167+BM291*BM167+BN291*BN167+BO291*BO167+BP291*BP167+BQ291*BQ167+BR291*BR167+BS291*BS167+BT291*BT167+BU291*BU167+BV291*BV167+BW291*BW167+BX291*BX167+BY291*BY167+BZ291*BZ167+CA291*CA167+CB291*CB167+CC291*CC167+CD291*CD167+CE291*CE167+CF291*CF167+CG291*CG167+CH291*CH167+CI291*CI167+CJ291*CJ167+CK291*CK167+CL291*CL167+CM291*CM167+CN291*CN167+CO291*CO167+CP291*CP167+CQ291*CQ167+CR291*CR167+CS291*CS167+CT291*CT167+CU291*CU167</f>
        <v>0</v>
      </c>
      <c r="DC167" s="2840">
        <f>E292*E167+F292*F167+G292*G167+H292*H167+I292*I167+J292*J167+K292*K167+L292*L167+M292*M167+N292*N167+O292*O167+P292*P167+Q292*Q167+R292*R167+S292*S167+T292*T167+U292*U167+V292*V167+W292*W167+X292*X167+Y292*Y167+Z292*Z167+AA292*AA167+AB292*AB167+AC292*AC167+AD292*AD167+AE292*AE167+AF292*AF167+AG292*AG167+AH292*AH167+AI292*AI167+AJ292*AJ167+AK292*AK167+AL292*AL167+AM292*AM167+AN292*AN167+AO292*AO167+AP292*AP167+AQ292*AQ167+AR292*AR167+AS292*AS167+AT292*AT167+AU292*AU167+AV292*AV167+AW292*AW167+AX292*AX167+AY292*AY167+AZ292*AZ167+BA292*BA167+BB292*BB167+BC292*BC167+BD292*BD167+BE292*BE167+BF292*BF167+BG292*BG167+BH292*BH167+BI292*BI167+BJ292*BJ167+BK292*BK167+BL292*BL167+BM292*BM167+BN292*BN167+BO292*BO167+BP292*BP167+BQ292*BQ167+BR292*BR167+BS292*BS167+BT292*BT167+BU292*BU167+BV292*BV167+BW292*BW167+BX292*BX167+BY292*BY167+BZ292*BZ167+CA292*CA167+CB292*CB167+CC292*CC167+CD292*CD167+CE292*CE167+CF292*CF167+CG292*CG167+CH292*CH167+CI292*CI167+CJ292*CJ167+CK292*CK167+CL292*CL167+CM292*CM167+CN292*CN167+CO292*CO167+CP292*CP167+CQ292*CQ167+CR292*CR167+CS292*CS167+CT292*CT167+CU292*CU167</f>
        <v>0</v>
      </c>
      <c r="DD167" s="2840">
        <f>E293*E167+F293*F167+G293*G167+H293*H167+I293*I167+J293*J167+K293*K167+L293*L167+M293*M167+N293*N167+O293*O167+P293*P167+Q293*Q167+R293*R167+S293*S167+T293*T167+U293*U167+V293*V167+W293*W167+X293*X167+Y293*Y167+Z293*Z167+AA293*AA167+AB293*AB167+AC293*AC167+AD293*AD167+AE293*AE167+AF293*AF167+AG293*AG167+AH293*AH167+AI293*AI167+AJ293*AJ167+AK293*AK167+AL293*AL167+AM293*AM167+AN293*AN167+AO293*AO167+AP293*AP167+AQ293*AQ167+AR293*AR167+AS293*AS167+AT293*AT167+AU293*AU167+AV293*AV167+AW293*AW167+AX293*AX167+AY293*AY167+AZ293*AZ167+BA293*BA167+BB293*BB167+BC293*BC167+BD293*BD167+BE293*BE167+BF293*BF167+BG293*BG167+BH293*BH167+BI293*BI167+BJ293*BJ167+BK293*BK167+BL293*BL167+BM293*BM167+BN293*BN167+BO293*BO167+BP293*BP167+BQ293*BQ167+BR293*BR167+BS293*BS167+BT293*BT167+BU293*BU167+BV293*BV167+BW293*BW167+BX293*BX167+BY293*BY167+BZ293*BZ167+CA293*CA167+CB293*CB167+CC293*CC167+CD293*CD167+CE293*CE167+CF293*CF167+CG293*CG167+CH293*CH167+CI293*CI167+CJ293*CJ167+CK293*CK167+CL293*CL167+CM293*CM167+CN293*CN167+CO293*CO167+CP293*CP167+CQ293*CQ167+CR293*CR167+CS293*CS167+CT293*CT167+CU293*CU167</f>
        <v>0</v>
      </c>
      <c r="DE167" s="2840">
        <f>E294*E167+F294*F167+G294*G167+H294*H167+I294*I167+J294*J167+K294*K167+L294*L167+M294*M167+N294*N167+O294*O167+P294*P167+Q294*Q167+R294*R167+S294*S167+T294*T167+U294*U167+V294*V167+W294*W167+X294*X167+Y294*Y167+Z294*Z167+AA294*AA167+AB294*AB167+AC294*AC167+AD294*AD167+AE294*AE167+AF294*AF167+AG294*AG167+AH294*AH167+AI294*AI167+AJ294*AJ167+AK294*AK167+AL294*AL167+AM294*AM167+AN294*AN167+AO294*AO167+AP294*AP167+AQ294*AQ167+AR294*AR167+AS294*AS167+AT294*AT167+AU294*AU167+AV294*AV167+AW294*AW167+AX294*AX167+AY294*AY167+AZ294*AZ167+BA294*BA167+BB294*BB167+BC294*BC167+BD294*BD167+BE294*BE167+BF294*BF167+BG294*BG167+BH294*BH167+BI294*BI167+BJ294*BJ167+BK294*BK167+BL294*BL167+BM294*BM167+BN294*BN167+BO294*BO167+BP294*BP167+BQ294*BQ167+BR294*BR167+BS294*BS167+BT294*BT167+BU294*BU167+BV294*BV167+BW294*BW167+BX294*BX167+BY294*BY167+BZ294*BZ167+CA294*CA167+CB294*CB167+CC294*CC167+CD294*CD167+CE294*CE167+CF294*CF167+CG294*CG167+CH294*CH167+CI294*CI167+CJ294*CJ167+CK294*CK167+CL294*CL167+CM294*CM167+CN294*CN167+CO294*CO167+CP294*CP167+CQ294*CQ167+CR294*CR167+CS294*CS167+CT294*CT167+CU294*CU167</f>
        <v>0</v>
      </c>
      <c r="DF167" s="2840">
        <f>E295*E167+F295*F167+G295*G167+H295*H167+I295*I167+J295*J167+K295*K167+L295*L167+M295*M167+N295*N167+O295*O167+P295*P167+Q295*Q167+R295*R167+S295*S167+T295*T167+U295*U167+V295*V167+W295*W167+X295*X167+Y295*Y167+Z295*Z167+AA295*AA167+AB295*AB167+AC295*AC167+AD295*AD167+AE295*AE167+AF295*AF167+AG295*AG167+AH295*AH167+AI295*AI167+AJ295*AJ167+AK295*AK167+AL295*AL167+AM295*AM167+AN295*AN167+AO295*AO167+AP295*AP167+AQ295*AQ167+AR295*AR167+AS295*AS167+AT295*AT167+AU295*AU167+AV295*AV167+AW295*AW167+AX295*AX167+AY295*AY167+AZ295*AZ167+BA295*BA167+BB295*BB167+BC295*BC167+BD295*BD167+BE295*BE167+BF295*BF167+BG295*BG167+BH295*BH167+BI295*BI167+BJ295*BJ167+BK295*BK167+BL295*BL167+BM295*BM167+BN295*BN167+BO295*BO167+BP295*BP167+BQ295*BQ167+BR295*BR167+BS295*BS167+BT295*BT167+BU295*BU167+BV295*BV167+BW295*BW167+BX295*BX167+BY295*BY167+BZ295*BZ167+CA295*CA167+CB295*CB167+CC295*CC167+CD295*CD167+CE295*CE167+CF295*CF167+CG295*CG167+CH295*CH167+CI295*CI167+CJ295*CJ167+CK295*CK167+CL295*CL167+CM295*CM167+CN295*CN167+CO295*CO167+CP295*CP167+CQ295*CQ167+CR295*CR167+CS295*CS167+CT295*CT167+CU295*CU167</f>
        <v>0</v>
      </c>
      <c r="DG167" s="2840">
        <f>E296*E167+F296*F167+G296*G167+H296*H167+I296*I167+J296*J167+K296*K167+L296*L167+M296*M167+N296*N167+O296*O167+P296*P167+Q296*Q167+R296*R167+S296*S167+T296*T167+U296*U167+V296*V167+W296*W167+X296*X167+Y296*Y167+Z296*Z167+AA296*AA167+AB296*AB167+AC296*AC167+AD296*AD167+AE296*AE167+AF296*AF167+AG296*AG167+AH296*AH167+AI296*AI167+AJ296*AJ167+AK296*AK167+AL296*AL167+AM296*AM167+AN296*AN167+AO296*AO167+AP296*AP167+AQ296*AQ167+AR296*AR167+AS296*AS167+AT296*AT167+AU296*AU167+AV296*AV167+AW296*AW167+AX296*AX167+AY296*AY167+AZ296*AZ167+BA296*BA167+BB296*BB167+BC296*BC167+BD296*BD167+BE296*BE167+BF296*BF167+BG296*BG167+BH296*BH167+BI296*BI167+BJ296*BJ167+BK296*BK167+BL296*BL167+BM296*BM167+BN296*BN167+BO296*BO167+BP296*BP167+BQ296*BQ167+BR296*BR167+BS296*BS167+BT296*BT167+BU296*BU167+BV296*BV167+BW296*BW167+BX296*BX167+BY296*BY167+BZ296*BZ167+CA296*CA167+CB296*CB167+CC296*CC167+CD296*CD167+CE296*CE167+CF296*CF167+CG296*CG167+CH296*CH167+CI296*CI167+CJ296*CJ167+CK296*CK167+CL296*CL167+CM296*CM167+CN296*CN167+CO296*CO167+CP296*CP167+CQ296*CQ167+CR296*CR167+CS296*CS167+CT296*CT167+CU296*CU167</f>
        <v>0</v>
      </c>
      <c r="DH167" s="2840">
        <f>E297*E167+F297*F167+G297*G167+H297*H167+I297*I167+J297*J167+K297*K167+L297*L167+M297*M167+N297*N167+O297*O167+P297*P167+Q297*Q167+R297*R167+S297*S167+T297*T167+U297*U167+V297*V167+W297*W167+X297*X167+Y297*Y167+Z297*Z167+AA297*AA167+AB297*AB167+AC297*AC167+AD297*AD167+AE297*AE167+AF297*AF167+AG297*AG167+AH297*AH167+AI297*AI167+AJ297*AJ167+AK297*AK167+AL297*AL167+AM297*AM167+AN297*AN167+AO297*AO167+AP297*AP167+AQ297*AQ167+AR297*AR167+AS297*AS167+AT297*AT167+AU297*AU167+AV297*AV167+AW297*AW167+AX297*AX167+AY297*AY167+AZ297*AZ167+BA297*BA167+BB297*BB167+BC297*BC167+BD297*BD167+BE297*BE167+BF297*BF167+BG297*BG167+BH297*BH167+BI297*BI167+BJ297*BJ167+BK297*BK167+BL297*BL167+BM297*BM167+BN297*BN167+BO297*BO167+BP297*BP167+BQ297*BQ167+BR297*BR167+BS297*BS167+BT297*BT167+BU297*BU167+BV297*BV167+BW297*BW167+BX297*BX167+BY297*BY167+BZ297*BZ167+CA297*CA167+CB297*CB167+CC297*CC167+CD297*CD167+CE297*CE167+CF297*CF167+CG297*CG167+CH297*CH167+CI297*CI167+CJ297*CJ167+CK297*CK167+CL297*CL167+CM297*CM167+CN297*CN167+CO297*CO167+CP297*CP167+CQ297*CQ167+CR297*CR167+CS297*CS167+CT297*CT167+CU297*CU167</f>
        <v>0</v>
      </c>
      <c r="DI167" s="2840">
        <f>E298*E167+F298*F167+G298*G167+H298*H167+I298*I167+J298*J167+K298*K167+L298*L167+M298*M167+N298*N167+O298*O167+P298*P167+Q298*Q167+R298*R167+S298*S167+T298*T167+U298*U167+V298*V167+W298*W167+X298*X167+Y298*Y167+Z298*Z167+AA298*AA167+AB298*AB167+AC298*AC167+AD298*AD167+AE298*AE167+AF298*AF167+AG298*AG167+AH298*AH167+AI298*AI167+AJ298*AJ167+AK298*AK167+AL298*AL167+AM298*AM167+AN298*AN167+AO298*AO167+AP298*AP167+AQ298*AQ167+AR298*AR167+AS298*AS167+AT298*AT167+AU298*AU167+AV298*AV167+AW298*AW167+AX298*AX167+AY298*AY167+AZ298*AZ167+BA298*BA167+BB298*BB167+BC298*BC167+BD298*BD167+BE298*BE167+BF298*BF167+BG298*BG167+BH298*BH167+BI298*BI167+BJ298*BJ167+BK298*BK167+BL298*BL167+BM298*BM167+BN298*BN167+BO298*BO167+BP298*BP167+BQ298*BQ167+BR298*BR167+BS298*BS167+BT298*BT167+BU298*BU167+BV298*BV167+BW298*BW167+BX298*BX167+BY298*BY167+BZ298*BZ167+CA298*CA167+CB298*CB167+CC298*CC167+CD298*CD167+CE298*CE167+CF298*CF167+CG298*CG167+CH298*CH167+CI298*CI167+CJ298*CJ167+CK298*CK167+CL298*CL167+CM298*CM167+CN298*CN167+CO298*CO167+CP298*CP167+CQ298*CQ167+CR298*CR167+CS298*CS167+CT298*CT167+CU298*CU167</f>
        <v>0</v>
      </c>
    </row>
    <row r="168" spans="2:113" ht="18" x14ac:dyDescent="0.25">
      <c r="B168" s="2487">
        <v>15</v>
      </c>
      <c r="C168" s="2402" t="s">
        <v>237</v>
      </c>
      <c r="D168" s="2403" t="s">
        <v>2994</v>
      </c>
      <c r="E168" s="3109">
        <f>0</f>
        <v>0</v>
      </c>
      <c r="F168" s="3109">
        <f>0</f>
        <v>0</v>
      </c>
      <c r="G168" s="3109">
        <f>0</f>
        <v>0</v>
      </c>
      <c r="H168" s="3109">
        <f>0</f>
        <v>0</v>
      </c>
      <c r="I168" s="3109">
        <f>0</f>
        <v>0</v>
      </c>
      <c r="J168" s="3109">
        <f>1-f_E</f>
        <v>0.92</v>
      </c>
      <c r="K168" s="3109">
        <f>0</f>
        <v>0</v>
      </c>
      <c r="L168" s="3109">
        <f>0</f>
        <v>0</v>
      </c>
      <c r="M168" s="3109">
        <f>0</f>
        <v>0</v>
      </c>
      <c r="N168" s="3109">
        <f>0</f>
        <v>0</v>
      </c>
      <c r="O168" s="3109">
        <f>0</f>
        <v>0</v>
      </c>
      <c r="P168" s="3109">
        <f>0</f>
        <v>0</v>
      </c>
      <c r="Q168" s="3109">
        <f>f_E</f>
        <v>0.08</v>
      </c>
      <c r="R168" s="3109">
        <f>0</f>
        <v>0</v>
      </c>
      <c r="S168" s="3109">
        <f>0</f>
        <v>0</v>
      </c>
      <c r="T168" s="3109">
        <f>-1</f>
        <v>-1</v>
      </c>
      <c r="U168" s="3109">
        <f>0</f>
        <v>0</v>
      </c>
      <c r="V168" s="3109">
        <f>0</f>
        <v>0</v>
      </c>
      <c r="W168" s="3109">
        <f>0</f>
        <v>0</v>
      </c>
      <c r="X168" s="3109">
        <f>0</f>
        <v>0</v>
      </c>
      <c r="Y168" s="3109">
        <f>0</f>
        <v>0</v>
      </c>
      <c r="Z168" s="3109">
        <f>0</f>
        <v>0</v>
      </c>
      <c r="AA168" s="3109">
        <f>0</f>
        <v>0</v>
      </c>
      <c r="AB168" s="3109">
        <f>0</f>
        <v>0</v>
      </c>
      <c r="AC168" s="3109">
        <f>0</f>
        <v>0</v>
      </c>
      <c r="AD168" s="3109">
        <f>-f_E*(i_N_XE-i_N_BIO)</f>
        <v>8.0000000000000069E-4</v>
      </c>
      <c r="AE168" s="3109">
        <f>0</f>
        <v>0</v>
      </c>
      <c r="AF168" s="3109">
        <f>0</f>
        <v>0</v>
      </c>
      <c r="AG168" s="3109">
        <f>0</f>
        <v>0</v>
      </c>
      <c r="AH168" s="3109">
        <f>0</f>
        <v>0</v>
      </c>
      <c r="AI168" s="3109">
        <f>0</f>
        <v>0</v>
      </c>
      <c r="AJ168" s="3109">
        <f>(1-f_E)*i_N_BIO</f>
        <v>6.4400000000000013E-2</v>
      </c>
      <c r="AK168" s="3109">
        <f>0</f>
        <v>0</v>
      </c>
      <c r="AL168" s="3109">
        <f>0</f>
        <v>0</v>
      </c>
      <c r="AM168" s="3109">
        <f>0</f>
        <v>0</v>
      </c>
      <c r="AN168" s="3109">
        <f>0</f>
        <v>0</v>
      </c>
      <c r="AO168" s="3109">
        <f>0</f>
        <v>0</v>
      </c>
      <c r="AP168" s="3109">
        <f>(1-f_E)*i_P_BIO</f>
        <v>1.84E-2</v>
      </c>
      <c r="AQ168" s="3109">
        <f>0</f>
        <v>0</v>
      </c>
      <c r="AR168" s="3109">
        <f>0</f>
        <v>0</v>
      </c>
      <c r="AS168" s="3109">
        <f>0</f>
        <v>0</v>
      </c>
      <c r="AT168" s="3109">
        <f>0</f>
        <v>0</v>
      </c>
      <c r="AU168" s="3175">
        <f>(1-f_E)*(i_CIT_BIO-i_CIT_XBe)</f>
        <v>6.0720000000000003E-2</v>
      </c>
      <c r="AV168" s="3175">
        <f>0</f>
        <v>0</v>
      </c>
      <c r="AW168" s="3187">
        <f>0</f>
        <v>0</v>
      </c>
      <c r="AX168" s="3187">
        <f>0</f>
        <v>0</v>
      </c>
      <c r="AY168" s="3187">
        <f>0</f>
        <v>0</v>
      </c>
      <c r="AZ168" s="3187">
        <f>0</f>
        <v>0</v>
      </c>
      <c r="BA168" s="3140">
        <f>0</f>
        <v>0</v>
      </c>
      <c r="BB168" s="3140">
        <f>0</f>
        <v>0</v>
      </c>
      <c r="BC168" s="3140">
        <f>(1-f_E)*i_S_BIO-(1-f_E)*i_S_XB</f>
        <v>7.8200000000000006E-3</v>
      </c>
      <c r="BD168" s="3140">
        <f>0</f>
        <v>0</v>
      </c>
      <c r="BE168" s="3140">
        <f>0</f>
        <v>0</v>
      </c>
      <c r="BF168" s="3140">
        <f>0</f>
        <v>0</v>
      </c>
      <c r="BG168" s="3140">
        <f>0</f>
        <v>0</v>
      </c>
      <c r="BH168" s="3140">
        <f>0</f>
        <v>0</v>
      </c>
      <c r="BI168" s="3140">
        <f>0</f>
        <v>0</v>
      </c>
      <c r="BJ168" s="3140">
        <f>0</f>
        <v>0</v>
      </c>
      <c r="BK168" s="3140">
        <f>0</f>
        <v>0</v>
      </c>
      <c r="BL168" s="3140">
        <f>0</f>
        <v>0</v>
      </c>
      <c r="BM168" s="3140">
        <f>0</f>
        <v>0</v>
      </c>
      <c r="BN168" s="3140">
        <f>0</f>
        <v>0</v>
      </c>
      <c r="BO168" s="3140">
        <f>0</f>
        <v>0</v>
      </c>
      <c r="BP168" s="3140">
        <f>0</f>
        <v>0</v>
      </c>
      <c r="BQ168" s="3140">
        <f>0</f>
        <v>0</v>
      </c>
      <c r="BR168" s="3140">
        <f>0</f>
        <v>0</v>
      </c>
      <c r="BS168" s="3140">
        <f>0</f>
        <v>0</v>
      </c>
      <c r="BT168" s="3140">
        <f>0</f>
        <v>0</v>
      </c>
      <c r="BU168" s="3140">
        <f>0</f>
        <v>0</v>
      </c>
      <c r="BV168" s="3140">
        <f>0</f>
        <v>0</v>
      </c>
      <c r="BW168" s="3140">
        <f>0</f>
        <v>0</v>
      </c>
      <c r="BX168" s="3140">
        <f>0</f>
        <v>0</v>
      </c>
      <c r="BY168" s="3140">
        <f>0</f>
        <v>0</v>
      </c>
      <c r="BZ168" s="3187">
        <f>0</f>
        <v>0</v>
      </c>
      <c r="CA168" s="3187">
        <f>0</f>
        <v>0</v>
      </c>
      <c r="CB168" s="3187">
        <f>0</f>
        <v>0</v>
      </c>
      <c r="CC168" s="3187">
        <f>0</f>
        <v>0</v>
      </c>
      <c r="CD168" s="3140">
        <f>0</f>
        <v>0</v>
      </c>
      <c r="CE168" s="3140">
        <f>0</f>
        <v>0</v>
      </c>
      <c r="CF168" s="3140">
        <f>0</f>
        <v>0</v>
      </c>
      <c r="CG168" s="3140">
        <f>0</f>
        <v>0</v>
      </c>
      <c r="CH168" s="3140">
        <f>0</f>
        <v>0</v>
      </c>
      <c r="CI168" s="3140">
        <f>0</f>
        <v>0</v>
      </c>
      <c r="CJ168" s="3140">
        <f>0</f>
        <v>0</v>
      </c>
      <c r="CK168" s="3140">
        <f>0</f>
        <v>0</v>
      </c>
      <c r="CL168" s="3140">
        <f>0</f>
        <v>0</v>
      </c>
      <c r="CM168" s="3140">
        <f>0</f>
        <v>0</v>
      </c>
      <c r="CN168" s="3140">
        <f>0</f>
        <v>0</v>
      </c>
      <c r="CO168" s="3140">
        <f>0</f>
        <v>0</v>
      </c>
      <c r="CP168" s="3140">
        <f>0</f>
        <v>0</v>
      </c>
      <c r="CQ168" s="3140">
        <f>0</f>
        <v>0</v>
      </c>
      <c r="CR168" s="3140">
        <f>0</f>
        <v>0</v>
      </c>
      <c r="CS168" s="3140">
        <f>0</f>
        <v>0</v>
      </c>
      <c r="CT168" s="3140">
        <f>0</f>
        <v>0</v>
      </c>
      <c r="CU168" s="3140">
        <f>0</f>
        <v>0</v>
      </c>
      <c r="CV168" s="3221">
        <f>b_MEOLO_T*X_MEOLO*(η_b_ana*M_inhSNO2_KNO2_MEOLO*M_inhSNO3_KNO3_MEOLO*M_inhSO2_KiO2_MEOLO+m_tox_ana)</f>
        <v>5.0309909039684476E-7</v>
      </c>
      <c r="CX168" s="2838">
        <f>E287*E168+F287*F168+G287*G168+H287*H168+I287*I168+J287*J168+K287*K168+L287*L168+M287*M168+N287*N168+O287*O168+P287*P168+Q287*Q168+R287*R168+S287*S168+T287*T168+U287*U168+V287*V168+W287*W168+X287*X168+Y287*Y168+Z287*Z168+AA287*AA168+AB287*AB168+AC287*AC168+AD287*AD168+AE287*AE168+AF287*AF168+AG287*AG168+AH287*AH168+AI287*AI168+AJ287*AJ168+AK287*AK168+AL287*AL168+AM287*AM168+AN287*AN168+AO287*AO168+AP287*AP168+AQ287*AQ168+AR287*AR168+AS287*AS168+AT287*AT168+AU287*AU168+AV287*AV168+AW287*AW168+AX287*AX168+AY287*AY168+AZ287*AZ168+BA287*BA168+BB287*BB168+BC287*BC168+BD287*BD168+BE287*BE168+BF287*BF168+BG287*BG168+BH287*BH168+BI287*BI168+BJ287*BJ168+BK287*BK168+BL287*BL168+BM287*BM168+BN287*BN168+BO287*BO168+BP287*BP168+BQ287*BQ168+BR287*BR168+BS287*BS168+BT287*BT168+BU287*BU168+BV287*BV168+BW287*BW168+BX287*BX168+BY287*BY168+BZ287*BZ168+CA287*CA168+CB287*CB168+CC287*CC168+CD287*CD168+CE287*CE168+CF287*CF168+CG287*CG168+CH287*CH168+CI287*CI168+CJ287*CJ168+CK287*CK168+CL287*CL168+CM287*CM168+CN287*CN168+CO287*CO168+CP287*CP168+CQ287*CQ168+CR287*CR168+CS287*CS168+CT287*CT168+CU287*CU168</f>
        <v>0</v>
      </c>
      <c r="CY168" s="2838">
        <f>E288*E168+F288*F168+G288*G168+H288*H168+I288*I168+J288*J168+K288*K168+L288*L168+M288*M168+N288*N168+O288*O168+P288*P168+Q288*Q168+R288*R168+S288*S168+T288*T168+U288*U168+V288*V168+W288*W168+X288*X168+Y288*Y168+Z288*Z168+AA288*AA168+AB288*AB168+AC288*AC168+AD288*AD168+AE288*AE168+AF288*AF168+AG288*AG168+AH288*AH168+AI288*AI168+AJ288*AJ168+AK288*AK168+AL288*AL168+AM288*AM168+AN288*AN168+AO288*AO168+AP288*AP168+AQ288*AQ168+AR288*AR168+AS288*AS168+AT288*AT168+AU288*AU168+AV288*AV168+AW288*AW168+AX288*AX168+AY288*AY168+AZ288*AZ168+BA288*BA168+BB288*BB168+BC288*BC168+BD288*BD168+BE288*BE168+BF288*BF168+BG288*BG168+BH288*BH168+BI288*BI168+BJ288*BJ168+BK288*BK168+BL288*BL168+BM288*BM168+BN288*BN168+BO288*BO168+BP288*BP168+BQ288*BQ168+BR288*BR168+BS288*BS168+BT288*BT168+BU288*BU168+BV288*BV168+BW288*BW168+BX288*BX168+BY288*BY168+BZ288*BZ168+CA288*CA168+CB288*CB168+CC288*CC168+CD288*CD168+CE288*CE168+CF288*CF168+CG288*CG168+CH288*CH168+CI288*CI168+CJ288*CJ168+CK288*CK168+CL288*CL168+CM288*CM168+CN288*CN168+CO288*CO168+CP288*CP168+CQ288*CQ168+CR288*CR168+CS288*CS168+CT288*CT168+CU288*CU168</f>
        <v>6.9388939039072284E-18</v>
      </c>
      <c r="CZ168" s="2839">
        <f>E289*E168+F289*F168+G289*G168+H289*H168+I289*I168+J289*J168+K289*K168+L289*L168+M289*M168+N289*N168+O289*O168+P289*P168+Q289*Q168+R289*R168+S289*S168+T289*T168+U289*U168+V289*V168+W289*W168+X289*X168+Y289*Y168+Z289*Z168+AA289*AA168+AB289*AB168+AC289*AC168+AD289*AD168+AE289*AE168+AF289*AF168+AG289*AG168+AH289*AH168+AI289*AI168+AJ289*AJ168+AK289*AK168+AL289*AL168+AM289*AM168+AN289*AN168+AO289*AO168+AP289*AP168+AQ289*AQ168+AR289*AR168+AS289*AS168+AT289*AT168+AU289*AU168+AV289*AV168+AW289*AW168+AX289*AX168+AY289*AY168+AZ289*AZ168+BA289*BA168+BB289*BB168+BC289*BC168+BD289*BD168+BE289*BE168+BF289*BF168+BG289*BG168+BH289*BH168+BI289*BI168+BJ289*BJ168+BK289*BK168+BL289*BL168+BM289*BM168+BN289*BN168+BO289*BO168+BP289*BP168+BQ289*BQ168+BR289*BR168+BS289*BS168+BT289*BT168+BU289*BU168+BV289*BV168+BW289*BW168+BX289*BX168+BY289*BY168+BZ289*BZ168+CA289*CA168+CB289*CB168+CC289*CC168+CD289*CD168+CE289*CE168+CF289*CF168+CG289*CG168+CH289*CH168+CI289*CI168+CJ289*CJ168+CK289*CK168+CL289*CL168+CM289*CM168+CN289*CN168+CO289*CO168+CP289*CP168+CQ289*CQ168+CR289*CR168+CS289*CS168+CT289*CT168+CU289*CU168</f>
        <v>0</v>
      </c>
      <c r="DA168" s="2840">
        <f>E290*E168+F290*F168+G290*G168+H290*H168+I290*I168+J290*J168+K290*K168+L290*L168+M290*M168+N290*N168+O290*O168+P290*P168+Q290*Q168+R290*R168+S290*S168+T290*T168+U290*U168+V290*V168+W290*W168+X290*X168+Y290*Y168+Z290*Z168+AA290*AA168+AB290*AB168+AC290*AC168+AD290*AD168+AE290*AE168+AF290*AF168+AG290*AG168+AH290*AH168+AI290*AI168+AJ290*AJ168+AK290*AK168+AL290*AL168+AM290*AM168+AN290*AN168+AO290*AO168+AP290*AP168+AQ290*AQ168+AR290*AR168+AS290*AS168+AT290*AT168+AU290*AU168+AV290*AV168+AW290*AW168+AX290*AX168+AY290*AY168+AZ290*AZ168+BA290*BA168+BB290*BB168+BC290*BC168+BD290*BD168+BE290*BE168+BF290*BF168+BG290*BG168+BH290*BH168+BI290*BI168+BJ290*BJ168+BK290*BK168+BL290*BL168+BM290*BM168+BN290*BN168+BO290*BO168+BP290*BP168+BQ290*BQ168+BR290*BR168+BS290*BS168+BT290*BT168+BU290*BU168+BV290*BV168+BW290*BW168+BX290*BX168+BY290*BY168+BZ290*BZ168+CA290*CA168+CB290*CB168+CC290*CC168+CD290*CD168+CE290*CE168+CF290*CF168+CG290*CG168+CH290*CH168+CI290*CI168+CJ290*CJ168+CK290*CK168+CL290*CL168+CM290*CM168+CN290*CN168+CO290*CO168+CP290*CP168+CQ290*CQ168+CR290*CR168+CS290*CS168+CT290*CT168+CU290*CU168</f>
        <v>0</v>
      </c>
      <c r="DB168" s="2840">
        <f>E291*E168+F291*F168+G291*G168+H291*H168+I291*I168+J291*J168+K291*K168+L291*L168+M291*M168+N291*N168+O291*O168+P291*P168+Q291*Q168+R291*R168+S291*S168+T291*T168+U291*U168+V291*V168+W291*W168+X291*X168+Y291*Y168+Z291*Z168+AA291*AA168+AB291*AB168+AC291*AC168+AD291*AD168+AE291*AE168+AF291*AF168+AG291*AG168+AH291*AH168+AI291*AI168+AJ291*AJ168+AK291*AK168+AL291*AL168+AM291*AM168+AN291*AN168+AO291*AO168+AP291*AP168+AQ291*AQ168+AR291*AR168+AS291*AS168+AT291*AT168+AU291*AU168+AV291*AV168+AW291*AW168+AX291*AX168+AY291*AY168+AZ291*AZ168+BA291*BA168+BB291*BB168+BC291*BC168+BD291*BD168+BE291*BE168+BF291*BF168+BG291*BG168+BH291*BH168+BI291*BI168+BJ291*BJ168+BK291*BK168+BL291*BL168+BM291*BM168+BN291*BN168+BO291*BO168+BP291*BP168+BQ291*BQ168+BR291*BR168+BS291*BS168+BT291*BT168+BU291*BU168+BV291*BV168+BW291*BW168+BX291*BX168+BY291*BY168+BZ291*BZ168+CA291*CA168+CB291*CB168+CC291*CC168+CD291*CD168+CE291*CE168+CF291*CF168+CG291*CG168+CH291*CH168+CI291*CI168+CJ291*CJ168+CK291*CK168+CL291*CL168+CM291*CM168+CN291*CN168+CO291*CO168+CP291*CP168+CQ291*CQ168+CR291*CR168+CS291*CS168+CT291*CT168+CU291*CU168</f>
        <v>0</v>
      </c>
      <c r="DC168" s="2840">
        <f>E292*E168+F292*F168+G292*G168+H292*H168+I292*I168+J292*J168+K292*K168+L292*L168+M292*M168+N292*N168+O292*O168+P292*P168+Q292*Q168+R292*R168+S292*S168+T292*T168+U292*U168+V292*V168+W292*W168+X292*X168+Y292*Y168+Z292*Z168+AA292*AA168+AB292*AB168+AC292*AC168+AD292*AD168+AE292*AE168+AF292*AF168+AG292*AG168+AH292*AH168+AI292*AI168+AJ292*AJ168+AK292*AK168+AL292*AL168+AM292*AM168+AN292*AN168+AO292*AO168+AP292*AP168+AQ292*AQ168+AR292*AR168+AS292*AS168+AT292*AT168+AU292*AU168+AV292*AV168+AW292*AW168+AX292*AX168+AY292*AY168+AZ292*AZ168+BA292*BA168+BB292*BB168+BC292*BC168+BD292*BD168+BE292*BE168+BF292*BF168+BG292*BG168+BH292*BH168+BI292*BI168+BJ292*BJ168+BK292*BK168+BL292*BL168+BM292*BM168+BN292*BN168+BO292*BO168+BP292*BP168+BQ292*BQ168+BR292*BR168+BS292*BS168+BT292*BT168+BU292*BU168+BV292*BV168+BW292*BW168+BX292*BX168+BY292*BY168+BZ292*BZ168+CA292*CA168+CB292*CB168+CC292*CC168+CD292*CD168+CE292*CE168+CF292*CF168+CG292*CG168+CH292*CH168+CI292*CI168+CJ292*CJ168+CK292*CK168+CL292*CL168+CM292*CM168+CN292*CN168+CO292*CO168+CP292*CP168+CQ292*CQ168+CR292*CR168+CS292*CS168+CT292*CT168+CU292*CU168</f>
        <v>0</v>
      </c>
      <c r="DD168" s="2840">
        <f>E293*E168+F293*F168+G293*G168+H293*H168+I293*I168+J293*J168+K293*K168+L293*L168+M293*M168+N293*N168+O293*O168+P293*P168+Q293*Q168+R293*R168+S293*S168+T293*T168+U293*U168+V293*V168+W293*W168+X293*X168+Y293*Y168+Z293*Z168+AA293*AA168+AB293*AB168+AC293*AC168+AD293*AD168+AE293*AE168+AF293*AF168+AG293*AG168+AH293*AH168+AI293*AI168+AJ293*AJ168+AK293*AK168+AL293*AL168+AM293*AM168+AN293*AN168+AO293*AO168+AP293*AP168+AQ293*AQ168+AR293*AR168+AS293*AS168+AT293*AT168+AU293*AU168+AV293*AV168+AW293*AW168+AX293*AX168+AY293*AY168+AZ293*AZ168+BA293*BA168+BB293*BB168+BC293*BC168+BD293*BD168+BE293*BE168+BF293*BF168+BG293*BG168+BH293*BH168+BI293*BI168+BJ293*BJ168+BK293*BK168+BL293*BL168+BM293*BM168+BN293*BN168+BO293*BO168+BP293*BP168+BQ293*BQ168+BR293*BR168+BS293*BS168+BT293*BT168+BU293*BU168+BV293*BV168+BW293*BW168+BX293*BX168+BY293*BY168+BZ293*BZ168+CA293*CA168+CB293*CB168+CC293*CC168+CD293*CD168+CE293*CE168+CF293*CF168+CG293*CG168+CH293*CH168+CI293*CI168+CJ293*CJ168+CK293*CK168+CL293*CL168+CM293*CM168+CN293*CN168+CO293*CO168+CP293*CP168+CQ293*CQ168+CR293*CR168+CS293*CS168+CT293*CT168+CU293*CU168</f>
        <v>0</v>
      </c>
      <c r="DE168" s="2840">
        <f>E294*E168+F294*F168+G294*G168+H294*H168+I294*I168+J294*J168+K294*K168+L294*L168+M294*M168+N294*N168+O294*O168+P294*P168+Q294*Q168+R294*R168+S294*S168+T294*T168+U294*U168+V294*V168+W294*W168+X294*X168+Y294*Y168+Z294*Z168+AA294*AA168+AB294*AB168+AC294*AC168+AD294*AD168+AE294*AE168+AF294*AF168+AG294*AG168+AH294*AH168+AI294*AI168+AJ294*AJ168+AK294*AK168+AL294*AL168+AM294*AM168+AN294*AN168+AO294*AO168+AP294*AP168+AQ294*AQ168+AR294*AR168+AS294*AS168+AT294*AT168+AU294*AU168+AV294*AV168+AW294*AW168+AX294*AX168+AY294*AY168+AZ294*AZ168+BA294*BA168+BB294*BB168+BC294*BC168+BD294*BD168+BE294*BE168+BF294*BF168+BG294*BG168+BH294*BH168+BI294*BI168+BJ294*BJ168+BK294*BK168+BL294*BL168+BM294*BM168+BN294*BN168+BO294*BO168+BP294*BP168+BQ294*BQ168+BR294*BR168+BS294*BS168+BT294*BT168+BU294*BU168+BV294*BV168+BW294*BW168+BX294*BX168+BY294*BY168+BZ294*BZ168+CA294*CA168+CB294*CB168+CC294*CC168+CD294*CD168+CE294*CE168+CF294*CF168+CG294*CG168+CH294*CH168+CI294*CI168+CJ294*CJ168+CK294*CK168+CL294*CL168+CM294*CM168+CN294*CN168+CO294*CO168+CP294*CP168+CQ294*CQ168+CR294*CR168+CS294*CS168+CT294*CT168+CU294*CU168</f>
        <v>0</v>
      </c>
      <c r="DF168" s="2840">
        <f>E295*E168+F295*F168+G295*G168+H295*H168+I295*I168+J295*J168+K295*K168+L295*L168+M295*M168+N295*N168+O295*O168+P295*P168+Q295*Q168+R295*R168+S295*S168+T295*T168+U295*U168+V295*V168+W295*W168+X295*X168+Y295*Y168+Z295*Z168+AA295*AA168+AB295*AB168+AC295*AC168+AD295*AD168+AE295*AE168+AF295*AF168+AG295*AG168+AH295*AH168+AI295*AI168+AJ295*AJ168+AK295*AK168+AL295*AL168+AM295*AM168+AN295*AN168+AO295*AO168+AP295*AP168+AQ295*AQ168+AR295*AR168+AS295*AS168+AT295*AT168+AU295*AU168+AV295*AV168+AW295*AW168+AX295*AX168+AY295*AY168+AZ295*AZ168+BA295*BA168+BB295*BB168+BC295*BC168+BD295*BD168+BE295*BE168+BF295*BF168+BG295*BG168+BH295*BH168+BI295*BI168+BJ295*BJ168+BK295*BK168+BL295*BL168+BM295*BM168+BN295*BN168+BO295*BO168+BP295*BP168+BQ295*BQ168+BR295*BR168+BS295*BS168+BT295*BT168+BU295*BU168+BV295*BV168+BW295*BW168+BX295*BX168+BY295*BY168+BZ295*BZ168+CA295*CA168+CB295*CB168+CC295*CC168+CD295*CD168+CE295*CE168+CF295*CF168+CG295*CG168+CH295*CH168+CI295*CI168+CJ295*CJ168+CK295*CK168+CL295*CL168+CM295*CM168+CN295*CN168+CO295*CO168+CP295*CP168+CQ295*CQ168+CR295*CR168+CS295*CS168+CT295*CT168+CU295*CU168</f>
        <v>0</v>
      </c>
      <c r="DG168" s="2840">
        <f>E296*E168+F296*F168+G296*G168+H296*H168+I296*I168+J296*J168+K296*K168+L296*L168+M296*M168+N296*N168+O296*O168+P296*P168+Q296*Q168+R296*R168+S296*S168+T296*T168+U296*U168+V296*V168+W296*W168+X296*X168+Y296*Y168+Z296*Z168+AA296*AA168+AB296*AB168+AC296*AC168+AD296*AD168+AE296*AE168+AF296*AF168+AG296*AG168+AH296*AH168+AI296*AI168+AJ296*AJ168+AK296*AK168+AL296*AL168+AM296*AM168+AN296*AN168+AO296*AO168+AP296*AP168+AQ296*AQ168+AR296*AR168+AS296*AS168+AT296*AT168+AU296*AU168+AV296*AV168+AW296*AW168+AX296*AX168+AY296*AY168+AZ296*AZ168+BA296*BA168+BB296*BB168+BC296*BC168+BD296*BD168+BE296*BE168+BF296*BF168+BG296*BG168+BH296*BH168+BI296*BI168+BJ296*BJ168+BK296*BK168+BL296*BL168+BM296*BM168+BN296*BN168+BO296*BO168+BP296*BP168+BQ296*BQ168+BR296*BR168+BS296*BS168+BT296*BT168+BU296*BU168+BV296*BV168+BW296*BW168+BX296*BX168+BY296*BY168+BZ296*BZ168+CA296*CA168+CB296*CB168+CC296*CC168+CD296*CD168+CE296*CE168+CF296*CF168+CG296*CG168+CH296*CH168+CI296*CI168+CJ296*CJ168+CK296*CK168+CL296*CL168+CM296*CM168+CN296*CN168+CO296*CO168+CP296*CP168+CQ296*CQ168+CR296*CR168+CS296*CS168+CT296*CT168+CU296*CU168</f>
        <v>0</v>
      </c>
      <c r="DH168" s="2840">
        <f>E297*E168+F297*F168+G297*G168+H297*H168+I297*I168+J297*J168+K297*K168+L297*L168+M297*M168+N297*N168+O297*O168+P297*P168+Q297*Q168+R297*R168+S297*S168+T297*T168+U297*U168+V297*V168+W297*W168+X297*X168+Y297*Y168+Z297*Z168+AA297*AA168+AB297*AB168+AC297*AC168+AD297*AD168+AE297*AE168+AF297*AF168+AG297*AG168+AH297*AH168+AI297*AI168+AJ297*AJ168+AK297*AK168+AL297*AL168+AM297*AM168+AN297*AN168+AO297*AO168+AP297*AP168+AQ297*AQ168+AR297*AR168+AS297*AS168+AT297*AT168+AU297*AU168+AV297*AV168+AW297*AW168+AX297*AX168+AY297*AY168+AZ297*AZ168+BA297*BA168+BB297*BB168+BC297*BC168+BD297*BD168+BE297*BE168+BF297*BF168+BG297*BG168+BH297*BH168+BI297*BI168+BJ297*BJ168+BK297*BK168+BL297*BL168+BM297*BM168+BN297*BN168+BO297*BO168+BP297*BP168+BQ297*BQ168+BR297*BR168+BS297*BS168+BT297*BT168+BU297*BU168+BV297*BV168+BW297*BW168+BX297*BX168+BY297*BY168+BZ297*BZ168+CA297*CA168+CB297*CB168+CC297*CC168+CD297*CD168+CE297*CE168+CF297*CF168+CG297*CG168+CH297*CH168+CI297*CI168+CJ297*CJ168+CK297*CK168+CL297*CL168+CM297*CM168+CN297*CN168+CO297*CO168+CP297*CP168+CQ297*CQ168+CR297*CR168+CS297*CS168+CT297*CT168+CU297*CU168</f>
        <v>0</v>
      </c>
      <c r="DI168" s="2840">
        <f>E298*E168+F298*F168+G298*G168+H298*H168+I298*I168+J298*J168+K298*K168+L298*L168+M298*M168+N298*N168+O298*O168+P298*P168+Q298*Q168+R298*R168+S298*S168+T298*T168+U298*U168+V298*V168+W298*W168+X298*X168+Y298*Y168+Z298*Z168+AA298*AA168+AB298*AB168+AC298*AC168+AD298*AD168+AE298*AE168+AF298*AF168+AG298*AG168+AH298*AH168+AI298*AI168+AJ298*AJ168+AK298*AK168+AL298*AL168+AM298*AM168+AN298*AN168+AO298*AO168+AP298*AP168+AQ298*AQ168+AR298*AR168+AS298*AS168+AT298*AT168+AU298*AU168+AV298*AV168+AW298*AW168+AX298*AX168+AY298*AY168+AZ298*AZ168+BA298*BA168+BB298*BB168+BC298*BC168+BD298*BD168+BE298*BE168+BF298*BF168+BG298*BG168+BH298*BH168+BI298*BI168+BJ298*BJ168+BK298*BK168+BL298*BL168+BM298*BM168+BN298*BN168+BO298*BO168+BP298*BP168+BQ298*BQ168+BR298*BR168+BS298*BS168+BT298*BT168+BU298*BU168+BV298*BV168+BW298*BW168+BX298*BX168+BY298*BY168+BZ298*BZ168+CA298*CA168+CB298*CB168+CC298*CC168+CD298*CD168+CE298*CE168+CF298*CF168+CG298*CG168+CH298*CH168+CI298*CI168+CJ298*CJ168+CK298*CK168+CL298*CL168+CM298*CM168+CN298*CN168+CO298*CO168+CP298*CP168+CQ298*CQ168+CR298*CR168+CS298*CS168+CT298*CT168+CU298*CU168</f>
        <v>0</v>
      </c>
    </row>
    <row r="169" spans="2:113" ht="18" x14ac:dyDescent="0.25">
      <c r="B169" s="2489">
        <v>16</v>
      </c>
      <c r="C169" s="2406" t="s">
        <v>238</v>
      </c>
      <c r="D169" s="2407" t="s">
        <v>5851</v>
      </c>
      <c r="E169" s="3110">
        <f>0</f>
        <v>0</v>
      </c>
      <c r="F169" s="3110">
        <f>0</f>
        <v>0</v>
      </c>
      <c r="G169" s="3110">
        <f>0</f>
        <v>0</v>
      </c>
      <c r="H169" s="3110">
        <f>0</f>
        <v>0</v>
      </c>
      <c r="I169" s="3110">
        <f>0</f>
        <v>0</v>
      </c>
      <c r="J169" s="3110">
        <f>0</f>
        <v>0</v>
      </c>
      <c r="K169" s="3110">
        <f>0</f>
        <v>0</v>
      </c>
      <c r="L169" s="3110">
        <f>0</f>
        <v>0</v>
      </c>
      <c r="M169" s="3110">
        <f>0</f>
        <v>0</v>
      </c>
      <c r="N169" s="3112">
        <f>-(X_PHA_PAO/X_STC)/Y_CASTO_STC_ox</f>
        <v>-1.371742112482853</v>
      </c>
      <c r="O169" s="3112">
        <f>-(X_PHA_GAO/X_STC)/Y_CASTO_STC_ox</f>
        <v>-0.20576131687242796</v>
      </c>
      <c r="P169" s="3110">
        <f>0</f>
        <v>0</v>
      </c>
      <c r="Q169" s="3110">
        <f>0</f>
        <v>0</v>
      </c>
      <c r="R169" s="3110">
        <f>0</f>
        <v>0</v>
      </c>
      <c r="S169" s="3110">
        <f>1</f>
        <v>1</v>
      </c>
      <c r="T169" s="3110">
        <f>0</f>
        <v>0</v>
      </c>
      <c r="U169" s="3110">
        <f>0</f>
        <v>0</v>
      </c>
      <c r="V169" s="3110">
        <f>0</f>
        <v>0</v>
      </c>
      <c r="W169" s="3110">
        <f>0</f>
        <v>0</v>
      </c>
      <c r="X169" s="3110">
        <f>0</f>
        <v>0</v>
      </c>
      <c r="Y169" s="3110">
        <f>0</f>
        <v>0</v>
      </c>
      <c r="Z169" s="3110">
        <f>0</f>
        <v>0</v>
      </c>
      <c r="AA169" s="3110">
        <f>0</f>
        <v>0</v>
      </c>
      <c r="AB169" s="3110">
        <f>0</f>
        <v>0</v>
      </c>
      <c r="AC169" s="3110">
        <f>0</f>
        <v>0</v>
      </c>
      <c r="AD169" s="3110">
        <f>-i_N_BIO</f>
        <v>-7.0000000000000007E-2</v>
      </c>
      <c r="AE169" s="3110">
        <f>0</f>
        <v>0</v>
      </c>
      <c r="AF169" s="3110">
        <f>0</f>
        <v>0</v>
      </c>
      <c r="AG169" s="3110">
        <f>0</f>
        <v>0</v>
      </c>
      <c r="AH169" s="3110">
        <f>0</f>
        <v>0</v>
      </c>
      <c r="AI169" s="3110">
        <f>0</f>
        <v>0</v>
      </c>
      <c r="AJ169" s="3110">
        <f>0</f>
        <v>0</v>
      </c>
      <c r="AK169" s="3110">
        <f>0</f>
        <v>0</v>
      </c>
      <c r="AL169" s="3112">
        <f>-i_P_BIO</f>
        <v>-0.02</v>
      </c>
      <c r="AM169" s="3110">
        <f>0</f>
        <v>0</v>
      </c>
      <c r="AN169" s="3110">
        <f>0</f>
        <v>0</v>
      </c>
      <c r="AO169" s="3110">
        <f>0</f>
        <v>0</v>
      </c>
      <c r="AP169" s="3110">
        <f>0</f>
        <v>0</v>
      </c>
      <c r="AQ169" s="3110">
        <f>0</f>
        <v>0</v>
      </c>
      <c r="AR169" s="3112">
        <f>-(1-Y_CASTO_STC_ox)/Y_CASTO_STC_ox</f>
        <v>-0.57750342935528098</v>
      </c>
      <c r="AS169" s="3112">
        <f>0</f>
        <v>0</v>
      </c>
      <c r="AT169" s="3112">
        <f>0</f>
        <v>0</v>
      </c>
      <c r="AU169" s="3112">
        <f>(i_CIT_STC/Y_CASTO_STC_ox)-i_CIT_BIO</f>
        <v>0.1733086419753086</v>
      </c>
      <c r="AV169" s="3112">
        <f>i_INORG</f>
        <v>0.11</v>
      </c>
      <c r="AW169" s="3112">
        <f>-i_INORG*(1-i_Ca_INORG*(A_MCa+2*A_MCl)/A_MCa-i_Mg_INORG*(A_MMg+2*A_MCl)/A_MMg)*f_Na</f>
        <v>-2.8804303582798466E-2</v>
      </c>
      <c r="AX169" s="3112">
        <f>-i_INORG*(i_Ca_INORG*(2*A_MCl)/A_MCa+i_Mg_INORG*(2*A_MCl)/A_MMg)-i_INORG*(1-i_Ca_INORG*(A_MCa+2*A_MCl)/A_MCa-i_Mg_INORG*(A_MMg+2*A_MCl)/A_MMg)*(1-f_Na)</f>
        <v>-7.0195696417201539E-2</v>
      </c>
      <c r="AY169" s="3112">
        <f>-i_INORG*i_Ca_INORG</f>
        <v>-5.5000000000000005E-3</v>
      </c>
      <c r="AZ169" s="3112">
        <f>-i_INORG*i_Mg_INORG</f>
        <v>-5.5000000000000005E-3</v>
      </c>
      <c r="BA169" s="3151">
        <f>0</f>
        <v>0</v>
      </c>
      <c r="BB169" s="3112">
        <f>0</f>
        <v>0</v>
      </c>
      <c r="BC169" s="3110">
        <f>-i_S_BIO</f>
        <v>-0.01</v>
      </c>
      <c r="BD169" s="3112">
        <f>0</f>
        <v>0</v>
      </c>
      <c r="BE169" s="3112">
        <f>0</f>
        <v>0</v>
      </c>
      <c r="BF169" s="3112">
        <f>0</f>
        <v>0</v>
      </c>
      <c r="BG169" s="3112">
        <f>0</f>
        <v>0</v>
      </c>
      <c r="BH169" s="3112">
        <f>0</f>
        <v>0</v>
      </c>
      <c r="BI169" s="3112">
        <f>0</f>
        <v>0</v>
      </c>
      <c r="BJ169" s="3112">
        <f>0</f>
        <v>0</v>
      </c>
      <c r="BK169" s="3112">
        <f>0</f>
        <v>0</v>
      </c>
      <c r="BL169" s="3112">
        <f>0</f>
        <v>0</v>
      </c>
      <c r="BM169" s="3112">
        <f>0</f>
        <v>0</v>
      </c>
      <c r="BN169" s="3112">
        <f>0</f>
        <v>0</v>
      </c>
      <c r="BO169" s="3112">
        <f>0</f>
        <v>0</v>
      </c>
      <c r="BP169" s="3112">
        <f>0</f>
        <v>0</v>
      </c>
      <c r="BQ169" s="3112">
        <f>0</f>
        <v>0</v>
      </c>
      <c r="BR169" s="3112">
        <f>0</f>
        <v>0</v>
      </c>
      <c r="BS169" s="3112">
        <f>0</f>
        <v>0</v>
      </c>
      <c r="BT169" s="3112">
        <f>0</f>
        <v>0</v>
      </c>
      <c r="BU169" s="3112">
        <f>0</f>
        <v>0</v>
      </c>
      <c r="BV169" s="3112">
        <f>0</f>
        <v>0</v>
      </c>
      <c r="BW169" s="3112">
        <f>0</f>
        <v>0</v>
      </c>
      <c r="BX169" s="3112">
        <f>0</f>
        <v>0</v>
      </c>
      <c r="BY169" s="3112">
        <f>0</f>
        <v>0</v>
      </c>
      <c r="BZ169" s="3188">
        <f>0</f>
        <v>0</v>
      </c>
      <c r="CA169" s="3188">
        <f>0</f>
        <v>0</v>
      </c>
      <c r="CB169" s="3188">
        <f>0</f>
        <v>0</v>
      </c>
      <c r="CC169" s="3188">
        <f>0</f>
        <v>0</v>
      </c>
      <c r="CD169" s="3112">
        <f>0</f>
        <v>0</v>
      </c>
      <c r="CE169" s="3112">
        <f>0</f>
        <v>0</v>
      </c>
      <c r="CF169" s="3112">
        <f>0</f>
        <v>0</v>
      </c>
      <c r="CG169" s="3112">
        <f>0</f>
        <v>0</v>
      </c>
      <c r="CH169" s="3112">
        <f>0</f>
        <v>0</v>
      </c>
      <c r="CI169" s="3112">
        <f>0</f>
        <v>0</v>
      </c>
      <c r="CJ169" s="3112">
        <f>0</f>
        <v>0</v>
      </c>
      <c r="CK169" s="3112">
        <f>0</f>
        <v>0</v>
      </c>
      <c r="CL169" s="3112">
        <f>0</f>
        <v>0</v>
      </c>
      <c r="CM169" s="3112">
        <f>0</f>
        <v>0</v>
      </c>
      <c r="CN169" s="3112">
        <f>0</f>
        <v>0</v>
      </c>
      <c r="CO169" s="3112">
        <f>0</f>
        <v>0</v>
      </c>
      <c r="CP169" s="3112">
        <f>0</f>
        <v>0</v>
      </c>
      <c r="CQ169" s="3112">
        <f>0</f>
        <v>0</v>
      </c>
      <c r="CR169" s="3112">
        <f>0</f>
        <v>0</v>
      </c>
      <c r="CS169" s="3112">
        <f>0</f>
        <v>0</v>
      </c>
      <c r="CT169" s="3112">
        <f>0</f>
        <v>0</v>
      </c>
      <c r="CU169" s="3112">
        <f>0</f>
        <v>0</v>
      </c>
      <c r="CV169" s="3222">
        <f>µ_CASTO_T*X_CASTO*M_RsatXSTC_XCASTO_KSTC*M_satSO2_KO2_CASTO*M_satSNHx_KNHx_BIO*M_satSPO4_KPO4_BIO*M_satSCAT_KCAT*M_satSAN_KAN*M_satSCa_KCa_PAO*M_satSMg_KMg_PAO*M_satSSO4_KSO4_BIO*B_ellinhpH</f>
        <v>151.7506377510804</v>
      </c>
      <c r="CX169" s="2838">
        <f>E287*E169+F287*F169+G287*G169+H287*H169+I287*I169+J287*J169+K287*K169+L287*L169+M287*M169+N287*N169+O287*O169+P287*P169+Q287*Q169+R287*R169+S287*S169+T287*T169+U287*U169+V287*V169+W287*W169+X287*X169+Y287*Y169+Z287*Z169+AA287*AA169+AB287*AB169+AC287*AC169+AD287*AD169+AE287*AE169+AF287*AF169+AG287*AG169+AH287*AH169+AI287*AI169+AJ287*AJ169+AK287*AK169+AL287*AL169+AM287*AM169+AN287*AN169+AO287*AO169+AP287*AP169+AQ287*AQ169+AR287*AR169+AS287*AS169+AT287*AT169+AU287*AU169+AV287*AV169+AW287*AW169+AX287*AX169+AY287*AY169+AZ287*AZ169+BA287*BA169+BB287*BB169+BC287*BC169+BD287*BD169+BE287*BE169+BF287*BF169+BG287*BG169+BH287*BH169+BI287*BI169+BJ287*BJ169+BK287*BK169+BL287*BL169+BM287*BM169+BN287*BN169+BO287*BO169+BP287*BP169+BQ287*BQ169+BR287*BR169+BS287*BS169+BT287*BT169+BU287*BU169+BV287*BV169+BW287*BW169+BX287*BX169+BY287*BY169+BZ287*BZ169+CA287*CA169+CB287*CB169+CC287*CC169+CD287*CD169+CE287*CE169+CF287*CF169+CG287*CG169+CH287*CH169+CI287*CI169+CJ287*CJ169+CK287*CK169+CL287*CL169+CM287*CM169+CN287*CN169+CO287*CO169+CP287*CP169+CQ287*CQ169+CR287*CR169+CS287*CS169+CT287*CT169+CU287*CU169</f>
        <v>0</v>
      </c>
      <c r="CY169" s="2838">
        <f>E288*E169+F288*F169+G288*G169+H288*H169+I288*I169+J288*J169+K288*K169+L288*L169+M288*M169+N288*N169+O288*O169+P288*P169+Q288*Q169+R288*R169+S288*S169+T288*T169+U288*U169+V288*V169+W288*W169+X288*X169+Y288*Y169+Z288*Z169+AA288*AA169+AB288*AB169+AC288*AC169+AD288*AD169+AE288*AE169+AF288*AF169+AG288*AG169+AH288*AH169+AI288*AI169+AJ288*AJ169+AK288*AK169+AL288*AL169+AM288*AM169+AN288*AN169+AO288*AO169+AP288*AP169+AQ288*AQ169+AR288*AR169+AS288*AS169+AT288*AT169+AU288*AU169+AV288*AV169+AW288*AW169+AX288*AX169+AY288*AY169+AZ288*AZ169+BA288*BA169+BB288*BB169+BC288*BC169+BD288*BD169+BE288*BE169+BF288*BF169+BG288*BG169+BH288*BH169+BI288*BI169+BJ288*BJ169+BK288*BK169+BL288*BL169+BM288*BM169+BN288*BN169+BO288*BO169+BP288*BP169+BQ288*BQ169+BR288*BR169+BS288*BS169+BT288*BT169+BU288*BU169+BV288*BV169+BW288*BW169+BX288*BX169+BY288*BY169+BZ288*BZ169+CA288*CA169+CB288*CB169+CC288*CC169+CD288*CD169+CE288*CE169+CF288*CF169+CG288*CG169+CH288*CH169+CI288*CI169+CJ288*CJ169+CK288*CK169+CL288*CL169+CM288*CM169+CN288*CN169+CO288*CO169+CP288*CP169+CQ288*CQ169+CR288*CR169+CS288*CS169+CT288*CT169+CU288*CU169</f>
        <v>0</v>
      </c>
      <c r="CZ169" s="2839">
        <f>E289*E169+F289*F169+G289*G169+H289*H169+I289*I169+J289*J169+K289*K169+L289*L169+M289*M169+N289*N169+O289*O169+P289*P169+Q289*Q169+R289*R169+S289*S169+T289*T169+U289*U169+V289*V169+W289*W169+X289*X169+Y289*Y169+Z289*Z169+AA289*AA169+AB289*AB169+AC289*AC169+AD289*AD169+AE289*AE169+AF289*AF169+AG289*AG169+AH289*AH169+AI289*AI169+AJ289*AJ169+AK289*AK169+AL289*AL169+AM289*AM169+AN289*AN169+AO289*AO169+AP289*AP169+AQ289*AQ169+AR289*AR169+AS289*AS169+AT289*AT169+AU289*AU169+AV289*AV169+AW289*AW169+AX289*AX169+AY289*AY169+AZ289*AZ169+BA289*BA169+BB289*BB169+BC289*BC169+BD289*BD169+BE289*BE169+BF289*BF169+BG289*BG169+BH289*BH169+BI289*BI169+BJ289*BJ169+BK289*BK169+BL289*BL169+BM289*BM169+BN289*BN169+BO289*BO169+BP289*BP169+BQ289*BQ169+BR289*BR169+BS289*BS169+BT289*BT169+BU289*BU169+BV289*BV169+BW289*BW169+BX289*BX169+BY289*BY169+BZ289*BZ169+CA289*CA169+CB289*CB169+CC289*CC169+CD289*CD169+CE289*CE169+CF289*CF169+CG289*CG169+CH289*CH169+CI289*CI169+CJ289*CJ169+CK289*CK169+CL289*CL169+CM289*CM169+CN289*CN169+CO289*CO169+CP289*CP169+CQ289*CQ169+CR289*CR169+CS289*CS169+CT289*CT169+CU289*CU169</f>
        <v>0</v>
      </c>
      <c r="DA169" s="2840">
        <f>E290*E169+F290*F169+G290*G169+H290*H169+I290*I169+J290*J169+K290*K169+L290*L169+M290*M169+N290*N169+O290*O169+P290*P169+Q290*Q169+R290*R169+S290*S169+T290*T169+U290*U169+V290*V169+W290*W169+X290*X169+Y290*Y169+Z290*Z169+AA290*AA169+AB290*AB169+AC290*AC169+AD290*AD169+AE290*AE169+AF290*AF169+AG290*AG169+AH290*AH169+AI290*AI169+AJ290*AJ169+AK290*AK169+AL290*AL169+AM290*AM169+AN290*AN169+AO290*AO169+AP290*AP169+AQ290*AQ169+AR290*AR169+AS290*AS169+AT290*AT169+AU290*AU169+AV290*AV169+AW290*AW169+AX290*AX169+AY290*AY169+AZ290*AZ169+BA290*BA169+BB290*BB169+BC290*BC169+BD290*BD169+BE290*BE169+BF290*BF169+BG290*BG169+BH290*BH169+BI290*BI169+BJ290*BJ169+BK290*BK169+BL290*BL169+BM290*BM169+BN290*BN169+BO290*BO169+BP290*BP169+BQ290*BQ169+BR290*BR169+BS290*BS169+BT290*BT169+BU290*BU169+BV290*BV169+BW290*BW169+BX290*BX169+BY290*BY169+BZ290*BZ169+CA290*CA169+CB290*CB169+CC290*CC169+CD290*CD169+CE290*CE169+CF290*CF169+CG290*CG169+CH290*CH169+CI290*CI169+CJ290*CJ169+CK290*CK169+CL290*CL169+CM290*CM169+CN290*CN169+CO290*CO169+CP290*CP169+CQ290*CQ169+CR290*CR169+CS290*CS169+CT290*CT169+CU290*CU169</f>
        <v>0</v>
      </c>
      <c r="DB169" s="2840">
        <f>E291*E169+F291*F169+G291*G169+H291*H169+I291*I169+J291*J169+K291*K169+L291*L169+M291*M169+N291*N169+O291*O169+P291*P169+Q291*Q169+R291*R169+S291*S169+T291*T169+U291*U169+V291*V169+W291*W169+X291*X169+Y291*Y169+Z291*Z169+AA291*AA169+AB291*AB169+AC291*AC169+AD291*AD169+AE291*AE169+AF291*AF169+AG291*AG169+AH291*AH169+AI291*AI169+AJ291*AJ169+AK291*AK169+AL291*AL169+AM291*AM169+AN291*AN169+AO291*AO169+AP291*AP169+AQ291*AQ169+AR291*AR169+AS291*AS169+AT291*AT169+AU291*AU169+AV291*AV169+AW291*AW169+AX291*AX169+AY291*AY169+AZ291*AZ169+BA291*BA169+BB291*BB169+BC291*BC169+BD291*BD169+BE291*BE169+BF291*BF169+BG291*BG169+BH291*BH169+BI291*BI169+BJ291*BJ169+BK291*BK169+BL291*BL169+BM291*BM169+BN291*BN169+BO291*BO169+BP291*BP169+BQ291*BQ169+BR291*BR169+BS291*BS169+BT291*BT169+BU291*BU169+BV291*BV169+BW291*BW169+BX291*BX169+BY291*BY169+BZ291*BZ169+CA291*CA169+CB291*CB169+CC291*CC169+CD291*CD169+CE291*CE169+CF291*CF169+CG291*CG169+CH291*CH169+CI291*CI169+CJ291*CJ169+CK291*CK169+CL291*CL169+CM291*CM169+CN291*CN169+CO291*CO169+CP291*CP169+CQ291*CQ169+CR291*CR169+CS291*CS169+CT291*CT169+CU291*CU169</f>
        <v>0</v>
      </c>
      <c r="DC169" s="2840">
        <f>E292*E169+F292*F169+G292*G169+H292*H169+I292*I169+J292*J169+K292*K169+L292*L169+M292*M169+N292*N169+O292*O169+P292*P169+Q292*Q169+R292*R169+S292*S169+T292*T169+U292*U169+V292*V169+W292*W169+X292*X169+Y292*Y169+Z292*Z169+AA292*AA169+AB292*AB169+AC292*AC169+AD292*AD169+AE292*AE169+AF292*AF169+AG292*AG169+AH292*AH169+AI292*AI169+AJ292*AJ169+AK292*AK169+AL292*AL169+AM292*AM169+AN292*AN169+AO292*AO169+AP292*AP169+AQ292*AQ169+AR292*AR169+AS292*AS169+AT292*AT169+AU292*AU169+AV292*AV169+AW292*AW169+AX292*AX169+AY292*AY169+AZ292*AZ169+BA292*BA169+BB292*BB169+BC292*BC169+BD292*BD169+BE292*BE169+BF292*BF169+BG292*BG169+BH292*BH169+BI292*BI169+BJ292*BJ169+BK292*BK169+BL292*BL169+BM292*BM169+BN292*BN169+BO292*BO169+BP292*BP169+BQ292*BQ169+BR292*BR169+BS292*BS169+BT292*BT169+BU292*BU169+BV292*BV169+BW292*BW169+BX292*BX169+BY292*BY169+BZ292*BZ169+CA292*CA169+CB292*CB169+CC292*CC169+CD292*CD169+CE292*CE169+CF292*CF169+CG292*CG169+CH292*CH169+CI292*CI169+CJ292*CJ169+CK292*CK169+CL292*CL169+CM292*CM169+CN292*CN169+CO292*CO169+CP292*CP169+CQ292*CQ169+CR292*CR169+CS292*CS169+CT292*CT169+CU292*CU169</f>
        <v>0</v>
      </c>
      <c r="DD169" s="2840">
        <f>E293*E169+F293*F169+G293*G169+H293*H169+I293*I169+J293*J169+K293*K169+L293*L169+M293*M169+N293*N169+O293*O169+P293*P169+Q293*Q169+R293*R169+S293*S169+T293*T169+U293*U169+V293*V169+W293*W169+X293*X169+Y293*Y169+Z293*Z169+AA293*AA169+AB293*AB169+AC293*AC169+AD293*AD169+AE293*AE169+AF293*AF169+AG293*AG169+AH293*AH169+AI293*AI169+AJ293*AJ169+AK293*AK169+AL293*AL169+AM293*AM169+AN293*AN169+AO293*AO169+AP293*AP169+AQ293*AQ169+AR293*AR169+AS293*AS169+AT293*AT169+AU293*AU169+AV293*AV169+AW293*AW169+AX293*AX169+AY293*AY169+AZ293*AZ169+BA293*BA169+BB293*BB169+BC293*BC169+BD293*BD169+BE293*BE169+BF293*BF169+BG293*BG169+BH293*BH169+BI293*BI169+BJ293*BJ169+BK293*BK169+BL293*BL169+BM293*BM169+BN293*BN169+BO293*BO169+BP293*BP169+BQ293*BQ169+BR293*BR169+BS293*BS169+BT293*BT169+BU293*BU169+BV293*BV169+BW293*BW169+BX293*BX169+BY293*BY169+BZ293*BZ169+CA293*CA169+CB293*CB169+CC293*CC169+CD293*CD169+CE293*CE169+CF293*CF169+CG293*CG169+CH293*CH169+CI293*CI169+CJ293*CJ169+CK293*CK169+CL293*CL169+CM293*CM169+CN293*CN169+CO293*CO169+CP293*CP169+CQ293*CQ169+CR293*CR169+CS293*CS169+CT293*CT169+CU293*CU169</f>
        <v>0</v>
      </c>
      <c r="DE169" s="2840">
        <f>E294*E169+F294*F169+G294*G169+H294*H169+I294*I169+J294*J169+K294*K169+L294*L169+M294*M169+N294*N169+O294*O169+P294*P169+Q294*Q169+R294*R169+S294*S169+T294*T169+U294*U169+V294*V169+W294*W169+X294*X169+Y294*Y169+Z294*Z169+AA294*AA169+AB294*AB169+AC294*AC169+AD294*AD169+AE294*AE169+AF294*AF169+AG294*AG169+AH294*AH169+AI294*AI169+AJ294*AJ169+AK294*AK169+AL294*AL169+AM294*AM169+AN294*AN169+AO294*AO169+AP294*AP169+AQ294*AQ169+AR294*AR169+AS294*AS169+AT294*AT169+AU294*AU169+AV294*AV169+AW294*AW169+AX294*AX169+AY294*AY169+AZ294*AZ169+BA294*BA169+BB294*BB169+BC294*BC169+BD294*BD169+BE294*BE169+BF294*BF169+BG294*BG169+BH294*BH169+BI294*BI169+BJ294*BJ169+BK294*BK169+BL294*BL169+BM294*BM169+BN294*BN169+BO294*BO169+BP294*BP169+BQ294*BQ169+BR294*BR169+BS294*BS169+BT294*BT169+BU294*BU169+BV294*BV169+BW294*BW169+BX294*BX169+BY294*BY169+BZ294*BZ169+CA294*CA169+CB294*CB169+CC294*CC169+CD294*CD169+CE294*CE169+CF294*CF169+CG294*CG169+CH294*CH169+CI294*CI169+CJ294*CJ169+CK294*CK169+CL294*CL169+CM294*CM169+CN294*CN169+CO294*CO169+CP294*CP169+CQ294*CQ169+CR294*CR169+CS294*CS169+CT294*CT169+CU294*CU169</f>
        <v>0</v>
      </c>
      <c r="DF169" s="2840">
        <f>E295*E169+F295*F169+G295*G169+H295*H169+I295*I169+J295*J169+K295*K169+L295*L169+M295*M169+N295*N169+O295*O169+P295*P169+Q295*Q169+R295*R169+S295*S169+T295*T169+U295*U169+V295*V169+W295*W169+X295*X169+Y295*Y169+Z295*Z169+AA295*AA169+AB295*AB169+AC295*AC169+AD295*AD169+AE295*AE169+AF295*AF169+AG295*AG169+AH295*AH169+AI295*AI169+AJ295*AJ169+AK295*AK169+AL295*AL169+AM295*AM169+AN295*AN169+AO295*AO169+AP295*AP169+AQ295*AQ169+AR295*AR169+AS295*AS169+AT295*AT169+AU295*AU169+AV295*AV169+AW295*AW169+AX295*AX169+AY295*AY169+AZ295*AZ169+BA295*BA169+BB295*BB169+BC295*BC169+BD295*BD169+BE295*BE169+BF295*BF169+BG295*BG169+BH295*BH169+BI295*BI169+BJ295*BJ169+BK295*BK169+BL295*BL169+BM295*BM169+BN295*BN169+BO295*BO169+BP295*BP169+BQ295*BQ169+BR295*BR169+BS295*BS169+BT295*BT169+BU295*BU169+BV295*BV169+BW295*BW169+BX295*BX169+BY295*BY169+BZ295*BZ169+CA295*CA169+CB295*CB169+CC295*CC169+CD295*CD169+CE295*CE169+CF295*CF169+CG295*CG169+CH295*CH169+CI295*CI169+CJ295*CJ169+CK295*CK169+CL295*CL169+CM295*CM169+CN295*CN169+CO295*CO169+CP295*CP169+CQ295*CQ169+CR295*CR169+CS295*CS169+CT295*CT169+CU295*CU169</f>
        <v>0</v>
      </c>
      <c r="DG169" s="2840">
        <f>E296*E169+F296*F169+G296*G169+H296*H169+I296*I169+J296*J169+K296*K169+L296*L169+M296*M169+N296*N169+O296*O169+P296*P169+Q296*Q169+R296*R169+S296*S169+T296*T169+U296*U169+V296*V169+W296*W169+X296*X169+Y296*Y169+Z296*Z169+AA296*AA169+AB296*AB169+AC296*AC169+AD296*AD169+AE296*AE169+AF296*AF169+AG296*AG169+AH296*AH169+AI296*AI169+AJ296*AJ169+AK296*AK169+AL296*AL169+AM296*AM169+AN296*AN169+AO296*AO169+AP296*AP169+AQ296*AQ169+AR296*AR169+AS296*AS169+AT296*AT169+AU296*AU169+AV296*AV169+AW296*AW169+AX296*AX169+AY296*AY169+AZ296*AZ169+BA296*BA169+BB296*BB169+BC296*BC169+BD296*BD169+BE296*BE169+BF296*BF169+BG296*BG169+BH296*BH169+BI296*BI169+BJ296*BJ169+BK296*BK169+BL296*BL169+BM296*BM169+BN296*BN169+BO296*BO169+BP296*BP169+BQ296*BQ169+BR296*BR169+BS296*BS169+BT296*BT169+BU296*BU169+BV296*BV169+BW296*BW169+BX296*BX169+BY296*BY169+BZ296*BZ169+CA296*CA169+CB296*CB169+CC296*CC169+CD296*CD169+CE296*CE169+CF296*CF169+CG296*CG169+CH296*CH169+CI296*CI169+CJ296*CJ169+CK296*CK169+CL296*CL169+CM296*CM169+CN296*CN169+CO296*CO169+CP296*CP169+CQ296*CQ169+CR296*CR169+CS296*CS169+CT296*CT169+CU296*CU169</f>
        <v>0</v>
      </c>
      <c r="DH169" s="2840">
        <f>E297*E169+F297*F169+G297*G169+H297*H169+I297*I169+J297*J169+K297*K169+L297*L169+M297*M169+N297*N169+O297*O169+P297*P169+Q297*Q169+R297*R169+S297*S169+T297*T169+U297*U169+V297*V169+W297*W169+X297*X169+Y297*Y169+Z297*Z169+AA297*AA169+AB297*AB169+AC297*AC169+AD297*AD169+AE297*AE169+AF297*AF169+AG297*AG169+AH297*AH169+AI297*AI169+AJ297*AJ169+AK297*AK169+AL297*AL169+AM297*AM169+AN297*AN169+AO297*AO169+AP297*AP169+AQ297*AQ169+AR297*AR169+AS297*AS169+AT297*AT169+AU297*AU169+AV297*AV169+AW297*AW169+AX297*AX169+AY297*AY169+AZ297*AZ169+BA297*BA169+BB297*BB169+BC297*BC169+BD297*BD169+BE297*BE169+BF297*BF169+BG297*BG169+BH297*BH169+BI297*BI169+BJ297*BJ169+BK297*BK169+BL297*BL169+BM297*BM169+BN297*BN169+BO297*BO169+BP297*BP169+BQ297*BQ169+BR297*BR169+BS297*BS169+BT297*BT169+BU297*BU169+BV297*BV169+BW297*BW169+BX297*BX169+BY297*BY169+BZ297*BZ169+CA297*CA169+CB297*CB169+CC297*CC169+CD297*CD169+CE297*CE169+CF297*CF169+CG297*CG169+CH297*CH169+CI297*CI169+CJ297*CJ169+CK297*CK169+CL297*CL169+CM297*CM169+CN297*CN169+CO297*CO169+CP297*CP169+CQ297*CQ169+CR297*CR169+CS297*CS169+CT297*CT169+CU297*CU169</f>
        <v>0</v>
      </c>
      <c r="DI169" s="2840">
        <f>E298*E169+F298*F169+G298*G169+H298*H169+I298*I169+J298*J169+K298*K169+L298*L169+M298*M169+N298*N169+O298*O169+P298*P169+Q298*Q169+R298*R169+S298*S169+T298*T169+U298*U169+V298*V169+W298*W169+X298*X169+Y298*Y169+Z298*Z169+AA298*AA169+AB298*AB169+AC298*AC169+AD298*AD169+AE298*AE169+AF298*AF169+AG298*AG169+AH298*AH169+AI298*AI169+AJ298*AJ169+AK298*AK169+AL298*AL169+AM298*AM169+AN298*AN169+AO298*AO169+AP298*AP169+AQ298*AQ169+AR298*AR169+AS298*AS169+AT298*AT169+AU298*AU169+AV298*AV169+AW298*AW169+AX298*AX169+AY298*AY169+AZ298*AZ169+BA298*BA169+BB298*BB169+BC298*BC169+BD298*BD169+BE298*BE169+BF298*BF169+BG298*BG169+BH298*BH169+BI298*BI169+BJ298*BJ169+BK298*BK169+BL298*BL169+BM298*BM169+BN298*BN169+BO298*BO169+BP298*BP169+BQ298*BQ169+BR298*BR169+BS298*BS169+BT298*BT169+BU298*BU169+BV298*BV169+BW298*BW169+BX298*BX169+BY298*BY169+BZ298*BZ169+CA298*CA169+CB298*CB169+CC298*CC169+CD298*CD169+CE298*CE169+CF298*CF169+CG298*CG169+CH298*CH169+CI298*CI169+CJ298*CJ169+CK298*CK169+CL298*CL169+CM298*CM169+CN298*CN169+CO298*CO169+CP298*CP169+CQ298*CQ169+CR298*CR169+CS298*CS169+CT298*CT169+CU298*CU169</f>
        <v>0</v>
      </c>
    </row>
    <row r="170" spans="2:113" ht="18" x14ac:dyDescent="0.25">
      <c r="B170" s="2489">
        <v>17</v>
      </c>
      <c r="C170" s="2406" t="s">
        <v>239</v>
      </c>
      <c r="D170" s="2407" t="s">
        <v>5852</v>
      </c>
      <c r="E170" s="3110">
        <f>0</f>
        <v>0</v>
      </c>
      <c r="F170" s="3110">
        <f>0</f>
        <v>0</v>
      </c>
      <c r="G170" s="3110">
        <f>0</f>
        <v>0</v>
      </c>
      <c r="H170" s="3110">
        <f>0</f>
        <v>0</v>
      </c>
      <c r="I170" s="3110">
        <f>0</f>
        <v>0</v>
      </c>
      <c r="J170" s="3110">
        <f>0</f>
        <v>0</v>
      </c>
      <c r="K170" s="3110">
        <f>0</f>
        <v>0</v>
      </c>
      <c r="L170" s="3110">
        <f>0</f>
        <v>0</v>
      </c>
      <c r="M170" s="3110">
        <f>0</f>
        <v>0</v>
      </c>
      <c r="N170" s="3112">
        <f>-(X_PHA_PAO/X_STC)/Y_CASTO_STC_anox</f>
        <v>-1.680672268907563</v>
      </c>
      <c r="O170" s="3112">
        <f>-(X_PHA_GAO/X_STC)/Y_CASTO_STC_anox</f>
        <v>-0.25210084033613445</v>
      </c>
      <c r="P170" s="3110">
        <f>0</f>
        <v>0</v>
      </c>
      <c r="Q170" s="3110">
        <f>0</f>
        <v>0</v>
      </c>
      <c r="R170" s="3110">
        <f>0</f>
        <v>0</v>
      </c>
      <c r="S170" s="3110">
        <f>1</f>
        <v>1</v>
      </c>
      <c r="T170" s="3110">
        <f>0</f>
        <v>0</v>
      </c>
      <c r="U170" s="3110">
        <f>0</f>
        <v>0</v>
      </c>
      <c r="V170" s="3110">
        <f>0</f>
        <v>0</v>
      </c>
      <c r="W170" s="3110">
        <f>0</f>
        <v>0</v>
      </c>
      <c r="X170" s="3110">
        <f>0</f>
        <v>0</v>
      </c>
      <c r="Y170" s="3110">
        <f>0</f>
        <v>0</v>
      </c>
      <c r="Z170" s="3110">
        <f>0</f>
        <v>0</v>
      </c>
      <c r="AA170" s="3110">
        <f>0</f>
        <v>0</v>
      </c>
      <c r="AB170" s="3110">
        <f>0</f>
        <v>0</v>
      </c>
      <c r="AC170" s="3110">
        <f>0</f>
        <v>0</v>
      </c>
      <c r="AD170" s="3110">
        <f>-i_N_BIO</f>
        <v>-7.0000000000000007E-2</v>
      </c>
      <c r="AE170" s="3112">
        <f>-(1-Y_CASTO_STC_anox)/(E_EQN2_NO2*Y_CASTO_STC_anox)</f>
        <v>-0.54439846116078094</v>
      </c>
      <c r="AF170" s="3112">
        <f>0</f>
        <v>0</v>
      </c>
      <c r="AG170" s="3112">
        <f>(1-Y_CASTO_STC_anox)/(E_EQN2_NO2*Y_CASTO_STC_anox)</f>
        <v>0.54439846116078094</v>
      </c>
      <c r="AH170" s="3110">
        <f>0</f>
        <v>0</v>
      </c>
      <c r="AI170" s="3110">
        <f>0</f>
        <v>0</v>
      </c>
      <c r="AJ170" s="3110">
        <f>0</f>
        <v>0</v>
      </c>
      <c r="AK170" s="3110">
        <f>0</f>
        <v>0</v>
      </c>
      <c r="AL170" s="3112">
        <f>-i_P_BIO</f>
        <v>-0.02</v>
      </c>
      <c r="AM170" s="3110">
        <f>0</f>
        <v>0</v>
      </c>
      <c r="AN170" s="3110">
        <f>0</f>
        <v>0</v>
      </c>
      <c r="AO170" s="3110">
        <f>0</f>
        <v>0</v>
      </c>
      <c r="AP170" s="3110">
        <f>0</f>
        <v>0</v>
      </c>
      <c r="AQ170" s="3110">
        <f>0</f>
        <v>0</v>
      </c>
      <c r="AR170" s="3112">
        <f>0</f>
        <v>0</v>
      </c>
      <c r="AS170" s="3112">
        <f>0</f>
        <v>0</v>
      </c>
      <c r="AT170" s="3112">
        <f>0</f>
        <v>0</v>
      </c>
      <c r="AU170" s="3112">
        <f>(i_CIT_STC/Y_CASTO_STC_anox)-i_CIT_BIO</f>
        <v>0.29161344537815126</v>
      </c>
      <c r="AV170" s="3112">
        <f>i_INORG</f>
        <v>0.11</v>
      </c>
      <c r="AW170" s="3112">
        <f>-i_INORG*(1-i_Ca_INORG*(A_MCa+2*A_MCl)/A_MCa-i_Mg_INORG*(A_MMg+2*A_MCl)/A_MMg)*f_Na</f>
        <v>-2.8804303582798466E-2</v>
      </c>
      <c r="AX170" s="3112">
        <f>-i_INORG*(i_Ca_INORG*(2*A_MCl)/A_MCa+i_Mg_INORG*(2*A_MCl)/A_MMg)-i_INORG*(1-i_Ca_INORG*(A_MCa+2*A_MCl)/A_MCa-i_Mg_INORG*(A_MMg+2*A_MCl)/A_MMg)*(1-f_Na)</f>
        <v>-7.0195696417201539E-2</v>
      </c>
      <c r="AY170" s="3112">
        <f>-i_INORG*i_Ca_INORG</f>
        <v>-5.5000000000000005E-3</v>
      </c>
      <c r="AZ170" s="3112">
        <f>-i_INORG*i_Mg_INORG</f>
        <v>-5.5000000000000005E-3</v>
      </c>
      <c r="BA170" s="3151">
        <f>0</f>
        <v>0</v>
      </c>
      <c r="BB170" s="3112">
        <f>0</f>
        <v>0</v>
      </c>
      <c r="BC170" s="3110">
        <f>-i_S_BIO</f>
        <v>-0.01</v>
      </c>
      <c r="BD170" s="3112">
        <f>0</f>
        <v>0</v>
      </c>
      <c r="BE170" s="3112">
        <f>0</f>
        <v>0</v>
      </c>
      <c r="BF170" s="3112">
        <f>0</f>
        <v>0</v>
      </c>
      <c r="BG170" s="3112">
        <f>0</f>
        <v>0</v>
      </c>
      <c r="BH170" s="3112">
        <f>0</f>
        <v>0</v>
      </c>
      <c r="BI170" s="3112">
        <f>0</f>
        <v>0</v>
      </c>
      <c r="BJ170" s="3112">
        <f>0</f>
        <v>0</v>
      </c>
      <c r="BK170" s="3112">
        <f>0</f>
        <v>0</v>
      </c>
      <c r="BL170" s="3112">
        <f>0</f>
        <v>0</v>
      </c>
      <c r="BM170" s="3112">
        <f>0</f>
        <v>0</v>
      </c>
      <c r="BN170" s="3112">
        <f>0</f>
        <v>0</v>
      </c>
      <c r="BO170" s="3112">
        <f>0</f>
        <v>0</v>
      </c>
      <c r="BP170" s="3112">
        <f>0</f>
        <v>0</v>
      </c>
      <c r="BQ170" s="3112">
        <f>0</f>
        <v>0</v>
      </c>
      <c r="BR170" s="3112">
        <f>0</f>
        <v>0</v>
      </c>
      <c r="BS170" s="3112">
        <f>0</f>
        <v>0</v>
      </c>
      <c r="BT170" s="3112">
        <f>0</f>
        <v>0</v>
      </c>
      <c r="BU170" s="3112">
        <f>0</f>
        <v>0</v>
      </c>
      <c r="BV170" s="3112">
        <f>0</f>
        <v>0</v>
      </c>
      <c r="BW170" s="3112">
        <f>0</f>
        <v>0</v>
      </c>
      <c r="BX170" s="3112">
        <f>0</f>
        <v>0</v>
      </c>
      <c r="BY170" s="3112">
        <f>0</f>
        <v>0</v>
      </c>
      <c r="BZ170" s="3188">
        <f>0</f>
        <v>0</v>
      </c>
      <c r="CA170" s="3188">
        <f>0</f>
        <v>0</v>
      </c>
      <c r="CB170" s="3188">
        <f>0</f>
        <v>0</v>
      </c>
      <c r="CC170" s="3188">
        <f>0</f>
        <v>0</v>
      </c>
      <c r="CD170" s="3112">
        <f>0</f>
        <v>0</v>
      </c>
      <c r="CE170" s="3112">
        <f>0</f>
        <v>0</v>
      </c>
      <c r="CF170" s="3112">
        <f>0</f>
        <v>0</v>
      </c>
      <c r="CG170" s="3112">
        <f>0</f>
        <v>0</v>
      </c>
      <c r="CH170" s="3112">
        <f>0</f>
        <v>0</v>
      </c>
      <c r="CI170" s="3112">
        <f>0</f>
        <v>0</v>
      </c>
      <c r="CJ170" s="3112">
        <f>0</f>
        <v>0</v>
      </c>
      <c r="CK170" s="3112">
        <f>0</f>
        <v>0</v>
      </c>
      <c r="CL170" s="3112">
        <f>0</f>
        <v>0</v>
      </c>
      <c r="CM170" s="3112">
        <f>0</f>
        <v>0</v>
      </c>
      <c r="CN170" s="3112">
        <f>0</f>
        <v>0</v>
      </c>
      <c r="CO170" s="3112">
        <f>0</f>
        <v>0</v>
      </c>
      <c r="CP170" s="3112">
        <f>0</f>
        <v>0</v>
      </c>
      <c r="CQ170" s="3112">
        <f>0</f>
        <v>0</v>
      </c>
      <c r="CR170" s="3112">
        <f>0</f>
        <v>0</v>
      </c>
      <c r="CS170" s="3112">
        <f>0</f>
        <v>0</v>
      </c>
      <c r="CT170" s="3112">
        <f>0</f>
        <v>0</v>
      </c>
      <c r="CU170" s="3112">
        <f>0</f>
        <v>0</v>
      </c>
      <c r="CV170" s="3222">
        <f>µ_CASTO_T*X_CASTO*η_CASTO_anox*M_RsatXSTC_XCASTO_KSTC*M_satSNO2_KNO2_CASTO*M_inhSO2_KO2_CASTO*M_satSNHx_KNHx_BIO*M_satSPO4_KPO4_BIO*M_satSCAT_KCAT*M_satSAN_KAN*M_satSCa_KCa_PAO*M_satSMg_KMg_PAO*M_satSSO4_KSO4_BIO*B_ellinhpH</f>
        <v>1.6692570152618844</v>
      </c>
      <c r="CX170" s="2838">
        <f>E287*E170+F287*F170+G287*G170+H287*H170+I287*I170+J287*J170+K287*K170+L287*L170+M287*M170+N287*N170+O287*O170+P287*P170+Q287*Q170+R287*R170+S287*S170+T287*T170+U287*U170+V287*V170+W287*W170+X287*X170+Y287*Y170+Z287*Z170+AA287*AA170+AB287*AB170+AC287*AC170+AD287*AD170+AE287*AE170+AF287*AF170+AG287*AG170+AH287*AH170+AI287*AI170+AJ287*AJ170+AK287*AK170+AL287*AL170+AM287*AM170+AN287*AN170+AO287*AO170+AP287*AP170+AQ287*AQ170+AR287*AR170+AS287*AS170+AT287*AT170+AU287*AU170+AV287*AV170+AW287*AW170+AX287*AX170+AY287*AY170+AZ287*AZ170+BA287*BA170+BB287*BB170+BC287*BC170+BD287*BD170+BE287*BE170+BF287*BF170+BG287*BG170+BH287*BH170+BI287*BI170+BJ287*BJ170+BK287*BK170+BL287*BL170+BM287*BM170+BN287*BN170+BO287*BO170+BP287*BP170+BQ287*BQ170+BR287*BR170+BS287*BS170+BT287*BT170+BU287*BU170+BV287*BV170+BW287*BW170+BX287*BX170+BY287*BY170+BZ287*BZ170+CA287*CA170+CB287*CB170+CC287*CC170+CD287*CD170+CE287*CE170+CF287*CF170+CG287*CG170+CH287*CH170+CI287*CI170+CJ287*CJ170+CK287*CK170+CL287*CL170+CM287*CM170+CN287*CN170+CO287*CO170+CP287*CP170+CQ287*CQ170+CR287*CR170+CS287*CS170+CT287*CT170+CU287*CU170</f>
        <v>-1.1102230246251565E-16</v>
      </c>
      <c r="CY170" s="2838">
        <f>E288*E170+F288*F170+G288*G170+H288*H170+I288*I170+J288*J170+K288*K170+L288*L170+M288*M170+N288*N170+O288*O170+P288*P170+Q288*Q170+R288*R170+S288*S170+T288*T170+U288*U170+V288*V170+W288*W170+X288*X170+Y288*Y170+Z288*Z170+AA288*AA170+AB288*AB170+AC288*AC170+AD288*AD170+AE288*AE170+AF288*AF170+AG288*AG170+AH288*AH170+AI288*AI170+AJ288*AJ170+AK288*AK170+AL288*AL170+AM288*AM170+AN288*AN170+AO288*AO170+AP288*AP170+AQ288*AQ170+AR288*AR170+AS288*AS170+AT288*AT170+AU288*AU170+AV288*AV170+AW288*AW170+AX288*AX170+AY288*AY170+AZ288*AZ170+BA288*BA170+BB288*BB170+BC288*BC170+BD288*BD170+BE288*BE170+BF288*BF170+BG288*BG170+BH288*BH170+BI288*BI170+BJ288*BJ170+BK288*BK170+BL288*BL170+BM288*BM170+BN288*BN170+BO288*BO170+BP288*BP170+BQ288*BQ170+BR288*BR170+BS288*BS170+BT288*BT170+BU288*BU170+BV288*BV170+BW288*BW170+BX288*BX170+BY288*BY170+BZ288*BZ170+CA288*CA170+CB288*CB170+CC288*CC170+CD288*CD170+CE288*CE170+CF288*CF170+CG288*CG170+CH288*CH170+CI288*CI170+CJ288*CJ170+CK288*CK170+CL288*CL170+CM288*CM170+CN288*CN170+CO288*CO170+CP288*CP170+CQ288*CQ170+CR288*CR170+CS288*CS170+CT288*CT170+CU288*CU170</f>
        <v>0</v>
      </c>
      <c r="CZ170" s="2839">
        <f>E289*E170+F289*F170+G289*G170+H289*H170+I289*I170+J289*J170+K289*K170+L289*L170+M289*M170+N289*N170+O289*O170+P289*P170+Q289*Q170+R289*R170+S289*S170+T289*T170+U289*U170+V289*V170+W289*W170+X289*X170+Y289*Y170+Z289*Z170+AA289*AA170+AB289*AB170+AC289*AC170+AD289*AD170+AE289*AE170+AF289*AF170+AG289*AG170+AH289*AH170+AI289*AI170+AJ289*AJ170+AK289*AK170+AL289*AL170+AM289*AM170+AN289*AN170+AO289*AO170+AP289*AP170+AQ289*AQ170+AR289*AR170+AS289*AS170+AT289*AT170+AU289*AU170+AV289*AV170+AW289*AW170+AX289*AX170+AY289*AY170+AZ289*AZ170+BA289*BA170+BB289*BB170+BC289*BC170+BD289*BD170+BE289*BE170+BF289*BF170+BG289*BG170+BH289*BH170+BI289*BI170+BJ289*BJ170+BK289*BK170+BL289*BL170+BM289*BM170+BN289*BN170+BO289*BO170+BP289*BP170+BQ289*BQ170+BR289*BR170+BS289*BS170+BT289*BT170+BU289*BU170+BV289*BV170+BW289*BW170+BX289*BX170+BY289*BY170+BZ289*BZ170+CA289*CA170+CB289*CB170+CC289*CC170+CD289*CD170+CE289*CE170+CF289*CF170+CG289*CG170+CH289*CH170+CI289*CI170+CJ289*CJ170+CK289*CK170+CL289*CL170+CM289*CM170+CN289*CN170+CO289*CO170+CP289*CP170+CQ289*CQ170+CR289*CR170+CS289*CS170+CT289*CT170+CU289*CU170</f>
        <v>0</v>
      </c>
      <c r="DA170" s="2840">
        <f>E290*E170+F290*F170+G290*G170+H290*H170+I290*I170+J290*J170+K290*K170+L290*L170+M290*M170+N290*N170+O290*O170+P290*P170+Q290*Q170+R290*R170+S290*S170+T290*T170+U290*U170+V290*V170+W290*W170+X290*X170+Y290*Y170+Z290*Z170+AA290*AA170+AB290*AB170+AC290*AC170+AD290*AD170+AE290*AE170+AF290*AF170+AG290*AG170+AH290*AH170+AI290*AI170+AJ290*AJ170+AK290*AK170+AL290*AL170+AM290*AM170+AN290*AN170+AO290*AO170+AP290*AP170+AQ290*AQ170+AR290*AR170+AS290*AS170+AT290*AT170+AU290*AU170+AV290*AV170+AW290*AW170+AX290*AX170+AY290*AY170+AZ290*AZ170+BA290*BA170+BB290*BB170+BC290*BC170+BD290*BD170+BE290*BE170+BF290*BF170+BG290*BG170+BH290*BH170+BI290*BI170+BJ290*BJ170+BK290*BK170+BL290*BL170+BM290*BM170+BN290*BN170+BO290*BO170+BP290*BP170+BQ290*BQ170+BR290*BR170+BS290*BS170+BT290*BT170+BU290*BU170+BV290*BV170+BW290*BW170+BX290*BX170+BY290*BY170+BZ290*BZ170+CA290*CA170+CB290*CB170+CC290*CC170+CD290*CD170+CE290*CE170+CF290*CF170+CG290*CG170+CH290*CH170+CI290*CI170+CJ290*CJ170+CK290*CK170+CL290*CL170+CM290*CM170+CN290*CN170+CO290*CO170+CP290*CP170+CQ290*CQ170+CR290*CR170+CS290*CS170+CT290*CT170+CU290*CU170</f>
        <v>0</v>
      </c>
      <c r="DB170" s="2840">
        <f>E291*E170+F291*F170+G291*G170+H291*H170+I291*I170+J291*J170+K291*K170+L291*L170+M291*M170+N291*N170+O291*O170+P291*P170+Q291*Q170+R291*R170+S291*S170+T291*T170+U291*U170+V291*V170+W291*W170+X291*X170+Y291*Y170+Z291*Z170+AA291*AA170+AB291*AB170+AC291*AC170+AD291*AD170+AE291*AE170+AF291*AF170+AG291*AG170+AH291*AH170+AI291*AI170+AJ291*AJ170+AK291*AK170+AL291*AL170+AM291*AM170+AN291*AN170+AO291*AO170+AP291*AP170+AQ291*AQ170+AR291*AR170+AS291*AS170+AT291*AT170+AU291*AU170+AV291*AV170+AW291*AW170+AX291*AX170+AY291*AY170+AZ291*AZ170+BA291*BA170+BB291*BB170+BC291*BC170+BD291*BD170+BE291*BE170+BF291*BF170+BG291*BG170+BH291*BH170+BI291*BI170+BJ291*BJ170+BK291*BK170+BL291*BL170+BM291*BM170+BN291*BN170+BO291*BO170+BP291*BP170+BQ291*BQ170+BR291*BR170+BS291*BS170+BT291*BT170+BU291*BU170+BV291*BV170+BW291*BW170+BX291*BX170+BY291*BY170+BZ291*BZ170+CA291*CA170+CB291*CB170+CC291*CC170+CD291*CD170+CE291*CE170+CF291*CF170+CG291*CG170+CH291*CH170+CI291*CI170+CJ291*CJ170+CK291*CK170+CL291*CL170+CM291*CM170+CN291*CN170+CO291*CO170+CP291*CP170+CQ291*CQ170+CR291*CR170+CS291*CS170+CT291*CT170+CU291*CU170</f>
        <v>0</v>
      </c>
      <c r="DC170" s="2840">
        <f>E292*E170+F292*F170+G292*G170+H292*H170+I292*I170+J292*J170+K292*K170+L292*L170+M292*M170+N292*N170+O292*O170+P292*P170+Q292*Q170+R292*R170+S292*S170+T292*T170+U292*U170+V292*V170+W292*W170+X292*X170+Y292*Y170+Z292*Z170+AA292*AA170+AB292*AB170+AC292*AC170+AD292*AD170+AE292*AE170+AF292*AF170+AG292*AG170+AH292*AH170+AI292*AI170+AJ292*AJ170+AK292*AK170+AL292*AL170+AM292*AM170+AN292*AN170+AO292*AO170+AP292*AP170+AQ292*AQ170+AR292*AR170+AS292*AS170+AT292*AT170+AU292*AU170+AV292*AV170+AW292*AW170+AX292*AX170+AY292*AY170+AZ292*AZ170+BA292*BA170+BB292*BB170+BC292*BC170+BD292*BD170+BE292*BE170+BF292*BF170+BG292*BG170+BH292*BH170+BI292*BI170+BJ292*BJ170+BK292*BK170+BL292*BL170+BM292*BM170+BN292*BN170+BO292*BO170+BP292*BP170+BQ292*BQ170+BR292*BR170+BS292*BS170+BT292*BT170+BU292*BU170+BV292*BV170+BW292*BW170+BX292*BX170+BY292*BY170+BZ292*BZ170+CA292*CA170+CB292*CB170+CC292*CC170+CD292*CD170+CE292*CE170+CF292*CF170+CG292*CG170+CH292*CH170+CI292*CI170+CJ292*CJ170+CK292*CK170+CL292*CL170+CM292*CM170+CN292*CN170+CO292*CO170+CP292*CP170+CQ292*CQ170+CR292*CR170+CS292*CS170+CT292*CT170+CU292*CU170</f>
        <v>0</v>
      </c>
      <c r="DD170" s="2840">
        <f>E293*E170+F293*F170+G293*G170+H293*H170+I293*I170+J293*J170+K293*K170+L293*L170+M293*M170+N293*N170+O293*O170+P293*P170+Q293*Q170+R293*R170+S293*S170+T293*T170+U293*U170+V293*V170+W293*W170+X293*X170+Y293*Y170+Z293*Z170+AA293*AA170+AB293*AB170+AC293*AC170+AD293*AD170+AE293*AE170+AF293*AF170+AG293*AG170+AH293*AH170+AI293*AI170+AJ293*AJ170+AK293*AK170+AL293*AL170+AM293*AM170+AN293*AN170+AO293*AO170+AP293*AP170+AQ293*AQ170+AR293*AR170+AS293*AS170+AT293*AT170+AU293*AU170+AV293*AV170+AW293*AW170+AX293*AX170+AY293*AY170+AZ293*AZ170+BA293*BA170+BB293*BB170+BC293*BC170+BD293*BD170+BE293*BE170+BF293*BF170+BG293*BG170+BH293*BH170+BI293*BI170+BJ293*BJ170+BK293*BK170+BL293*BL170+BM293*BM170+BN293*BN170+BO293*BO170+BP293*BP170+BQ293*BQ170+BR293*BR170+BS293*BS170+BT293*BT170+BU293*BU170+BV293*BV170+BW293*BW170+BX293*BX170+BY293*BY170+BZ293*BZ170+CA293*CA170+CB293*CB170+CC293*CC170+CD293*CD170+CE293*CE170+CF293*CF170+CG293*CG170+CH293*CH170+CI293*CI170+CJ293*CJ170+CK293*CK170+CL293*CL170+CM293*CM170+CN293*CN170+CO293*CO170+CP293*CP170+CQ293*CQ170+CR293*CR170+CS293*CS170+CT293*CT170+CU293*CU170</f>
        <v>0</v>
      </c>
      <c r="DE170" s="2840">
        <f>E294*E170+F294*F170+G294*G170+H294*H170+I294*I170+J294*J170+K294*K170+L294*L170+M294*M170+N294*N170+O294*O170+P294*P170+Q294*Q170+R294*R170+S294*S170+T294*T170+U294*U170+V294*V170+W294*W170+X294*X170+Y294*Y170+Z294*Z170+AA294*AA170+AB294*AB170+AC294*AC170+AD294*AD170+AE294*AE170+AF294*AF170+AG294*AG170+AH294*AH170+AI294*AI170+AJ294*AJ170+AK294*AK170+AL294*AL170+AM294*AM170+AN294*AN170+AO294*AO170+AP294*AP170+AQ294*AQ170+AR294*AR170+AS294*AS170+AT294*AT170+AU294*AU170+AV294*AV170+AW294*AW170+AX294*AX170+AY294*AY170+AZ294*AZ170+BA294*BA170+BB294*BB170+BC294*BC170+BD294*BD170+BE294*BE170+BF294*BF170+BG294*BG170+BH294*BH170+BI294*BI170+BJ294*BJ170+BK294*BK170+BL294*BL170+BM294*BM170+BN294*BN170+BO294*BO170+BP294*BP170+BQ294*BQ170+BR294*BR170+BS294*BS170+BT294*BT170+BU294*BU170+BV294*BV170+BW294*BW170+BX294*BX170+BY294*BY170+BZ294*BZ170+CA294*CA170+CB294*CB170+CC294*CC170+CD294*CD170+CE294*CE170+CF294*CF170+CG294*CG170+CH294*CH170+CI294*CI170+CJ294*CJ170+CK294*CK170+CL294*CL170+CM294*CM170+CN294*CN170+CO294*CO170+CP294*CP170+CQ294*CQ170+CR294*CR170+CS294*CS170+CT294*CT170+CU294*CU170</f>
        <v>0</v>
      </c>
      <c r="DF170" s="2840">
        <f>E295*E170+F295*F170+G295*G170+H295*H170+I295*I170+J295*J170+K295*K170+L295*L170+M295*M170+N295*N170+O295*O170+P295*P170+Q295*Q170+R295*R170+S295*S170+T295*T170+U295*U170+V295*V170+W295*W170+X295*X170+Y295*Y170+Z295*Z170+AA295*AA170+AB295*AB170+AC295*AC170+AD295*AD170+AE295*AE170+AF295*AF170+AG295*AG170+AH295*AH170+AI295*AI170+AJ295*AJ170+AK295*AK170+AL295*AL170+AM295*AM170+AN295*AN170+AO295*AO170+AP295*AP170+AQ295*AQ170+AR295*AR170+AS295*AS170+AT295*AT170+AU295*AU170+AV295*AV170+AW295*AW170+AX295*AX170+AY295*AY170+AZ295*AZ170+BA295*BA170+BB295*BB170+BC295*BC170+BD295*BD170+BE295*BE170+BF295*BF170+BG295*BG170+BH295*BH170+BI295*BI170+BJ295*BJ170+BK295*BK170+BL295*BL170+BM295*BM170+BN295*BN170+BO295*BO170+BP295*BP170+BQ295*BQ170+BR295*BR170+BS295*BS170+BT295*BT170+BU295*BU170+BV295*BV170+BW295*BW170+BX295*BX170+BY295*BY170+BZ295*BZ170+CA295*CA170+CB295*CB170+CC295*CC170+CD295*CD170+CE295*CE170+CF295*CF170+CG295*CG170+CH295*CH170+CI295*CI170+CJ295*CJ170+CK295*CK170+CL295*CL170+CM295*CM170+CN295*CN170+CO295*CO170+CP295*CP170+CQ295*CQ170+CR295*CR170+CS295*CS170+CT295*CT170+CU295*CU170</f>
        <v>0</v>
      </c>
      <c r="DG170" s="2840">
        <f>E296*E170+F296*F170+G296*G170+H296*H170+I296*I170+J296*J170+K296*K170+L296*L170+M296*M170+N296*N170+O296*O170+P296*P170+Q296*Q170+R296*R170+S296*S170+T296*T170+U296*U170+V296*V170+W296*W170+X296*X170+Y296*Y170+Z296*Z170+AA296*AA170+AB296*AB170+AC296*AC170+AD296*AD170+AE296*AE170+AF296*AF170+AG296*AG170+AH296*AH170+AI296*AI170+AJ296*AJ170+AK296*AK170+AL296*AL170+AM296*AM170+AN296*AN170+AO296*AO170+AP296*AP170+AQ296*AQ170+AR296*AR170+AS296*AS170+AT296*AT170+AU296*AU170+AV296*AV170+AW296*AW170+AX296*AX170+AY296*AY170+AZ296*AZ170+BA296*BA170+BB296*BB170+BC296*BC170+BD296*BD170+BE296*BE170+BF296*BF170+BG296*BG170+BH296*BH170+BI296*BI170+BJ296*BJ170+BK296*BK170+BL296*BL170+BM296*BM170+BN296*BN170+BO296*BO170+BP296*BP170+BQ296*BQ170+BR296*BR170+BS296*BS170+BT296*BT170+BU296*BU170+BV296*BV170+BW296*BW170+BX296*BX170+BY296*BY170+BZ296*BZ170+CA296*CA170+CB296*CB170+CC296*CC170+CD296*CD170+CE296*CE170+CF296*CF170+CG296*CG170+CH296*CH170+CI296*CI170+CJ296*CJ170+CK296*CK170+CL296*CL170+CM296*CM170+CN296*CN170+CO296*CO170+CP296*CP170+CQ296*CQ170+CR296*CR170+CS296*CS170+CT296*CT170+CU296*CU170</f>
        <v>0</v>
      </c>
      <c r="DH170" s="2840">
        <f>E297*E170+F297*F170+G297*G170+H297*H170+I297*I170+J297*J170+K297*K170+L297*L170+M297*M170+N297*N170+O297*O170+P297*P170+Q297*Q170+R297*R170+S297*S170+T297*T170+U297*U170+V297*V170+W297*W170+X297*X170+Y297*Y170+Z297*Z170+AA297*AA170+AB297*AB170+AC297*AC170+AD297*AD170+AE297*AE170+AF297*AF170+AG297*AG170+AH297*AH170+AI297*AI170+AJ297*AJ170+AK297*AK170+AL297*AL170+AM297*AM170+AN297*AN170+AO297*AO170+AP297*AP170+AQ297*AQ170+AR297*AR170+AS297*AS170+AT297*AT170+AU297*AU170+AV297*AV170+AW297*AW170+AX297*AX170+AY297*AY170+AZ297*AZ170+BA297*BA170+BB297*BB170+BC297*BC170+BD297*BD170+BE297*BE170+BF297*BF170+BG297*BG170+BH297*BH170+BI297*BI170+BJ297*BJ170+BK297*BK170+BL297*BL170+BM297*BM170+BN297*BN170+BO297*BO170+BP297*BP170+BQ297*BQ170+BR297*BR170+BS297*BS170+BT297*BT170+BU297*BU170+BV297*BV170+BW297*BW170+BX297*BX170+BY297*BY170+BZ297*BZ170+CA297*CA170+CB297*CB170+CC297*CC170+CD297*CD170+CE297*CE170+CF297*CF170+CG297*CG170+CH297*CH170+CI297*CI170+CJ297*CJ170+CK297*CK170+CL297*CL170+CM297*CM170+CN297*CN170+CO297*CO170+CP297*CP170+CQ297*CQ170+CR297*CR170+CS297*CS170+CT297*CT170+CU297*CU170</f>
        <v>0</v>
      </c>
      <c r="DI170" s="2840">
        <f>E298*E170+F298*F170+G298*G170+H298*H170+I298*I170+J298*J170+K298*K170+L298*L170+M298*M170+N298*N170+O298*O170+P298*P170+Q298*Q170+R298*R170+S298*S170+T298*T170+U298*U170+V298*V170+W298*W170+X298*X170+Y298*Y170+Z298*Z170+AA298*AA170+AB298*AB170+AC298*AC170+AD298*AD170+AE298*AE170+AF298*AF170+AG298*AG170+AH298*AH170+AI298*AI170+AJ298*AJ170+AK298*AK170+AL298*AL170+AM298*AM170+AN298*AN170+AO298*AO170+AP298*AP170+AQ298*AQ170+AR298*AR170+AS298*AS170+AT298*AT170+AU298*AU170+AV298*AV170+AW298*AW170+AX298*AX170+AY298*AY170+AZ298*AZ170+BA298*BA170+BB298*BB170+BC298*BC170+BD298*BD170+BE298*BE170+BF298*BF170+BG298*BG170+BH298*BH170+BI298*BI170+BJ298*BJ170+BK298*BK170+BL298*BL170+BM298*BM170+BN298*BN170+BO298*BO170+BP298*BP170+BQ298*BQ170+BR298*BR170+BS298*BS170+BT298*BT170+BU298*BU170+BV298*BV170+BW298*BW170+BX298*BX170+BY298*BY170+BZ298*BZ170+CA298*CA170+CB298*CB170+CC298*CC170+CD298*CD170+CE298*CE170+CF298*CF170+CG298*CG170+CH298*CH170+CI298*CI170+CJ298*CJ170+CK298*CK170+CL298*CL170+CM298*CM170+CN298*CN170+CO298*CO170+CP298*CP170+CQ298*CQ170+CR298*CR170+CS298*CS170+CT298*CT170+CU298*CU170</f>
        <v>0</v>
      </c>
    </row>
    <row r="171" spans="2:113" ht="18" x14ac:dyDescent="0.25">
      <c r="B171" s="2489">
        <v>18</v>
      </c>
      <c r="C171" s="2406" t="s">
        <v>240</v>
      </c>
      <c r="D171" s="2407" t="s">
        <v>5853</v>
      </c>
      <c r="E171" s="3110">
        <f>0</f>
        <v>0</v>
      </c>
      <c r="F171" s="3110">
        <f>0</f>
        <v>0</v>
      </c>
      <c r="G171" s="3110">
        <f>0</f>
        <v>0</v>
      </c>
      <c r="H171" s="3110">
        <f>0</f>
        <v>0</v>
      </c>
      <c r="I171" s="3110">
        <f>0</f>
        <v>0</v>
      </c>
      <c r="J171" s="3110">
        <f>0</f>
        <v>0</v>
      </c>
      <c r="K171" s="3110">
        <f>0</f>
        <v>0</v>
      </c>
      <c r="L171" s="3110">
        <f>0</f>
        <v>0</v>
      </c>
      <c r="M171" s="3110">
        <f>0</f>
        <v>0</v>
      </c>
      <c r="N171" s="3112">
        <f>-(X_PHA_PAO/X_STC)/Y_CASTO_STC_anox</f>
        <v>-1.680672268907563</v>
      </c>
      <c r="O171" s="3112">
        <f>-(X_PHA_GAO/X_STC)/Y_CASTO_STC_anox</f>
        <v>-0.25210084033613445</v>
      </c>
      <c r="P171" s="3110">
        <f>0</f>
        <v>0</v>
      </c>
      <c r="Q171" s="3110">
        <f>0</f>
        <v>0</v>
      </c>
      <c r="R171" s="3110">
        <f>0</f>
        <v>0</v>
      </c>
      <c r="S171" s="3110">
        <f>1</f>
        <v>1</v>
      </c>
      <c r="T171" s="3110">
        <f>0</f>
        <v>0</v>
      </c>
      <c r="U171" s="3110">
        <f>0</f>
        <v>0</v>
      </c>
      <c r="V171" s="3110">
        <f>0</f>
        <v>0</v>
      </c>
      <c r="W171" s="3110">
        <f>0</f>
        <v>0</v>
      </c>
      <c r="X171" s="3110">
        <f>0</f>
        <v>0</v>
      </c>
      <c r="Y171" s="3110">
        <f>0</f>
        <v>0</v>
      </c>
      <c r="Z171" s="3110">
        <f>0</f>
        <v>0</v>
      </c>
      <c r="AA171" s="3110">
        <f>0</f>
        <v>0</v>
      </c>
      <c r="AB171" s="3110">
        <f>0</f>
        <v>0</v>
      </c>
      <c r="AC171" s="3110">
        <f>0</f>
        <v>0</v>
      </c>
      <c r="AD171" s="3110">
        <f>-i_N_BIO</f>
        <v>-7.0000000000000007E-2</v>
      </c>
      <c r="AE171" s="3112">
        <f>(1-Y_CASTO_STC_anox)/(E_EQNO2_NO3*Y_CASTO_STC_anox)</f>
        <v>0.81659769174117147</v>
      </c>
      <c r="AF171" s="3112">
        <f>-(1-Y_CASTO_STC_anox)/(E_EQNO2_NO3*Y_CASTO_STC_anox)</f>
        <v>-0.81659769174117147</v>
      </c>
      <c r="AG171" s="3112">
        <f>0</f>
        <v>0</v>
      </c>
      <c r="AH171" s="3110">
        <f>0</f>
        <v>0</v>
      </c>
      <c r="AI171" s="3110">
        <f>0</f>
        <v>0</v>
      </c>
      <c r="AJ171" s="3110">
        <f>0</f>
        <v>0</v>
      </c>
      <c r="AK171" s="3110">
        <f>0</f>
        <v>0</v>
      </c>
      <c r="AL171" s="3112">
        <f>-i_P_BIO</f>
        <v>-0.02</v>
      </c>
      <c r="AM171" s="3110">
        <f>0</f>
        <v>0</v>
      </c>
      <c r="AN171" s="3110">
        <f>0</f>
        <v>0</v>
      </c>
      <c r="AO171" s="3110">
        <f>0</f>
        <v>0</v>
      </c>
      <c r="AP171" s="3110">
        <f>0</f>
        <v>0</v>
      </c>
      <c r="AQ171" s="3110">
        <f>0</f>
        <v>0</v>
      </c>
      <c r="AR171" s="3110">
        <f>0</f>
        <v>0</v>
      </c>
      <c r="AS171" s="3110">
        <f>0</f>
        <v>0</v>
      </c>
      <c r="AT171" s="3110">
        <f>0</f>
        <v>0</v>
      </c>
      <c r="AU171" s="3112">
        <f>(i_CIT_STC/Y_CASTO_STC_anox)-i_CIT_BIO</f>
        <v>0.29161344537815126</v>
      </c>
      <c r="AV171" s="3112">
        <f>i_INORG</f>
        <v>0.11</v>
      </c>
      <c r="AW171" s="3112">
        <f>-i_INORG*(1-i_Ca_INORG*(A_MCa+2*A_MCl)/A_MCa-i_Mg_INORG*(A_MMg+2*A_MCl)/A_MMg)*f_Na</f>
        <v>-2.8804303582798466E-2</v>
      </c>
      <c r="AX171" s="3112">
        <f>-i_INORG*(i_Ca_INORG*(2*A_MCl)/A_MCa+i_Mg_INORG*(2*A_MCl)/A_MMg)-i_INORG*(1-i_Ca_INORG*(A_MCa+2*A_MCl)/A_MCa-i_Mg_INORG*(A_MMg+2*A_MCl)/A_MMg)*(1-f_Na)</f>
        <v>-7.0195696417201539E-2</v>
      </c>
      <c r="AY171" s="3112">
        <f>-i_INORG*i_Ca_INORG</f>
        <v>-5.5000000000000005E-3</v>
      </c>
      <c r="AZ171" s="3112">
        <f>-i_INORG*i_Mg_INORG</f>
        <v>-5.5000000000000005E-3</v>
      </c>
      <c r="BA171" s="3151">
        <f>0</f>
        <v>0</v>
      </c>
      <c r="BB171" s="3112">
        <f>0</f>
        <v>0</v>
      </c>
      <c r="BC171" s="3110">
        <f>-i_S_BIO</f>
        <v>-0.01</v>
      </c>
      <c r="BD171" s="3112">
        <f>0</f>
        <v>0</v>
      </c>
      <c r="BE171" s="3112">
        <f>0</f>
        <v>0</v>
      </c>
      <c r="BF171" s="3112">
        <f>0</f>
        <v>0</v>
      </c>
      <c r="BG171" s="3112">
        <f>0</f>
        <v>0</v>
      </c>
      <c r="BH171" s="3112">
        <f>0</f>
        <v>0</v>
      </c>
      <c r="BI171" s="3112">
        <f>0</f>
        <v>0</v>
      </c>
      <c r="BJ171" s="3112">
        <f>0</f>
        <v>0</v>
      </c>
      <c r="BK171" s="3112">
        <f>0</f>
        <v>0</v>
      </c>
      <c r="BL171" s="3112">
        <f>0</f>
        <v>0</v>
      </c>
      <c r="BM171" s="3112">
        <f>0</f>
        <v>0</v>
      </c>
      <c r="BN171" s="3112">
        <f>0</f>
        <v>0</v>
      </c>
      <c r="BO171" s="3112">
        <f>0</f>
        <v>0</v>
      </c>
      <c r="BP171" s="3112">
        <f>0</f>
        <v>0</v>
      </c>
      <c r="BQ171" s="3112">
        <f>0</f>
        <v>0</v>
      </c>
      <c r="BR171" s="3112">
        <f>0</f>
        <v>0</v>
      </c>
      <c r="BS171" s="3112">
        <f>0</f>
        <v>0</v>
      </c>
      <c r="BT171" s="3112">
        <f>0</f>
        <v>0</v>
      </c>
      <c r="BU171" s="3112">
        <f>0</f>
        <v>0</v>
      </c>
      <c r="BV171" s="3112">
        <f>0</f>
        <v>0</v>
      </c>
      <c r="BW171" s="3112">
        <f>0</f>
        <v>0</v>
      </c>
      <c r="BX171" s="3112">
        <f>0</f>
        <v>0</v>
      </c>
      <c r="BY171" s="3112">
        <f>0</f>
        <v>0</v>
      </c>
      <c r="BZ171" s="3188">
        <f>0</f>
        <v>0</v>
      </c>
      <c r="CA171" s="3188">
        <f>0</f>
        <v>0</v>
      </c>
      <c r="CB171" s="3188">
        <f>0</f>
        <v>0</v>
      </c>
      <c r="CC171" s="3188">
        <f>0</f>
        <v>0</v>
      </c>
      <c r="CD171" s="3112">
        <f>0</f>
        <v>0</v>
      </c>
      <c r="CE171" s="3112">
        <f>0</f>
        <v>0</v>
      </c>
      <c r="CF171" s="3112">
        <f>0</f>
        <v>0</v>
      </c>
      <c r="CG171" s="3112">
        <f>0</f>
        <v>0</v>
      </c>
      <c r="CH171" s="3112">
        <f>0</f>
        <v>0</v>
      </c>
      <c r="CI171" s="3112">
        <f>0</f>
        <v>0</v>
      </c>
      <c r="CJ171" s="3112">
        <f>0</f>
        <v>0</v>
      </c>
      <c r="CK171" s="3112">
        <f>0</f>
        <v>0</v>
      </c>
      <c r="CL171" s="3112">
        <f>0</f>
        <v>0</v>
      </c>
      <c r="CM171" s="3112">
        <f>0</f>
        <v>0</v>
      </c>
      <c r="CN171" s="3112">
        <f>0</f>
        <v>0</v>
      </c>
      <c r="CO171" s="3112">
        <f>0</f>
        <v>0</v>
      </c>
      <c r="CP171" s="3112">
        <f>0</f>
        <v>0</v>
      </c>
      <c r="CQ171" s="3112">
        <f>0</f>
        <v>0</v>
      </c>
      <c r="CR171" s="3112">
        <f>0</f>
        <v>0</v>
      </c>
      <c r="CS171" s="3112">
        <f>0</f>
        <v>0</v>
      </c>
      <c r="CT171" s="3112">
        <f>0</f>
        <v>0</v>
      </c>
      <c r="CU171" s="3112">
        <f>0</f>
        <v>0</v>
      </c>
      <c r="CV171" s="3222">
        <f>µ_CASTO_T*X_CASTO*η_CASTO_anox*M_RsatXSTC_XCASTO_KSTC*M_satSNO3_KNO3_CASTO*M_inhSO2_KO2_CASTO*M_inhSNO2_KNO2_CASTO*M_satSNHx_KNHx_BIO*M_satSPO4_KPO4_BIO*M_satSCAT_KCAT*M_satSAN_KAN*M_satSCa_KCa_PAO*M_satSMg_KMg_PAO*M_satSSO4_KSO4_BIO*B_ellinhpH</f>
        <v>0.81826324277543361</v>
      </c>
      <c r="CX171" s="2838">
        <f>E287*E171+F287*F171+G287*G171+H287*H171+I287*I171+J287*J171+K287*K171+L287*L171+M287*M171+N287*N171+O287*O171+P287*P171+Q287*Q171+R287*R171+S287*S171+T287*T171+U287*U171+V287*V171+W287*W171+X287*X171+Y287*Y171+Z287*Z171+AA287*AA171+AB287*AB171+AC287*AC171+AD287*AD171+AE287*AE171+AF287*AF171+AG287*AG171+AH287*AH171+AI287*AI171+AJ287*AJ171+AK287*AK171+AL287*AL171+AM287*AM171+AN287*AN171+AO287*AO171+AP287*AP171+AQ287*AQ171+AR287*AR171+AS287*AS171+AT287*AT171+AU287*AU171+AV287*AV171+AW287*AW171+AX287*AX171+AY287*AY171+AZ287*AZ171+BA287*BA171+BB287*BB171+BC287*BC171+BD287*BD171+BE287*BE171+BF287*BF171+BG287*BG171+BH287*BH171+BI287*BI171+BJ287*BJ171+BK287*BK171+BL287*BL171+BM287*BM171+BN287*BN171+BO287*BO171+BP287*BP171+BQ287*BQ171+BR287*BR171+BS287*BS171+BT287*BT171+BU287*BU171+BV287*BV171+BW287*BW171+BX287*BX171+BY287*BY171+BZ287*BZ171+CA287*CA171+CB287*CB171+CC287*CC171+CD287*CD171+CE287*CE171+CF287*CF171+CG287*CG171+CH287*CH171+CI287*CI171+CJ287*CJ171+CK287*CK171+CL287*CL171+CM287*CM171+CN287*CN171+CO287*CO171+CP287*CP171+CQ287*CQ171+CR287*CR171+CS287*CS171+CT287*CT171+CU287*CU171</f>
        <v>0</v>
      </c>
      <c r="CY171" s="2838">
        <f>E288*E171+F288*F171+G288*G171+H288*H171+I288*I171+J288*J171+K288*K171+L288*L171+M288*M171+N288*N171+O288*O171+P288*P171+Q288*Q171+R288*R171+S288*S171+T288*T171+U288*U171+V288*V171+W288*W171+X288*X171+Y288*Y171+Z288*Z171+AA288*AA171+AB288*AB171+AC288*AC171+AD288*AD171+AE288*AE171+AF288*AF171+AG288*AG171+AH288*AH171+AI288*AI171+AJ288*AJ171+AK288*AK171+AL288*AL171+AM288*AM171+AN288*AN171+AO288*AO171+AP288*AP171+AQ288*AQ171+AR288*AR171+AS288*AS171+AT288*AT171+AU288*AU171+AV288*AV171+AW288*AW171+AX288*AX171+AY288*AY171+AZ288*AZ171+BA288*BA171+BB288*BB171+BC288*BC171+BD288*BD171+BE288*BE171+BF288*BF171+BG288*BG171+BH288*BH171+BI288*BI171+BJ288*BJ171+BK288*BK171+BL288*BL171+BM288*BM171+BN288*BN171+BO288*BO171+BP288*BP171+BQ288*BQ171+BR288*BR171+BS288*BS171+BT288*BT171+BU288*BU171+BV288*BV171+BW288*BW171+BX288*BX171+BY288*BY171+BZ288*BZ171+CA288*CA171+CB288*CB171+CC288*CC171+CD288*CD171+CE288*CE171+CF288*CF171+CG288*CG171+CH288*CH171+CI288*CI171+CJ288*CJ171+CK288*CK171+CL288*CL171+CM288*CM171+CN288*CN171+CO288*CO171+CP288*CP171+CQ288*CQ171+CR288*CR171+CS288*CS171+CT288*CT171+CU288*CU171</f>
        <v>0</v>
      </c>
      <c r="CZ171" s="2839">
        <f>E289*E171+F289*F171+G289*G171+H289*H171+I289*I171+J289*J171+K289*K171+L289*L171+M289*M171+N289*N171+O289*O171+P289*P171+Q289*Q171+R289*R171+S289*S171+T289*T171+U289*U171+V289*V171+W289*W171+X289*X171+Y289*Y171+Z289*Z171+AA289*AA171+AB289*AB171+AC289*AC171+AD289*AD171+AE289*AE171+AF289*AF171+AG289*AG171+AH289*AH171+AI289*AI171+AJ289*AJ171+AK289*AK171+AL289*AL171+AM289*AM171+AN289*AN171+AO289*AO171+AP289*AP171+AQ289*AQ171+AR289*AR171+AS289*AS171+AT289*AT171+AU289*AU171+AV289*AV171+AW289*AW171+AX289*AX171+AY289*AY171+AZ289*AZ171+BA289*BA171+BB289*BB171+BC289*BC171+BD289*BD171+BE289*BE171+BF289*BF171+BG289*BG171+BH289*BH171+BI289*BI171+BJ289*BJ171+BK289*BK171+BL289*BL171+BM289*BM171+BN289*BN171+BO289*BO171+BP289*BP171+BQ289*BQ171+BR289*BR171+BS289*BS171+BT289*BT171+BU289*BU171+BV289*BV171+BW289*BW171+BX289*BX171+BY289*BY171+BZ289*BZ171+CA289*CA171+CB289*CB171+CC289*CC171+CD289*CD171+CE289*CE171+CF289*CF171+CG289*CG171+CH289*CH171+CI289*CI171+CJ289*CJ171+CK289*CK171+CL289*CL171+CM289*CM171+CN289*CN171+CO289*CO171+CP289*CP171+CQ289*CQ171+CR289*CR171+CS289*CS171+CT289*CT171+CU289*CU171</f>
        <v>0</v>
      </c>
      <c r="DA171" s="2840">
        <f>E290*E171+F290*F171+G290*G171+H290*H171+I290*I171+J290*J171+K290*K171+L290*L171+M290*M171+N290*N171+O290*O171+P290*P171+Q290*Q171+R290*R171+S290*S171+T290*T171+U290*U171+V290*V171+W290*W171+X290*X171+Y290*Y171+Z290*Z171+AA290*AA171+AB290*AB171+AC290*AC171+AD290*AD171+AE290*AE171+AF290*AF171+AG290*AG171+AH290*AH171+AI290*AI171+AJ290*AJ171+AK290*AK171+AL290*AL171+AM290*AM171+AN290*AN171+AO290*AO171+AP290*AP171+AQ290*AQ171+AR290*AR171+AS290*AS171+AT290*AT171+AU290*AU171+AV290*AV171+AW290*AW171+AX290*AX171+AY290*AY171+AZ290*AZ171+BA290*BA171+BB290*BB171+BC290*BC171+BD290*BD171+BE290*BE171+BF290*BF171+BG290*BG171+BH290*BH171+BI290*BI171+BJ290*BJ171+BK290*BK171+BL290*BL171+BM290*BM171+BN290*BN171+BO290*BO171+BP290*BP171+BQ290*BQ171+BR290*BR171+BS290*BS171+BT290*BT171+BU290*BU171+BV290*BV171+BW290*BW171+BX290*BX171+BY290*BY171+BZ290*BZ171+CA290*CA171+CB290*CB171+CC290*CC171+CD290*CD171+CE290*CE171+CF290*CF171+CG290*CG171+CH290*CH171+CI290*CI171+CJ290*CJ171+CK290*CK171+CL290*CL171+CM290*CM171+CN290*CN171+CO290*CO171+CP290*CP171+CQ290*CQ171+CR290*CR171+CS290*CS171+CT290*CT171+CU290*CU171</f>
        <v>0</v>
      </c>
      <c r="DB171" s="2840">
        <f>E291*E171+F291*F171+G291*G171+H291*H171+I291*I171+J291*J171+K291*K171+L291*L171+M291*M171+N291*N171+O291*O171+P291*P171+Q291*Q171+R291*R171+S291*S171+T291*T171+U291*U171+V291*V171+W291*W171+X291*X171+Y291*Y171+Z291*Z171+AA291*AA171+AB291*AB171+AC291*AC171+AD291*AD171+AE291*AE171+AF291*AF171+AG291*AG171+AH291*AH171+AI291*AI171+AJ291*AJ171+AK291*AK171+AL291*AL171+AM291*AM171+AN291*AN171+AO291*AO171+AP291*AP171+AQ291*AQ171+AR291*AR171+AS291*AS171+AT291*AT171+AU291*AU171+AV291*AV171+AW291*AW171+AX291*AX171+AY291*AY171+AZ291*AZ171+BA291*BA171+BB291*BB171+BC291*BC171+BD291*BD171+BE291*BE171+BF291*BF171+BG291*BG171+BH291*BH171+BI291*BI171+BJ291*BJ171+BK291*BK171+BL291*BL171+BM291*BM171+BN291*BN171+BO291*BO171+BP291*BP171+BQ291*BQ171+BR291*BR171+BS291*BS171+BT291*BT171+BU291*BU171+BV291*BV171+BW291*BW171+BX291*BX171+BY291*BY171+BZ291*BZ171+CA291*CA171+CB291*CB171+CC291*CC171+CD291*CD171+CE291*CE171+CF291*CF171+CG291*CG171+CH291*CH171+CI291*CI171+CJ291*CJ171+CK291*CK171+CL291*CL171+CM291*CM171+CN291*CN171+CO291*CO171+CP291*CP171+CQ291*CQ171+CR291*CR171+CS291*CS171+CT291*CT171+CU291*CU171</f>
        <v>0</v>
      </c>
      <c r="DC171" s="2840">
        <f>E292*E171+F292*F171+G292*G171+H292*H171+I292*I171+J292*J171+K292*K171+L292*L171+M292*M171+N292*N171+O292*O171+P292*P171+Q292*Q171+R292*R171+S292*S171+T292*T171+U292*U171+V292*V171+W292*W171+X292*X171+Y292*Y171+Z292*Z171+AA292*AA171+AB292*AB171+AC292*AC171+AD292*AD171+AE292*AE171+AF292*AF171+AG292*AG171+AH292*AH171+AI292*AI171+AJ292*AJ171+AK292*AK171+AL292*AL171+AM292*AM171+AN292*AN171+AO292*AO171+AP292*AP171+AQ292*AQ171+AR292*AR171+AS292*AS171+AT292*AT171+AU292*AU171+AV292*AV171+AW292*AW171+AX292*AX171+AY292*AY171+AZ292*AZ171+BA292*BA171+BB292*BB171+BC292*BC171+BD292*BD171+BE292*BE171+BF292*BF171+BG292*BG171+BH292*BH171+BI292*BI171+BJ292*BJ171+BK292*BK171+BL292*BL171+BM292*BM171+BN292*BN171+BO292*BO171+BP292*BP171+BQ292*BQ171+BR292*BR171+BS292*BS171+BT292*BT171+BU292*BU171+BV292*BV171+BW292*BW171+BX292*BX171+BY292*BY171+BZ292*BZ171+CA292*CA171+CB292*CB171+CC292*CC171+CD292*CD171+CE292*CE171+CF292*CF171+CG292*CG171+CH292*CH171+CI292*CI171+CJ292*CJ171+CK292*CK171+CL292*CL171+CM292*CM171+CN292*CN171+CO292*CO171+CP292*CP171+CQ292*CQ171+CR292*CR171+CS292*CS171+CT292*CT171+CU292*CU171</f>
        <v>0</v>
      </c>
      <c r="DD171" s="2840">
        <f>E293*E171+F293*F171+G293*G171+H293*H171+I293*I171+J293*J171+K293*K171+L293*L171+M293*M171+N293*N171+O293*O171+P293*P171+Q293*Q171+R293*R171+S293*S171+T293*T171+U293*U171+V293*V171+W293*W171+X293*X171+Y293*Y171+Z293*Z171+AA293*AA171+AB293*AB171+AC293*AC171+AD293*AD171+AE293*AE171+AF293*AF171+AG293*AG171+AH293*AH171+AI293*AI171+AJ293*AJ171+AK293*AK171+AL293*AL171+AM293*AM171+AN293*AN171+AO293*AO171+AP293*AP171+AQ293*AQ171+AR293*AR171+AS293*AS171+AT293*AT171+AU293*AU171+AV293*AV171+AW293*AW171+AX293*AX171+AY293*AY171+AZ293*AZ171+BA293*BA171+BB293*BB171+BC293*BC171+BD293*BD171+BE293*BE171+BF293*BF171+BG293*BG171+BH293*BH171+BI293*BI171+BJ293*BJ171+BK293*BK171+BL293*BL171+BM293*BM171+BN293*BN171+BO293*BO171+BP293*BP171+BQ293*BQ171+BR293*BR171+BS293*BS171+BT293*BT171+BU293*BU171+BV293*BV171+BW293*BW171+BX293*BX171+BY293*BY171+BZ293*BZ171+CA293*CA171+CB293*CB171+CC293*CC171+CD293*CD171+CE293*CE171+CF293*CF171+CG293*CG171+CH293*CH171+CI293*CI171+CJ293*CJ171+CK293*CK171+CL293*CL171+CM293*CM171+CN293*CN171+CO293*CO171+CP293*CP171+CQ293*CQ171+CR293*CR171+CS293*CS171+CT293*CT171+CU293*CU171</f>
        <v>0</v>
      </c>
      <c r="DE171" s="2840">
        <f>E294*E171+F294*F171+G294*G171+H294*H171+I294*I171+J294*J171+K294*K171+L294*L171+M294*M171+N294*N171+O294*O171+P294*P171+Q294*Q171+R294*R171+S294*S171+T294*T171+U294*U171+V294*V171+W294*W171+X294*X171+Y294*Y171+Z294*Z171+AA294*AA171+AB294*AB171+AC294*AC171+AD294*AD171+AE294*AE171+AF294*AF171+AG294*AG171+AH294*AH171+AI294*AI171+AJ294*AJ171+AK294*AK171+AL294*AL171+AM294*AM171+AN294*AN171+AO294*AO171+AP294*AP171+AQ294*AQ171+AR294*AR171+AS294*AS171+AT294*AT171+AU294*AU171+AV294*AV171+AW294*AW171+AX294*AX171+AY294*AY171+AZ294*AZ171+BA294*BA171+BB294*BB171+BC294*BC171+BD294*BD171+BE294*BE171+BF294*BF171+BG294*BG171+BH294*BH171+BI294*BI171+BJ294*BJ171+BK294*BK171+BL294*BL171+BM294*BM171+BN294*BN171+BO294*BO171+BP294*BP171+BQ294*BQ171+BR294*BR171+BS294*BS171+BT294*BT171+BU294*BU171+BV294*BV171+BW294*BW171+BX294*BX171+BY294*BY171+BZ294*BZ171+CA294*CA171+CB294*CB171+CC294*CC171+CD294*CD171+CE294*CE171+CF294*CF171+CG294*CG171+CH294*CH171+CI294*CI171+CJ294*CJ171+CK294*CK171+CL294*CL171+CM294*CM171+CN294*CN171+CO294*CO171+CP294*CP171+CQ294*CQ171+CR294*CR171+CS294*CS171+CT294*CT171+CU294*CU171</f>
        <v>0</v>
      </c>
      <c r="DF171" s="2840">
        <f>E295*E171+F295*F171+G295*G171+H295*H171+I295*I171+J295*J171+K295*K171+L295*L171+M295*M171+N295*N171+O295*O171+P295*P171+Q295*Q171+R295*R171+S295*S171+T295*T171+U295*U171+V295*V171+W295*W171+X295*X171+Y295*Y171+Z295*Z171+AA295*AA171+AB295*AB171+AC295*AC171+AD295*AD171+AE295*AE171+AF295*AF171+AG295*AG171+AH295*AH171+AI295*AI171+AJ295*AJ171+AK295*AK171+AL295*AL171+AM295*AM171+AN295*AN171+AO295*AO171+AP295*AP171+AQ295*AQ171+AR295*AR171+AS295*AS171+AT295*AT171+AU295*AU171+AV295*AV171+AW295*AW171+AX295*AX171+AY295*AY171+AZ295*AZ171+BA295*BA171+BB295*BB171+BC295*BC171+BD295*BD171+BE295*BE171+BF295*BF171+BG295*BG171+BH295*BH171+BI295*BI171+BJ295*BJ171+BK295*BK171+BL295*BL171+BM295*BM171+BN295*BN171+BO295*BO171+BP295*BP171+BQ295*BQ171+BR295*BR171+BS295*BS171+BT295*BT171+BU295*BU171+BV295*BV171+BW295*BW171+BX295*BX171+BY295*BY171+BZ295*BZ171+CA295*CA171+CB295*CB171+CC295*CC171+CD295*CD171+CE295*CE171+CF295*CF171+CG295*CG171+CH295*CH171+CI295*CI171+CJ295*CJ171+CK295*CK171+CL295*CL171+CM295*CM171+CN295*CN171+CO295*CO171+CP295*CP171+CQ295*CQ171+CR295*CR171+CS295*CS171+CT295*CT171+CU295*CU171</f>
        <v>0</v>
      </c>
      <c r="DG171" s="2840">
        <f>E296*E171+F296*F171+G296*G171+H296*H171+I296*I171+J296*J171+K296*K171+L296*L171+M296*M171+N296*N171+O296*O171+P296*P171+Q296*Q171+R296*R171+S296*S171+T296*T171+U296*U171+V296*V171+W296*W171+X296*X171+Y296*Y171+Z296*Z171+AA296*AA171+AB296*AB171+AC296*AC171+AD296*AD171+AE296*AE171+AF296*AF171+AG296*AG171+AH296*AH171+AI296*AI171+AJ296*AJ171+AK296*AK171+AL296*AL171+AM296*AM171+AN296*AN171+AO296*AO171+AP296*AP171+AQ296*AQ171+AR296*AR171+AS296*AS171+AT296*AT171+AU296*AU171+AV296*AV171+AW296*AW171+AX296*AX171+AY296*AY171+AZ296*AZ171+BA296*BA171+BB296*BB171+BC296*BC171+BD296*BD171+BE296*BE171+BF296*BF171+BG296*BG171+BH296*BH171+BI296*BI171+BJ296*BJ171+BK296*BK171+BL296*BL171+BM296*BM171+BN296*BN171+BO296*BO171+BP296*BP171+BQ296*BQ171+BR296*BR171+BS296*BS171+BT296*BT171+BU296*BU171+BV296*BV171+BW296*BW171+BX296*BX171+BY296*BY171+BZ296*BZ171+CA296*CA171+CB296*CB171+CC296*CC171+CD296*CD171+CE296*CE171+CF296*CF171+CG296*CG171+CH296*CH171+CI296*CI171+CJ296*CJ171+CK296*CK171+CL296*CL171+CM296*CM171+CN296*CN171+CO296*CO171+CP296*CP171+CQ296*CQ171+CR296*CR171+CS296*CS171+CT296*CT171+CU296*CU171</f>
        <v>0</v>
      </c>
      <c r="DH171" s="2840">
        <f>E297*E171+F297*F171+G297*G171+H297*H171+I297*I171+J297*J171+K297*K171+L297*L171+M297*M171+N297*N171+O297*O171+P297*P171+Q297*Q171+R297*R171+S297*S171+T297*T171+U297*U171+V297*V171+W297*W171+X297*X171+Y297*Y171+Z297*Z171+AA297*AA171+AB297*AB171+AC297*AC171+AD297*AD171+AE297*AE171+AF297*AF171+AG297*AG171+AH297*AH171+AI297*AI171+AJ297*AJ171+AK297*AK171+AL297*AL171+AM297*AM171+AN297*AN171+AO297*AO171+AP297*AP171+AQ297*AQ171+AR297*AR171+AS297*AS171+AT297*AT171+AU297*AU171+AV297*AV171+AW297*AW171+AX297*AX171+AY297*AY171+AZ297*AZ171+BA297*BA171+BB297*BB171+BC297*BC171+BD297*BD171+BE297*BE171+BF297*BF171+BG297*BG171+BH297*BH171+BI297*BI171+BJ297*BJ171+BK297*BK171+BL297*BL171+BM297*BM171+BN297*BN171+BO297*BO171+BP297*BP171+BQ297*BQ171+BR297*BR171+BS297*BS171+BT297*BT171+BU297*BU171+BV297*BV171+BW297*BW171+BX297*BX171+BY297*BY171+BZ297*BZ171+CA297*CA171+CB297*CB171+CC297*CC171+CD297*CD171+CE297*CE171+CF297*CF171+CG297*CG171+CH297*CH171+CI297*CI171+CJ297*CJ171+CK297*CK171+CL297*CL171+CM297*CM171+CN297*CN171+CO297*CO171+CP297*CP171+CQ297*CQ171+CR297*CR171+CS297*CS171+CT297*CT171+CU297*CU171</f>
        <v>0</v>
      </c>
      <c r="DI171" s="2840">
        <f>E298*E171+F298*F171+G298*G171+H298*H171+I298*I171+J298*J171+K298*K171+L298*L171+M298*M171+N298*N171+O298*O171+P298*P171+Q298*Q171+R298*R171+S298*S171+T298*T171+U298*U171+V298*V171+W298*W171+X298*X171+Y298*Y171+Z298*Z171+AA298*AA171+AB298*AB171+AC298*AC171+AD298*AD171+AE298*AE171+AF298*AF171+AG298*AG171+AH298*AH171+AI298*AI171+AJ298*AJ171+AK298*AK171+AL298*AL171+AM298*AM171+AN298*AN171+AO298*AO171+AP298*AP171+AQ298*AQ171+AR298*AR171+AS298*AS171+AT298*AT171+AU298*AU171+AV298*AV171+AW298*AW171+AX298*AX171+AY298*AY171+AZ298*AZ171+BA298*BA171+BB298*BB171+BC298*BC171+BD298*BD171+BE298*BE171+BF298*BF171+BG298*BG171+BH298*BH171+BI298*BI171+BJ298*BJ171+BK298*BK171+BL298*BL171+BM298*BM171+BN298*BN171+BO298*BO171+BP298*BP171+BQ298*BQ171+BR298*BR171+BS298*BS171+BT298*BT171+BU298*BU171+BV298*BV171+BW298*BW171+BX298*BX171+BY298*BY171+BZ298*BZ171+CA298*CA171+CB298*CB171+CC298*CC171+CD298*CD171+CE298*CE171+CF298*CF171+CG298*CG171+CH298*CH171+CI298*CI171+CJ298*CJ171+CK298*CK171+CL298*CL171+CM298*CM171+CN298*CN171+CO298*CO171+CP298*CP171+CQ298*CQ171+CR298*CR171+CS298*CS171+CT298*CT171+CU298*CU171</f>
        <v>0</v>
      </c>
    </row>
    <row r="172" spans="2:113" ht="18" x14ac:dyDescent="0.25">
      <c r="B172" s="2489">
        <v>19</v>
      </c>
      <c r="C172" s="2406" t="s">
        <v>241</v>
      </c>
      <c r="D172" s="2407" t="s">
        <v>4877</v>
      </c>
      <c r="E172" s="3111">
        <f>0</f>
        <v>0</v>
      </c>
      <c r="F172" s="3111">
        <f>0</f>
        <v>0</v>
      </c>
      <c r="G172" s="3111">
        <f>0</f>
        <v>0</v>
      </c>
      <c r="H172" s="3111">
        <f>0</f>
        <v>0</v>
      </c>
      <c r="I172" s="3111">
        <f>0</f>
        <v>0</v>
      </c>
      <c r="J172" s="3111">
        <f>0</f>
        <v>0</v>
      </c>
      <c r="K172" s="3111">
        <f>0</f>
        <v>0</v>
      </c>
      <c r="L172" s="3111">
        <f>0</f>
        <v>0</v>
      </c>
      <c r="M172" s="3111">
        <f>0</f>
        <v>0</v>
      </c>
      <c r="N172" s="3151">
        <f>0</f>
        <v>0</v>
      </c>
      <c r="O172" s="3151">
        <f>0</f>
        <v>0</v>
      </c>
      <c r="P172" s="3111">
        <f>0</f>
        <v>0</v>
      </c>
      <c r="Q172" s="3111">
        <f>0</f>
        <v>0</v>
      </c>
      <c r="R172" s="3111">
        <f>0</f>
        <v>0</v>
      </c>
      <c r="S172" s="3112">
        <f>-Y_PP_CASTO_ox</f>
        <v>-0.33</v>
      </c>
      <c r="T172" s="3110">
        <f>0</f>
        <v>0</v>
      </c>
      <c r="U172" s="3110">
        <f>0</f>
        <v>0</v>
      </c>
      <c r="V172" s="3110">
        <f>0</f>
        <v>0</v>
      </c>
      <c r="W172" s="3110">
        <f>0</f>
        <v>0</v>
      </c>
      <c r="X172" s="3110">
        <f>0</f>
        <v>0</v>
      </c>
      <c r="Y172" s="3110">
        <f>0</f>
        <v>0</v>
      </c>
      <c r="Z172" s="3110">
        <f>0</f>
        <v>0</v>
      </c>
      <c r="AA172" s="3110">
        <f>0</f>
        <v>0</v>
      </c>
      <c r="AB172" s="3110">
        <f>0</f>
        <v>0</v>
      </c>
      <c r="AC172" s="3110">
        <f>0</f>
        <v>0</v>
      </c>
      <c r="AD172" s="3110">
        <f>i_N_BIO*Y_PP_CASTO_ox</f>
        <v>2.3100000000000002E-2</v>
      </c>
      <c r="AE172" s="3151">
        <f>0</f>
        <v>0</v>
      </c>
      <c r="AF172" s="3151">
        <f>0</f>
        <v>0</v>
      </c>
      <c r="AG172" s="3111">
        <f>0</f>
        <v>0</v>
      </c>
      <c r="AH172" s="3111">
        <f>0</f>
        <v>0</v>
      </c>
      <c r="AI172" s="3111">
        <f>0</f>
        <v>0</v>
      </c>
      <c r="AJ172" s="3111">
        <f>0</f>
        <v>0</v>
      </c>
      <c r="AK172" s="3111">
        <f>0</f>
        <v>0</v>
      </c>
      <c r="AL172" s="3112">
        <f>i_P_BIO*Y_PP_CASTO_ox-1</f>
        <v>-0.99339999999999995</v>
      </c>
      <c r="AM172" s="3110">
        <f>1</f>
        <v>1</v>
      </c>
      <c r="AN172" s="3111">
        <f>0</f>
        <v>0</v>
      </c>
      <c r="AO172" s="3111">
        <f>0</f>
        <v>0</v>
      </c>
      <c r="AP172" s="3111">
        <f>0</f>
        <v>0</v>
      </c>
      <c r="AQ172" s="3111">
        <f>0</f>
        <v>0</v>
      </c>
      <c r="AR172" s="3112">
        <f>-Y_PP_CASTO_ox</f>
        <v>-0.33</v>
      </c>
      <c r="AS172" s="3111">
        <f>0</f>
        <v>0</v>
      </c>
      <c r="AT172" s="3111">
        <f>0</f>
        <v>0</v>
      </c>
      <c r="AU172" s="3112">
        <f>i_CIT_BIO*Y_PP_CASTO_ox</f>
        <v>0.11616</v>
      </c>
      <c r="AV172" s="3112">
        <f>-i_INORG*Y_PP_CASTO_ox</f>
        <v>-3.6299999999999999E-2</v>
      </c>
      <c r="AW172" s="3112">
        <f>Y_PP_CASTO_ox*i_INORG*(1-i_Ca_INORG*(A_MCa+2*A_MCl)/A_MCa-i_Mg_INORG*(A_MMg+2*A_MCl)/A_MMg)*f_Na</f>
        <v>9.5054201823234919E-3</v>
      </c>
      <c r="AX172" s="3112">
        <f>Y_PP_CASTO_ox*(i_INORG*(i_Ca_INORG*(2*A_MCl)/A_MCa+i_Mg_INORG*(2*A_MCl)/A_MMg)+i_INORG*(1-i_Ca_INORG*(A_MCa+2*A_MCl)/A_MCa-i_Mg_INORG*(A_MMg+2*A_MCl)/A_MMg)*(1-f_Na))</f>
        <v>2.3164579817676507E-2</v>
      </c>
      <c r="AY172" s="3112">
        <f>Y_PP_CASTO_ox*i_INORG*i_Ca_INORG-i_Ca_PP*A_MCa/A_MP</f>
        <v>-0.12757838702613272</v>
      </c>
      <c r="AZ172" s="3112">
        <f>Y_PP_CASTO_ox*i_INORG*i_Mg_INORG-i_Mg_PP*A_MMg/A_MP</f>
        <v>-0.27282874347136937</v>
      </c>
      <c r="BA172" s="3112">
        <f>-i_K_PP*A_MK/A_MP</f>
        <v>-0.12623038734377579</v>
      </c>
      <c r="BB172" s="3112">
        <f>0</f>
        <v>0</v>
      </c>
      <c r="BC172" s="3110">
        <f>i_S_BIO*Y_PP_CASTO_ox</f>
        <v>3.3000000000000004E-3</v>
      </c>
      <c r="BD172" s="3112">
        <f>0</f>
        <v>0</v>
      </c>
      <c r="BE172" s="3112">
        <f>0</f>
        <v>0</v>
      </c>
      <c r="BF172" s="3112">
        <f>0</f>
        <v>0</v>
      </c>
      <c r="BG172" s="3112">
        <f>0</f>
        <v>0</v>
      </c>
      <c r="BH172" s="3112">
        <f>0</f>
        <v>0</v>
      </c>
      <c r="BI172" s="3112">
        <f>0</f>
        <v>0</v>
      </c>
      <c r="BJ172" s="3112">
        <f>0</f>
        <v>0</v>
      </c>
      <c r="BK172" s="3112">
        <f>0</f>
        <v>0</v>
      </c>
      <c r="BL172" s="3112">
        <f>0</f>
        <v>0</v>
      </c>
      <c r="BM172" s="3112">
        <f>0</f>
        <v>0</v>
      </c>
      <c r="BN172" s="3112">
        <f>0</f>
        <v>0</v>
      </c>
      <c r="BO172" s="3112">
        <f>0</f>
        <v>0</v>
      </c>
      <c r="BP172" s="3112">
        <f>0</f>
        <v>0</v>
      </c>
      <c r="BQ172" s="3112">
        <f>0</f>
        <v>0</v>
      </c>
      <c r="BR172" s="3112">
        <f>0</f>
        <v>0</v>
      </c>
      <c r="BS172" s="3112">
        <f>0</f>
        <v>0</v>
      </c>
      <c r="BT172" s="3112">
        <f>0</f>
        <v>0</v>
      </c>
      <c r="BU172" s="3112">
        <f>0</f>
        <v>0</v>
      </c>
      <c r="BV172" s="3112">
        <f>0</f>
        <v>0</v>
      </c>
      <c r="BW172" s="3112">
        <f>0</f>
        <v>0</v>
      </c>
      <c r="BX172" s="3112">
        <f>0</f>
        <v>0</v>
      </c>
      <c r="BY172" s="3112">
        <f>0</f>
        <v>0</v>
      </c>
      <c r="BZ172" s="3188">
        <f>0</f>
        <v>0</v>
      </c>
      <c r="CA172" s="3188">
        <f>0</f>
        <v>0</v>
      </c>
      <c r="CB172" s="3188">
        <f>0</f>
        <v>0</v>
      </c>
      <c r="CC172" s="3188">
        <f>0</f>
        <v>0</v>
      </c>
      <c r="CD172" s="3112">
        <f>0</f>
        <v>0</v>
      </c>
      <c r="CE172" s="3112">
        <f>0</f>
        <v>0</v>
      </c>
      <c r="CF172" s="3112">
        <f>0</f>
        <v>0</v>
      </c>
      <c r="CG172" s="3112">
        <f>0</f>
        <v>0</v>
      </c>
      <c r="CH172" s="3112">
        <f>0</f>
        <v>0</v>
      </c>
      <c r="CI172" s="3112">
        <f>0</f>
        <v>0</v>
      </c>
      <c r="CJ172" s="3112">
        <f>0</f>
        <v>0</v>
      </c>
      <c r="CK172" s="3112">
        <f>0</f>
        <v>0</v>
      </c>
      <c r="CL172" s="3112">
        <f>0</f>
        <v>0</v>
      </c>
      <c r="CM172" s="3112">
        <f>0</f>
        <v>0</v>
      </c>
      <c r="CN172" s="3112">
        <f>0</f>
        <v>0</v>
      </c>
      <c r="CO172" s="3112">
        <f>0</f>
        <v>0</v>
      </c>
      <c r="CP172" s="3112">
        <f>0</f>
        <v>0</v>
      </c>
      <c r="CQ172" s="3112">
        <f>0</f>
        <v>0</v>
      </c>
      <c r="CR172" s="3112">
        <f>0</f>
        <v>0</v>
      </c>
      <c r="CS172" s="3112">
        <f>0</f>
        <v>0</v>
      </c>
      <c r="CT172" s="3112">
        <f>0</f>
        <v>0</v>
      </c>
      <c r="CU172" s="3112">
        <f>0</f>
        <v>0</v>
      </c>
      <c r="CV172" s="3222">
        <f>q_PAO_PP_T*X_PAO/(X_PP+X_PP_PAO_min)*X_PAO*M_satSO2_KO2_CASTO*L_ogsatSPO4_KPO4_PAO*L_oginhXPP_XPAO_max*M_satSCa_KCa_PAO*M_satSMg_KMg_PAO*M_satSK_KK_PAO*B_ellinhpH</f>
        <v>306.81443366518283</v>
      </c>
      <c r="CX172" s="2838">
        <f>E287*E172+F287*F172+G287*G172+H287*H172+I287*I172+J287*J172+K287*K172+L287*L172+M287*M172+N287*N172+O287*O172+P287*P172+Q287*Q172+R287*R172+S287*S172+T287*T172+U287*U172+V287*V172+W287*W172+X287*X172+Y287*Y172+Z287*Z172+AA287*AA172+AB287*AB172+AC287*AC172+AD287*AD172+AE287*AE172+AF287*AF172+AG287*AG172+AH287*AH172+AI287*AI172+AJ287*AJ172+AK287*AK172+AL287*AL172+AM287*AM172+AN287*AN172+AO287*AO172+AP287*AP172+AQ287*AQ172+AR287*AR172+AS287*AS172+AT287*AT172+AU287*AU172+AV287*AV172+AW287*AW172+AX287*AX172+AY287*AY172+AZ287*AZ172+BA287*BA172+BB287*BB172+BC287*BC172+BD287*BD172+BE287*BE172+BF287*BF172+BG287*BG172+BH287*BH172+BI287*BI172+BJ287*BJ172+BK287*BK172+BL287*BL172+BM287*BM172+BN287*BN172+BO287*BO172+BP287*BP172+BQ287*BQ172+BR287*BR172+BS287*BS172+BT287*BT172+BU287*BU172+BV287*BV172+BW287*BW172+BX287*BX172+BY287*BY172+BZ287*BZ172+CA287*CA172+CB287*CB172+CC287*CC172+CD287*CD172+CE287*CE172+CF287*CF172+CG287*CG172+CH287*CH172+CI287*CI172+CJ287*CJ172+CK287*CK172+CL287*CL172+CM287*CM172+CN287*CN172+CO287*CO172+CP287*CP172+CQ287*CQ172+CR287*CR172+CS287*CS172+CT287*CT172+CU287*CU172</f>
        <v>0</v>
      </c>
      <c r="CY172" s="2838">
        <f>E288*E172+F288*F172+G288*G172+H288*H172+I288*I172+J288*J172+K288*K172+L288*L172+M288*M172+N288*N172+O288*O172+P288*P172+Q288*Q172+R288*R172+S288*S172+T288*T172+U288*U172+V288*V172+W288*W172+X288*X172+Y288*Y172+Z288*Z172+AA288*AA172+AB288*AB172+AC288*AC172+AD288*AD172+AE288*AE172+AF288*AF172+AG288*AG172+AH288*AH172+AI288*AI172+AJ288*AJ172+AK288*AK172+AL288*AL172+AM288*AM172+AN288*AN172+AO288*AO172+AP288*AP172+AQ288*AQ172+AR288*AR172+AS288*AS172+AT288*AT172+AU288*AU172+AV288*AV172+AW288*AW172+AX288*AX172+AY288*AY172+AZ288*AZ172+BA288*BA172+BB288*BB172+BC288*BC172+BD288*BD172+BE288*BE172+BF288*BF172+BG288*BG172+BH288*BH172+BI288*BI172+BJ288*BJ172+BK288*BK172+BL288*BL172+BM288*BM172+BN288*BN172+BO288*BO172+BP288*BP172+BQ288*BQ172+BR288*BR172+BS288*BS172+BT288*BT172+BU288*BU172+BV288*BV172+BW288*BW172+BX288*BX172+BY288*BY172+BZ288*BZ172+CA288*CA172+CB288*CB172+CC288*CC172+CD288*CD172+CE288*CE172+CF288*CF172+CG288*CG172+CH288*CH172+CI288*CI172+CJ288*CJ172+CK288*CK172+CL288*CL172+CM288*CM172+CN288*CN172+CO288*CO172+CP288*CP172+CQ288*CQ172+CR288*CR172+CS288*CS172+CT288*CT172+CU288*CU172</f>
        <v>0</v>
      </c>
      <c r="CZ172" s="2839">
        <f>E289*E172+F289*F172+G289*G172+H289*H172+I289*I172+J289*J172+K289*K172+L289*L172+M289*M172+N289*N172+O289*O172+P289*P172+Q289*Q172+R289*R172+S289*S172+T289*T172+U289*U172+V289*V172+W289*W172+X289*X172+Y289*Y172+Z289*Z172+AA289*AA172+AB289*AB172+AC289*AC172+AD289*AD172+AE289*AE172+AF289*AF172+AG289*AG172+AH289*AH172+AI289*AI172+AJ289*AJ172+AK289*AK172+AL289*AL172+AM289*AM172+AN289*AN172+AO289*AO172+AP289*AP172+AQ289*AQ172+AR289*AR172+AS289*AS172+AT289*AT172+AU289*AU172+AV289*AV172+AW289*AW172+AX289*AX172+AY289*AY172+AZ289*AZ172+BA289*BA172+BB289*BB172+BC289*BC172+BD289*BD172+BE289*BE172+BF289*BF172+BG289*BG172+BH289*BH172+BI289*BI172+BJ289*BJ172+BK289*BK172+BL289*BL172+BM289*BM172+BN289*BN172+BO289*BO172+BP289*BP172+BQ289*BQ172+BR289*BR172+BS289*BS172+BT289*BT172+BU289*BU172+BV289*BV172+BW289*BW172+BX289*BX172+BY289*BY172+BZ289*BZ172+CA289*CA172+CB289*CB172+CC289*CC172+CD289*CD172+CE289*CE172+CF289*CF172+CG289*CG172+CH289*CH172+CI289*CI172+CJ289*CJ172+CK289*CK172+CL289*CL172+CM289*CM172+CN289*CN172+CO289*CO172+CP289*CP172+CQ289*CQ172+CR289*CR172+CS289*CS172+CT289*CT172+CU289*CU172</f>
        <v>0</v>
      </c>
      <c r="DA172" s="2840">
        <f>E290*E172+F290*F172+G290*G172+H290*H172+I290*I172+J290*J172+K290*K172+L290*L172+M290*M172+N290*N172+O290*O172+P290*P172+Q290*Q172+R290*R172+S290*S172+T290*T172+U290*U172+V290*V172+W290*W172+X290*X172+Y290*Y172+Z290*Z172+AA290*AA172+AB290*AB172+AC290*AC172+AD290*AD172+AE290*AE172+AF290*AF172+AG290*AG172+AH290*AH172+AI290*AI172+AJ290*AJ172+AK290*AK172+AL290*AL172+AM290*AM172+AN290*AN172+AO290*AO172+AP290*AP172+AQ290*AQ172+AR290*AR172+AS290*AS172+AT290*AT172+AU290*AU172+AV290*AV172+AW290*AW172+AX290*AX172+AY290*AY172+AZ290*AZ172+BA290*BA172+BB290*BB172+BC290*BC172+BD290*BD172+BE290*BE172+BF290*BF172+BG290*BG172+BH290*BH172+BI290*BI172+BJ290*BJ172+BK290*BK172+BL290*BL172+BM290*BM172+BN290*BN172+BO290*BO172+BP290*BP172+BQ290*BQ172+BR290*BR172+BS290*BS172+BT290*BT172+BU290*BU172+BV290*BV172+BW290*BW172+BX290*BX172+BY290*BY172+BZ290*BZ172+CA290*CA172+CB290*CB172+CC290*CC172+CD290*CD172+CE290*CE172+CF290*CF172+CG290*CG172+CH290*CH172+CI290*CI172+CJ290*CJ172+CK290*CK172+CL290*CL172+CM290*CM172+CN290*CN172+CO290*CO172+CP290*CP172+CQ290*CQ172+CR290*CR172+CS290*CS172+CT290*CT172+CU290*CU172</f>
        <v>0</v>
      </c>
      <c r="DB172" s="2840">
        <f>E291*E172+F291*F172+G291*G172+H291*H172+I291*I172+J291*J172+K291*K172+L291*L172+M291*M172+N291*N172+O291*O172+P291*P172+Q291*Q172+R291*R172+S291*S172+T291*T172+U291*U172+V291*V172+W291*W172+X291*X172+Y291*Y172+Z291*Z172+AA291*AA172+AB291*AB172+AC291*AC172+AD291*AD172+AE291*AE172+AF291*AF172+AG291*AG172+AH291*AH172+AI291*AI172+AJ291*AJ172+AK291*AK172+AL291*AL172+AM291*AM172+AN291*AN172+AO291*AO172+AP291*AP172+AQ291*AQ172+AR291*AR172+AS291*AS172+AT291*AT172+AU291*AU172+AV291*AV172+AW291*AW172+AX291*AX172+AY291*AY172+AZ291*AZ172+BA291*BA172+BB291*BB172+BC291*BC172+BD291*BD172+BE291*BE172+BF291*BF172+BG291*BG172+BH291*BH172+BI291*BI172+BJ291*BJ172+BK291*BK172+BL291*BL172+BM291*BM172+BN291*BN172+BO291*BO172+BP291*BP172+BQ291*BQ172+BR291*BR172+BS291*BS172+BT291*BT172+BU291*BU172+BV291*BV172+BW291*BW172+BX291*BX172+BY291*BY172+BZ291*BZ172+CA291*CA172+CB291*CB172+CC291*CC172+CD291*CD172+CE291*CE172+CF291*CF172+CG291*CG172+CH291*CH172+CI291*CI172+CJ291*CJ172+CK291*CK172+CL291*CL172+CM291*CM172+CN291*CN172+CO291*CO172+CP291*CP172+CQ291*CQ172+CR291*CR172+CS291*CS172+CT291*CT172+CU291*CU172</f>
        <v>0</v>
      </c>
      <c r="DC172" s="2840">
        <f>E292*E172+F292*F172+G292*G172+H292*H172+I292*I172+J292*J172+K292*K172+L292*L172+M292*M172+N292*N172+O292*O172+P292*P172+Q292*Q172+R292*R172+S292*S172+T292*T172+U292*U172+V292*V172+W292*W172+X292*X172+Y292*Y172+Z292*Z172+AA292*AA172+AB292*AB172+AC292*AC172+AD292*AD172+AE292*AE172+AF292*AF172+AG292*AG172+AH292*AH172+AI292*AI172+AJ292*AJ172+AK292*AK172+AL292*AL172+AM292*AM172+AN292*AN172+AO292*AO172+AP292*AP172+AQ292*AQ172+AR292*AR172+AS292*AS172+AT292*AT172+AU292*AU172+AV292*AV172+AW292*AW172+AX292*AX172+AY292*AY172+AZ292*AZ172+BA292*BA172+BB292*BB172+BC292*BC172+BD292*BD172+BE292*BE172+BF292*BF172+BG292*BG172+BH292*BH172+BI292*BI172+BJ292*BJ172+BK292*BK172+BL292*BL172+BM292*BM172+BN292*BN172+BO292*BO172+BP292*BP172+BQ292*BQ172+BR292*BR172+BS292*BS172+BT292*BT172+BU292*BU172+BV292*BV172+BW292*BW172+BX292*BX172+BY292*BY172+BZ292*BZ172+CA292*CA172+CB292*CB172+CC292*CC172+CD292*CD172+CE292*CE172+CF292*CF172+CG292*CG172+CH292*CH172+CI292*CI172+CJ292*CJ172+CK292*CK172+CL292*CL172+CM292*CM172+CN292*CN172+CO292*CO172+CP292*CP172+CQ292*CQ172+CR292*CR172+CS292*CS172+CT292*CT172+CU292*CU172</f>
        <v>-1.7347234759768071E-18</v>
      </c>
      <c r="DD172" s="2840">
        <f>E293*E172+F293*F172+G293*G172+H293*H172+I293*I172+J293*J172+K293*K172+L293*L172+M293*M172+N293*N172+O293*O172+P293*P172+Q293*Q172+R293*R172+S293*S172+T293*T172+U293*U172+V293*V172+W293*W172+X293*X172+Y293*Y172+Z293*Z172+AA293*AA172+AB293*AB172+AC293*AC172+AD293*AD172+AE293*AE172+AF293*AF172+AG293*AG172+AH293*AH172+AI293*AI172+AJ293*AJ172+AK293*AK172+AL293*AL172+AM293*AM172+AN293*AN172+AO293*AO172+AP293*AP172+AQ293*AQ172+AR293*AR172+AS293*AS172+AT293*AT172+AU293*AU172+AV293*AV172+AW293*AW172+AX293*AX172+AY293*AY172+AZ293*AZ172+BA293*BA172+BB293*BB172+BC293*BC172+BD293*BD172+BE293*BE172+BF293*BF172+BG293*BG172+BH293*BH172+BI293*BI172+BJ293*BJ172+BK293*BK172+BL293*BL172+BM293*BM172+BN293*BN172+BO293*BO172+BP293*BP172+BQ293*BQ172+BR293*BR172+BS293*BS172+BT293*BT172+BU293*BU172+BV293*BV172+BW293*BW172+BX293*BX172+BY293*BY172+BZ293*BZ172+CA293*CA172+CB293*CB172+CC293*CC172+CD293*CD172+CE293*CE172+CF293*CF172+CG293*CG172+CH293*CH172+CI293*CI172+CJ293*CJ172+CK293*CK172+CL293*CL172+CM293*CM172+CN293*CN172+CO293*CO172+CP293*CP172+CQ293*CQ172+CR293*CR172+CS293*CS172+CT293*CT172+CU293*CU172</f>
        <v>0</v>
      </c>
      <c r="DE172" s="2840">
        <f>E294*E172+F294*F172+G294*G172+H294*H172+I294*I172+J294*J172+K294*K172+L294*L172+M294*M172+N294*N172+O294*O172+P294*P172+Q294*Q172+R294*R172+S294*S172+T294*T172+U294*U172+V294*V172+W294*W172+X294*X172+Y294*Y172+Z294*Z172+AA294*AA172+AB294*AB172+AC294*AC172+AD294*AD172+AE294*AE172+AF294*AF172+AG294*AG172+AH294*AH172+AI294*AI172+AJ294*AJ172+AK294*AK172+AL294*AL172+AM294*AM172+AN294*AN172+AO294*AO172+AP294*AP172+AQ294*AQ172+AR294*AR172+AS294*AS172+AT294*AT172+AU294*AU172+AV294*AV172+AW294*AW172+AX294*AX172+AY294*AY172+AZ294*AZ172+BA294*BA172+BB294*BB172+BC294*BC172+BD294*BD172+BE294*BE172+BF294*BF172+BG294*BG172+BH294*BH172+BI294*BI172+BJ294*BJ172+BK294*BK172+BL294*BL172+BM294*BM172+BN294*BN172+BO294*BO172+BP294*BP172+BQ294*BQ172+BR294*BR172+BS294*BS172+BT294*BT172+BU294*BU172+BV294*BV172+BW294*BW172+BX294*BX172+BY294*BY172+BZ294*BZ172+CA294*CA172+CB294*CB172+CC294*CC172+CD294*CD172+CE294*CE172+CF294*CF172+CG294*CG172+CH294*CH172+CI294*CI172+CJ294*CJ172+CK294*CK172+CL294*CL172+CM294*CM172+CN294*CN172+CO294*CO172+CP294*CP172+CQ294*CQ172+CR294*CR172+CS294*CS172+CT294*CT172+CU294*CU172</f>
        <v>0</v>
      </c>
      <c r="DF172" s="2840">
        <f>E295*E172+F295*F172+G295*G172+H295*H172+I295*I172+J295*J172+K295*K172+L295*L172+M295*M172+N295*N172+O295*O172+P295*P172+Q295*Q172+R295*R172+S295*S172+T295*T172+U295*U172+V295*V172+W295*W172+X295*X172+Y295*Y172+Z295*Z172+AA295*AA172+AB295*AB172+AC295*AC172+AD295*AD172+AE295*AE172+AF295*AF172+AG295*AG172+AH295*AH172+AI295*AI172+AJ295*AJ172+AK295*AK172+AL295*AL172+AM295*AM172+AN295*AN172+AO295*AO172+AP295*AP172+AQ295*AQ172+AR295*AR172+AS295*AS172+AT295*AT172+AU295*AU172+AV295*AV172+AW295*AW172+AX295*AX172+AY295*AY172+AZ295*AZ172+BA295*BA172+BB295*BB172+BC295*BC172+BD295*BD172+BE295*BE172+BF295*BF172+BG295*BG172+BH295*BH172+BI295*BI172+BJ295*BJ172+BK295*BK172+BL295*BL172+BM295*BM172+BN295*BN172+BO295*BO172+BP295*BP172+BQ295*BQ172+BR295*BR172+BS295*BS172+BT295*BT172+BU295*BU172+BV295*BV172+BW295*BW172+BX295*BX172+BY295*BY172+BZ295*BZ172+CA295*CA172+CB295*CB172+CC295*CC172+CD295*CD172+CE295*CE172+CF295*CF172+CG295*CG172+CH295*CH172+CI295*CI172+CJ295*CJ172+CK295*CK172+CL295*CL172+CM295*CM172+CN295*CN172+CO295*CO172+CP295*CP172+CQ295*CQ172+CR295*CR172+CS295*CS172+CT295*CT172+CU295*CU172</f>
        <v>0</v>
      </c>
      <c r="DG172" s="2840">
        <f>E296*E172+F296*F172+G296*G172+H296*H172+I296*I172+J296*J172+K296*K172+L296*L172+M296*M172+N296*N172+O296*O172+P296*P172+Q296*Q172+R296*R172+S296*S172+T296*T172+U296*U172+V296*V172+W296*W172+X296*X172+Y296*Y172+Z296*Z172+AA296*AA172+AB296*AB172+AC296*AC172+AD296*AD172+AE296*AE172+AF296*AF172+AG296*AG172+AH296*AH172+AI296*AI172+AJ296*AJ172+AK296*AK172+AL296*AL172+AM296*AM172+AN296*AN172+AO296*AO172+AP296*AP172+AQ296*AQ172+AR296*AR172+AS296*AS172+AT296*AT172+AU296*AU172+AV296*AV172+AW296*AW172+AX296*AX172+AY296*AY172+AZ296*AZ172+BA296*BA172+BB296*BB172+BC296*BC172+BD296*BD172+BE296*BE172+BF296*BF172+BG296*BG172+BH296*BH172+BI296*BI172+BJ296*BJ172+BK296*BK172+BL296*BL172+BM296*BM172+BN296*BN172+BO296*BO172+BP296*BP172+BQ296*BQ172+BR296*BR172+BS296*BS172+BT296*BT172+BU296*BU172+BV296*BV172+BW296*BW172+BX296*BX172+BY296*BY172+BZ296*BZ172+CA296*CA172+CB296*CB172+CC296*CC172+CD296*CD172+CE296*CE172+CF296*CF172+CG296*CG172+CH296*CH172+CI296*CI172+CJ296*CJ172+CK296*CK172+CL296*CL172+CM296*CM172+CN296*CN172+CO296*CO172+CP296*CP172+CQ296*CQ172+CR296*CR172+CS296*CS172+CT296*CT172+CU296*CU172</f>
        <v>0</v>
      </c>
      <c r="DH172" s="2840">
        <f>E297*E172+F297*F172+G297*G172+H297*H172+I297*I172+J297*J172+K297*K172+L297*L172+M297*M172+N297*N172+O297*O172+P297*P172+Q297*Q172+R297*R172+S297*S172+T297*T172+U297*U172+V297*V172+W297*W172+X297*X172+Y297*Y172+Z297*Z172+AA297*AA172+AB297*AB172+AC297*AC172+AD297*AD172+AE297*AE172+AF297*AF172+AG297*AG172+AH297*AH172+AI297*AI172+AJ297*AJ172+AK297*AK172+AL297*AL172+AM297*AM172+AN297*AN172+AO297*AO172+AP297*AP172+AQ297*AQ172+AR297*AR172+AS297*AS172+AT297*AT172+AU297*AU172+AV297*AV172+AW297*AW172+AX297*AX172+AY297*AY172+AZ297*AZ172+BA297*BA172+BB297*BB172+BC297*BC172+BD297*BD172+BE297*BE172+BF297*BF172+BG297*BG172+BH297*BH172+BI297*BI172+BJ297*BJ172+BK297*BK172+BL297*BL172+BM297*BM172+BN297*BN172+BO297*BO172+BP297*BP172+BQ297*BQ172+BR297*BR172+BS297*BS172+BT297*BT172+BU297*BU172+BV297*BV172+BW297*BW172+BX297*BX172+BY297*BY172+BZ297*BZ172+CA297*CA172+CB297*CB172+CC297*CC172+CD297*CD172+CE297*CE172+CF297*CF172+CG297*CG172+CH297*CH172+CI297*CI172+CJ297*CJ172+CK297*CK172+CL297*CL172+CM297*CM172+CN297*CN172+CO297*CO172+CP297*CP172+CQ297*CQ172+CR297*CR172+CS297*CS172+CT297*CT172+CU297*CU172</f>
        <v>0</v>
      </c>
      <c r="DI172" s="2840">
        <f>E298*E172+F298*F172+G298*G172+H298*H172+I298*I172+J298*J172+K298*K172+L298*L172+M298*M172+N298*N172+O298*O172+P298*P172+Q298*Q172+R298*R172+S298*S172+T298*T172+U298*U172+V298*V172+W298*W172+X298*X172+Y298*Y172+Z298*Z172+AA298*AA172+AB298*AB172+AC298*AC172+AD298*AD172+AE298*AE172+AF298*AF172+AG298*AG172+AH298*AH172+AI298*AI172+AJ298*AJ172+AK298*AK172+AL298*AL172+AM298*AM172+AN298*AN172+AO298*AO172+AP298*AP172+AQ298*AQ172+AR298*AR172+AS298*AS172+AT298*AT172+AU298*AU172+AV298*AV172+AW298*AW172+AX298*AX172+AY298*AY172+AZ298*AZ172+BA298*BA172+BB298*BB172+BC298*BC172+BD298*BD172+BE298*BE172+BF298*BF172+BG298*BG172+BH298*BH172+BI298*BI172+BJ298*BJ172+BK298*BK172+BL298*BL172+BM298*BM172+BN298*BN172+BO298*BO172+BP298*BP172+BQ298*BQ172+BR298*BR172+BS298*BS172+BT298*BT172+BU298*BU172+BV298*BV172+BW298*BW172+BX298*BX172+BY298*BY172+BZ298*BZ172+CA298*CA172+CB298*CB172+CC298*CC172+CD298*CD172+CE298*CE172+CF298*CF172+CG298*CG172+CH298*CH172+CI298*CI172+CJ298*CJ172+CK298*CK172+CL298*CL172+CM298*CM172+CN298*CN172+CO298*CO172+CP298*CP172+CQ298*CQ172+CR298*CR172+CS298*CS172+CT298*CT172+CU298*CU172</f>
        <v>0</v>
      </c>
    </row>
    <row r="173" spans="2:113" ht="18" x14ac:dyDescent="0.25">
      <c r="B173" s="2489">
        <v>20</v>
      </c>
      <c r="C173" s="2406" t="s">
        <v>242</v>
      </c>
      <c r="D173" s="2407" t="s">
        <v>4878</v>
      </c>
      <c r="E173" s="3111">
        <f>0</f>
        <v>0</v>
      </c>
      <c r="F173" s="3111">
        <f>0</f>
        <v>0</v>
      </c>
      <c r="G173" s="3111">
        <f>0</f>
        <v>0</v>
      </c>
      <c r="H173" s="3111">
        <f>0</f>
        <v>0</v>
      </c>
      <c r="I173" s="3111">
        <f>0</f>
        <v>0</v>
      </c>
      <c r="J173" s="3111">
        <f>0</f>
        <v>0</v>
      </c>
      <c r="K173" s="3111">
        <f>0</f>
        <v>0</v>
      </c>
      <c r="L173" s="3111">
        <f>0</f>
        <v>0</v>
      </c>
      <c r="M173" s="3111">
        <f>0</f>
        <v>0</v>
      </c>
      <c r="N173" s="3151">
        <f>0</f>
        <v>0</v>
      </c>
      <c r="O173" s="3151">
        <f>0</f>
        <v>0</v>
      </c>
      <c r="P173" s="3111">
        <f>0</f>
        <v>0</v>
      </c>
      <c r="Q173" s="3111">
        <f>0</f>
        <v>0</v>
      </c>
      <c r="R173" s="3111">
        <f>0</f>
        <v>0</v>
      </c>
      <c r="S173" s="3112">
        <f>-Y_PP_CASTO_anox</f>
        <v>-0.23</v>
      </c>
      <c r="T173" s="3110">
        <f>0</f>
        <v>0</v>
      </c>
      <c r="U173" s="3110">
        <f>0</f>
        <v>0</v>
      </c>
      <c r="V173" s="3110">
        <f>0</f>
        <v>0</v>
      </c>
      <c r="W173" s="3110">
        <f>0</f>
        <v>0</v>
      </c>
      <c r="X173" s="3110">
        <f>0</f>
        <v>0</v>
      </c>
      <c r="Y173" s="3110">
        <f>0</f>
        <v>0</v>
      </c>
      <c r="Z173" s="3110">
        <f>0</f>
        <v>0</v>
      </c>
      <c r="AA173" s="3110">
        <f>0</f>
        <v>0</v>
      </c>
      <c r="AB173" s="3110">
        <f>0</f>
        <v>0</v>
      </c>
      <c r="AC173" s="3110">
        <f>0</f>
        <v>0</v>
      </c>
      <c r="AD173" s="3110">
        <f>i_N_BIO*Y_PP_CASTO_anox</f>
        <v>1.6100000000000003E-2</v>
      </c>
      <c r="AE173" s="3112">
        <f>-Y_PP_CASTO_anox/E_EQN2_NO2</f>
        <v>-0.13423590884658176</v>
      </c>
      <c r="AF173" s="3112">
        <f>0</f>
        <v>0</v>
      </c>
      <c r="AG173" s="3112">
        <f>Y_PP_CASTO_anox/E_EQN2_NO2</f>
        <v>0.13423590884658176</v>
      </c>
      <c r="AH173" s="3111">
        <f>0</f>
        <v>0</v>
      </c>
      <c r="AI173" s="3111">
        <f>0</f>
        <v>0</v>
      </c>
      <c r="AJ173" s="3111">
        <f>0</f>
        <v>0</v>
      </c>
      <c r="AK173" s="3111">
        <f>0</f>
        <v>0</v>
      </c>
      <c r="AL173" s="3112">
        <f>i_P_BIO*Y_PP_CASTO_anox-1</f>
        <v>-0.99539999999999995</v>
      </c>
      <c r="AM173" s="3110">
        <f>1</f>
        <v>1</v>
      </c>
      <c r="AN173" s="3111">
        <f>0</f>
        <v>0</v>
      </c>
      <c r="AO173" s="3111">
        <f>0</f>
        <v>0</v>
      </c>
      <c r="AP173" s="3111">
        <f>0</f>
        <v>0</v>
      </c>
      <c r="AQ173" s="3111">
        <f>0</f>
        <v>0</v>
      </c>
      <c r="AR173" s="3111">
        <f>0</f>
        <v>0</v>
      </c>
      <c r="AS173" s="3111">
        <f>0</f>
        <v>0</v>
      </c>
      <c r="AT173" s="3111">
        <f>0</f>
        <v>0</v>
      </c>
      <c r="AU173" s="3112">
        <f>i_CIT_BIO*Y_PP_CASTO_anox</f>
        <v>8.0960000000000004E-2</v>
      </c>
      <c r="AV173" s="3112">
        <f>-i_INORG*Y_PP_CASTO_anox</f>
        <v>-2.53E-2</v>
      </c>
      <c r="AW173" s="3112">
        <f>Y_PP_CASTO_anox*i_INORG*(1-i_Ca_INORG*(A_MCa+2*A_MCl)/A_MCa-i_Mg_INORG*(A_MMg+2*A_MCl)/A_MMg)*f_Na</f>
        <v>6.6249898240436462E-3</v>
      </c>
      <c r="AX173" s="3112">
        <f>Y_PP_CASTO_anox*(i_INORG*(i_Ca_INORG*(2*A_MCl)/A_MCa+i_Mg_INORG*(2*A_MCl)/A_MMg)+i_INORG*(1-i_Ca_INORG*(A_MCa+2*A_MCl)/A_MCa-i_Mg_INORG*(A_MMg+2*A_MCl)/A_MMg)*(1-f_Na))</f>
        <v>1.6145010175956355E-2</v>
      </c>
      <c r="AY173" s="3112">
        <f>Y_PP_CASTO_anox*i_INORG*i_Ca_INORG-i_Ca_PP*A_MCa/A_MP</f>
        <v>-0.12812838702613275</v>
      </c>
      <c r="AZ173" s="3112">
        <f>Y_PP_CASTO_anox*i_INORG*i_Mg_INORG-i_Mg_PP*A_MMg/A_MP</f>
        <v>-0.27337874347136937</v>
      </c>
      <c r="BA173" s="3112">
        <f>-i_K_PP*A_MK/A_MP</f>
        <v>-0.12623038734377579</v>
      </c>
      <c r="BB173" s="3112">
        <f>0</f>
        <v>0</v>
      </c>
      <c r="BC173" s="3110">
        <f>i_S_BIO*Y_PP_CASTO_anox</f>
        <v>2.3E-3</v>
      </c>
      <c r="BD173" s="3112">
        <f>0</f>
        <v>0</v>
      </c>
      <c r="BE173" s="3112">
        <f>0</f>
        <v>0</v>
      </c>
      <c r="BF173" s="3112">
        <f>0</f>
        <v>0</v>
      </c>
      <c r="BG173" s="3112">
        <f>0</f>
        <v>0</v>
      </c>
      <c r="BH173" s="3112">
        <f>0</f>
        <v>0</v>
      </c>
      <c r="BI173" s="3112">
        <f>0</f>
        <v>0</v>
      </c>
      <c r="BJ173" s="3112">
        <f>0</f>
        <v>0</v>
      </c>
      <c r="BK173" s="3112">
        <f>0</f>
        <v>0</v>
      </c>
      <c r="BL173" s="3112">
        <f>0</f>
        <v>0</v>
      </c>
      <c r="BM173" s="3112">
        <f>0</f>
        <v>0</v>
      </c>
      <c r="BN173" s="3112">
        <f>0</f>
        <v>0</v>
      </c>
      <c r="BO173" s="3112">
        <f>0</f>
        <v>0</v>
      </c>
      <c r="BP173" s="3112">
        <f>0</f>
        <v>0</v>
      </c>
      <c r="BQ173" s="3112">
        <f>0</f>
        <v>0</v>
      </c>
      <c r="BR173" s="3112">
        <f>0</f>
        <v>0</v>
      </c>
      <c r="BS173" s="3112">
        <f>0</f>
        <v>0</v>
      </c>
      <c r="BT173" s="3112">
        <f>0</f>
        <v>0</v>
      </c>
      <c r="BU173" s="3112">
        <f>0</f>
        <v>0</v>
      </c>
      <c r="BV173" s="3112">
        <f>0</f>
        <v>0</v>
      </c>
      <c r="BW173" s="3112">
        <f>0</f>
        <v>0</v>
      </c>
      <c r="BX173" s="3112">
        <f>0</f>
        <v>0</v>
      </c>
      <c r="BY173" s="3112">
        <f>0</f>
        <v>0</v>
      </c>
      <c r="BZ173" s="3188">
        <f>0</f>
        <v>0</v>
      </c>
      <c r="CA173" s="3188">
        <f>0</f>
        <v>0</v>
      </c>
      <c r="CB173" s="3188">
        <f>0</f>
        <v>0</v>
      </c>
      <c r="CC173" s="3188">
        <f>0</f>
        <v>0</v>
      </c>
      <c r="CD173" s="3112">
        <f>0</f>
        <v>0</v>
      </c>
      <c r="CE173" s="3112">
        <f>0</f>
        <v>0</v>
      </c>
      <c r="CF173" s="3112">
        <f>0</f>
        <v>0</v>
      </c>
      <c r="CG173" s="3112">
        <f>0</f>
        <v>0</v>
      </c>
      <c r="CH173" s="3112">
        <f>0</f>
        <v>0</v>
      </c>
      <c r="CI173" s="3112">
        <f>0</f>
        <v>0</v>
      </c>
      <c r="CJ173" s="3112">
        <f>0</f>
        <v>0</v>
      </c>
      <c r="CK173" s="3112">
        <f>0</f>
        <v>0</v>
      </c>
      <c r="CL173" s="3112">
        <f>0</f>
        <v>0</v>
      </c>
      <c r="CM173" s="3112">
        <f>0</f>
        <v>0</v>
      </c>
      <c r="CN173" s="3112">
        <f>0</f>
        <v>0</v>
      </c>
      <c r="CO173" s="3112">
        <f>0</f>
        <v>0</v>
      </c>
      <c r="CP173" s="3112">
        <f>0</f>
        <v>0</v>
      </c>
      <c r="CQ173" s="3112">
        <f>0</f>
        <v>0</v>
      </c>
      <c r="CR173" s="3112">
        <f>0</f>
        <v>0</v>
      </c>
      <c r="CS173" s="3112">
        <f>0</f>
        <v>0</v>
      </c>
      <c r="CT173" s="3112">
        <f>0</f>
        <v>0</v>
      </c>
      <c r="CU173" s="3112">
        <f>0</f>
        <v>0</v>
      </c>
      <c r="CV173" s="3222">
        <f>q_PAO_PP_T*X_PAO/(X_PP+X_PP_PAO_min)*X_PAO*η_CASTO_anox*M_satSNO2_KNO2_CASTO*M_inhSO2_KO2_CASTO*L_ogsatSPO4_KPO4_PAO*L_oginhXPP_XPAO_max*M_satSCa_KCa_PAO*M_satSMg_KMg_PAO*M_satSK_KK_PAO*B_ellinhpH</f>
        <v>3.3749587703170105</v>
      </c>
      <c r="CX173" s="2838">
        <f>E287*E173+F287*F173+G287*G173+H287*H173+I287*I173+J287*J173+K287*K173+L287*L173+M287*M173+N287*N173+O287*O173+P287*P173+Q287*Q173+R287*R173+S287*S173+T287*T173+U287*U173+V287*V173+W287*W173+X287*X173+Y287*Y173+Z287*Z173+AA287*AA173+AB287*AB173+AC287*AC173+AD287*AD173+AE287*AE173+AF287*AF173+AG287*AG173+AH287*AH173+AI287*AI173+AJ287*AJ173+AK287*AK173+AL287*AL173+AM287*AM173+AN287*AN173+AO287*AO173+AP287*AP173+AQ287*AQ173+AR287*AR173+AS287*AS173+AT287*AT173+AU287*AU173+AV287*AV173+AW287*AW173+AX287*AX173+AY287*AY173+AZ287*AZ173+BA287*BA173+BB287*BB173+BC287*BC173+BD287*BD173+BE287*BE173+BF287*BF173+BG287*BG173+BH287*BH173+BI287*BI173+BJ287*BJ173+BK287*BK173+BL287*BL173+BM287*BM173+BN287*BN173+BO287*BO173+BP287*BP173+BQ287*BQ173+BR287*BR173+BS287*BS173+BT287*BT173+BU287*BU173+BV287*BV173+BW287*BW173+BX287*BX173+BY287*BY173+BZ287*BZ173+CA287*CA173+CB287*CB173+CC287*CC173+CD287*CD173+CE287*CE173+CF287*CF173+CG287*CG173+CH287*CH173+CI287*CI173+CJ287*CJ173+CK287*CK173+CL287*CL173+CM287*CM173+CN287*CN173+CO287*CO173+CP287*CP173+CQ287*CQ173+CR287*CR173+CS287*CS173+CT287*CT173+CU287*CU173</f>
        <v>0</v>
      </c>
      <c r="CY173" s="2838">
        <f>E288*E173+F288*F173+G288*G173+H288*H173+I288*I173+J288*J173+K288*K173+L288*L173+M288*M173+N288*N173+O288*O173+P288*P173+Q288*Q173+R288*R173+S288*S173+T288*T173+U288*U173+V288*V173+W288*W173+X288*X173+Y288*Y173+Z288*Z173+AA288*AA173+AB288*AB173+AC288*AC173+AD288*AD173+AE288*AE173+AF288*AF173+AG288*AG173+AH288*AH173+AI288*AI173+AJ288*AJ173+AK288*AK173+AL288*AL173+AM288*AM173+AN288*AN173+AO288*AO173+AP288*AP173+AQ288*AQ173+AR288*AR173+AS288*AS173+AT288*AT173+AU288*AU173+AV288*AV173+AW288*AW173+AX288*AX173+AY288*AY173+AZ288*AZ173+BA288*BA173+BB288*BB173+BC288*BC173+BD288*BD173+BE288*BE173+BF288*BF173+BG288*BG173+BH288*BH173+BI288*BI173+BJ288*BJ173+BK288*BK173+BL288*BL173+BM288*BM173+BN288*BN173+BO288*BO173+BP288*BP173+BQ288*BQ173+BR288*BR173+BS288*BS173+BT288*BT173+BU288*BU173+BV288*BV173+BW288*BW173+BX288*BX173+BY288*BY173+BZ288*BZ173+CA288*CA173+CB288*CB173+CC288*CC173+CD288*CD173+CE288*CE173+CF288*CF173+CG288*CG173+CH288*CH173+CI288*CI173+CJ288*CJ173+CK288*CK173+CL288*CL173+CM288*CM173+CN288*CN173+CO288*CO173+CP288*CP173+CQ288*CQ173+CR288*CR173+CS288*CS173+CT288*CT173+CU288*CU173</f>
        <v>0</v>
      </c>
      <c r="CZ173" s="2839">
        <f>E289*E173+F289*F173+G289*G173+H289*H173+I289*I173+J289*J173+K289*K173+L289*L173+M289*M173+N289*N173+O289*O173+P289*P173+Q289*Q173+R289*R173+S289*S173+T289*T173+U289*U173+V289*V173+W289*W173+X289*X173+Y289*Y173+Z289*Z173+AA289*AA173+AB289*AB173+AC289*AC173+AD289*AD173+AE289*AE173+AF289*AF173+AG289*AG173+AH289*AH173+AI289*AI173+AJ289*AJ173+AK289*AK173+AL289*AL173+AM289*AM173+AN289*AN173+AO289*AO173+AP289*AP173+AQ289*AQ173+AR289*AR173+AS289*AS173+AT289*AT173+AU289*AU173+AV289*AV173+AW289*AW173+AX289*AX173+AY289*AY173+AZ289*AZ173+BA289*BA173+BB289*BB173+BC289*BC173+BD289*BD173+BE289*BE173+BF289*BF173+BG289*BG173+BH289*BH173+BI289*BI173+BJ289*BJ173+BK289*BK173+BL289*BL173+BM289*BM173+BN289*BN173+BO289*BO173+BP289*BP173+BQ289*BQ173+BR289*BR173+BS289*BS173+BT289*BT173+BU289*BU173+BV289*BV173+BW289*BW173+BX289*BX173+BY289*BY173+BZ289*BZ173+CA289*CA173+CB289*CB173+CC289*CC173+CD289*CD173+CE289*CE173+CF289*CF173+CG289*CG173+CH289*CH173+CI289*CI173+CJ289*CJ173+CK289*CK173+CL289*CL173+CM289*CM173+CN289*CN173+CO289*CO173+CP289*CP173+CQ289*CQ173+CR289*CR173+CS289*CS173+CT289*CT173+CU289*CU173</f>
        <v>0</v>
      </c>
      <c r="DA173" s="2840">
        <f>E290*E173+F290*F173+G290*G173+H290*H173+I290*I173+J290*J173+K290*K173+L290*L173+M290*M173+N290*N173+O290*O173+P290*P173+Q290*Q173+R290*R173+S290*S173+T290*T173+U290*U173+V290*V173+W290*W173+X290*X173+Y290*Y173+Z290*Z173+AA290*AA173+AB290*AB173+AC290*AC173+AD290*AD173+AE290*AE173+AF290*AF173+AG290*AG173+AH290*AH173+AI290*AI173+AJ290*AJ173+AK290*AK173+AL290*AL173+AM290*AM173+AN290*AN173+AO290*AO173+AP290*AP173+AQ290*AQ173+AR290*AR173+AS290*AS173+AT290*AT173+AU290*AU173+AV290*AV173+AW290*AW173+AX290*AX173+AY290*AY173+AZ290*AZ173+BA290*BA173+BB290*BB173+BC290*BC173+BD290*BD173+BE290*BE173+BF290*BF173+BG290*BG173+BH290*BH173+BI290*BI173+BJ290*BJ173+BK290*BK173+BL290*BL173+BM290*BM173+BN290*BN173+BO290*BO173+BP290*BP173+BQ290*BQ173+BR290*BR173+BS290*BS173+BT290*BT173+BU290*BU173+BV290*BV173+BW290*BW173+BX290*BX173+BY290*BY173+BZ290*BZ173+CA290*CA173+CB290*CB173+CC290*CC173+CD290*CD173+CE290*CE173+CF290*CF173+CG290*CG173+CH290*CH173+CI290*CI173+CJ290*CJ173+CK290*CK173+CL290*CL173+CM290*CM173+CN290*CN173+CO290*CO173+CP290*CP173+CQ290*CQ173+CR290*CR173+CS290*CS173+CT290*CT173+CU290*CU173</f>
        <v>0</v>
      </c>
      <c r="DB173" s="2840">
        <f>E291*E173+F291*F173+G291*G173+H291*H173+I291*I173+J291*J173+K291*K173+L291*L173+M291*M173+N291*N173+O291*O173+P291*P173+Q291*Q173+R291*R173+S291*S173+T291*T173+U291*U173+V291*V173+W291*W173+X291*X173+Y291*Y173+Z291*Z173+AA291*AA173+AB291*AB173+AC291*AC173+AD291*AD173+AE291*AE173+AF291*AF173+AG291*AG173+AH291*AH173+AI291*AI173+AJ291*AJ173+AK291*AK173+AL291*AL173+AM291*AM173+AN291*AN173+AO291*AO173+AP291*AP173+AQ291*AQ173+AR291*AR173+AS291*AS173+AT291*AT173+AU291*AU173+AV291*AV173+AW291*AW173+AX291*AX173+AY291*AY173+AZ291*AZ173+BA291*BA173+BB291*BB173+BC291*BC173+BD291*BD173+BE291*BE173+BF291*BF173+BG291*BG173+BH291*BH173+BI291*BI173+BJ291*BJ173+BK291*BK173+BL291*BL173+BM291*BM173+BN291*BN173+BO291*BO173+BP291*BP173+BQ291*BQ173+BR291*BR173+BS291*BS173+BT291*BT173+BU291*BU173+BV291*BV173+BW291*BW173+BX291*BX173+BY291*BY173+BZ291*BZ173+CA291*CA173+CB291*CB173+CC291*CC173+CD291*CD173+CE291*CE173+CF291*CF173+CG291*CG173+CH291*CH173+CI291*CI173+CJ291*CJ173+CK291*CK173+CL291*CL173+CM291*CM173+CN291*CN173+CO291*CO173+CP291*CP173+CQ291*CQ173+CR291*CR173+CS291*CS173+CT291*CT173+CU291*CU173</f>
        <v>0</v>
      </c>
      <c r="DC173" s="2840">
        <f>E292*E173+F292*F173+G292*G173+H292*H173+I292*I173+J292*J173+K292*K173+L292*L173+M292*M173+N292*N173+O292*O173+P292*P173+Q292*Q173+R292*R173+S292*S173+T292*T173+U292*U173+V292*V173+W292*W173+X292*X173+Y292*Y173+Z292*Z173+AA292*AA173+AB292*AB173+AC292*AC173+AD292*AD173+AE292*AE173+AF292*AF173+AG292*AG173+AH292*AH173+AI292*AI173+AJ292*AJ173+AK292*AK173+AL292*AL173+AM292*AM173+AN292*AN173+AO292*AO173+AP292*AP173+AQ292*AQ173+AR292*AR173+AS292*AS173+AT292*AT173+AU292*AU173+AV292*AV173+AW292*AW173+AX292*AX173+AY292*AY173+AZ292*AZ173+BA292*BA173+BB292*BB173+BC292*BC173+BD292*BD173+BE292*BE173+BF292*BF173+BG292*BG173+BH292*BH173+BI292*BI173+BJ292*BJ173+BK292*BK173+BL292*BL173+BM292*BM173+BN292*BN173+BO292*BO173+BP292*BP173+BQ292*BQ173+BR292*BR173+BS292*BS173+BT292*BT173+BU292*BU173+BV292*BV173+BW292*BW173+BX292*BX173+BY292*BY173+BZ292*BZ173+CA292*CA173+CB292*CB173+CC292*CC173+CD292*CD173+CE292*CE173+CF292*CF173+CG292*CG173+CH292*CH173+CI292*CI173+CJ292*CJ173+CK292*CK173+CL292*CL173+CM292*CM173+CN292*CN173+CO292*CO173+CP292*CP173+CQ292*CQ173+CR292*CR173+CS292*CS173+CT292*CT173+CU292*CU173</f>
        <v>-8.6736173798840355E-19</v>
      </c>
      <c r="DD173" s="2840">
        <f>E293*E173+F293*F173+G293*G173+H293*H173+I293*I173+J293*J173+K293*K173+L293*L173+M293*M173+N293*N173+O293*O173+P293*P173+Q293*Q173+R293*R173+S293*S173+T293*T173+U293*U173+V293*V173+W293*W173+X293*X173+Y293*Y173+Z293*Z173+AA293*AA173+AB293*AB173+AC293*AC173+AD293*AD173+AE293*AE173+AF293*AF173+AG293*AG173+AH293*AH173+AI293*AI173+AJ293*AJ173+AK293*AK173+AL293*AL173+AM293*AM173+AN293*AN173+AO293*AO173+AP293*AP173+AQ293*AQ173+AR293*AR173+AS293*AS173+AT293*AT173+AU293*AU173+AV293*AV173+AW293*AW173+AX293*AX173+AY293*AY173+AZ293*AZ173+BA293*BA173+BB293*BB173+BC293*BC173+BD293*BD173+BE293*BE173+BF293*BF173+BG293*BG173+BH293*BH173+BI293*BI173+BJ293*BJ173+BK293*BK173+BL293*BL173+BM293*BM173+BN293*BN173+BO293*BO173+BP293*BP173+BQ293*BQ173+BR293*BR173+BS293*BS173+BT293*BT173+BU293*BU173+BV293*BV173+BW293*BW173+BX293*BX173+BY293*BY173+BZ293*BZ173+CA293*CA173+CB293*CB173+CC293*CC173+CD293*CD173+CE293*CE173+CF293*CF173+CG293*CG173+CH293*CH173+CI293*CI173+CJ293*CJ173+CK293*CK173+CL293*CL173+CM293*CM173+CN293*CN173+CO293*CO173+CP293*CP173+CQ293*CQ173+CR293*CR173+CS293*CS173+CT293*CT173+CU293*CU173</f>
        <v>0</v>
      </c>
      <c r="DE173" s="2840">
        <f>E294*E173+F294*F173+G294*G173+H294*H173+I294*I173+J294*J173+K294*K173+L294*L173+M294*M173+N294*N173+O294*O173+P294*P173+Q294*Q173+R294*R173+S294*S173+T294*T173+U294*U173+V294*V173+W294*W173+X294*X173+Y294*Y173+Z294*Z173+AA294*AA173+AB294*AB173+AC294*AC173+AD294*AD173+AE294*AE173+AF294*AF173+AG294*AG173+AH294*AH173+AI294*AI173+AJ294*AJ173+AK294*AK173+AL294*AL173+AM294*AM173+AN294*AN173+AO294*AO173+AP294*AP173+AQ294*AQ173+AR294*AR173+AS294*AS173+AT294*AT173+AU294*AU173+AV294*AV173+AW294*AW173+AX294*AX173+AY294*AY173+AZ294*AZ173+BA294*BA173+BB294*BB173+BC294*BC173+BD294*BD173+BE294*BE173+BF294*BF173+BG294*BG173+BH294*BH173+BI294*BI173+BJ294*BJ173+BK294*BK173+BL294*BL173+BM294*BM173+BN294*BN173+BO294*BO173+BP294*BP173+BQ294*BQ173+BR294*BR173+BS294*BS173+BT294*BT173+BU294*BU173+BV294*BV173+BW294*BW173+BX294*BX173+BY294*BY173+BZ294*BZ173+CA294*CA173+CB294*CB173+CC294*CC173+CD294*CD173+CE294*CE173+CF294*CF173+CG294*CG173+CH294*CH173+CI294*CI173+CJ294*CJ173+CK294*CK173+CL294*CL173+CM294*CM173+CN294*CN173+CO294*CO173+CP294*CP173+CQ294*CQ173+CR294*CR173+CS294*CS173+CT294*CT173+CU294*CU173</f>
        <v>0</v>
      </c>
      <c r="DF173" s="2840">
        <f>E295*E173+F295*F173+G295*G173+H295*H173+I295*I173+J295*J173+K295*K173+L295*L173+M295*M173+N295*N173+O295*O173+P295*P173+Q295*Q173+R295*R173+S295*S173+T295*T173+U295*U173+V295*V173+W295*W173+X295*X173+Y295*Y173+Z295*Z173+AA295*AA173+AB295*AB173+AC295*AC173+AD295*AD173+AE295*AE173+AF295*AF173+AG295*AG173+AH295*AH173+AI295*AI173+AJ295*AJ173+AK295*AK173+AL295*AL173+AM295*AM173+AN295*AN173+AO295*AO173+AP295*AP173+AQ295*AQ173+AR295*AR173+AS295*AS173+AT295*AT173+AU295*AU173+AV295*AV173+AW295*AW173+AX295*AX173+AY295*AY173+AZ295*AZ173+BA295*BA173+BB295*BB173+BC295*BC173+BD295*BD173+BE295*BE173+BF295*BF173+BG295*BG173+BH295*BH173+BI295*BI173+BJ295*BJ173+BK295*BK173+BL295*BL173+BM295*BM173+BN295*BN173+BO295*BO173+BP295*BP173+BQ295*BQ173+BR295*BR173+BS295*BS173+BT295*BT173+BU295*BU173+BV295*BV173+BW295*BW173+BX295*BX173+BY295*BY173+BZ295*BZ173+CA295*CA173+CB295*CB173+CC295*CC173+CD295*CD173+CE295*CE173+CF295*CF173+CG295*CG173+CH295*CH173+CI295*CI173+CJ295*CJ173+CK295*CK173+CL295*CL173+CM295*CM173+CN295*CN173+CO295*CO173+CP295*CP173+CQ295*CQ173+CR295*CR173+CS295*CS173+CT295*CT173+CU295*CU173</f>
        <v>0</v>
      </c>
      <c r="DG173" s="2840">
        <f>E296*E173+F296*F173+G296*G173+H296*H173+I296*I173+J296*J173+K296*K173+L296*L173+M296*M173+N296*N173+O296*O173+P296*P173+Q296*Q173+R296*R173+S296*S173+T296*T173+U296*U173+V296*V173+W296*W173+X296*X173+Y296*Y173+Z296*Z173+AA296*AA173+AB296*AB173+AC296*AC173+AD296*AD173+AE296*AE173+AF296*AF173+AG296*AG173+AH296*AH173+AI296*AI173+AJ296*AJ173+AK296*AK173+AL296*AL173+AM296*AM173+AN296*AN173+AO296*AO173+AP296*AP173+AQ296*AQ173+AR296*AR173+AS296*AS173+AT296*AT173+AU296*AU173+AV296*AV173+AW296*AW173+AX296*AX173+AY296*AY173+AZ296*AZ173+BA296*BA173+BB296*BB173+BC296*BC173+BD296*BD173+BE296*BE173+BF296*BF173+BG296*BG173+BH296*BH173+BI296*BI173+BJ296*BJ173+BK296*BK173+BL296*BL173+BM296*BM173+BN296*BN173+BO296*BO173+BP296*BP173+BQ296*BQ173+BR296*BR173+BS296*BS173+BT296*BT173+BU296*BU173+BV296*BV173+BW296*BW173+BX296*BX173+BY296*BY173+BZ296*BZ173+CA296*CA173+CB296*CB173+CC296*CC173+CD296*CD173+CE296*CE173+CF296*CF173+CG296*CG173+CH296*CH173+CI296*CI173+CJ296*CJ173+CK296*CK173+CL296*CL173+CM296*CM173+CN296*CN173+CO296*CO173+CP296*CP173+CQ296*CQ173+CR296*CR173+CS296*CS173+CT296*CT173+CU296*CU173</f>
        <v>0</v>
      </c>
      <c r="DH173" s="2840">
        <f>E297*E173+F297*F173+G297*G173+H297*H173+I297*I173+J297*J173+K297*K173+L297*L173+M297*M173+N297*N173+O297*O173+P297*P173+Q297*Q173+R297*R173+S297*S173+T297*T173+U297*U173+V297*V173+W297*W173+X297*X173+Y297*Y173+Z297*Z173+AA297*AA173+AB297*AB173+AC297*AC173+AD297*AD173+AE297*AE173+AF297*AF173+AG297*AG173+AH297*AH173+AI297*AI173+AJ297*AJ173+AK297*AK173+AL297*AL173+AM297*AM173+AN297*AN173+AO297*AO173+AP297*AP173+AQ297*AQ173+AR297*AR173+AS297*AS173+AT297*AT173+AU297*AU173+AV297*AV173+AW297*AW173+AX297*AX173+AY297*AY173+AZ297*AZ173+BA297*BA173+BB297*BB173+BC297*BC173+BD297*BD173+BE297*BE173+BF297*BF173+BG297*BG173+BH297*BH173+BI297*BI173+BJ297*BJ173+BK297*BK173+BL297*BL173+BM297*BM173+BN297*BN173+BO297*BO173+BP297*BP173+BQ297*BQ173+BR297*BR173+BS297*BS173+BT297*BT173+BU297*BU173+BV297*BV173+BW297*BW173+BX297*BX173+BY297*BY173+BZ297*BZ173+CA297*CA173+CB297*CB173+CC297*CC173+CD297*CD173+CE297*CE173+CF297*CF173+CG297*CG173+CH297*CH173+CI297*CI173+CJ297*CJ173+CK297*CK173+CL297*CL173+CM297*CM173+CN297*CN173+CO297*CO173+CP297*CP173+CQ297*CQ173+CR297*CR173+CS297*CS173+CT297*CT173+CU297*CU173</f>
        <v>0</v>
      </c>
      <c r="DI173" s="2840">
        <f>E298*E173+F298*F173+G298*G173+H298*H173+I298*I173+J298*J173+K298*K173+L298*L173+M298*M173+N298*N173+O298*O173+P298*P173+Q298*Q173+R298*R173+S298*S173+T298*T173+U298*U173+V298*V173+W298*W173+X298*X173+Y298*Y173+Z298*Z173+AA298*AA173+AB298*AB173+AC298*AC173+AD298*AD173+AE298*AE173+AF298*AF173+AG298*AG173+AH298*AH173+AI298*AI173+AJ298*AJ173+AK298*AK173+AL298*AL173+AM298*AM173+AN298*AN173+AO298*AO173+AP298*AP173+AQ298*AQ173+AR298*AR173+AS298*AS173+AT298*AT173+AU298*AU173+AV298*AV173+AW298*AW173+AX298*AX173+AY298*AY173+AZ298*AZ173+BA298*BA173+BB298*BB173+BC298*BC173+BD298*BD173+BE298*BE173+BF298*BF173+BG298*BG173+BH298*BH173+BI298*BI173+BJ298*BJ173+BK298*BK173+BL298*BL173+BM298*BM173+BN298*BN173+BO298*BO173+BP298*BP173+BQ298*BQ173+BR298*BR173+BS298*BS173+BT298*BT173+BU298*BU173+BV298*BV173+BW298*BW173+BX298*BX173+BY298*BY173+BZ298*BZ173+CA298*CA173+CB298*CB173+CC298*CC173+CD298*CD173+CE298*CE173+CF298*CF173+CG298*CG173+CH298*CH173+CI298*CI173+CJ298*CJ173+CK298*CK173+CL298*CL173+CM298*CM173+CN298*CN173+CO298*CO173+CP298*CP173+CQ298*CQ173+CR298*CR173+CS298*CS173+CT298*CT173+CU298*CU173</f>
        <v>0</v>
      </c>
    </row>
    <row r="174" spans="2:113" ht="18" x14ac:dyDescent="0.25">
      <c r="B174" s="2489">
        <v>21</v>
      </c>
      <c r="C174" s="2406" t="s">
        <v>243</v>
      </c>
      <c r="D174" s="2407" t="s">
        <v>4879</v>
      </c>
      <c r="E174" s="3111">
        <f>0</f>
        <v>0</v>
      </c>
      <c r="F174" s="3111">
        <f>0</f>
        <v>0</v>
      </c>
      <c r="G174" s="3111">
        <f>0</f>
        <v>0</v>
      </c>
      <c r="H174" s="3111">
        <f>0</f>
        <v>0</v>
      </c>
      <c r="I174" s="3111">
        <f>0</f>
        <v>0</v>
      </c>
      <c r="J174" s="3111">
        <f>0</f>
        <v>0</v>
      </c>
      <c r="K174" s="3111">
        <f>0</f>
        <v>0</v>
      </c>
      <c r="L174" s="3111">
        <f>0</f>
        <v>0</v>
      </c>
      <c r="M174" s="3111">
        <f>0</f>
        <v>0</v>
      </c>
      <c r="N174" s="3151">
        <f>0</f>
        <v>0</v>
      </c>
      <c r="O174" s="3151">
        <f>0</f>
        <v>0</v>
      </c>
      <c r="P174" s="3111">
        <f>0</f>
        <v>0</v>
      </c>
      <c r="Q174" s="3111">
        <f>0</f>
        <v>0</v>
      </c>
      <c r="R174" s="3111">
        <f>0</f>
        <v>0</v>
      </c>
      <c r="S174" s="3112">
        <f>-Y_PP_CASTO_anox</f>
        <v>-0.23</v>
      </c>
      <c r="T174" s="3110">
        <f>0</f>
        <v>0</v>
      </c>
      <c r="U174" s="3110">
        <f>0</f>
        <v>0</v>
      </c>
      <c r="V174" s="3110">
        <f>0</f>
        <v>0</v>
      </c>
      <c r="W174" s="3110">
        <f>0</f>
        <v>0</v>
      </c>
      <c r="X174" s="3110">
        <f>0</f>
        <v>0</v>
      </c>
      <c r="Y174" s="3110">
        <f>0</f>
        <v>0</v>
      </c>
      <c r="Z174" s="3110">
        <f>0</f>
        <v>0</v>
      </c>
      <c r="AA174" s="3110">
        <f>0</f>
        <v>0</v>
      </c>
      <c r="AB174" s="3110">
        <f>0</f>
        <v>0</v>
      </c>
      <c r="AC174" s="3110">
        <f>0</f>
        <v>0</v>
      </c>
      <c r="AD174" s="3110">
        <f>i_N_BIO*Y_PP_CASTO_anox</f>
        <v>1.6100000000000003E-2</v>
      </c>
      <c r="AE174" s="3112">
        <f>Y_PP_CASTO_anox/E_EQNO2_NO3</f>
        <v>0.20135386326987265</v>
      </c>
      <c r="AF174" s="3112">
        <f>-Y_PP_CASTO_anox/E_EQNO2_NO3</f>
        <v>-0.20135386326987265</v>
      </c>
      <c r="AG174" s="3111">
        <f>0</f>
        <v>0</v>
      </c>
      <c r="AH174" s="3111">
        <f>0</f>
        <v>0</v>
      </c>
      <c r="AI174" s="3111">
        <f>0</f>
        <v>0</v>
      </c>
      <c r="AJ174" s="3111">
        <f>0</f>
        <v>0</v>
      </c>
      <c r="AK174" s="3111">
        <f>0</f>
        <v>0</v>
      </c>
      <c r="AL174" s="3112">
        <f>i_P_BIO*Y_PP_CASTO_anox-1</f>
        <v>-0.99539999999999995</v>
      </c>
      <c r="AM174" s="3110">
        <f>1</f>
        <v>1</v>
      </c>
      <c r="AN174" s="3111">
        <f>0</f>
        <v>0</v>
      </c>
      <c r="AO174" s="3111">
        <f>0</f>
        <v>0</v>
      </c>
      <c r="AP174" s="3111">
        <f>0</f>
        <v>0</v>
      </c>
      <c r="AQ174" s="3111">
        <f>0</f>
        <v>0</v>
      </c>
      <c r="AR174" s="3111">
        <f>0</f>
        <v>0</v>
      </c>
      <c r="AS174" s="3111">
        <f>0</f>
        <v>0</v>
      </c>
      <c r="AT174" s="3111">
        <f>0</f>
        <v>0</v>
      </c>
      <c r="AU174" s="3112">
        <f>i_CIT_BIO*Y_PP_CASTO_anox</f>
        <v>8.0960000000000004E-2</v>
      </c>
      <c r="AV174" s="3112">
        <f>-i_INORG*Y_PP_CASTO_anox</f>
        <v>-2.53E-2</v>
      </c>
      <c r="AW174" s="3112">
        <f>Y_PP_CASTO_anox*i_INORG*(1-i_Ca_INORG*(A_MCa+2*A_MCl)/A_MCa-i_Mg_INORG*(A_MMg+2*A_MCl)/A_MMg)*f_Na</f>
        <v>6.6249898240436462E-3</v>
      </c>
      <c r="AX174" s="3112">
        <f>Y_PP_CASTO_anox*(i_INORG*(i_Ca_INORG*(2*A_MCl)/A_MCa+i_Mg_INORG*(2*A_MCl)/A_MMg)+i_INORG*(1-i_Ca_INORG*(A_MCa+2*A_MCl)/A_MCa-i_Mg_INORG*(A_MMg+2*A_MCl)/A_MMg)*(1-f_Na))</f>
        <v>1.6145010175956355E-2</v>
      </c>
      <c r="AY174" s="3112">
        <f>Y_PP_CASTO_anox*i_INORG*i_Ca_INORG-i_Ca_PP*A_MCa/A_MP</f>
        <v>-0.12812838702613275</v>
      </c>
      <c r="AZ174" s="3112">
        <f>Y_PP_CASTO_anox*i_INORG*i_Mg_INORG-i_Mg_PP*A_MMg/A_MP</f>
        <v>-0.27337874347136937</v>
      </c>
      <c r="BA174" s="3112">
        <f>-i_K_PP*A_MK/A_MP</f>
        <v>-0.12623038734377579</v>
      </c>
      <c r="BB174" s="3112">
        <f>0</f>
        <v>0</v>
      </c>
      <c r="BC174" s="3110">
        <f>i_S_BIO*Y_PP_CASTO_anox</f>
        <v>2.3E-3</v>
      </c>
      <c r="BD174" s="3112">
        <f>0</f>
        <v>0</v>
      </c>
      <c r="BE174" s="3112">
        <f>0</f>
        <v>0</v>
      </c>
      <c r="BF174" s="3112">
        <f>0</f>
        <v>0</v>
      </c>
      <c r="BG174" s="3112">
        <f>0</f>
        <v>0</v>
      </c>
      <c r="BH174" s="3112">
        <f>0</f>
        <v>0</v>
      </c>
      <c r="BI174" s="3112">
        <f>0</f>
        <v>0</v>
      </c>
      <c r="BJ174" s="3112">
        <f>0</f>
        <v>0</v>
      </c>
      <c r="BK174" s="3112">
        <f>0</f>
        <v>0</v>
      </c>
      <c r="BL174" s="3112">
        <f>0</f>
        <v>0</v>
      </c>
      <c r="BM174" s="3112">
        <f>0</f>
        <v>0</v>
      </c>
      <c r="BN174" s="3112">
        <f>0</f>
        <v>0</v>
      </c>
      <c r="BO174" s="3112">
        <f>0</f>
        <v>0</v>
      </c>
      <c r="BP174" s="3112">
        <f>0</f>
        <v>0</v>
      </c>
      <c r="BQ174" s="3112">
        <f>0</f>
        <v>0</v>
      </c>
      <c r="BR174" s="3112">
        <f>0</f>
        <v>0</v>
      </c>
      <c r="BS174" s="3112">
        <f>0</f>
        <v>0</v>
      </c>
      <c r="BT174" s="3112">
        <f>0</f>
        <v>0</v>
      </c>
      <c r="BU174" s="3112">
        <f>0</f>
        <v>0</v>
      </c>
      <c r="BV174" s="3112">
        <f>0</f>
        <v>0</v>
      </c>
      <c r="BW174" s="3112">
        <f>0</f>
        <v>0</v>
      </c>
      <c r="BX174" s="3112">
        <f>0</f>
        <v>0</v>
      </c>
      <c r="BY174" s="3112">
        <f>0</f>
        <v>0</v>
      </c>
      <c r="BZ174" s="3188">
        <f>0</f>
        <v>0</v>
      </c>
      <c r="CA174" s="3188">
        <f>0</f>
        <v>0</v>
      </c>
      <c r="CB174" s="3188">
        <f>0</f>
        <v>0</v>
      </c>
      <c r="CC174" s="3188">
        <f>0</f>
        <v>0</v>
      </c>
      <c r="CD174" s="3112">
        <f>0</f>
        <v>0</v>
      </c>
      <c r="CE174" s="3112">
        <f>0</f>
        <v>0</v>
      </c>
      <c r="CF174" s="3112">
        <f>0</f>
        <v>0</v>
      </c>
      <c r="CG174" s="3112">
        <f>0</f>
        <v>0</v>
      </c>
      <c r="CH174" s="3112">
        <f>0</f>
        <v>0</v>
      </c>
      <c r="CI174" s="3112">
        <f>0</f>
        <v>0</v>
      </c>
      <c r="CJ174" s="3112">
        <f>0</f>
        <v>0</v>
      </c>
      <c r="CK174" s="3112">
        <f>0</f>
        <v>0</v>
      </c>
      <c r="CL174" s="3112">
        <f>0</f>
        <v>0</v>
      </c>
      <c r="CM174" s="3112">
        <f>0</f>
        <v>0</v>
      </c>
      <c r="CN174" s="3112">
        <f>0</f>
        <v>0</v>
      </c>
      <c r="CO174" s="3112">
        <f>0</f>
        <v>0</v>
      </c>
      <c r="CP174" s="3112">
        <f>0</f>
        <v>0</v>
      </c>
      <c r="CQ174" s="3112">
        <f>0</f>
        <v>0</v>
      </c>
      <c r="CR174" s="3112">
        <f>0</f>
        <v>0</v>
      </c>
      <c r="CS174" s="3112">
        <f>0</f>
        <v>0</v>
      </c>
      <c r="CT174" s="3112">
        <f>0</f>
        <v>0</v>
      </c>
      <c r="CU174" s="3112">
        <f>0</f>
        <v>0</v>
      </c>
      <c r="CV174" s="3222">
        <f>q_PAO_PP_T*X_PAO/(X_PP+X_PP_PAO_min)*X_PAO*η_CASTO_anox*M_satSNO3_KNO3_CASTO*M_inhSO2_KO2_CASTO*M_inhSNO2_KNO2_CASTO*L_ogsatSPO4_KPO4_PAO*L_oginhXPP_XPAO_max*M_satSCa_KCa_PAO*M_satSMg_KMg_PAO*M_satSK_KK_PAO*B_ellinhpH</f>
        <v>1.6543915540769663</v>
      </c>
      <c r="CX174" s="2838">
        <f>E287*E174+F287*F174+G287*G174+H287*H174+I287*I174+J287*J174+K287*K174+L287*L174+M287*M174+N287*N174+O287*O174+P287*P174+Q287*Q174+R287*R174+S287*S174+T287*T174+U287*U174+V287*V174+W287*W174+X287*X174+Y287*Y174+Z287*Z174+AA287*AA174+AB287*AB174+AC287*AC174+AD287*AD174+AE287*AE174+AF287*AF174+AG287*AG174+AH287*AH174+AI287*AI174+AJ287*AJ174+AK287*AK174+AL287*AL174+AM287*AM174+AN287*AN174+AO287*AO174+AP287*AP174+AQ287*AQ174+AR287*AR174+AS287*AS174+AT287*AT174+AU287*AU174+AV287*AV174+AW287*AW174+AX287*AX174+AY287*AY174+AZ287*AZ174+BA287*BA174+BB287*BB174+BC287*BC174+BD287*BD174+BE287*BE174+BF287*BF174+BG287*BG174+BH287*BH174+BI287*BI174+BJ287*BJ174+BK287*BK174+BL287*BL174+BM287*BM174+BN287*BN174+BO287*BO174+BP287*BP174+BQ287*BQ174+BR287*BR174+BS287*BS174+BT287*BT174+BU287*BU174+BV287*BV174+BW287*BW174+BX287*BX174+BY287*BY174+BZ287*BZ174+CA287*CA174+CB287*CB174+CC287*CC174+CD287*CD174+CE287*CE174+CF287*CF174+CG287*CG174+CH287*CH174+CI287*CI174+CJ287*CJ174+CK287*CK174+CL287*CL174+CM287*CM174+CN287*CN174+CO287*CO174+CP287*CP174+CQ287*CQ174+CR287*CR174+CS287*CS174+CT287*CT174+CU287*CU174</f>
        <v>1.1102230246251565E-16</v>
      </c>
      <c r="CY174" s="2838">
        <f>E288*E174+F288*F174+G288*G174+H288*H174+I288*I174+J288*J174+K288*K174+L288*L174+M288*M174+N288*N174+O288*O174+P288*P174+Q288*Q174+R288*R174+S288*S174+T288*T174+U288*U174+V288*V174+W288*W174+X288*X174+Y288*Y174+Z288*Z174+AA288*AA174+AB288*AB174+AC288*AC174+AD288*AD174+AE288*AE174+AF288*AF174+AG288*AG174+AH288*AH174+AI288*AI174+AJ288*AJ174+AK288*AK174+AL288*AL174+AM288*AM174+AN288*AN174+AO288*AO174+AP288*AP174+AQ288*AQ174+AR288*AR174+AS288*AS174+AT288*AT174+AU288*AU174+AV288*AV174+AW288*AW174+AX288*AX174+AY288*AY174+AZ288*AZ174+BA288*BA174+BB288*BB174+BC288*BC174+BD288*BD174+BE288*BE174+BF288*BF174+BG288*BG174+BH288*BH174+BI288*BI174+BJ288*BJ174+BK288*BK174+BL288*BL174+BM288*BM174+BN288*BN174+BO288*BO174+BP288*BP174+BQ288*BQ174+BR288*BR174+BS288*BS174+BT288*BT174+BU288*BU174+BV288*BV174+BW288*BW174+BX288*BX174+BY288*BY174+BZ288*BZ174+CA288*CA174+CB288*CB174+CC288*CC174+CD288*CD174+CE288*CE174+CF288*CF174+CG288*CG174+CH288*CH174+CI288*CI174+CJ288*CJ174+CK288*CK174+CL288*CL174+CM288*CM174+CN288*CN174+CO288*CO174+CP288*CP174+CQ288*CQ174+CR288*CR174+CS288*CS174+CT288*CT174+CU288*CU174</f>
        <v>0</v>
      </c>
      <c r="CZ174" s="2839">
        <f>E289*E174+F289*F174+G289*G174+H289*H174+I289*I174+J289*J174+K289*K174+L289*L174+M289*M174+N289*N174+O289*O174+P289*P174+Q289*Q174+R289*R174+S289*S174+T289*T174+U289*U174+V289*V174+W289*W174+X289*X174+Y289*Y174+Z289*Z174+AA289*AA174+AB289*AB174+AC289*AC174+AD289*AD174+AE289*AE174+AF289*AF174+AG289*AG174+AH289*AH174+AI289*AI174+AJ289*AJ174+AK289*AK174+AL289*AL174+AM289*AM174+AN289*AN174+AO289*AO174+AP289*AP174+AQ289*AQ174+AR289*AR174+AS289*AS174+AT289*AT174+AU289*AU174+AV289*AV174+AW289*AW174+AX289*AX174+AY289*AY174+AZ289*AZ174+BA289*BA174+BB289*BB174+BC289*BC174+BD289*BD174+BE289*BE174+BF289*BF174+BG289*BG174+BH289*BH174+BI289*BI174+BJ289*BJ174+BK289*BK174+BL289*BL174+BM289*BM174+BN289*BN174+BO289*BO174+BP289*BP174+BQ289*BQ174+BR289*BR174+BS289*BS174+BT289*BT174+BU289*BU174+BV289*BV174+BW289*BW174+BX289*BX174+BY289*BY174+BZ289*BZ174+CA289*CA174+CB289*CB174+CC289*CC174+CD289*CD174+CE289*CE174+CF289*CF174+CG289*CG174+CH289*CH174+CI289*CI174+CJ289*CJ174+CK289*CK174+CL289*CL174+CM289*CM174+CN289*CN174+CO289*CO174+CP289*CP174+CQ289*CQ174+CR289*CR174+CS289*CS174+CT289*CT174+CU289*CU174</f>
        <v>0</v>
      </c>
      <c r="DA174" s="2840">
        <f>E290*E174+F290*F174+G290*G174+H290*H174+I290*I174+J290*J174+K290*K174+L290*L174+M290*M174+N290*N174+O290*O174+P290*P174+Q290*Q174+R290*R174+S290*S174+T290*T174+U290*U174+V290*V174+W290*W174+X290*X174+Y290*Y174+Z290*Z174+AA290*AA174+AB290*AB174+AC290*AC174+AD290*AD174+AE290*AE174+AF290*AF174+AG290*AG174+AH290*AH174+AI290*AI174+AJ290*AJ174+AK290*AK174+AL290*AL174+AM290*AM174+AN290*AN174+AO290*AO174+AP290*AP174+AQ290*AQ174+AR290*AR174+AS290*AS174+AT290*AT174+AU290*AU174+AV290*AV174+AW290*AW174+AX290*AX174+AY290*AY174+AZ290*AZ174+BA290*BA174+BB290*BB174+BC290*BC174+BD290*BD174+BE290*BE174+BF290*BF174+BG290*BG174+BH290*BH174+BI290*BI174+BJ290*BJ174+BK290*BK174+BL290*BL174+BM290*BM174+BN290*BN174+BO290*BO174+BP290*BP174+BQ290*BQ174+BR290*BR174+BS290*BS174+BT290*BT174+BU290*BU174+BV290*BV174+BW290*BW174+BX290*BX174+BY290*BY174+BZ290*BZ174+CA290*CA174+CB290*CB174+CC290*CC174+CD290*CD174+CE290*CE174+CF290*CF174+CG290*CG174+CH290*CH174+CI290*CI174+CJ290*CJ174+CK290*CK174+CL290*CL174+CM290*CM174+CN290*CN174+CO290*CO174+CP290*CP174+CQ290*CQ174+CR290*CR174+CS290*CS174+CT290*CT174+CU290*CU174</f>
        <v>0</v>
      </c>
      <c r="DB174" s="2840">
        <f>E291*E174+F291*F174+G291*G174+H291*H174+I291*I174+J291*J174+K291*K174+L291*L174+M291*M174+N291*N174+O291*O174+P291*P174+Q291*Q174+R291*R174+S291*S174+T291*T174+U291*U174+V291*V174+W291*W174+X291*X174+Y291*Y174+Z291*Z174+AA291*AA174+AB291*AB174+AC291*AC174+AD291*AD174+AE291*AE174+AF291*AF174+AG291*AG174+AH291*AH174+AI291*AI174+AJ291*AJ174+AK291*AK174+AL291*AL174+AM291*AM174+AN291*AN174+AO291*AO174+AP291*AP174+AQ291*AQ174+AR291*AR174+AS291*AS174+AT291*AT174+AU291*AU174+AV291*AV174+AW291*AW174+AX291*AX174+AY291*AY174+AZ291*AZ174+BA291*BA174+BB291*BB174+BC291*BC174+BD291*BD174+BE291*BE174+BF291*BF174+BG291*BG174+BH291*BH174+BI291*BI174+BJ291*BJ174+BK291*BK174+BL291*BL174+BM291*BM174+BN291*BN174+BO291*BO174+BP291*BP174+BQ291*BQ174+BR291*BR174+BS291*BS174+BT291*BT174+BU291*BU174+BV291*BV174+BW291*BW174+BX291*BX174+BY291*BY174+BZ291*BZ174+CA291*CA174+CB291*CB174+CC291*CC174+CD291*CD174+CE291*CE174+CF291*CF174+CG291*CG174+CH291*CH174+CI291*CI174+CJ291*CJ174+CK291*CK174+CL291*CL174+CM291*CM174+CN291*CN174+CO291*CO174+CP291*CP174+CQ291*CQ174+CR291*CR174+CS291*CS174+CT291*CT174+CU291*CU174</f>
        <v>0</v>
      </c>
      <c r="DC174" s="2840">
        <f>E292*E174+F292*F174+G292*G174+H292*H174+I292*I174+J292*J174+K292*K174+L292*L174+M292*M174+N292*N174+O292*O174+P292*P174+Q292*Q174+R292*R174+S292*S174+T292*T174+U292*U174+V292*V174+W292*W174+X292*X174+Y292*Y174+Z292*Z174+AA292*AA174+AB292*AB174+AC292*AC174+AD292*AD174+AE292*AE174+AF292*AF174+AG292*AG174+AH292*AH174+AI292*AI174+AJ292*AJ174+AK292*AK174+AL292*AL174+AM292*AM174+AN292*AN174+AO292*AO174+AP292*AP174+AQ292*AQ174+AR292*AR174+AS292*AS174+AT292*AT174+AU292*AU174+AV292*AV174+AW292*AW174+AX292*AX174+AY292*AY174+AZ292*AZ174+BA292*BA174+BB292*BB174+BC292*BC174+BD292*BD174+BE292*BE174+BF292*BF174+BG292*BG174+BH292*BH174+BI292*BI174+BJ292*BJ174+BK292*BK174+BL292*BL174+BM292*BM174+BN292*BN174+BO292*BO174+BP292*BP174+BQ292*BQ174+BR292*BR174+BS292*BS174+BT292*BT174+BU292*BU174+BV292*BV174+BW292*BW174+BX292*BX174+BY292*BY174+BZ292*BZ174+CA292*CA174+CB292*CB174+CC292*CC174+CD292*CD174+CE292*CE174+CF292*CF174+CG292*CG174+CH292*CH174+CI292*CI174+CJ292*CJ174+CK292*CK174+CL292*CL174+CM292*CM174+CN292*CN174+CO292*CO174+CP292*CP174+CQ292*CQ174+CR292*CR174+CS292*CS174+CT292*CT174+CU292*CU174</f>
        <v>-8.6736173798840355E-19</v>
      </c>
      <c r="DD174" s="2840">
        <f>E293*E174+F293*F174+G293*G174+H293*H174+I293*I174+J293*J174+K293*K174+L293*L174+M293*M174+N293*N174+O293*O174+P293*P174+Q293*Q174+R293*R174+S293*S174+T293*T174+U293*U174+V293*V174+W293*W174+X293*X174+Y293*Y174+Z293*Z174+AA293*AA174+AB293*AB174+AC293*AC174+AD293*AD174+AE293*AE174+AF293*AF174+AG293*AG174+AH293*AH174+AI293*AI174+AJ293*AJ174+AK293*AK174+AL293*AL174+AM293*AM174+AN293*AN174+AO293*AO174+AP293*AP174+AQ293*AQ174+AR293*AR174+AS293*AS174+AT293*AT174+AU293*AU174+AV293*AV174+AW293*AW174+AX293*AX174+AY293*AY174+AZ293*AZ174+BA293*BA174+BB293*BB174+BC293*BC174+BD293*BD174+BE293*BE174+BF293*BF174+BG293*BG174+BH293*BH174+BI293*BI174+BJ293*BJ174+BK293*BK174+BL293*BL174+BM293*BM174+BN293*BN174+BO293*BO174+BP293*BP174+BQ293*BQ174+BR293*BR174+BS293*BS174+BT293*BT174+BU293*BU174+BV293*BV174+BW293*BW174+BX293*BX174+BY293*BY174+BZ293*BZ174+CA293*CA174+CB293*CB174+CC293*CC174+CD293*CD174+CE293*CE174+CF293*CF174+CG293*CG174+CH293*CH174+CI293*CI174+CJ293*CJ174+CK293*CK174+CL293*CL174+CM293*CM174+CN293*CN174+CO293*CO174+CP293*CP174+CQ293*CQ174+CR293*CR174+CS293*CS174+CT293*CT174+CU293*CU174</f>
        <v>0</v>
      </c>
      <c r="DE174" s="2840">
        <f>E294*E174+F294*F174+G294*G174+H294*H174+I294*I174+J294*J174+K294*K174+L294*L174+M294*M174+N294*N174+O294*O174+P294*P174+Q294*Q174+R294*R174+S294*S174+T294*T174+U294*U174+V294*V174+W294*W174+X294*X174+Y294*Y174+Z294*Z174+AA294*AA174+AB294*AB174+AC294*AC174+AD294*AD174+AE294*AE174+AF294*AF174+AG294*AG174+AH294*AH174+AI294*AI174+AJ294*AJ174+AK294*AK174+AL294*AL174+AM294*AM174+AN294*AN174+AO294*AO174+AP294*AP174+AQ294*AQ174+AR294*AR174+AS294*AS174+AT294*AT174+AU294*AU174+AV294*AV174+AW294*AW174+AX294*AX174+AY294*AY174+AZ294*AZ174+BA294*BA174+BB294*BB174+BC294*BC174+BD294*BD174+BE294*BE174+BF294*BF174+BG294*BG174+BH294*BH174+BI294*BI174+BJ294*BJ174+BK294*BK174+BL294*BL174+BM294*BM174+BN294*BN174+BO294*BO174+BP294*BP174+BQ294*BQ174+BR294*BR174+BS294*BS174+BT294*BT174+BU294*BU174+BV294*BV174+BW294*BW174+BX294*BX174+BY294*BY174+BZ294*BZ174+CA294*CA174+CB294*CB174+CC294*CC174+CD294*CD174+CE294*CE174+CF294*CF174+CG294*CG174+CH294*CH174+CI294*CI174+CJ294*CJ174+CK294*CK174+CL294*CL174+CM294*CM174+CN294*CN174+CO294*CO174+CP294*CP174+CQ294*CQ174+CR294*CR174+CS294*CS174+CT294*CT174+CU294*CU174</f>
        <v>0</v>
      </c>
      <c r="DF174" s="2840">
        <f>E295*E174+F295*F174+G295*G174+H295*H174+I295*I174+J295*J174+K295*K174+L295*L174+M295*M174+N295*N174+O295*O174+P295*P174+Q295*Q174+R295*R174+S295*S174+T295*T174+U295*U174+V295*V174+W295*W174+X295*X174+Y295*Y174+Z295*Z174+AA295*AA174+AB295*AB174+AC295*AC174+AD295*AD174+AE295*AE174+AF295*AF174+AG295*AG174+AH295*AH174+AI295*AI174+AJ295*AJ174+AK295*AK174+AL295*AL174+AM295*AM174+AN295*AN174+AO295*AO174+AP295*AP174+AQ295*AQ174+AR295*AR174+AS295*AS174+AT295*AT174+AU295*AU174+AV295*AV174+AW295*AW174+AX295*AX174+AY295*AY174+AZ295*AZ174+BA295*BA174+BB295*BB174+BC295*BC174+BD295*BD174+BE295*BE174+BF295*BF174+BG295*BG174+BH295*BH174+BI295*BI174+BJ295*BJ174+BK295*BK174+BL295*BL174+BM295*BM174+BN295*BN174+BO295*BO174+BP295*BP174+BQ295*BQ174+BR295*BR174+BS295*BS174+BT295*BT174+BU295*BU174+BV295*BV174+BW295*BW174+BX295*BX174+BY295*BY174+BZ295*BZ174+CA295*CA174+CB295*CB174+CC295*CC174+CD295*CD174+CE295*CE174+CF295*CF174+CG295*CG174+CH295*CH174+CI295*CI174+CJ295*CJ174+CK295*CK174+CL295*CL174+CM295*CM174+CN295*CN174+CO295*CO174+CP295*CP174+CQ295*CQ174+CR295*CR174+CS295*CS174+CT295*CT174+CU295*CU174</f>
        <v>0</v>
      </c>
      <c r="DG174" s="2840">
        <f>E296*E174+F296*F174+G296*G174+H296*H174+I296*I174+J296*J174+K296*K174+L296*L174+M296*M174+N296*N174+O296*O174+P296*P174+Q296*Q174+R296*R174+S296*S174+T296*T174+U296*U174+V296*V174+W296*W174+X296*X174+Y296*Y174+Z296*Z174+AA296*AA174+AB296*AB174+AC296*AC174+AD296*AD174+AE296*AE174+AF296*AF174+AG296*AG174+AH296*AH174+AI296*AI174+AJ296*AJ174+AK296*AK174+AL296*AL174+AM296*AM174+AN296*AN174+AO296*AO174+AP296*AP174+AQ296*AQ174+AR296*AR174+AS296*AS174+AT296*AT174+AU296*AU174+AV296*AV174+AW296*AW174+AX296*AX174+AY296*AY174+AZ296*AZ174+BA296*BA174+BB296*BB174+BC296*BC174+BD296*BD174+BE296*BE174+BF296*BF174+BG296*BG174+BH296*BH174+BI296*BI174+BJ296*BJ174+BK296*BK174+BL296*BL174+BM296*BM174+BN296*BN174+BO296*BO174+BP296*BP174+BQ296*BQ174+BR296*BR174+BS296*BS174+BT296*BT174+BU296*BU174+BV296*BV174+BW296*BW174+BX296*BX174+BY296*BY174+BZ296*BZ174+CA296*CA174+CB296*CB174+CC296*CC174+CD296*CD174+CE296*CE174+CF296*CF174+CG296*CG174+CH296*CH174+CI296*CI174+CJ296*CJ174+CK296*CK174+CL296*CL174+CM296*CM174+CN296*CN174+CO296*CO174+CP296*CP174+CQ296*CQ174+CR296*CR174+CS296*CS174+CT296*CT174+CU296*CU174</f>
        <v>0</v>
      </c>
      <c r="DH174" s="2840">
        <f>E297*E174+F297*F174+G297*G174+H297*H174+I297*I174+J297*J174+K297*K174+L297*L174+M297*M174+N297*N174+O297*O174+P297*P174+Q297*Q174+R297*R174+S297*S174+T297*T174+U297*U174+V297*V174+W297*W174+X297*X174+Y297*Y174+Z297*Z174+AA297*AA174+AB297*AB174+AC297*AC174+AD297*AD174+AE297*AE174+AF297*AF174+AG297*AG174+AH297*AH174+AI297*AI174+AJ297*AJ174+AK297*AK174+AL297*AL174+AM297*AM174+AN297*AN174+AO297*AO174+AP297*AP174+AQ297*AQ174+AR297*AR174+AS297*AS174+AT297*AT174+AU297*AU174+AV297*AV174+AW297*AW174+AX297*AX174+AY297*AY174+AZ297*AZ174+BA297*BA174+BB297*BB174+BC297*BC174+BD297*BD174+BE297*BE174+BF297*BF174+BG297*BG174+BH297*BH174+BI297*BI174+BJ297*BJ174+BK297*BK174+BL297*BL174+BM297*BM174+BN297*BN174+BO297*BO174+BP297*BP174+BQ297*BQ174+BR297*BR174+BS297*BS174+BT297*BT174+BU297*BU174+BV297*BV174+BW297*BW174+BX297*BX174+BY297*BY174+BZ297*BZ174+CA297*CA174+CB297*CB174+CC297*CC174+CD297*CD174+CE297*CE174+CF297*CF174+CG297*CG174+CH297*CH174+CI297*CI174+CJ297*CJ174+CK297*CK174+CL297*CL174+CM297*CM174+CN297*CN174+CO297*CO174+CP297*CP174+CQ297*CQ174+CR297*CR174+CS297*CS174+CT297*CT174+CU297*CU174</f>
        <v>0</v>
      </c>
      <c r="DI174" s="2840">
        <f>E298*E174+F298*F174+G298*G174+H298*H174+I298*I174+J298*J174+K298*K174+L298*L174+M298*M174+N298*N174+O298*O174+P298*P174+Q298*Q174+R298*R174+S298*S174+T298*T174+U298*U174+V298*V174+W298*W174+X298*X174+Y298*Y174+Z298*Z174+AA298*AA174+AB298*AB174+AC298*AC174+AD298*AD174+AE298*AE174+AF298*AF174+AG298*AG174+AH298*AH174+AI298*AI174+AJ298*AJ174+AK298*AK174+AL298*AL174+AM298*AM174+AN298*AN174+AO298*AO174+AP298*AP174+AQ298*AQ174+AR298*AR174+AS298*AS174+AT298*AT174+AU298*AU174+AV298*AV174+AW298*AW174+AX298*AX174+AY298*AY174+AZ298*AZ174+BA298*BA174+BB298*BB174+BC298*BC174+BD298*BD174+BE298*BE174+BF298*BF174+BG298*BG174+BH298*BH174+BI298*BI174+BJ298*BJ174+BK298*BK174+BL298*BL174+BM298*BM174+BN298*BN174+BO298*BO174+BP298*BP174+BQ298*BQ174+BR298*BR174+BS298*BS174+BT298*BT174+BU298*BU174+BV298*BV174+BW298*BW174+BX298*BX174+BY298*BY174+BZ298*BZ174+CA298*CA174+CB298*CB174+CC298*CC174+CD298*CD174+CE298*CE174+CF298*CF174+CG298*CG174+CH298*CH174+CI298*CI174+CJ298*CJ174+CK298*CK174+CL298*CL174+CM298*CM174+CN298*CN174+CO298*CO174+CP298*CP174+CQ298*CQ174+CR298*CR174+CS298*CS174+CT298*CT174+CU298*CU174</f>
        <v>0</v>
      </c>
    </row>
    <row r="175" spans="2:113" ht="18" x14ac:dyDescent="0.25">
      <c r="B175" s="2489">
        <v>22</v>
      </c>
      <c r="C175" s="2406" t="s">
        <v>244</v>
      </c>
      <c r="D175" s="2407" t="s">
        <v>1659</v>
      </c>
      <c r="E175" s="3110">
        <f>0</f>
        <v>0</v>
      </c>
      <c r="F175" s="3110">
        <f>0</f>
        <v>0</v>
      </c>
      <c r="G175" s="3110">
        <f>0</f>
        <v>0</v>
      </c>
      <c r="H175" s="3110">
        <f>0</f>
        <v>0</v>
      </c>
      <c r="I175" s="3110">
        <f>0</f>
        <v>0</v>
      </c>
      <c r="J175" s="3110">
        <f>0</f>
        <v>0</v>
      </c>
      <c r="K175" s="3110">
        <f>0</f>
        <v>0</v>
      </c>
      <c r="L175" s="3110">
        <f>0</f>
        <v>0</v>
      </c>
      <c r="M175" s="3110">
        <f>0</f>
        <v>0</v>
      </c>
      <c r="N175" s="3112">
        <f>-1/Y_PAO_PHA_ox</f>
        <v>-1.5649452269170578</v>
      </c>
      <c r="O175" s="3112">
        <f>0</f>
        <v>0</v>
      </c>
      <c r="P175" s="3110">
        <f>0</f>
        <v>0</v>
      </c>
      <c r="Q175" s="3110">
        <f>0</f>
        <v>0</v>
      </c>
      <c r="R175" s="3110">
        <f>0</f>
        <v>0</v>
      </c>
      <c r="S175" s="3110">
        <f>1</f>
        <v>1</v>
      </c>
      <c r="T175" s="3110">
        <f>0</f>
        <v>0</v>
      </c>
      <c r="U175" s="3110">
        <f>0</f>
        <v>0</v>
      </c>
      <c r="V175" s="3110">
        <f>0</f>
        <v>0</v>
      </c>
      <c r="W175" s="3110">
        <f>0</f>
        <v>0</v>
      </c>
      <c r="X175" s="3110">
        <f>0</f>
        <v>0</v>
      </c>
      <c r="Y175" s="3110">
        <f>0</f>
        <v>0</v>
      </c>
      <c r="Z175" s="3110">
        <f>0</f>
        <v>0</v>
      </c>
      <c r="AA175" s="3110">
        <f>0</f>
        <v>0</v>
      </c>
      <c r="AB175" s="3110">
        <f>0</f>
        <v>0</v>
      </c>
      <c r="AC175" s="3110">
        <f>0</f>
        <v>0</v>
      </c>
      <c r="AD175" s="3110">
        <f>-i_N_BIO</f>
        <v>-7.0000000000000007E-2</v>
      </c>
      <c r="AE175" s="3110">
        <f>0</f>
        <v>0</v>
      </c>
      <c r="AF175" s="3110">
        <f>0</f>
        <v>0</v>
      </c>
      <c r="AG175" s="3110">
        <f>0</f>
        <v>0</v>
      </c>
      <c r="AH175" s="3110">
        <f>0</f>
        <v>0</v>
      </c>
      <c r="AI175" s="3110">
        <f>0</f>
        <v>0</v>
      </c>
      <c r="AJ175" s="3110">
        <f>0</f>
        <v>0</v>
      </c>
      <c r="AK175" s="3110">
        <f>0</f>
        <v>0</v>
      </c>
      <c r="AL175" s="3112">
        <f>0</f>
        <v>0</v>
      </c>
      <c r="AM175" s="3112">
        <f>-i_P_BIO</f>
        <v>-0.02</v>
      </c>
      <c r="AN175" s="3110">
        <f>0</f>
        <v>0</v>
      </c>
      <c r="AO175" s="3110">
        <f>0</f>
        <v>0</v>
      </c>
      <c r="AP175" s="3110">
        <f>0</f>
        <v>0</v>
      </c>
      <c r="AQ175" s="3110">
        <f>0</f>
        <v>0</v>
      </c>
      <c r="AR175" s="3112">
        <f>-(1-Y_PAO_PHA_ox)/Y_PAO_PHA_ox</f>
        <v>-0.56494522691705784</v>
      </c>
      <c r="AS175" s="3112">
        <f>0</f>
        <v>0</v>
      </c>
      <c r="AT175" s="3112">
        <f>0</f>
        <v>0</v>
      </c>
      <c r="AU175" s="3112">
        <f>(i_CIT_PHA/Y_PAO_PHA_ox)-i_CIT_BIO</f>
        <v>0.16912676056338027</v>
      </c>
      <c r="AV175" s="3112">
        <f>i_INORG</f>
        <v>0.11</v>
      </c>
      <c r="AW175" s="3112">
        <f>-i_INORG*(1-i_Ca_INORG*(A_MCa+2*A_MCl)/A_MCa-i_Mg_INORG*(A_MMg+2*A_MCl)/A_MMg)*f_Na</f>
        <v>-2.8804303582798466E-2</v>
      </c>
      <c r="AX175" s="3112">
        <f>-i_INORG*(i_Ca_INORG*(2*A_MCl)/A_MCa+i_Mg_INORG*(2*A_MCl)/A_MMg)-i_INORG*(1-i_Ca_INORG*(A_MCa+2*A_MCl)/A_MCa-i_Mg_INORG*(A_MMg+2*A_MCl)/A_MMg)*(1-f_Na)</f>
        <v>-7.0195696417201539E-2</v>
      </c>
      <c r="AY175" s="3112">
        <f>-i_INORG*i_Ca_INORG+i_Ca_PP*A_MCa/A_MP*i_P_BIO</f>
        <v>-2.9121322594773459E-3</v>
      </c>
      <c r="AZ175" s="3112">
        <f>-i_INORG*i_Mg_INORG+i_Mg_PP*A_MMg/A_MP*i_P_BIO</f>
        <v>-7.1251305726128047E-6</v>
      </c>
      <c r="BA175" s="3112">
        <f>i_K_PP*A_MK/A_MP*i_P_BIO</f>
        <v>2.5246077468755158E-3</v>
      </c>
      <c r="BB175" s="3112">
        <f>0</f>
        <v>0</v>
      </c>
      <c r="BC175" s="3112">
        <f>-i_S_BIO</f>
        <v>-0.01</v>
      </c>
      <c r="BD175" s="3112">
        <f>0</f>
        <v>0</v>
      </c>
      <c r="BE175" s="3112">
        <f>0</f>
        <v>0</v>
      </c>
      <c r="BF175" s="3112">
        <f>0</f>
        <v>0</v>
      </c>
      <c r="BG175" s="3112">
        <f>0</f>
        <v>0</v>
      </c>
      <c r="BH175" s="3112">
        <f>0</f>
        <v>0</v>
      </c>
      <c r="BI175" s="3112">
        <f>0</f>
        <v>0</v>
      </c>
      <c r="BJ175" s="3112">
        <f>0</f>
        <v>0</v>
      </c>
      <c r="BK175" s="3112">
        <f>0</f>
        <v>0</v>
      </c>
      <c r="BL175" s="3112">
        <f>0</f>
        <v>0</v>
      </c>
      <c r="BM175" s="3112">
        <f>0</f>
        <v>0</v>
      </c>
      <c r="BN175" s="3112">
        <f>0</f>
        <v>0</v>
      </c>
      <c r="BO175" s="3112">
        <f>0</f>
        <v>0</v>
      </c>
      <c r="BP175" s="3112">
        <f>0</f>
        <v>0</v>
      </c>
      <c r="BQ175" s="3112">
        <f>0</f>
        <v>0</v>
      </c>
      <c r="BR175" s="3112">
        <f>0</f>
        <v>0</v>
      </c>
      <c r="BS175" s="3112">
        <f>0</f>
        <v>0</v>
      </c>
      <c r="BT175" s="3112">
        <f>0</f>
        <v>0</v>
      </c>
      <c r="BU175" s="3112">
        <f>0</f>
        <v>0</v>
      </c>
      <c r="BV175" s="3112">
        <f>0</f>
        <v>0</v>
      </c>
      <c r="BW175" s="3112">
        <f>0</f>
        <v>0</v>
      </c>
      <c r="BX175" s="3112">
        <f>0</f>
        <v>0</v>
      </c>
      <c r="BY175" s="3112">
        <f>0</f>
        <v>0</v>
      </c>
      <c r="BZ175" s="3188">
        <f>0</f>
        <v>0</v>
      </c>
      <c r="CA175" s="3188">
        <f>0</f>
        <v>0</v>
      </c>
      <c r="CB175" s="3188">
        <f>0</f>
        <v>0</v>
      </c>
      <c r="CC175" s="3188">
        <f>0</f>
        <v>0</v>
      </c>
      <c r="CD175" s="3112">
        <f>0</f>
        <v>0</v>
      </c>
      <c r="CE175" s="3112">
        <f>0</f>
        <v>0</v>
      </c>
      <c r="CF175" s="3112">
        <f>0</f>
        <v>0</v>
      </c>
      <c r="CG175" s="3112">
        <f>0</f>
        <v>0</v>
      </c>
      <c r="CH175" s="3112">
        <f>0</f>
        <v>0</v>
      </c>
      <c r="CI175" s="3112">
        <f>0</f>
        <v>0</v>
      </c>
      <c r="CJ175" s="3112">
        <f>0</f>
        <v>0</v>
      </c>
      <c r="CK175" s="3112">
        <f>0</f>
        <v>0</v>
      </c>
      <c r="CL175" s="3112">
        <f>0</f>
        <v>0</v>
      </c>
      <c r="CM175" s="3112">
        <f>0</f>
        <v>0</v>
      </c>
      <c r="CN175" s="3112">
        <f>0</f>
        <v>0</v>
      </c>
      <c r="CO175" s="3112">
        <f>0</f>
        <v>0</v>
      </c>
      <c r="CP175" s="3112">
        <f>0</f>
        <v>0</v>
      </c>
      <c r="CQ175" s="3112">
        <f>0</f>
        <v>0</v>
      </c>
      <c r="CR175" s="3112">
        <f>0</f>
        <v>0</v>
      </c>
      <c r="CS175" s="3112">
        <f>0</f>
        <v>0</v>
      </c>
      <c r="CT175" s="3112">
        <f>0</f>
        <v>0</v>
      </c>
      <c r="CU175" s="3112">
        <f>0</f>
        <v>0</v>
      </c>
      <c r="CV175" s="3222">
        <f>µ_PAO_lim_T*X_PAO*M_RsatXPHA_XPAO_KPHA*M_satSO2_KO2_CASTO*M_satSNHx_KNHx_BIO*M_inhSPO4_KiPO4_lim*M_satXPP_KPP_lim*M_satSCAT_KCAT*M_satSAN_KAN*M_satSCa_KCa*M_satSMg_KMg*M_satSSO4_KSO4_BIO*B_ellinhpH</f>
        <v>1.6757920224165124</v>
      </c>
      <c r="CX175" s="2838">
        <f>E287*E175+F287*F175+G287*G175+H287*H175+I287*I175+J287*J175+K287*K175+L287*L175+M287*M175+N287*N175+O287*O175+P287*P175+Q287*Q175+R287*R175+S287*S175+T287*T175+U287*U175+V287*V175+W287*W175+X287*X175+Y287*Y175+Z287*Z175+AA287*AA175+AB287*AB175+AC287*AC175+AD287*AD175+AE287*AE175+AF287*AF175+AG287*AG175+AH287*AH175+AI287*AI175+AJ287*AJ175+AK287*AK175+AL287*AL175+AM287*AM175+AN287*AN175+AO287*AO175+AP287*AP175+AQ287*AQ175+AR287*AR175+AS287*AS175+AT287*AT175+AU287*AU175+AV287*AV175+AW287*AW175+AX287*AX175+AY287*AY175+AZ287*AZ175+BA287*BA175+BB287*BB175+BC287*BC175+BD287*BD175+BE287*BE175+BF287*BF175+BG287*BG175+BH287*BH175+BI287*BI175+BJ287*BJ175+BK287*BK175+BL287*BL175+BM287*BM175+BN287*BN175+BO287*BO175+BP287*BP175+BQ287*BQ175+BR287*BR175+BS287*BS175+BT287*BT175+BU287*BU175+BV287*BV175+BW287*BW175+BX287*BX175+BY287*BY175+BZ287*BZ175+CA287*CA175+CB287*CB175+CC287*CC175+CD287*CD175+CE287*CE175+CF287*CF175+CG287*CG175+CH287*CH175+CI287*CI175+CJ287*CJ175+CK287*CK175+CL287*CL175+CM287*CM175+CN287*CN175+CO287*CO175+CP287*CP175+CQ287*CQ175+CR287*CR175+CS287*CS175+CT287*CT175+CU287*CU175</f>
        <v>0</v>
      </c>
      <c r="CY175" s="2838">
        <f>E288*E175+F288*F175+G288*G175+H288*H175+I288*I175+J288*J175+K288*K175+L288*L175+M288*M175+N288*N175+O288*O175+P288*P175+Q288*Q175+R288*R175+S288*S175+T288*T175+U288*U175+V288*V175+W288*W175+X288*X175+Y288*Y175+Z288*Z175+AA288*AA175+AB288*AB175+AC288*AC175+AD288*AD175+AE288*AE175+AF288*AF175+AG288*AG175+AH288*AH175+AI288*AI175+AJ288*AJ175+AK288*AK175+AL288*AL175+AM288*AM175+AN288*AN175+AO288*AO175+AP288*AP175+AQ288*AQ175+AR288*AR175+AS288*AS175+AT288*AT175+AU288*AU175+AV288*AV175+AW288*AW175+AX288*AX175+AY288*AY175+AZ288*AZ175+BA288*BA175+BB288*BB175+BC288*BC175+BD288*BD175+BE288*BE175+BF288*BF175+BG288*BG175+BH288*BH175+BI288*BI175+BJ288*BJ175+BK288*BK175+BL288*BL175+BM288*BM175+BN288*BN175+BO288*BO175+BP288*BP175+BQ288*BQ175+BR288*BR175+BS288*BS175+BT288*BT175+BU288*BU175+BV288*BV175+BW288*BW175+BX288*BX175+BY288*BY175+BZ288*BZ175+CA288*CA175+CB288*CB175+CC288*CC175+CD288*CD175+CE288*CE175+CF288*CF175+CG288*CG175+CH288*CH175+CI288*CI175+CJ288*CJ175+CK288*CK175+CL288*CL175+CM288*CM175+CN288*CN175+CO288*CO175+CP288*CP175+CQ288*CQ175+CR288*CR175+CS288*CS175+CT288*CT175+CU288*CU175</f>
        <v>0</v>
      </c>
      <c r="CZ175" s="2839">
        <f>E289*E175+F289*F175+G289*G175+H289*H175+I289*I175+J289*J175+K289*K175+L289*L175+M289*M175+N289*N175+O289*O175+P289*P175+Q289*Q175+R289*R175+S289*S175+T289*T175+U289*U175+V289*V175+W289*W175+X289*X175+Y289*Y175+Z289*Z175+AA289*AA175+AB289*AB175+AC289*AC175+AD289*AD175+AE289*AE175+AF289*AF175+AG289*AG175+AH289*AH175+AI289*AI175+AJ289*AJ175+AK289*AK175+AL289*AL175+AM289*AM175+AN289*AN175+AO289*AO175+AP289*AP175+AQ289*AQ175+AR289*AR175+AS289*AS175+AT289*AT175+AU289*AU175+AV289*AV175+AW289*AW175+AX289*AX175+AY289*AY175+AZ289*AZ175+BA289*BA175+BB289*BB175+BC289*BC175+BD289*BD175+BE289*BE175+BF289*BF175+BG289*BG175+BH289*BH175+BI289*BI175+BJ289*BJ175+BK289*BK175+BL289*BL175+BM289*BM175+BN289*BN175+BO289*BO175+BP289*BP175+BQ289*BQ175+BR289*BR175+BS289*BS175+BT289*BT175+BU289*BU175+BV289*BV175+BW289*BW175+BX289*BX175+BY289*BY175+BZ289*BZ175+CA289*CA175+CB289*CB175+CC289*CC175+CD289*CD175+CE289*CE175+CF289*CF175+CG289*CG175+CH289*CH175+CI289*CI175+CJ289*CJ175+CK289*CK175+CL289*CL175+CM289*CM175+CN289*CN175+CO289*CO175+CP289*CP175+CQ289*CQ175+CR289*CR175+CS289*CS175+CT289*CT175+CU289*CU175</f>
        <v>0</v>
      </c>
      <c r="DA175" s="2840">
        <f>E290*E175+F290*F175+G290*G175+H290*H175+I290*I175+J290*J175+K290*K175+L290*L175+M290*M175+N290*N175+O290*O175+P290*P175+Q290*Q175+R290*R175+S290*S175+T290*T175+U290*U175+V290*V175+W290*W175+X290*X175+Y290*Y175+Z290*Z175+AA290*AA175+AB290*AB175+AC290*AC175+AD290*AD175+AE290*AE175+AF290*AF175+AG290*AG175+AH290*AH175+AI290*AI175+AJ290*AJ175+AK290*AK175+AL290*AL175+AM290*AM175+AN290*AN175+AO290*AO175+AP290*AP175+AQ290*AQ175+AR290*AR175+AS290*AS175+AT290*AT175+AU290*AU175+AV290*AV175+AW290*AW175+AX290*AX175+AY290*AY175+AZ290*AZ175+BA290*BA175+BB290*BB175+BC290*BC175+BD290*BD175+BE290*BE175+BF290*BF175+BG290*BG175+BH290*BH175+BI290*BI175+BJ290*BJ175+BK290*BK175+BL290*BL175+BM290*BM175+BN290*BN175+BO290*BO175+BP290*BP175+BQ290*BQ175+BR290*BR175+BS290*BS175+BT290*BT175+BU290*BU175+BV290*BV175+BW290*BW175+BX290*BX175+BY290*BY175+BZ290*BZ175+CA290*CA175+CB290*CB175+CC290*CC175+CD290*CD175+CE290*CE175+CF290*CF175+CG290*CG175+CH290*CH175+CI290*CI175+CJ290*CJ175+CK290*CK175+CL290*CL175+CM290*CM175+CN290*CN175+CO290*CO175+CP290*CP175+CQ290*CQ175+CR290*CR175+CS290*CS175+CT290*CT175+CU290*CU175</f>
        <v>0</v>
      </c>
      <c r="DB175" s="2840">
        <f>E291*E175+F291*F175+G291*G175+H291*H175+I291*I175+J291*J175+K291*K175+L291*L175+M291*M175+N291*N175+O291*O175+P291*P175+Q291*Q175+R291*R175+S291*S175+T291*T175+U291*U175+V291*V175+W291*W175+X291*X175+Y291*Y175+Z291*Z175+AA291*AA175+AB291*AB175+AC291*AC175+AD291*AD175+AE291*AE175+AF291*AF175+AG291*AG175+AH291*AH175+AI291*AI175+AJ291*AJ175+AK291*AK175+AL291*AL175+AM291*AM175+AN291*AN175+AO291*AO175+AP291*AP175+AQ291*AQ175+AR291*AR175+AS291*AS175+AT291*AT175+AU291*AU175+AV291*AV175+AW291*AW175+AX291*AX175+AY291*AY175+AZ291*AZ175+BA291*BA175+BB291*BB175+BC291*BC175+BD291*BD175+BE291*BE175+BF291*BF175+BG291*BG175+BH291*BH175+BI291*BI175+BJ291*BJ175+BK291*BK175+BL291*BL175+BM291*BM175+BN291*BN175+BO291*BO175+BP291*BP175+BQ291*BQ175+BR291*BR175+BS291*BS175+BT291*BT175+BU291*BU175+BV291*BV175+BW291*BW175+BX291*BX175+BY291*BY175+BZ291*BZ175+CA291*CA175+CB291*CB175+CC291*CC175+CD291*CD175+CE291*CE175+CF291*CF175+CG291*CG175+CH291*CH175+CI291*CI175+CJ291*CJ175+CK291*CK175+CL291*CL175+CM291*CM175+CN291*CN175+CO291*CO175+CP291*CP175+CQ291*CQ175+CR291*CR175+CS291*CS175+CT291*CT175+CU291*CU175</f>
        <v>0</v>
      </c>
      <c r="DC175" s="2840">
        <f>E292*E175+F292*F175+G292*G175+H292*H175+I292*I175+J292*J175+K292*K175+L292*L175+M292*M175+N292*N175+O292*O175+P292*P175+Q292*Q175+R292*R175+S292*S175+T292*T175+U292*U175+V292*V175+W292*W175+X292*X175+Y292*Y175+Z292*Z175+AA292*AA175+AB292*AB175+AC292*AC175+AD292*AD175+AE292*AE175+AF292*AF175+AG292*AG175+AH292*AH175+AI292*AI175+AJ292*AJ175+AK292*AK175+AL292*AL175+AM292*AM175+AN292*AN175+AO292*AO175+AP292*AP175+AQ292*AQ175+AR292*AR175+AS292*AS175+AT292*AT175+AU292*AU175+AV292*AV175+AW292*AW175+AX292*AX175+AY292*AY175+AZ292*AZ175+BA292*BA175+BB292*BB175+BC292*BC175+BD292*BD175+BE292*BE175+BF292*BF175+BG292*BG175+BH292*BH175+BI292*BI175+BJ292*BJ175+BK292*BK175+BL292*BL175+BM292*BM175+BN292*BN175+BO292*BO175+BP292*BP175+BQ292*BQ175+BR292*BR175+BS292*BS175+BT292*BT175+BU292*BU175+BV292*BV175+BW292*BW175+BX292*BX175+BY292*BY175+BZ292*BZ175+CA292*CA175+CB292*CB175+CC292*CC175+CD292*CD175+CE292*CE175+CF292*CF175+CG292*CG175+CH292*CH175+CI292*CI175+CJ292*CJ175+CK292*CK175+CL292*CL175+CM292*CM175+CN292*CN175+CO292*CO175+CP292*CP175+CQ292*CQ175+CR292*CR175+CS292*CS175+CT292*CT175+CU292*CU175</f>
        <v>0</v>
      </c>
      <c r="DD175" s="2840">
        <f>E293*E175+F293*F175+G293*G175+H293*H175+I293*I175+J293*J175+K293*K175+L293*L175+M293*M175+N293*N175+O293*O175+P293*P175+Q293*Q175+R293*R175+S293*S175+T293*T175+U293*U175+V293*V175+W293*W175+X293*X175+Y293*Y175+Z293*Z175+AA293*AA175+AB293*AB175+AC293*AC175+AD293*AD175+AE293*AE175+AF293*AF175+AG293*AG175+AH293*AH175+AI293*AI175+AJ293*AJ175+AK293*AK175+AL293*AL175+AM293*AM175+AN293*AN175+AO293*AO175+AP293*AP175+AQ293*AQ175+AR293*AR175+AS293*AS175+AT293*AT175+AU293*AU175+AV293*AV175+AW293*AW175+AX293*AX175+AY293*AY175+AZ293*AZ175+BA293*BA175+BB293*BB175+BC293*BC175+BD293*BD175+BE293*BE175+BF293*BF175+BG293*BG175+BH293*BH175+BI293*BI175+BJ293*BJ175+BK293*BK175+BL293*BL175+BM293*BM175+BN293*BN175+BO293*BO175+BP293*BP175+BQ293*BQ175+BR293*BR175+BS293*BS175+BT293*BT175+BU293*BU175+BV293*BV175+BW293*BW175+BX293*BX175+BY293*BY175+BZ293*BZ175+CA293*CA175+CB293*CB175+CC293*CC175+CD293*CD175+CE293*CE175+CF293*CF175+CG293*CG175+CH293*CH175+CI293*CI175+CJ293*CJ175+CK293*CK175+CL293*CL175+CM293*CM175+CN293*CN175+CO293*CO175+CP293*CP175+CQ293*CQ175+CR293*CR175+CS293*CS175+CT293*CT175+CU293*CU175</f>
        <v>0</v>
      </c>
      <c r="DE175" s="2840">
        <f>E294*E175+F294*F175+G294*G175+H294*H175+I294*I175+J294*J175+K294*K175+L294*L175+M294*M175+N294*N175+O294*O175+P294*P175+Q294*Q175+R294*R175+S294*S175+T294*T175+U294*U175+V294*V175+W294*W175+X294*X175+Y294*Y175+Z294*Z175+AA294*AA175+AB294*AB175+AC294*AC175+AD294*AD175+AE294*AE175+AF294*AF175+AG294*AG175+AH294*AH175+AI294*AI175+AJ294*AJ175+AK294*AK175+AL294*AL175+AM294*AM175+AN294*AN175+AO294*AO175+AP294*AP175+AQ294*AQ175+AR294*AR175+AS294*AS175+AT294*AT175+AU294*AU175+AV294*AV175+AW294*AW175+AX294*AX175+AY294*AY175+AZ294*AZ175+BA294*BA175+BB294*BB175+BC294*BC175+BD294*BD175+BE294*BE175+BF294*BF175+BG294*BG175+BH294*BH175+BI294*BI175+BJ294*BJ175+BK294*BK175+BL294*BL175+BM294*BM175+BN294*BN175+BO294*BO175+BP294*BP175+BQ294*BQ175+BR294*BR175+BS294*BS175+BT294*BT175+BU294*BU175+BV294*BV175+BW294*BW175+BX294*BX175+BY294*BY175+BZ294*BZ175+CA294*CA175+CB294*CB175+CC294*CC175+CD294*CD175+CE294*CE175+CF294*CF175+CG294*CG175+CH294*CH175+CI294*CI175+CJ294*CJ175+CK294*CK175+CL294*CL175+CM294*CM175+CN294*CN175+CO294*CO175+CP294*CP175+CQ294*CQ175+CR294*CR175+CS294*CS175+CT294*CT175+CU294*CU175</f>
        <v>0</v>
      </c>
      <c r="DF175" s="2840">
        <f>E295*E175+F295*F175+G295*G175+H295*H175+I295*I175+J295*J175+K295*K175+L295*L175+M295*M175+N295*N175+O295*O175+P295*P175+Q295*Q175+R295*R175+S295*S175+T295*T175+U295*U175+V295*V175+W295*W175+X295*X175+Y295*Y175+Z295*Z175+AA295*AA175+AB295*AB175+AC295*AC175+AD295*AD175+AE295*AE175+AF295*AF175+AG295*AG175+AH295*AH175+AI295*AI175+AJ295*AJ175+AK295*AK175+AL295*AL175+AM295*AM175+AN295*AN175+AO295*AO175+AP295*AP175+AQ295*AQ175+AR295*AR175+AS295*AS175+AT295*AT175+AU295*AU175+AV295*AV175+AW295*AW175+AX295*AX175+AY295*AY175+AZ295*AZ175+BA295*BA175+BB295*BB175+BC295*BC175+BD295*BD175+BE295*BE175+BF295*BF175+BG295*BG175+BH295*BH175+BI295*BI175+BJ295*BJ175+BK295*BK175+BL295*BL175+BM295*BM175+BN295*BN175+BO295*BO175+BP295*BP175+BQ295*BQ175+BR295*BR175+BS295*BS175+BT295*BT175+BU295*BU175+BV295*BV175+BW295*BW175+BX295*BX175+BY295*BY175+BZ295*BZ175+CA295*CA175+CB295*CB175+CC295*CC175+CD295*CD175+CE295*CE175+CF295*CF175+CG295*CG175+CH295*CH175+CI295*CI175+CJ295*CJ175+CK295*CK175+CL295*CL175+CM295*CM175+CN295*CN175+CO295*CO175+CP295*CP175+CQ295*CQ175+CR295*CR175+CS295*CS175+CT295*CT175+CU295*CU175</f>
        <v>0</v>
      </c>
      <c r="DG175" s="2840">
        <f>E296*E175+F296*F175+G296*G175+H296*H175+I296*I175+J296*J175+K296*K175+L296*L175+M296*M175+N296*N175+O296*O175+P296*P175+Q296*Q175+R296*R175+S296*S175+T296*T175+U296*U175+V296*V175+W296*W175+X296*X175+Y296*Y175+Z296*Z175+AA296*AA175+AB296*AB175+AC296*AC175+AD296*AD175+AE296*AE175+AF296*AF175+AG296*AG175+AH296*AH175+AI296*AI175+AJ296*AJ175+AK296*AK175+AL296*AL175+AM296*AM175+AN296*AN175+AO296*AO175+AP296*AP175+AQ296*AQ175+AR296*AR175+AS296*AS175+AT296*AT175+AU296*AU175+AV296*AV175+AW296*AW175+AX296*AX175+AY296*AY175+AZ296*AZ175+BA296*BA175+BB296*BB175+BC296*BC175+BD296*BD175+BE296*BE175+BF296*BF175+BG296*BG175+BH296*BH175+BI296*BI175+BJ296*BJ175+BK296*BK175+BL296*BL175+BM296*BM175+BN296*BN175+BO296*BO175+BP296*BP175+BQ296*BQ175+BR296*BR175+BS296*BS175+BT296*BT175+BU296*BU175+BV296*BV175+BW296*BW175+BX296*BX175+BY296*BY175+BZ296*BZ175+CA296*CA175+CB296*CB175+CC296*CC175+CD296*CD175+CE296*CE175+CF296*CF175+CG296*CG175+CH296*CH175+CI296*CI175+CJ296*CJ175+CK296*CK175+CL296*CL175+CM296*CM175+CN296*CN175+CO296*CO175+CP296*CP175+CQ296*CQ175+CR296*CR175+CS296*CS175+CT296*CT175+CU296*CU175</f>
        <v>0</v>
      </c>
      <c r="DH175" s="2840">
        <f>E297*E175+F297*F175+G297*G175+H297*H175+I297*I175+J297*J175+K297*K175+L297*L175+M297*M175+N297*N175+O297*O175+P297*P175+Q297*Q175+R297*R175+S297*S175+T297*T175+U297*U175+V297*V175+W297*W175+X297*X175+Y297*Y175+Z297*Z175+AA297*AA175+AB297*AB175+AC297*AC175+AD297*AD175+AE297*AE175+AF297*AF175+AG297*AG175+AH297*AH175+AI297*AI175+AJ297*AJ175+AK297*AK175+AL297*AL175+AM297*AM175+AN297*AN175+AO297*AO175+AP297*AP175+AQ297*AQ175+AR297*AR175+AS297*AS175+AT297*AT175+AU297*AU175+AV297*AV175+AW297*AW175+AX297*AX175+AY297*AY175+AZ297*AZ175+BA297*BA175+BB297*BB175+BC297*BC175+BD297*BD175+BE297*BE175+BF297*BF175+BG297*BG175+BH297*BH175+BI297*BI175+BJ297*BJ175+BK297*BK175+BL297*BL175+BM297*BM175+BN297*BN175+BO297*BO175+BP297*BP175+BQ297*BQ175+BR297*BR175+BS297*BS175+BT297*BT175+BU297*BU175+BV297*BV175+BW297*BW175+BX297*BX175+BY297*BY175+BZ297*BZ175+CA297*CA175+CB297*CB175+CC297*CC175+CD297*CD175+CE297*CE175+CF297*CF175+CG297*CG175+CH297*CH175+CI297*CI175+CJ297*CJ175+CK297*CK175+CL297*CL175+CM297*CM175+CN297*CN175+CO297*CO175+CP297*CP175+CQ297*CQ175+CR297*CR175+CS297*CS175+CT297*CT175+CU297*CU175</f>
        <v>0</v>
      </c>
      <c r="DI175" s="2840">
        <f>E298*E175+F298*F175+G298*G175+H298*H175+I298*I175+J298*J175+K298*K175+L298*L175+M298*M175+N298*N175+O298*O175+P298*P175+Q298*Q175+R298*R175+S298*S175+T298*T175+U298*U175+V298*V175+W298*W175+X298*X175+Y298*Y175+Z298*Z175+AA298*AA175+AB298*AB175+AC298*AC175+AD298*AD175+AE298*AE175+AF298*AF175+AG298*AG175+AH298*AH175+AI298*AI175+AJ298*AJ175+AK298*AK175+AL298*AL175+AM298*AM175+AN298*AN175+AO298*AO175+AP298*AP175+AQ298*AQ175+AR298*AR175+AS298*AS175+AT298*AT175+AU298*AU175+AV298*AV175+AW298*AW175+AX298*AX175+AY298*AY175+AZ298*AZ175+BA298*BA175+BB298*BB175+BC298*BC175+BD298*BD175+BE298*BE175+BF298*BF175+BG298*BG175+BH298*BH175+BI298*BI175+BJ298*BJ175+BK298*BK175+BL298*BL175+BM298*BM175+BN298*BN175+BO298*BO175+BP298*BP175+BQ298*BQ175+BR298*BR175+BS298*BS175+BT298*BT175+BU298*BU175+BV298*BV175+BW298*BW175+BX298*BX175+BY298*BY175+BZ298*BZ175+CA298*CA175+CB298*CB175+CC298*CC175+CD298*CD175+CE298*CE175+CF298*CF175+CG298*CG175+CH298*CH175+CI298*CI175+CJ298*CJ175+CK298*CK175+CL298*CL175+CM298*CM175+CN298*CN175+CO298*CO175+CP298*CP175+CQ298*CQ175+CR298*CR175+CS298*CS175+CT298*CT175+CU298*CU175</f>
        <v>0</v>
      </c>
    </row>
    <row r="176" spans="2:113" ht="18" x14ac:dyDescent="0.25">
      <c r="B176" s="2489">
        <v>23</v>
      </c>
      <c r="C176" s="2406" t="s">
        <v>245</v>
      </c>
      <c r="D176" s="2407" t="s">
        <v>2229</v>
      </c>
      <c r="E176" s="3110">
        <f>0</f>
        <v>0</v>
      </c>
      <c r="F176" s="3110">
        <f>0</f>
        <v>0</v>
      </c>
      <c r="G176" s="3110">
        <f>0</f>
        <v>0</v>
      </c>
      <c r="H176" s="3110">
        <f>0</f>
        <v>0</v>
      </c>
      <c r="I176" s="3110">
        <f>0</f>
        <v>0</v>
      </c>
      <c r="J176" s="3110">
        <f>0</f>
        <v>0</v>
      </c>
      <c r="K176" s="3110">
        <f>0</f>
        <v>0</v>
      </c>
      <c r="L176" s="3110">
        <f>0</f>
        <v>0</v>
      </c>
      <c r="M176" s="3110">
        <f>0</f>
        <v>0</v>
      </c>
      <c r="N176" s="3112">
        <f>-1/Y_PAO_PHA_anox</f>
        <v>-1.9230769230769229</v>
      </c>
      <c r="O176" s="3112">
        <f>0</f>
        <v>0</v>
      </c>
      <c r="P176" s="3110">
        <f>0</f>
        <v>0</v>
      </c>
      <c r="Q176" s="3110">
        <f>0</f>
        <v>0</v>
      </c>
      <c r="R176" s="3110">
        <f>0</f>
        <v>0</v>
      </c>
      <c r="S176" s="3110">
        <f>1</f>
        <v>1</v>
      </c>
      <c r="T176" s="3110">
        <f>0</f>
        <v>0</v>
      </c>
      <c r="U176" s="3110">
        <f>0</f>
        <v>0</v>
      </c>
      <c r="V176" s="3110">
        <f>0</f>
        <v>0</v>
      </c>
      <c r="W176" s="3110">
        <f>0</f>
        <v>0</v>
      </c>
      <c r="X176" s="3110">
        <f>0</f>
        <v>0</v>
      </c>
      <c r="Y176" s="3110">
        <f>0</f>
        <v>0</v>
      </c>
      <c r="Z176" s="3110">
        <f>0</f>
        <v>0</v>
      </c>
      <c r="AA176" s="3110">
        <f>0</f>
        <v>0</v>
      </c>
      <c r="AB176" s="3110">
        <f>0</f>
        <v>0</v>
      </c>
      <c r="AC176" s="3110">
        <f>0</f>
        <v>0</v>
      </c>
      <c r="AD176" s="3110">
        <f>-i_N_BIO</f>
        <v>-7.0000000000000007E-2</v>
      </c>
      <c r="AE176" s="3112">
        <f>-(1-Y_PAO_PHA_anox)/(E_EQN2_NO2*Y_PAO_PHA_anox)</f>
        <v>-0.53873943349798692</v>
      </c>
      <c r="AF176" s="3112">
        <f>0</f>
        <v>0</v>
      </c>
      <c r="AG176" s="3112">
        <f>(1-Y_PAO_PHA_anox)/(E_EQN2_NO2*Y_PAO_PHA_anox)</f>
        <v>0.53873943349798692</v>
      </c>
      <c r="AH176" s="3110">
        <f>0</f>
        <v>0</v>
      </c>
      <c r="AI176" s="3110">
        <f>0</f>
        <v>0</v>
      </c>
      <c r="AJ176" s="3110">
        <f>0</f>
        <v>0</v>
      </c>
      <c r="AK176" s="3110">
        <f>0</f>
        <v>0</v>
      </c>
      <c r="AL176" s="3112">
        <f>0</f>
        <v>0</v>
      </c>
      <c r="AM176" s="3112">
        <f>-i_P_BIO</f>
        <v>-0.02</v>
      </c>
      <c r="AN176" s="3110">
        <f>0</f>
        <v>0</v>
      </c>
      <c r="AO176" s="3110">
        <f>0</f>
        <v>0</v>
      </c>
      <c r="AP176" s="3110">
        <f>0</f>
        <v>0</v>
      </c>
      <c r="AQ176" s="3110">
        <f>0</f>
        <v>0</v>
      </c>
      <c r="AR176" s="3112">
        <f>0</f>
        <v>0</v>
      </c>
      <c r="AS176" s="3112">
        <f>0</f>
        <v>0</v>
      </c>
      <c r="AT176" s="3112">
        <f>0</f>
        <v>0</v>
      </c>
      <c r="AU176" s="3112">
        <f>(i_CIT_PHA/Y_PAO_PHA_anox)-i_CIT_BIO</f>
        <v>0.28838461538461546</v>
      </c>
      <c r="AV176" s="3112">
        <f>i_INORG</f>
        <v>0.11</v>
      </c>
      <c r="AW176" s="3112">
        <f>-i_INORG*(1-i_Ca_INORG*(A_MCa+2*A_MCl)/A_MCa-i_Mg_INORG*(A_MMg+2*A_MCl)/A_MMg)*f_Na</f>
        <v>-2.8804303582798466E-2</v>
      </c>
      <c r="AX176" s="3112">
        <f>-i_INORG*(i_Ca_INORG*(2*A_MCl)/A_MCa+i_Mg_INORG*(2*A_MCl)/A_MMg)-i_INORG*(1-i_Ca_INORG*(A_MCa+2*A_MCl)/A_MCa-i_Mg_INORG*(A_MMg+2*A_MCl)/A_MMg)*(1-f_Na)</f>
        <v>-7.0195696417201539E-2</v>
      </c>
      <c r="AY176" s="3112">
        <f>-i_INORG*i_Ca_INORG+i_Ca_PP*A_MCa/A_MP*i_P_BIO</f>
        <v>-2.9121322594773459E-3</v>
      </c>
      <c r="AZ176" s="3112">
        <f>-i_INORG*i_Mg_INORG+i_Mg_PP*A_MMg/A_MP*i_P_BIO</f>
        <v>-7.1251305726128047E-6</v>
      </c>
      <c r="BA176" s="3112">
        <f>i_K_PP*A_MK/A_MP*i_P_BIO</f>
        <v>2.5246077468755158E-3</v>
      </c>
      <c r="BB176" s="3112">
        <f>0</f>
        <v>0</v>
      </c>
      <c r="BC176" s="3112">
        <f>-i_S_BIO</f>
        <v>-0.01</v>
      </c>
      <c r="BD176" s="3112">
        <f>0</f>
        <v>0</v>
      </c>
      <c r="BE176" s="3112">
        <f>0</f>
        <v>0</v>
      </c>
      <c r="BF176" s="3112">
        <f>0</f>
        <v>0</v>
      </c>
      <c r="BG176" s="3112">
        <f>0</f>
        <v>0</v>
      </c>
      <c r="BH176" s="3112">
        <f>0</f>
        <v>0</v>
      </c>
      <c r="BI176" s="3112">
        <f>0</f>
        <v>0</v>
      </c>
      <c r="BJ176" s="3112">
        <f>0</f>
        <v>0</v>
      </c>
      <c r="BK176" s="3112">
        <f>0</f>
        <v>0</v>
      </c>
      <c r="BL176" s="3112">
        <f>0</f>
        <v>0</v>
      </c>
      <c r="BM176" s="3112">
        <f>0</f>
        <v>0</v>
      </c>
      <c r="BN176" s="3112">
        <f>0</f>
        <v>0</v>
      </c>
      <c r="BO176" s="3112">
        <f>0</f>
        <v>0</v>
      </c>
      <c r="BP176" s="3112">
        <f>0</f>
        <v>0</v>
      </c>
      <c r="BQ176" s="3112">
        <f>0</f>
        <v>0</v>
      </c>
      <c r="BR176" s="3112">
        <f>0</f>
        <v>0</v>
      </c>
      <c r="BS176" s="3112">
        <f>0</f>
        <v>0</v>
      </c>
      <c r="BT176" s="3112">
        <f>0</f>
        <v>0</v>
      </c>
      <c r="BU176" s="3112">
        <f>0</f>
        <v>0</v>
      </c>
      <c r="BV176" s="3112">
        <f>0</f>
        <v>0</v>
      </c>
      <c r="BW176" s="3112">
        <f>0</f>
        <v>0</v>
      </c>
      <c r="BX176" s="3112">
        <f>0</f>
        <v>0</v>
      </c>
      <c r="BY176" s="3112">
        <f>0</f>
        <v>0</v>
      </c>
      <c r="BZ176" s="3188">
        <f>0</f>
        <v>0</v>
      </c>
      <c r="CA176" s="3188">
        <f>0</f>
        <v>0</v>
      </c>
      <c r="CB176" s="3188">
        <f>0</f>
        <v>0</v>
      </c>
      <c r="CC176" s="3188">
        <f>0</f>
        <v>0</v>
      </c>
      <c r="CD176" s="3112">
        <f>0</f>
        <v>0</v>
      </c>
      <c r="CE176" s="3112">
        <f>0</f>
        <v>0</v>
      </c>
      <c r="CF176" s="3112">
        <f>0</f>
        <v>0</v>
      </c>
      <c r="CG176" s="3112">
        <f>0</f>
        <v>0</v>
      </c>
      <c r="CH176" s="3112">
        <f>0</f>
        <v>0</v>
      </c>
      <c r="CI176" s="3112">
        <f>0</f>
        <v>0</v>
      </c>
      <c r="CJ176" s="3112">
        <f>0</f>
        <v>0</v>
      </c>
      <c r="CK176" s="3112">
        <f>0</f>
        <v>0</v>
      </c>
      <c r="CL176" s="3112">
        <f>0</f>
        <v>0</v>
      </c>
      <c r="CM176" s="3112">
        <f>0</f>
        <v>0</v>
      </c>
      <c r="CN176" s="3112">
        <f>0</f>
        <v>0</v>
      </c>
      <c r="CO176" s="3112">
        <f>0</f>
        <v>0</v>
      </c>
      <c r="CP176" s="3112">
        <f>0</f>
        <v>0</v>
      </c>
      <c r="CQ176" s="3112">
        <f>0</f>
        <v>0</v>
      </c>
      <c r="CR176" s="3112">
        <f>0</f>
        <v>0</v>
      </c>
      <c r="CS176" s="3112">
        <f>0</f>
        <v>0</v>
      </c>
      <c r="CT176" s="3112">
        <f>0</f>
        <v>0</v>
      </c>
      <c r="CU176" s="3112">
        <f>0</f>
        <v>0</v>
      </c>
      <c r="CV176" s="3223">
        <f>µ_PAO_lim_T*X_PAO*η_CASTO_anox*M_RsatXPHA_XPAO_KPHA*M_inhSO2_KO2_CASTO*M_satSNO2_KNO2_CASTO*M_satSNHx_KNHx_BIO*M_inhSPO4_KiPO4_lim*M_satXPP_KPP_lim*M_satSCAT_KCAT*M_satSAN_KAN*M_satSCa_KCa*M_satSMg_KMg*M_satSSO4_KSO4_BIO*B_ellinhpH</f>
        <v>1.8433712246581635E-2</v>
      </c>
      <c r="CX176" s="2838">
        <f>E287*E176+F287*F176+G287*G176+H287*H176+I287*I176+J287*J176+K287*K176+L287*L176+M287*M176+N287*N176+O287*O176+P287*P176+Q287*Q176+R287*R176+S287*S176+T287*T176+U287*U176+V287*V176+W287*W176+X287*X176+Y287*Y176+Z287*Z176+AA287*AA176+AB287*AB176+AC287*AC176+AD287*AD176+AE287*AE176+AF287*AF176+AG287*AG176+AH287*AH176+AI287*AI176+AJ287*AJ176+AK287*AK176+AL287*AL176+AM287*AM176+AN287*AN176+AO287*AO176+AP287*AP176+AQ287*AQ176+AR287*AR176+AS287*AS176+AT287*AT176+AU287*AU176+AV287*AV176+AW287*AW176+AX287*AX176+AY287*AY176+AZ287*AZ176+BA287*BA176+BB287*BB176+BC287*BC176+BD287*BD176+BE287*BE176+BF287*BF176+BG287*BG176+BH287*BH176+BI287*BI176+BJ287*BJ176+BK287*BK176+BL287*BL176+BM287*BM176+BN287*BN176+BO287*BO176+BP287*BP176+BQ287*BQ176+BR287*BR176+BS287*BS176+BT287*BT176+BU287*BU176+BV287*BV176+BW287*BW176+BX287*BX176+BY287*BY176+BZ287*BZ176+CA287*CA176+CB287*CB176+CC287*CC176+CD287*CD176+CE287*CE176+CF287*CF176+CG287*CG176+CH287*CH176+CI287*CI176+CJ287*CJ176+CK287*CK176+CL287*CL176+CM287*CM176+CN287*CN176+CO287*CO176+CP287*CP176+CQ287*CQ176+CR287*CR176+CS287*CS176+CT287*CT176+CU287*CU176</f>
        <v>0</v>
      </c>
      <c r="CY176" s="2838">
        <f>E288*E176+F288*F176+G288*G176+H288*H176+I288*I176+J288*J176+K288*K176+L288*L176+M288*M176+N288*N176+O288*O176+P288*P176+Q288*Q176+R288*R176+S288*S176+T288*T176+U288*U176+V288*V176+W288*W176+X288*X176+Y288*Y176+Z288*Z176+AA288*AA176+AB288*AB176+AC288*AC176+AD288*AD176+AE288*AE176+AF288*AF176+AG288*AG176+AH288*AH176+AI288*AI176+AJ288*AJ176+AK288*AK176+AL288*AL176+AM288*AM176+AN288*AN176+AO288*AO176+AP288*AP176+AQ288*AQ176+AR288*AR176+AS288*AS176+AT288*AT176+AU288*AU176+AV288*AV176+AW288*AW176+AX288*AX176+AY288*AY176+AZ288*AZ176+BA288*BA176+BB288*BB176+BC288*BC176+BD288*BD176+BE288*BE176+BF288*BF176+BG288*BG176+BH288*BH176+BI288*BI176+BJ288*BJ176+BK288*BK176+BL288*BL176+BM288*BM176+BN288*BN176+BO288*BO176+BP288*BP176+BQ288*BQ176+BR288*BR176+BS288*BS176+BT288*BT176+BU288*BU176+BV288*BV176+BW288*BW176+BX288*BX176+BY288*BY176+BZ288*BZ176+CA288*CA176+CB288*CB176+CC288*CC176+CD288*CD176+CE288*CE176+CF288*CF176+CG288*CG176+CH288*CH176+CI288*CI176+CJ288*CJ176+CK288*CK176+CL288*CL176+CM288*CM176+CN288*CN176+CO288*CO176+CP288*CP176+CQ288*CQ176+CR288*CR176+CS288*CS176+CT288*CT176+CU288*CU176</f>
        <v>1.1102230246251565E-16</v>
      </c>
      <c r="CZ176" s="2839">
        <f>E289*E176+F289*F176+G289*G176+H289*H176+I289*I176+J289*J176+K289*K176+L289*L176+M289*M176+N289*N176+O289*O176+P289*P176+Q289*Q176+R289*R176+S289*S176+T289*T176+U289*U176+V289*V176+W289*W176+X289*X176+Y289*Y176+Z289*Z176+AA289*AA176+AB289*AB176+AC289*AC176+AD289*AD176+AE289*AE176+AF289*AF176+AG289*AG176+AH289*AH176+AI289*AI176+AJ289*AJ176+AK289*AK176+AL289*AL176+AM289*AM176+AN289*AN176+AO289*AO176+AP289*AP176+AQ289*AQ176+AR289*AR176+AS289*AS176+AT289*AT176+AU289*AU176+AV289*AV176+AW289*AW176+AX289*AX176+AY289*AY176+AZ289*AZ176+BA289*BA176+BB289*BB176+BC289*BC176+BD289*BD176+BE289*BE176+BF289*BF176+BG289*BG176+BH289*BH176+BI289*BI176+BJ289*BJ176+BK289*BK176+BL289*BL176+BM289*BM176+BN289*BN176+BO289*BO176+BP289*BP176+BQ289*BQ176+BR289*BR176+BS289*BS176+BT289*BT176+BU289*BU176+BV289*BV176+BW289*BW176+BX289*BX176+BY289*BY176+BZ289*BZ176+CA289*CA176+CB289*CB176+CC289*CC176+CD289*CD176+CE289*CE176+CF289*CF176+CG289*CG176+CH289*CH176+CI289*CI176+CJ289*CJ176+CK289*CK176+CL289*CL176+CM289*CM176+CN289*CN176+CO289*CO176+CP289*CP176+CQ289*CQ176+CR289*CR176+CS289*CS176+CT289*CT176+CU289*CU176</f>
        <v>0</v>
      </c>
      <c r="DA176" s="2840">
        <f>E290*E176+F290*F176+G290*G176+H290*H176+I290*I176+J290*J176+K290*K176+L290*L176+M290*M176+N290*N176+O290*O176+P290*P176+Q290*Q176+R290*R176+S290*S176+T290*T176+U290*U176+V290*V176+W290*W176+X290*X176+Y290*Y176+Z290*Z176+AA290*AA176+AB290*AB176+AC290*AC176+AD290*AD176+AE290*AE176+AF290*AF176+AG290*AG176+AH290*AH176+AI290*AI176+AJ290*AJ176+AK290*AK176+AL290*AL176+AM290*AM176+AN290*AN176+AO290*AO176+AP290*AP176+AQ290*AQ176+AR290*AR176+AS290*AS176+AT290*AT176+AU290*AU176+AV290*AV176+AW290*AW176+AX290*AX176+AY290*AY176+AZ290*AZ176+BA290*BA176+BB290*BB176+BC290*BC176+BD290*BD176+BE290*BE176+BF290*BF176+BG290*BG176+BH290*BH176+BI290*BI176+BJ290*BJ176+BK290*BK176+BL290*BL176+BM290*BM176+BN290*BN176+BO290*BO176+BP290*BP176+BQ290*BQ176+BR290*BR176+BS290*BS176+BT290*BT176+BU290*BU176+BV290*BV176+BW290*BW176+BX290*BX176+BY290*BY176+BZ290*BZ176+CA290*CA176+CB290*CB176+CC290*CC176+CD290*CD176+CE290*CE176+CF290*CF176+CG290*CG176+CH290*CH176+CI290*CI176+CJ290*CJ176+CK290*CK176+CL290*CL176+CM290*CM176+CN290*CN176+CO290*CO176+CP290*CP176+CQ290*CQ176+CR290*CR176+CS290*CS176+CT290*CT176+CU290*CU176</f>
        <v>0</v>
      </c>
      <c r="DB176" s="2840">
        <f>E291*E176+F291*F176+G291*G176+H291*H176+I291*I176+J291*J176+K291*K176+L291*L176+M291*M176+N291*N176+O291*O176+P291*P176+Q291*Q176+R291*R176+S291*S176+T291*T176+U291*U176+V291*V176+W291*W176+X291*X176+Y291*Y176+Z291*Z176+AA291*AA176+AB291*AB176+AC291*AC176+AD291*AD176+AE291*AE176+AF291*AF176+AG291*AG176+AH291*AH176+AI291*AI176+AJ291*AJ176+AK291*AK176+AL291*AL176+AM291*AM176+AN291*AN176+AO291*AO176+AP291*AP176+AQ291*AQ176+AR291*AR176+AS291*AS176+AT291*AT176+AU291*AU176+AV291*AV176+AW291*AW176+AX291*AX176+AY291*AY176+AZ291*AZ176+BA291*BA176+BB291*BB176+BC291*BC176+BD291*BD176+BE291*BE176+BF291*BF176+BG291*BG176+BH291*BH176+BI291*BI176+BJ291*BJ176+BK291*BK176+BL291*BL176+BM291*BM176+BN291*BN176+BO291*BO176+BP291*BP176+BQ291*BQ176+BR291*BR176+BS291*BS176+BT291*BT176+BU291*BU176+BV291*BV176+BW291*BW176+BX291*BX176+BY291*BY176+BZ291*BZ176+CA291*CA176+CB291*CB176+CC291*CC176+CD291*CD176+CE291*CE176+CF291*CF176+CG291*CG176+CH291*CH176+CI291*CI176+CJ291*CJ176+CK291*CK176+CL291*CL176+CM291*CM176+CN291*CN176+CO291*CO176+CP291*CP176+CQ291*CQ176+CR291*CR176+CS291*CS176+CT291*CT176+CU291*CU176</f>
        <v>0</v>
      </c>
      <c r="DC176" s="2840">
        <f>E292*E176+F292*F176+G292*G176+H292*H176+I292*I176+J292*J176+K292*K176+L292*L176+M292*M176+N292*N176+O292*O176+P292*P176+Q292*Q176+R292*R176+S292*S176+T292*T176+U292*U176+V292*V176+W292*W176+X292*X176+Y292*Y176+Z292*Z176+AA292*AA176+AB292*AB176+AC292*AC176+AD292*AD176+AE292*AE176+AF292*AF176+AG292*AG176+AH292*AH176+AI292*AI176+AJ292*AJ176+AK292*AK176+AL292*AL176+AM292*AM176+AN292*AN176+AO292*AO176+AP292*AP176+AQ292*AQ176+AR292*AR176+AS292*AS176+AT292*AT176+AU292*AU176+AV292*AV176+AW292*AW176+AX292*AX176+AY292*AY176+AZ292*AZ176+BA292*BA176+BB292*BB176+BC292*BC176+BD292*BD176+BE292*BE176+BF292*BF176+BG292*BG176+BH292*BH176+BI292*BI176+BJ292*BJ176+BK292*BK176+BL292*BL176+BM292*BM176+BN292*BN176+BO292*BO176+BP292*BP176+BQ292*BQ176+BR292*BR176+BS292*BS176+BT292*BT176+BU292*BU176+BV292*BV176+BW292*BW176+BX292*BX176+BY292*BY176+BZ292*BZ176+CA292*CA176+CB292*CB176+CC292*CC176+CD292*CD176+CE292*CE176+CF292*CF176+CG292*CG176+CH292*CH176+CI292*CI176+CJ292*CJ176+CK292*CK176+CL292*CL176+CM292*CM176+CN292*CN176+CO292*CO176+CP292*CP176+CQ292*CQ176+CR292*CR176+CS292*CS176+CT292*CT176+CU292*CU176</f>
        <v>0</v>
      </c>
      <c r="DD176" s="2840">
        <f>E293*E176+F293*F176+G293*G176+H293*H176+I293*I176+J293*J176+K293*K176+L293*L176+M293*M176+N293*N176+O293*O176+P293*P176+Q293*Q176+R293*R176+S293*S176+T293*T176+U293*U176+V293*V176+W293*W176+X293*X176+Y293*Y176+Z293*Z176+AA293*AA176+AB293*AB176+AC293*AC176+AD293*AD176+AE293*AE176+AF293*AF176+AG293*AG176+AH293*AH176+AI293*AI176+AJ293*AJ176+AK293*AK176+AL293*AL176+AM293*AM176+AN293*AN176+AO293*AO176+AP293*AP176+AQ293*AQ176+AR293*AR176+AS293*AS176+AT293*AT176+AU293*AU176+AV293*AV176+AW293*AW176+AX293*AX176+AY293*AY176+AZ293*AZ176+BA293*BA176+BB293*BB176+BC293*BC176+BD293*BD176+BE293*BE176+BF293*BF176+BG293*BG176+BH293*BH176+BI293*BI176+BJ293*BJ176+BK293*BK176+BL293*BL176+BM293*BM176+BN293*BN176+BO293*BO176+BP293*BP176+BQ293*BQ176+BR293*BR176+BS293*BS176+BT293*BT176+BU293*BU176+BV293*BV176+BW293*BW176+BX293*BX176+BY293*BY176+BZ293*BZ176+CA293*CA176+CB293*CB176+CC293*CC176+CD293*CD176+CE293*CE176+CF293*CF176+CG293*CG176+CH293*CH176+CI293*CI176+CJ293*CJ176+CK293*CK176+CL293*CL176+CM293*CM176+CN293*CN176+CO293*CO176+CP293*CP176+CQ293*CQ176+CR293*CR176+CS293*CS176+CT293*CT176+CU293*CU176</f>
        <v>0</v>
      </c>
      <c r="DE176" s="2840">
        <f>E294*E176+F294*F176+G294*G176+H294*H176+I294*I176+J294*J176+K294*K176+L294*L176+M294*M176+N294*N176+O294*O176+P294*P176+Q294*Q176+R294*R176+S294*S176+T294*T176+U294*U176+V294*V176+W294*W176+X294*X176+Y294*Y176+Z294*Z176+AA294*AA176+AB294*AB176+AC294*AC176+AD294*AD176+AE294*AE176+AF294*AF176+AG294*AG176+AH294*AH176+AI294*AI176+AJ294*AJ176+AK294*AK176+AL294*AL176+AM294*AM176+AN294*AN176+AO294*AO176+AP294*AP176+AQ294*AQ176+AR294*AR176+AS294*AS176+AT294*AT176+AU294*AU176+AV294*AV176+AW294*AW176+AX294*AX176+AY294*AY176+AZ294*AZ176+BA294*BA176+BB294*BB176+BC294*BC176+BD294*BD176+BE294*BE176+BF294*BF176+BG294*BG176+BH294*BH176+BI294*BI176+BJ294*BJ176+BK294*BK176+BL294*BL176+BM294*BM176+BN294*BN176+BO294*BO176+BP294*BP176+BQ294*BQ176+BR294*BR176+BS294*BS176+BT294*BT176+BU294*BU176+BV294*BV176+BW294*BW176+BX294*BX176+BY294*BY176+BZ294*BZ176+CA294*CA176+CB294*CB176+CC294*CC176+CD294*CD176+CE294*CE176+CF294*CF176+CG294*CG176+CH294*CH176+CI294*CI176+CJ294*CJ176+CK294*CK176+CL294*CL176+CM294*CM176+CN294*CN176+CO294*CO176+CP294*CP176+CQ294*CQ176+CR294*CR176+CS294*CS176+CT294*CT176+CU294*CU176</f>
        <v>0</v>
      </c>
      <c r="DF176" s="2840">
        <f>E295*E176+F295*F176+G295*G176+H295*H176+I295*I176+J295*J176+K295*K176+L295*L176+M295*M176+N295*N176+O295*O176+P295*P176+Q295*Q176+R295*R176+S295*S176+T295*T176+U295*U176+V295*V176+W295*W176+X295*X176+Y295*Y176+Z295*Z176+AA295*AA176+AB295*AB176+AC295*AC176+AD295*AD176+AE295*AE176+AF295*AF176+AG295*AG176+AH295*AH176+AI295*AI176+AJ295*AJ176+AK295*AK176+AL295*AL176+AM295*AM176+AN295*AN176+AO295*AO176+AP295*AP176+AQ295*AQ176+AR295*AR176+AS295*AS176+AT295*AT176+AU295*AU176+AV295*AV176+AW295*AW176+AX295*AX176+AY295*AY176+AZ295*AZ176+BA295*BA176+BB295*BB176+BC295*BC176+BD295*BD176+BE295*BE176+BF295*BF176+BG295*BG176+BH295*BH176+BI295*BI176+BJ295*BJ176+BK295*BK176+BL295*BL176+BM295*BM176+BN295*BN176+BO295*BO176+BP295*BP176+BQ295*BQ176+BR295*BR176+BS295*BS176+BT295*BT176+BU295*BU176+BV295*BV176+BW295*BW176+BX295*BX176+BY295*BY176+BZ295*BZ176+CA295*CA176+CB295*CB176+CC295*CC176+CD295*CD176+CE295*CE176+CF295*CF176+CG295*CG176+CH295*CH176+CI295*CI176+CJ295*CJ176+CK295*CK176+CL295*CL176+CM295*CM176+CN295*CN176+CO295*CO176+CP295*CP176+CQ295*CQ176+CR295*CR176+CS295*CS176+CT295*CT176+CU295*CU176</f>
        <v>0</v>
      </c>
      <c r="DG176" s="2840">
        <f>E296*E176+F296*F176+G296*G176+H296*H176+I296*I176+J296*J176+K296*K176+L296*L176+M296*M176+N296*N176+O296*O176+P296*P176+Q296*Q176+R296*R176+S296*S176+T296*T176+U296*U176+V296*V176+W296*W176+X296*X176+Y296*Y176+Z296*Z176+AA296*AA176+AB296*AB176+AC296*AC176+AD296*AD176+AE296*AE176+AF296*AF176+AG296*AG176+AH296*AH176+AI296*AI176+AJ296*AJ176+AK296*AK176+AL296*AL176+AM296*AM176+AN296*AN176+AO296*AO176+AP296*AP176+AQ296*AQ176+AR296*AR176+AS296*AS176+AT296*AT176+AU296*AU176+AV296*AV176+AW296*AW176+AX296*AX176+AY296*AY176+AZ296*AZ176+BA296*BA176+BB296*BB176+BC296*BC176+BD296*BD176+BE296*BE176+BF296*BF176+BG296*BG176+BH296*BH176+BI296*BI176+BJ296*BJ176+BK296*BK176+BL296*BL176+BM296*BM176+BN296*BN176+BO296*BO176+BP296*BP176+BQ296*BQ176+BR296*BR176+BS296*BS176+BT296*BT176+BU296*BU176+BV296*BV176+BW296*BW176+BX296*BX176+BY296*BY176+BZ296*BZ176+CA296*CA176+CB296*CB176+CC296*CC176+CD296*CD176+CE296*CE176+CF296*CF176+CG296*CG176+CH296*CH176+CI296*CI176+CJ296*CJ176+CK296*CK176+CL296*CL176+CM296*CM176+CN296*CN176+CO296*CO176+CP296*CP176+CQ296*CQ176+CR296*CR176+CS296*CS176+CT296*CT176+CU296*CU176</f>
        <v>0</v>
      </c>
      <c r="DH176" s="2840">
        <f>E297*E176+F297*F176+G297*G176+H297*H176+I297*I176+J297*J176+K297*K176+L297*L176+M297*M176+N297*N176+O297*O176+P297*P176+Q297*Q176+R297*R176+S297*S176+T297*T176+U297*U176+V297*V176+W297*W176+X297*X176+Y297*Y176+Z297*Z176+AA297*AA176+AB297*AB176+AC297*AC176+AD297*AD176+AE297*AE176+AF297*AF176+AG297*AG176+AH297*AH176+AI297*AI176+AJ297*AJ176+AK297*AK176+AL297*AL176+AM297*AM176+AN297*AN176+AO297*AO176+AP297*AP176+AQ297*AQ176+AR297*AR176+AS297*AS176+AT297*AT176+AU297*AU176+AV297*AV176+AW297*AW176+AX297*AX176+AY297*AY176+AZ297*AZ176+BA297*BA176+BB297*BB176+BC297*BC176+BD297*BD176+BE297*BE176+BF297*BF176+BG297*BG176+BH297*BH176+BI297*BI176+BJ297*BJ176+BK297*BK176+BL297*BL176+BM297*BM176+BN297*BN176+BO297*BO176+BP297*BP176+BQ297*BQ176+BR297*BR176+BS297*BS176+BT297*BT176+BU297*BU176+BV297*BV176+BW297*BW176+BX297*BX176+BY297*BY176+BZ297*BZ176+CA297*CA176+CB297*CB176+CC297*CC176+CD297*CD176+CE297*CE176+CF297*CF176+CG297*CG176+CH297*CH176+CI297*CI176+CJ297*CJ176+CK297*CK176+CL297*CL176+CM297*CM176+CN297*CN176+CO297*CO176+CP297*CP176+CQ297*CQ176+CR297*CR176+CS297*CS176+CT297*CT176+CU297*CU176</f>
        <v>0</v>
      </c>
      <c r="DI176" s="2840">
        <f>E298*E176+F298*F176+G298*G176+H298*H176+I298*I176+J298*J176+K298*K176+L298*L176+M298*M176+N298*N176+O298*O176+P298*P176+Q298*Q176+R298*R176+S298*S176+T298*T176+U298*U176+V298*V176+W298*W176+X298*X176+Y298*Y176+Z298*Z176+AA298*AA176+AB298*AB176+AC298*AC176+AD298*AD176+AE298*AE176+AF298*AF176+AG298*AG176+AH298*AH176+AI298*AI176+AJ298*AJ176+AK298*AK176+AL298*AL176+AM298*AM176+AN298*AN176+AO298*AO176+AP298*AP176+AQ298*AQ176+AR298*AR176+AS298*AS176+AT298*AT176+AU298*AU176+AV298*AV176+AW298*AW176+AX298*AX176+AY298*AY176+AZ298*AZ176+BA298*BA176+BB298*BB176+BC298*BC176+BD298*BD176+BE298*BE176+BF298*BF176+BG298*BG176+BH298*BH176+BI298*BI176+BJ298*BJ176+BK298*BK176+BL298*BL176+BM298*BM176+BN298*BN176+BO298*BO176+BP298*BP176+BQ298*BQ176+BR298*BR176+BS298*BS176+BT298*BT176+BU298*BU176+BV298*BV176+BW298*BW176+BX298*BX176+BY298*BY176+BZ298*BZ176+CA298*CA176+CB298*CB176+CC298*CC176+CD298*CD176+CE298*CE176+CF298*CF176+CG298*CG176+CH298*CH176+CI298*CI176+CJ298*CJ176+CK298*CK176+CL298*CL176+CM298*CM176+CN298*CN176+CO298*CO176+CP298*CP176+CQ298*CQ176+CR298*CR176+CS298*CS176+CT298*CT176+CU298*CU176</f>
        <v>0</v>
      </c>
    </row>
    <row r="177" spans="2:113" ht="18" x14ac:dyDescent="0.25">
      <c r="B177" s="2489">
        <v>24</v>
      </c>
      <c r="C177" s="2406" t="s">
        <v>246</v>
      </c>
      <c r="D177" s="2407" t="s">
        <v>1661</v>
      </c>
      <c r="E177" s="3110">
        <f>0</f>
        <v>0</v>
      </c>
      <c r="F177" s="3110">
        <f>0</f>
        <v>0</v>
      </c>
      <c r="G177" s="3110">
        <f>0</f>
        <v>0</v>
      </c>
      <c r="H177" s="3110">
        <f>0</f>
        <v>0</v>
      </c>
      <c r="I177" s="3110">
        <f>0</f>
        <v>0</v>
      </c>
      <c r="J177" s="3110">
        <f>0</f>
        <v>0</v>
      </c>
      <c r="K177" s="3110">
        <f>0</f>
        <v>0</v>
      </c>
      <c r="L177" s="3110">
        <f>0</f>
        <v>0</v>
      </c>
      <c r="M177" s="3110">
        <f>0</f>
        <v>0</v>
      </c>
      <c r="N177" s="3112">
        <f>-1/Y_PAO_PHA_anox</f>
        <v>-1.9230769230769229</v>
      </c>
      <c r="O177" s="3112">
        <f>0</f>
        <v>0</v>
      </c>
      <c r="P177" s="3110">
        <f>0</f>
        <v>0</v>
      </c>
      <c r="Q177" s="3110">
        <f>0</f>
        <v>0</v>
      </c>
      <c r="R177" s="3110">
        <f>0</f>
        <v>0</v>
      </c>
      <c r="S177" s="3110">
        <f>1</f>
        <v>1</v>
      </c>
      <c r="T177" s="3110">
        <f>0</f>
        <v>0</v>
      </c>
      <c r="U177" s="3110">
        <f>0</f>
        <v>0</v>
      </c>
      <c r="V177" s="3110">
        <f>0</f>
        <v>0</v>
      </c>
      <c r="W177" s="3110">
        <f>0</f>
        <v>0</v>
      </c>
      <c r="X177" s="3110">
        <f>0</f>
        <v>0</v>
      </c>
      <c r="Y177" s="3110">
        <f>0</f>
        <v>0</v>
      </c>
      <c r="Z177" s="3110">
        <f>0</f>
        <v>0</v>
      </c>
      <c r="AA177" s="3110">
        <f>0</f>
        <v>0</v>
      </c>
      <c r="AB177" s="3110">
        <f>0</f>
        <v>0</v>
      </c>
      <c r="AC177" s="3110">
        <f>0</f>
        <v>0</v>
      </c>
      <c r="AD177" s="3110">
        <f>-i_N_BIO</f>
        <v>-7.0000000000000007E-2</v>
      </c>
      <c r="AE177" s="3112">
        <f>(1-Y_PAO_PHA_anox)/(E_EQNO2_NO3*Y_PAO_PHA_anox)</f>
        <v>0.80810915024698038</v>
      </c>
      <c r="AF177" s="3112">
        <f>-(1-Y_PAO_PHA_anox)/(E_EQNO2_NO3*Y_PAO_PHA_anox)</f>
        <v>-0.80810915024698038</v>
      </c>
      <c r="AG177" s="3112">
        <f>0</f>
        <v>0</v>
      </c>
      <c r="AH177" s="3110">
        <f>0</f>
        <v>0</v>
      </c>
      <c r="AI177" s="3110">
        <f>0</f>
        <v>0</v>
      </c>
      <c r="AJ177" s="3110">
        <f>0</f>
        <v>0</v>
      </c>
      <c r="AK177" s="3110">
        <f>0</f>
        <v>0</v>
      </c>
      <c r="AL177" s="3112">
        <f>0</f>
        <v>0</v>
      </c>
      <c r="AM177" s="3112">
        <f>-i_P_BIO</f>
        <v>-0.02</v>
      </c>
      <c r="AN177" s="3110">
        <f>0</f>
        <v>0</v>
      </c>
      <c r="AO177" s="3110">
        <f>0</f>
        <v>0</v>
      </c>
      <c r="AP177" s="3110">
        <f>0</f>
        <v>0</v>
      </c>
      <c r="AQ177" s="3110">
        <f>0</f>
        <v>0</v>
      </c>
      <c r="AR177" s="3110">
        <f>0</f>
        <v>0</v>
      </c>
      <c r="AS177" s="3110">
        <f>0</f>
        <v>0</v>
      </c>
      <c r="AT177" s="3110">
        <f>0</f>
        <v>0</v>
      </c>
      <c r="AU177" s="3112">
        <f>(i_CIT_PHA/Y_PAO_PHA_anox)-i_CIT_BIO</f>
        <v>0.28838461538461546</v>
      </c>
      <c r="AV177" s="3112">
        <f>i_INORG</f>
        <v>0.11</v>
      </c>
      <c r="AW177" s="3112">
        <f>-i_INORG*(1-i_Ca_INORG*(A_MCa+2*A_MCl)/A_MCa-i_Mg_INORG*(A_MMg+2*A_MCl)/A_MMg)*f_Na</f>
        <v>-2.8804303582798466E-2</v>
      </c>
      <c r="AX177" s="3112">
        <f>-i_INORG*(i_Ca_INORG*(2*A_MCl)/A_MCa+i_Mg_INORG*(2*A_MCl)/A_MMg)-i_INORG*(1-i_Ca_INORG*(A_MCa+2*A_MCl)/A_MCa-i_Mg_INORG*(A_MMg+2*A_MCl)/A_MMg)*(1-f_Na)</f>
        <v>-7.0195696417201539E-2</v>
      </c>
      <c r="AY177" s="3112">
        <f>-i_INORG*i_Ca_INORG+i_Ca_PP*A_MCa/A_MP*i_P_BIO</f>
        <v>-2.9121322594773459E-3</v>
      </c>
      <c r="AZ177" s="3112">
        <f>-i_INORG*i_Mg_INORG+i_Mg_PP*A_MMg/A_MP*i_P_BIO</f>
        <v>-7.1251305726128047E-6</v>
      </c>
      <c r="BA177" s="3112">
        <f>i_K_PP*A_MK/A_MP*i_P_BIO</f>
        <v>2.5246077468755158E-3</v>
      </c>
      <c r="BB177" s="3112">
        <f>0</f>
        <v>0</v>
      </c>
      <c r="BC177" s="3112">
        <f>-i_S_BIO</f>
        <v>-0.01</v>
      </c>
      <c r="BD177" s="3112">
        <f>0</f>
        <v>0</v>
      </c>
      <c r="BE177" s="3112">
        <f>0</f>
        <v>0</v>
      </c>
      <c r="BF177" s="3112">
        <f>0</f>
        <v>0</v>
      </c>
      <c r="BG177" s="3112">
        <f>0</f>
        <v>0</v>
      </c>
      <c r="BH177" s="3112">
        <f>0</f>
        <v>0</v>
      </c>
      <c r="BI177" s="3112">
        <f>0</f>
        <v>0</v>
      </c>
      <c r="BJ177" s="3112">
        <f>0</f>
        <v>0</v>
      </c>
      <c r="BK177" s="3112">
        <f>0</f>
        <v>0</v>
      </c>
      <c r="BL177" s="3112">
        <f>0</f>
        <v>0</v>
      </c>
      <c r="BM177" s="3112">
        <f>0</f>
        <v>0</v>
      </c>
      <c r="BN177" s="3112">
        <f>0</f>
        <v>0</v>
      </c>
      <c r="BO177" s="3112">
        <f>0</f>
        <v>0</v>
      </c>
      <c r="BP177" s="3112">
        <f>0</f>
        <v>0</v>
      </c>
      <c r="BQ177" s="3112">
        <f>0</f>
        <v>0</v>
      </c>
      <c r="BR177" s="3112">
        <f>0</f>
        <v>0</v>
      </c>
      <c r="BS177" s="3112">
        <f>0</f>
        <v>0</v>
      </c>
      <c r="BT177" s="3112">
        <f>0</f>
        <v>0</v>
      </c>
      <c r="BU177" s="3112">
        <f>0</f>
        <v>0</v>
      </c>
      <c r="BV177" s="3112">
        <f>0</f>
        <v>0</v>
      </c>
      <c r="BW177" s="3112">
        <f>0</f>
        <v>0</v>
      </c>
      <c r="BX177" s="3112">
        <f>0</f>
        <v>0</v>
      </c>
      <c r="BY177" s="3112">
        <f>0</f>
        <v>0</v>
      </c>
      <c r="BZ177" s="3188">
        <f>0</f>
        <v>0</v>
      </c>
      <c r="CA177" s="3188">
        <f>0</f>
        <v>0</v>
      </c>
      <c r="CB177" s="3188">
        <f>0</f>
        <v>0</v>
      </c>
      <c r="CC177" s="3188">
        <f>0</f>
        <v>0</v>
      </c>
      <c r="CD177" s="3112">
        <f>0</f>
        <v>0</v>
      </c>
      <c r="CE177" s="3112">
        <f>0</f>
        <v>0</v>
      </c>
      <c r="CF177" s="3112">
        <f>0</f>
        <v>0</v>
      </c>
      <c r="CG177" s="3112">
        <f>0</f>
        <v>0</v>
      </c>
      <c r="CH177" s="3112">
        <f>0</f>
        <v>0</v>
      </c>
      <c r="CI177" s="3112">
        <f>0</f>
        <v>0</v>
      </c>
      <c r="CJ177" s="3112">
        <f>0</f>
        <v>0</v>
      </c>
      <c r="CK177" s="3112">
        <f>0</f>
        <v>0</v>
      </c>
      <c r="CL177" s="3112">
        <f>0</f>
        <v>0</v>
      </c>
      <c r="CM177" s="3112">
        <f>0</f>
        <v>0</v>
      </c>
      <c r="CN177" s="3112">
        <f>0</f>
        <v>0</v>
      </c>
      <c r="CO177" s="3112">
        <f>0</f>
        <v>0</v>
      </c>
      <c r="CP177" s="3112">
        <f>0</f>
        <v>0</v>
      </c>
      <c r="CQ177" s="3112">
        <f>0</f>
        <v>0</v>
      </c>
      <c r="CR177" s="3112">
        <f>0</f>
        <v>0</v>
      </c>
      <c r="CS177" s="3112">
        <f>0</f>
        <v>0</v>
      </c>
      <c r="CT177" s="3112">
        <f>0</f>
        <v>0</v>
      </c>
      <c r="CU177" s="3112">
        <f>0</f>
        <v>0</v>
      </c>
      <c r="CV177" s="3223">
        <f>µ_PAO_lim_T*X_PAO*η_CASTO_anox*M_RsatXPHA_XPAO_KPHA*M_inhSO2_KO2_CASTO*M_satSNO3_KNO3_CASTO*M_inhSNO2_KNO2_CASTO*M_satSNHx_KNHx_BIO*M_inhSPO4_KiPO4_lim*M_satXPP_KPP_lim*M_satSCAT_KCAT*M_satSAN_KAN*M_satSCa_KCa*M_satSMg_KMg*M_satSSO4_KSO4_BIO*B_ellinhpH</f>
        <v>9.0361334542066827E-3</v>
      </c>
      <c r="CX177" s="2838">
        <f>E287*E177+F287*F177+G287*G177+H287*H177+I287*I177+J287*J177+K287*K177+L287*L177+M287*M177+N287*N177+O287*O177+P287*P177+Q287*Q177+R287*R177+S287*S177+T287*T177+U287*U177+V287*V177+W287*W177+X287*X177+Y287*Y177+Z287*Z177+AA287*AA177+AB287*AB177+AC287*AC177+AD287*AD177+AE287*AE177+AF287*AF177+AG287*AG177+AH287*AH177+AI287*AI177+AJ287*AJ177+AK287*AK177+AL287*AL177+AM287*AM177+AN287*AN177+AO287*AO177+AP287*AP177+AQ287*AQ177+AR287*AR177+AS287*AS177+AT287*AT177+AU287*AU177+AV287*AV177+AW287*AW177+AX287*AX177+AY287*AY177+AZ287*AZ177+BA287*BA177+BB287*BB177+BC287*BC177+BD287*BD177+BE287*BE177+BF287*BF177+BG287*BG177+BH287*BH177+BI287*BI177+BJ287*BJ177+BK287*BK177+BL287*BL177+BM287*BM177+BN287*BN177+BO287*BO177+BP287*BP177+BQ287*BQ177+BR287*BR177+BS287*BS177+BT287*BT177+BU287*BU177+BV287*BV177+BW287*BW177+BX287*BX177+BY287*BY177+BZ287*BZ177+CA287*CA177+CB287*CB177+CC287*CC177+CD287*CD177+CE287*CE177+CF287*CF177+CG287*CG177+CH287*CH177+CI287*CI177+CJ287*CJ177+CK287*CK177+CL287*CL177+CM287*CM177+CN287*CN177+CO287*CO177+CP287*CP177+CQ287*CQ177+CR287*CR177+CS287*CS177+CT287*CT177+CU287*CU177</f>
        <v>0</v>
      </c>
      <c r="CY177" s="2838">
        <f>E288*E177+F288*F177+G288*G177+H288*H177+I288*I177+J288*J177+K288*K177+L288*L177+M288*M177+N288*N177+O288*O177+P288*P177+Q288*Q177+R288*R177+S288*S177+T288*T177+U288*U177+V288*V177+W288*W177+X288*X177+Y288*Y177+Z288*Z177+AA288*AA177+AB288*AB177+AC288*AC177+AD288*AD177+AE288*AE177+AF288*AF177+AG288*AG177+AH288*AH177+AI288*AI177+AJ288*AJ177+AK288*AK177+AL288*AL177+AM288*AM177+AN288*AN177+AO288*AO177+AP288*AP177+AQ288*AQ177+AR288*AR177+AS288*AS177+AT288*AT177+AU288*AU177+AV288*AV177+AW288*AW177+AX288*AX177+AY288*AY177+AZ288*AZ177+BA288*BA177+BB288*BB177+BC288*BC177+BD288*BD177+BE288*BE177+BF288*BF177+BG288*BG177+BH288*BH177+BI288*BI177+BJ288*BJ177+BK288*BK177+BL288*BL177+BM288*BM177+BN288*BN177+BO288*BO177+BP288*BP177+BQ288*BQ177+BR288*BR177+BS288*BS177+BT288*BT177+BU288*BU177+BV288*BV177+BW288*BW177+BX288*BX177+BY288*BY177+BZ288*BZ177+CA288*CA177+CB288*CB177+CC288*CC177+CD288*CD177+CE288*CE177+CF288*CF177+CG288*CG177+CH288*CH177+CI288*CI177+CJ288*CJ177+CK288*CK177+CL288*CL177+CM288*CM177+CN288*CN177+CO288*CO177+CP288*CP177+CQ288*CQ177+CR288*CR177+CS288*CS177+CT288*CT177+CU288*CU177</f>
        <v>1.1102230246251565E-16</v>
      </c>
      <c r="CZ177" s="2839">
        <f>E289*E177+F289*F177+G289*G177+H289*H177+I289*I177+J289*J177+K289*K177+L289*L177+M289*M177+N289*N177+O289*O177+P289*P177+Q289*Q177+R289*R177+S289*S177+T289*T177+U289*U177+V289*V177+W289*W177+X289*X177+Y289*Y177+Z289*Z177+AA289*AA177+AB289*AB177+AC289*AC177+AD289*AD177+AE289*AE177+AF289*AF177+AG289*AG177+AH289*AH177+AI289*AI177+AJ289*AJ177+AK289*AK177+AL289*AL177+AM289*AM177+AN289*AN177+AO289*AO177+AP289*AP177+AQ289*AQ177+AR289*AR177+AS289*AS177+AT289*AT177+AU289*AU177+AV289*AV177+AW289*AW177+AX289*AX177+AY289*AY177+AZ289*AZ177+BA289*BA177+BB289*BB177+BC289*BC177+BD289*BD177+BE289*BE177+BF289*BF177+BG289*BG177+BH289*BH177+BI289*BI177+BJ289*BJ177+BK289*BK177+BL289*BL177+BM289*BM177+BN289*BN177+BO289*BO177+BP289*BP177+BQ289*BQ177+BR289*BR177+BS289*BS177+BT289*BT177+BU289*BU177+BV289*BV177+BW289*BW177+BX289*BX177+BY289*BY177+BZ289*BZ177+CA289*CA177+CB289*CB177+CC289*CC177+CD289*CD177+CE289*CE177+CF289*CF177+CG289*CG177+CH289*CH177+CI289*CI177+CJ289*CJ177+CK289*CK177+CL289*CL177+CM289*CM177+CN289*CN177+CO289*CO177+CP289*CP177+CQ289*CQ177+CR289*CR177+CS289*CS177+CT289*CT177+CU289*CU177</f>
        <v>0</v>
      </c>
      <c r="DA177" s="2840">
        <f>E290*E177+F290*F177+G290*G177+H290*H177+I290*I177+J290*J177+K290*K177+L290*L177+M290*M177+N290*N177+O290*O177+P290*P177+Q290*Q177+R290*R177+S290*S177+T290*T177+U290*U177+V290*V177+W290*W177+X290*X177+Y290*Y177+Z290*Z177+AA290*AA177+AB290*AB177+AC290*AC177+AD290*AD177+AE290*AE177+AF290*AF177+AG290*AG177+AH290*AH177+AI290*AI177+AJ290*AJ177+AK290*AK177+AL290*AL177+AM290*AM177+AN290*AN177+AO290*AO177+AP290*AP177+AQ290*AQ177+AR290*AR177+AS290*AS177+AT290*AT177+AU290*AU177+AV290*AV177+AW290*AW177+AX290*AX177+AY290*AY177+AZ290*AZ177+BA290*BA177+BB290*BB177+BC290*BC177+BD290*BD177+BE290*BE177+BF290*BF177+BG290*BG177+BH290*BH177+BI290*BI177+BJ290*BJ177+BK290*BK177+BL290*BL177+BM290*BM177+BN290*BN177+BO290*BO177+BP290*BP177+BQ290*BQ177+BR290*BR177+BS290*BS177+BT290*BT177+BU290*BU177+BV290*BV177+BW290*BW177+BX290*BX177+BY290*BY177+BZ290*BZ177+CA290*CA177+CB290*CB177+CC290*CC177+CD290*CD177+CE290*CE177+CF290*CF177+CG290*CG177+CH290*CH177+CI290*CI177+CJ290*CJ177+CK290*CK177+CL290*CL177+CM290*CM177+CN290*CN177+CO290*CO177+CP290*CP177+CQ290*CQ177+CR290*CR177+CS290*CS177+CT290*CT177+CU290*CU177</f>
        <v>0</v>
      </c>
      <c r="DB177" s="2840">
        <f>E291*E177+F291*F177+G291*G177+H291*H177+I291*I177+J291*J177+K291*K177+L291*L177+M291*M177+N291*N177+O291*O177+P291*P177+Q291*Q177+R291*R177+S291*S177+T291*T177+U291*U177+V291*V177+W291*W177+X291*X177+Y291*Y177+Z291*Z177+AA291*AA177+AB291*AB177+AC291*AC177+AD291*AD177+AE291*AE177+AF291*AF177+AG291*AG177+AH291*AH177+AI291*AI177+AJ291*AJ177+AK291*AK177+AL291*AL177+AM291*AM177+AN291*AN177+AO291*AO177+AP291*AP177+AQ291*AQ177+AR291*AR177+AS291*AS177+AT291*AT177+AU291*AU177+AV291*AV177+AW291*AW177+AX291*AX177+AY291*AY177+AZ291*AZ177+BA291*BA177+BB291*BB177+BC291*BC177+BD291*BD177+BE291*BE177+BF291*BF177+BG291*BG177+BH291*BH177+BI291*BI177+BJ291*BJ177+BK291*BK177+BL291*BL177+BM291*BM177+BN291*BN177+BO291*BO177+BP291*BP177+BQ291*BQ177+BR291*BR177+BS291*BS177+BT291*BT177+BU291*BU177+BV291*BV177+BW291*BW177+BX291*BX177+BY291*BY177+BZ291*BZ177+CA291*CA177+CB291*CB177+CC291*CC177+CD291*CD177+CE291*CE177+CF291*CF177+CG291*CG177+CH291*CH177+CI291*CI177+CJ291*CJ177+CK291*CK177+CL291*CL177+CM291*CM177+CN291*CN177+CO291*CO177+CP291*CP177+CQ291*CQ177+CR291*CR177+CS291*CS177+CT291*CT177+CU291*CU177</f>
        <v>0</v>
      </c>
      <c r="DC177" s="2840">
        <f>E292*E177+F292*F177+G292*G177+H292*H177+I292*I177+J292*J177+K292*K177+L292*L177+M292*M177+N292*N177+O292*O177+P292*P177+Q292*Q177+R292*R177+S292*S177+T292*T177+U292*U177+V292*V177+W292*W177+X292*X177+Y292*Y177+Z292*Z177+AA292*AA177+AB292*AB177+AC292*AC177+AD292*AD177+AE292*AE177+AF292*AF177+AG292*AG177+AH292*AH177+AI292*AI177+AJ292*AJ177+AK292*AK177+AL292*AL177+AM292*AM177+AN292*AN177+AO292*AO177+AP292*AP177+AQ292*AQ177+AR292*AR177+AS292*AS177+AT292*AT177+AU292*AU177+AV292*AV177+AW292*AW177+AX292*AX177+AY292*AY177+AZ292*AZ177+BA292*BA177+BB292*BB177+BC292*BC177+BD292*BD177+BE292*BE177+BF292*BF177+BG292*BG177+BH292*BH177+BI292*BI177+BJ292*BJ177+BK292*BK177+BL292*BL177+BM292*BM177+BN292*BN177+BO292*BO177+BP292*BP177+BQ292*BQ177+BR292*BR177+BS292*BS177+BT292*BT177+BU292*BU177+BV292*BV177+BW292*BW177+BX292*BX177+BY292*BY177+BZ292*BZ177+CA292*CA177+CB292*CB177+CC292*CC177+CD292*CD177+CE292*CE177+CF292*CF177+CG292*CG177+CH292*CH177+CI292*CI177+CJ292*CJ177+CK292*CK177+CL292*CL177+CM292*CM177+CN292*CN177+CO292*CO177+CP292*CP177+CQ292*CQ177+CR292*CR177+CS292*CS177+CT292*CT177+CU292*CU177</f>
        <v>0</v>
      </c>
      <c r="DD177" s="2840">
        <f>E293*E177+F293*F177+G293*G177+H293*H177+I293*I177+J293*J177+K293*K177+L293*L177+M293*M177+N293*N177+O293*O177+P293*P177+Q293*Q177+R293*R177+S293*S177+T293*T177+U293*U177+V293*V177+W293*W177+X293*X177+Y293*Y177+Z293*Z177+AA293*AA177+AB293*AB177+AC293*AC177+AD293*AD177+AE293*AE177+AF293*AF177+AG293*AG177+AH293*AH177+AI293*AI177+AJ293*AJ177+AK293*AK177+AL293*AL177+AM293*AM177+AN293*AN177+AO293*AO177+AP293*AP177+AQ293*AQ177+AR293*AR177+AS293*AS177+AT293*AT177+AU293*AU177+AV293*AV177+AW293*AW177+AX293*AX177+AY293*AY177+AZ293*AZ177+BA293*BA177+BB293*BB177+BC293*BC177+BD293*BD177+BE293*BE177+BF293*BF177+BG293*BG177+BH293*BH177+BI293*BI177+BJ293*BJ177+BK293*BK177+BL293*BL177+BM293*BM177+BN293*BN177+BO293*BO177+BP293*BP177+BQ293*BQ177+BR293*BR177+BS293*BS177+BT293*BT177+BU293*BU177+BV293*BV177+BW293*BW177+BX293*BX177+BY293*BY177+BZ293*BZ177+CA293*CA177+CB293*CB177+CC293*CC177+CD293*CD177+CE293*CE177+CF293*CF177+CG293*CG177+CH293*CH177+CI293*CI177+CJ293*CJ177+CK293*CK177+CL293*CL177+CM293*CM177+CN293*CN177+CO293*CO177+CP293*CP177+CQ293*CQ177+CR293*CR177+CS293*CS177+CT293*CT177+CU293*CU177</f>
        <v>0</v>
      </c>
      <c r="DE177" s="2840">
        <f>E294*E177+F294*F177+G294*G177+H294*H177+I294*I177+J294*J177+K294*K177+L294*L177+M294*M177+N294*N177+O294*O177+P294*P177+Q294*Q177+R294*R177+S294*S177+T294*T177+U294*U177+V294*V177+W294*W177+X294*X177+Y294*Y177+Z294*Z177+AA294*AA177+AB294*AB177+AC294*AC177+AD294*AD177+AE294*AE177+AF294*AF177+AG294*AG177+AH294*AH177+AI294*AI177+AJ294*AJ177+AK294*AK177+AL294*AL177+AM294*AM177+AN294*AN177+AO294*AO177+AP294*AP177+AQ294*AQ177+AR294*AR177+AS294*AS177+AT294*AT177+AU294*AU177+AV294*AV177+AW294*AW177+AX294*AX177+AY294*AY177+AZ294*AZ177+BA294*BA177+BB294*BB177+BC294*BC177+BD294*BD177+BE294*BE177+BF294*BF177+BG294*BG177+BH294*BH177+BI294*BI177+BJ294*BJ177+BK294*BK177+BL294*BL177+BM294*BM177+BN294*BN177+BO294*BO177+BP294*BP177+BQ294*BQ177+BR294*BR177+BS294*BS177+BT294*BT177+BU294*BU177+BV294*BV177+BW294*BW177+BX294*BX177+BY294*BY177+BZ294*BZ177+CA294*CA177+CB294*CB177+CC294*CC177+CD294*CD177+CE294*CE177+CF294*CF177+CG294*CG177+CH294*CH177+CI294*CI177+CJ294*CJ177+CK294*CK177+CL294*CL177+CM294*CM177+CN294*CN177+CO294*CO177+CP294*CP177+CQ294*CQ177+CR294*CR177+CS294*CS177+CT294*CT177+CU294*CU177</f>
        <v>0</v>
      </c>
      <c r="DF177" s="2840">
        <f>E295*E177+F295*F177+G295*G177+H295*H177+I295*I177+J295*J177+K295*K177+L295*L177+M295*M177+N295*N177+O295*O177+P295*P177+Q295*Q177+R295*R177+S295*S177+T295*T177+U295*U177+V295*V177+W295*W177+X295*X177+Y295*Y177+Z295*Z177+AA295*AA177+AB295*AB177+AC295*AC177+AD295*AD177+AE295*AE177+AF295*AF177+AG295*AG177+AH295*AH177+AI295*AI177+AJ295*AJ177+AK295*AK177+AL295*AL177+AM295*AM177+AN295*AN177+AO295*AO177+AP295*AP177+AQ295*AQ177+AR295*AR177+AS295*AS177+AT295*AT177+AU295*AU177+AV295*AV177+AW295*AW177+AX295*AX177+AY295*AY177+AZ295*AZ177+BA295*BA177+BB295*BB177+BC295*BC177+BD295*BD177+BE295*BE177+BF295*BF177+BG295*BG177+BH295*BH177+BI295*BI177+BJ295*BJ177+BK295*BK177+BL295*BL177+BM295*BM177+BN295*BN177+BO295*BO177+BP295*BP177+BQ295*BQ177+BR295*BR177+BS295*BS177+BT295*BT177+BU295*BU177+BV295*BV177+BW295*BW177+BX295*BX177+BY295*BY177+BZ295*BZ177+CA295*CA177+CB295*CB177+CC295*CC177+CD295*CD177+CE295*CE177+CF295*CF177+CG295*CG177+CH295*CH177+CI295*CI177+CJ295*CJ177+CK295*CK177+CL295*CL177+CM295*CM177+CN295*CN177+CO295*CO177+CP295*CP177+CQ295*CQ177+CR295*CR177+CS295*CS177+CT295*CT177+CU295*CU177</f>
        <v>0</v>
      </c>
      <c r="DG177" s="2840">
        <f>E296*E177+F296*F177+G296*G177+H296*H177+I296*I177+J296*J177+K296*K177+L296*L177+M296*M177+N296*N177+O296*O177+P296*P177+Q296*Q177+R296*R177+S296*S177+T296*T177+U296*U177+V296*V177+W296*W177+X296*X177+Y296*Y177+Z296*Z177+AA296*AA177+AB296*AB177+AC296*AC177+AD296*AD177+AE296*AE177+AF296*AF177+AG296*AG177+AH296*AH177+AI296*AI177+AJ296*AJ177+AK296*AK177+AL296*AL177+AM296*AM177+AN296*AN177+AO296*AO177+AP296*AP177+AQ296*AQ177+AR296*AR177+AS296*AS177+AT296*AT177+AU296*AU177+AV296*AV177+AW296*AW177+AX296*AX177+AY296*AY177+AZ296*AZ177+BA296*BA177+BB296*BB177+BC296*BC177+BD296*BD177+BE296*BE177+BF296*BF177+BG296*BG177+BH296*BH177+BI296*BI177+BJ296*BJ177+BK296*BK177+BL296*BL177+BM296*BM177+BN296*BN177+BO296*BO177+BP296*BP177+BQ296*BQ177+BR296*BR177+BS296*BS177+BT296*BT177+BU296*BU177+BV296*BV177+BW296*BW177+BX296*BX177+BY296*BY177+BZ296*BZ177+CA296*CA177+CB296*CB177+CC296*CC177+CD296*CD177+CE296*CE177+CF296*CF177+CG296*CG177+CH296*CH177+CI296*CI177+CJ296*CJ177+CK296*CK177+CL296*CL177+CM296*CM177+CN296*CN177+CO296*CO177+CP296*CP177+CQ296*CQ177+CR296*CR177+CS296*CS177+CT296*CT177+CU296*CU177</f>
        <v>0</v>
      </c>
      <c r="DH177" s="2840">
        <f>E297*E177+F297*F177+G297*G177+H297*H177+I297*I177+J297*J177+K297*K177+L297*L177+M297*M177+N297*N177+O297*O177+P297*P177+Q297*Q177+R297*R177+S297*S177+T297*T177+U297*U177+V297*V177+W297*W177+X297*X177+Y297*Y177+Z297*Z177+AA297*AA177+AB297*AB177+AC297*AC177+AD297*AD177+AE297*AE177+AF297*AF177+AG297*AG177+AH297*AH177+AI297*AI177+AJ297*AJ177+AK297*AK177+AL297*AL177+AM297*AM177+AN297*AN177+AO297*AO177+AP297*AP177+AQ297*AQ177+AR297*AR177+AS297*AS177+AT297*AT177+AU297*AU177+AV297*AV177+AW297*AW177+AX297*AX177+AY297*AY177+AZ297*AZ177+BA297*BA177+BB297*BB177+BC297*BC177+BD297*BD177+BE297*BE177+BF297*BF177+BG297*BG177+BH297*BH177+BI297*BI177+BJ297*BJ177+BK297*BK177+BL297*BL177+BM297*BM177+BN297*BN177+BO297*BO177+BP297*BP177+BQ297*BQ177+BR297*BR177+BS297*BS177+BT297*BT177+BU297*BU177+BV297*BV177+BW297*BW177+BX297*BX177+BY297*BY177+BZ297*BZ177+CA297*CA177+CB297*CB177+CC297*CC177+CD297*CD177+CE297*CE177+CF297*CF177+CG297*CG177+CH297*CH177+CI297*CI177+CJ297*CJ177+CK297*CK177+CL297*CL177+CM297*CM177+CN297*CN177+CO297*CO177+CP297*CP177+CQ297*CQ177+CR297*CR177+CS297*CS177+CT297*CT177+CU297*CU177</f>
        <v>0</v>
      </c>
      <c r="DI177" s="2840">
        <f>E298*E177+F298*F177+G298*G177+H298*H177+I298*I177+J298*J177+K298*K177+L298*L177+M298*M177+N298*N177+O298*O177+P298*P177+Q298*Q177+R298*R177+S298*S177+T298*T177+U298*U177+V298*V177+W298*W177+X298*X177+Y298*Y177+Z298*Z177+AA298*AA177+AB298*AB177+AC298*AC177+AD298*AD177+AE298*AE177+AF298*AF177+AG298*AG177+AH298*AH177+AI298*AI177+AJ298*AJ177+AK298*AK177+AL298*AL177+AM298*AM177+AN298*AN177+AO298*AO177+AP298*AP177+AQ298*AQ177+AR298*AR177+AS298*AS177+AT298*AT177+AU298*AU177+AV298*AV177+AW298*AW177+AX298*AX177+AY298*AY177+AZ298*AZ177+BA298*BA177+BB298*BB177+BC298*BC177+BD298*BD177+BE298*BE177+BF298*BF177+BG298*BG177+BH298*BH177+BI298*BI177+BJ298*BJ177+BK298*BK177+BL298*BL177+BM298*BM177+BN298*BN177+BO298*BO177+BP298*BP177+BQ298*BQ177+BR298*BR177+BS298*BS177+BT298*BT177+BU298*BU177+BV298*BV177+BW298*BW177+BX298*BX177+BY298*BY177+BZ298*BZ177+CA298*CA177+CB298*CB177+CC298*CC177+CD298*CD177+CE298*CE177+CF298*CF177+CG298*CG177+CH298*CH177+CI298*CI177+CJ298*CJ177+CK298*CK177+CL298*CL177+CM298*CM177+CN298*CN177+CO298*CO177+CP298*CP177+CQ298*CQ177+CR298*CR177+CS298*CS177+CT298*CT177+CU298*CU177</f>
        <v>0</v>
      </c>
    </row>
    <row r="178" spans="2:113" ht="18" x14ac:dyDescent="0.25">
      <c r="B178" s="2489">
        <v>25</v>
      </c>
      <c r="C178" s="2406" t="s">
        <v>247</v>
      </c>
      <c r="D178" s="2407" t="s">
        <v>4886</v>
      </c>
      <c r="E178" s="3110">
        <f>-1</f>
        <v>-1</v>
      </c>
      <c r="F178" s="3110">
        <f>0</f>
        <v>0</v>
      </c>
      <c r="G178" s="3110">
        <f>0</f>
        <v>0</v>
      </c>
      <c r="H178" s="3110">
        <f>0</f>
        <v>0</v>
      </c>
      <c r="I178" s="3110">
        <f>0</f>
        <v>0</v>
      </c>
      <c r="J178" s="3110">
        <f>0</f>
        <v>0</v>
      </c>
      <c r="K178" s="3110">
        <f>0</f>
        <v>0</v>
      </c>
      <c r="L178" s="3110">
        <f>0</f>
        <v>0</v>
      </c>
      <c r="M178" s="3110">
        <f>0</f>
        <v>0</v>
      </c>
      <c r="N178" s="3110">
        <f>1</f>
        <v>1</v>
      </c>
      <c r="O178" s="3110">
        <f>0</f>
        <v>0</v>
      </c>
      <c r="P178" s="3110">
        <f>0</f>
        <v>0</v>
      </c>
      <c r="Q178" s="3110">
        <f>0</f>
        <v>0</v>
      </c>
      <c r="R178" s="3110">
        <f>0</f>
        <v>0</v>
      </c>
      <c r="S178" s="3110">
        <f>0</f>
        <v>0</v>
      </c>
      <c r="T178" s="3110">
        <f>0</f>
        <v>0</v>
      </c>
      <c r="U178" s="3110">
        <f>0</f>
        <v>0</v>
      </c>
      <c r="V178" s="3110">
        <f>0</f>
        <v>0</v>
      </c>
      <c r="W178" s="3110">
        <f>0</f>
        <v>0</v>
      </c>
      <c r="X178" s="3110">
        <f>0</f>
        <v>0</v>
      </c>
      <c r="Y178" s="3110">
        <f>0</f>
        <v>0</v>
      </c>
      <c r="Z178" s="3110">
        <f>0</f>
        <v>0</v>
      </c>
      <c r="AA178" s="3110">
        <f>0</f>
        <v>0</v>
      </c>
      <c r="AB178" s="3110">
        <f>0</f>
        <v>0</v>
      </c>
      <c r="AC178" s="3110">
        <f>0</f>
        <v>0</v>
      </c>
      <c r="AD178" s="3110">
        <f>0</f>
        <v>0</v>
      </c>
      <c r="AE178" s="3112">
        <f>0</f>
        <v>0</v>
      </c>
      <c r="AF178" s="3112">
        <f>0</f>
        <v>0</v>
      </c>
      <c r="AG178" s="3112">
        <f>0</f>
        <v>0</v>
      </c>
      <c r="AH178" s="3110">
        <f>0</f>
        <v>0</v>
      </c>
      <c r="AI178" s="3110">
        <f>0</f>
        <v>0</v>
      </c>
      <c r="AJ178" s="3110">
        <f>0</f>
        <v>0</v>
      </c>
      <c r="AK178" s="3110">
        <f>0</f>
        <v>0</v>
      </c>
      <c r="AL178" s="3110">
        <f>f_P_VFA</f>
        <v>0.65</v>
      </c>
      <c r="AM178" s="3112">
        <f>-f_P_VFA</f>
        <v>-0.65</v>
      </c>
      <c r="AN178" s="3110">
        <f>0</f>
        <v>0</v>
      </c>
      <c r="AO178" s="3110">
        <f>0</f>
        <v>0</v>
      </c>
      <c r="AP178" s="3110">
        <f>0</f>
        <v>0</v>
      </c>
      <c r="AQ178" s="3110">
        <f>0</f>
        <v>0</v>
      </c>
      <c r="AR178" s="3110">
        <f>0</f>
        <v>0</v>
      </c>
      <c r="AS178" s="3110">
        <f>0</f>
        <v>0</v>
      </c>
      <c r="AT178" s="3110">
        <f>0</f>
        <v>0</v>
      </c>
      <c r="AU178" s="3110">
        <f>i_CIT_VFA-i_CIT_PHA</f>
        <v>4.1999999999999982E-2</v>
      </c>
      <c r="AV178" s="3110">
        <f>0</f>
        <v>0</v>
      </c>
      <c r="AW178" s="3110">
        <f>0</f>
        <v>0</v>
      </c>
      <c r="AX178" s="3110">
        <f>0</f>
        <v>0</v>
      </c>
      <c r="AY178" s="3112">
        <f>i_Ca_PP*A_MCa/A_MP*f_P_VFA</f>
        <v>8.4105701566986282E-2</v>
      </c>
      <c r="AZ178" s="3112">
        <f>i_Mg_PP*A_MMg/A_MP*f_P_VFA</f>
        <v>0.17851843325639011</v>
      </c>
      <c r="BA178" s="3112">
        <f>i_K_PP*A_MK/A_MP*f_P_VFA</f>
        <v>8.2049751773454263E-2</v>
      </c>
      <c r="BB178" s="3112">
        <f>0</f>
        <v>0</v>
      </c>
      <c r="BC178" s="3112">
        <f>0</f>
        <v>0</v>
      </c>
      <c r="BD178" s="3112">
        <f>0</f>
        <v>0</v>
      </c>
      <c r="BE178" s="3110">
        <f>0</f>
        <v>0</v>
      </c>
      <c r="BF178" s="3110">
        <f>0</f>
        <v>0</v>
      </c>
      <c r="BG178" s="3110">
        <f>0</f>
        <v>0</v>
      </c>
      <c r="BH178" s="3110">
        <f>0</f>
        <v>0</v>
      </c>
      <c r="BI178" s="3110">
        <f>0</f>
        <v>0</v>
      </c>
      <c r="BJ178" s="3110">
        <f>0</f>
        <v>0</v>
      </c>
      <c r="BK178" s="3110">
        <f>0</f>
        <v>0</v>
      </c>
      <c r="BL178" s="3110">
        <f>0</f>
        <v>0</v>
      </c>
      <c r="BM178" s="3110">
        <f>0</f>
        <v>0</v>
      </c>
      <c r="BN178" s="3110">
        <f>0</f>
        <v>0</v>
      </c>
      <c r="BO178" s="3110">
        <f>0</f>
        <v>0</v>
      </c>
      <c r="BP178" s="3110">
        <f>0</f>
        <v>0</v>
      </c>
      <c r="BQ178" s="3110">
        <f>0</f>
        <v>0</v>
      </c>
      <c r="BR178" s="3110">
        <f>0</f>
        <v>0</v>
      </c>
      <c r="BS178" s="3110">
        <f>0</f>
        <v>0</v>
      </c>
      <c r="BT178" s="3110">
        <f>0</f>
        <v>0</v>
      </c>
      <c r="BU178" s="3110">
        <f>0</f>
        <v>0</v>
      </c>
      <c r="BV178" s="3110">
        <f>0</f>
        <v>0</v>
      </c>
      <c r="BW178" s="3110">
        <f>0</f>
        <v>0</v>
      </c>
      <c r="BX178" s="3110">
        <f>0</f>
        <v>0</v>
      </c>
      <c r="BY178" s="3110">
        <f>0</f>
        <v>0</v>
      </c>
      <c r="BZ178" s="3176">
        <f>0</f>
        <v>0</v>
      </c>
      <c r="CA178" s="3176">
        <f>0</f>
        <v>0</v>
      </c>
      <c r="CB178" s="3176">
        <f>0</f>
        <v>0</v>
      </c>
      <c r="CC178" s="3176">
        <f>0</f>
        <v>0</v>
      </c>
      <c r="CD178" s="3110">
        <f>0</f>
        <v>0</v>
      </c>
      <c r="CE178" s="3110">
        <f>0</f>
        <v>0</v>
      </c>
      <c r="CF178" s="3110">
        <f>0</f>
        <v>0</v>
      </c>
      <c r="CG178" s="3110">
        <f>0</f>
        <v>0</v>
      </c>
      <c r="CH178" s="3110">
        <f>0</f>
        <v>0</v>
      </c>
      <c r="CI178" s="3110">
        <f>0</f>
        <v>0</v>
      </c>
      <c r="CJ178" s="3110">
        <f>0</f>
        <v>0</v>
      </c>
      <c r="CK178" s="3110">
        <f>0</f>
        <v>0</v>
      </c>
      <c r="CL178" s="3110">
        <f>0</f>
        <v>0</v>
      </c>
      <c r="CM178" s="3110">
        <f>0</f>
        <v>0</v>
      </c>
      <c r="CN178" s="3110">
        <f>0</f>
        <v>0</v>
      </c>
      <c r="CO178" s="3110">
        <f>0</f>
        <v>0</v>
      </c>
      <c r="CP178" s="3110">
        <f>0</f>
        <v>0</v>
      </c>
      <c r="CQ178" s="3110">
        <f>0</f>
        <v>0</v>
      </c>
      <c r="CR178" s="3110">
        <f>0</f>
        <v>0</v>
      </c>
      <c r="CS178" s="3110">
        <f>0</f>
        <v>0</v>
      </c>
      <c r="CT178" s="3110">
        <f>0</f>
        <v>0</v>
      </c>
      <c r="CU178" s="3110">
        <f>0</f>
        <v>0</v>
      </c>
      <c r="CV178" s="3222">
        <f>q_PAO_PHA_T*X_CASTO*actsto_PAO_ORP*M_satSVFA_KVFA_CASTO*M_RsatXPP_XPAO_KPP*L_oginhXPHA_XPAO_max</f>
        <v>0.33972825925009087</v>
      </c>
      <c r="CX178" s="2838">
        <f>E287*E178+F287*F178+G287*G178+H287*H178+I287*I178+J287*J178+K287*K178+L287*L178+M287*M178+N287*N178+O287*O178+P287*P178+Q287*Q178+R287*R178+S287*S178+T287*T178+U287*U178+V287*V178+W287*W178+X287*X178+Y287*Y178+Z287*Z178+AA287*AA178+AB287*AB178+AC287*AC178+AD287*AD178+AE287*AE178+AF287*AF178+AG287*AG178+AH287*AH178+AI287*AI178+AJ287*AJ178+AK287*AK178+AL287*AL178+AM287*AM178+AN287*AN178+AO287*AO178+AP287*AP178+AQ287*AQ178+AR287*AR178+AS287*AS178+AT287*AT178+AU287*AU178+AV287*AV178+AW287*AW178+AX287*AX178+AY287*AY178+AZ287*AZ178+BA287*BA178+BB287*BB178+BC287*BC178+BD287*BD178+BE287*BE178+BF287*BF178+BG287*BG178+BH287*BH178+BI287*BI178+BJ287*BJ178+BK287*BK178+BL287*BL178+BM287*BM178+BN287*BN178+BO287*BO178+BP287*BP178+BQ287*BQ178+BR287*BR178+BS287*BS178+BT287*BT178+BU287*BU178+BV287*BV178+BW287*BW178+BX287*BX178+BY287*BY178+BZ287*BZ178+CA287*CA178+CB287*CB178+CC287*CC178+CD287*CD178+CE287*CE178+CF287*CF178+CG287*CG178+CH287*CH178+CI287*CI178+CJ287*CJ178+CK287*CK178+CL287*CL178+CM287*CM178+CN287*CN178+CO287*CO178+CP287*CP178+CQ287*CQ178+CR287*CR178+CS287*CS178+CT287*CT178+CU287*CU178</f>
        <v>0</v>
      </c>
      <c r="CY178" s="2838">
        <f>E288*E178+F288*F178+G288*G178+H288*H178+I288*I178+J288*J178+K288*K178+L288*L178+M288*M178+N288*N178+O288*O178+P288*P178+Q288*Q178+R288*R178+S288*S178+T288*T178+U288*U178+V288*V178+W288*W178+X288*X178+Y288*Y178+Z288*Z178+AA288*AA178+AB288*AB178+AC288*AC178+AD288*AD178+AE288*AE178+AF288*AF178+AG288*AG178+AH288*AH178+AI288*AI178+AJ288*AJ178+AK288*AK178+AL288*AL178+AM288*AM178+AN288*AN178+AO288*AO178+AP288*AP178+AQ288*AQ178+AR288*AR178+AS288*AS178+AT288*AT178+AU288*AU178+AV288*AV178+AW288*AW178+AX288*AX178+AY288*AY178+AZ288*AZ178+BA288*BA178+BB288*BB178+BC288*BC178+BD288*BD178+BE288*BE178+BF288*BF178+BG288*BG178+BH288*BH178+BI288*BI178+BJ288*BJ178+BK288*BK178+BL288*BL178+BM288*BM178+BN288*BN178+BO288*BO178+BP288*BP178+BQ288*BQ178+BR288*BR178+BS288*BS178+BT288*BT178+BU288*BU178+BV288*BV178+BW288*BW178+BX288*BX178+BY288*BY178+BZ288*BZ178+CA288*CA178+CB288*CB178+CC288*CC178+CD288*CD178+CE288*CE178+CF288*CF178+CG288*CG178+CH288*CH178+CI288*CI178+CJ288*CJ178+CK288*CK178+CL288*CL178+CM288*CM178+CN288*CN178+CO288*CO178+CP288*CP178+CQ288*CQ178+CR288*CR178+CS288*CS178+CT288*CT178+CU288*CU178</f>
        <v>0</v>
      </c>
      <c r="CZ178" s="2839">
        <f>E289*E178+F289*F178+G289*G178+H289*H178+I289*I178+J289*J178+K289*K178+L289*L178+M289*M178+N289*N178+O289*O178+P289*P178+Q289*Q178+R289*R178+S289*S178+T289*T178+U289*U178+V289*V178+W289*W178+X289*X178+Y289*Y178+Z289*Z178+AA289*AA178+AB289*AB178+AC289*AC178+AD289*AD178+AE289*AE178+AF289*AF178+AG289*AG178+AH289*AH178+AI289*AI178+AJ289*AJ178+AK289*AK178+AL289*AL178+AM289*AM178+AN289*AN178+AO289*AO178+AP289*AP178+AQ289*AQ178+AR289*AR178+AS289*AS178+AT289*AT178+AU289*AU178+AV289*AV178+AW289*AW178+AX289*AX178+AY289*AY178+AZ289*AZ178+BA289*BA178+BB289*BB178+BC289*BC178+BD289*BD178+BE289*BE178+BF289*BF178+BG289*BG178+BH289*BH178+BI289*BI178+BJ289*BJ178+BK289*BK178+BL289*BL178+BM289*BM178+BN289*BN178+BO289*BO178+BP289*BP178+BQ289*BQ178+BR289*BR178+BS289*BS178+BT289*BT178+BU289*BU178+BV289*BV178+BW289*BW178+BX289*BX178+BY289*BY178+BZ289*BZ178+CA289*CA178+CB289*CB178+CC289*CC178+CD289*CD178+CE289*CE178+CF289*CF178+CG289*CG178+CH289*CH178+CI289*CI178+CJ289*CJ178+CK289*CK178+CL289*CL178+CM289*CM178+CN289*CN178+CO289*CO178+CP289*CP178+CQ289*CQ178+CR289*CR178+CS289*CS178+CT289*CT178+CU289*CU178</f>
        <v>0</v>
      </c>
      <c r="DA178" s="2840">
        <f>E290*E178+F290*F178+G290*G178+H290*H178+I290*I178+J290*J178+K290*K178+L290*L178+M290*M178+N290*N178+O290*O178+P290*P178+Q290*Q178+R290*R178+S290*S178+T290*T178+U290*U178+V290*V178+W290*W178+X290*X178+Y290*Y178+Z290*Z178+AA290*AA178+AB290*AB178+AC290*AC178+AD290*AD178+AE290*AE178+AF290*AF178+AG290*AG178+AH290*AH178+AI290*AI178+AJ290*AJ178+AK290*AK178+AL290*AL178+AM290*AM178+AN290*AN178+AO290*AO178+AP290*AP178+AQ290*AQ178+AR290*AR178+AS290*AS178+AT290*AT178+AU290*AU178+AV290*AV178+AW290*AW178+AX290*AX178+AY290*AY178+AZ290*AZ178+BA290*BA178+BB290*BB178+BC290*BC178+BD290*BD178+BE290*BE178+BF290*BF178+BG290*BG178+BH290*BH178+BI290*BI178+BJ290*BJ178+BK290*BK178+BL290*BL178+BM290*BM178+BN290*BN178+BO290*BO178+BP290*BP178+BQ290*BQ178+BR290*BR178+BS290*BS178+BT290*BT178+BU290*BU178+BV290*BV178+BW290*BW178+BX290*BX178+BY290*BY178+BZ290*BZ178+CA290*CA178+CB290*CB178+CC290*CC178+CD290*CD178+CE290*CE178+CF290*CF178+CG290*CG178+CH290*CH178+CI290*CI178+CJ290*CJ178+CK290*CK178+CL290*CL178+CM290*CM178+CN290*CN178+CO290*CO178+CP290*CP178+CQ290*CQ178+CR290*CR178+CS290*CS178+CT290*CT178+CU290*CU178</f>
        <v>0</v>
      </c>
      <c r="DB178" s="2840">
        <f>E291*E178+F291*F178+G291*G178+H291*H178+I291*I178+J291*J178+K291*K178+L291*L178+M291*M178+N291*N178+O291*O178+P291*P178+Q291*Q178+R291*R178+S291*S178+T291*T178+U291*U178+V291*V178+W291*W178+X291*X178+Y291*Y178+Z291*Z178+AA291*AA178+AB291*AB178+AC291*AC178+AD291*AD178+AE291*AE178+AF291*AF178+AG291*AG178+AH291*AH178+AI291*AI178+AJ291*AJ178+AK291*AK178+AL291*AL178+AM291*AM178+AN291*AN178+AO291*AO178+AP291*AP178+AQ291*AQ178+AR291*AR178+AS291*AS178+AT291*AT178+AU291*AU178+AV291*AV178+AW291*AW178+AX291*AX178+AY291*AY178+AZ291*AZ178+BA291*BA178+BB291*BB178+BC291*BC178+BD291*BD178+BE291*BE178+BF291*BF178+BG291*BG178+BH291*BH178+BI291*BI178+BJ291*BJ178+BK291*BK178+BL291*BL178+BM291*BM178+BN291*BN178+BO291*BO178+BP291*BP178+BQ291*BQ178+BR291*BR178+BS291*BS178+BT291*BT178+BU291*BU178+BV291*BV178+BW291*BW178+BX291*BX178+BY291*BY178+BZ291*BZ178+CA291*CA178+CB291*CB178+CC291*CC178+CD291*CD178+CE291*CE178+CF291*CF178+CG291*CG178+CH291*CH178+CI291*CI178+CJ291*CJ178+CK291*CK178+CL291*CL178+CM291*CM178+CN291*CN178+CO291*CO178+CP291*CP178+CQ291*CQ178+CR291*CR178+CS291*CS178+CT291*CT178+CU291*CU178</f>
        <v>0</v>
      </c>
      <c r="DC178" s="2840">
        <f>E292*E178+F292*F178+G292*G178+H292*H178+I292*I178+J292*J178+K292*K178+L292*L178+M292*M178+N292*N178+O292*O178+P292*P178+Q292*Q178+R292*R178+S292*S178+T292*T178+U292*U178+V292*V178+W292*W178+X292*X178+Y292*Y178+Z292*Z178+AA292*AA178+AB292*AB178+AC292*AC178+AD292*AD178+AE292*AE178+AF292*AF178+AG292*AG178+AH292*AH178+AI292*AI178+AJ292*AJ178+AK292*AK178+AL292*AL178+AM292*AM178+AN292*AN178+AO292*AO178+AP292*AP178+AQ292*AQ178+AR292*AR178+AS292*AS178+AT292*AT178+AU292*AU178+AV292*AV178+AW292*AW178+AX292*AX178+AY292*AY178+AZ292*AZ178+BA292*BA178+BB292*BB178+BC292*BC178+BD292*BD178+BE292*BE178+BF292*BF178+BG292*BG178+BH292*BH178+BI292*BI178+BJ292*BJ178+BK292*BK178+BL292*BL178+BM292*BM178+BN292*BN178+BO292*BO178+BP292*BP178+BQ292*BQ178+BR292*BR178+BS292*BS178+BT292*BT178+BU292*BU178+BV292*BV178+BW292*BW178+BX292*BX178+BY292*BY178+BZ292*BZ178+CA292*CA178+CB292*CB178+CC292*CC178+CD292*CD178+CE292*CE178+CF292*CF178+CG292*CG178+CH292*CH178+CI292*CI178+CJ292*CJ178+CK292*CK178+CL292*CL178+CM292*CM178+CN292*CN178+CO292*CO178+CP292*CP178+CQ292*CQ178+CR292*CR178+CS292*CS178+CT292*CT178+CU292*CU178</f>
        <v>0</v>
      </c>
      <c r="DD178" s="2840">
        <f>E293*E178+F293*F178+G293*G178+H293*H178+I293*I178+J293*J178+K293*K178+L293*L178+M293*M178+N293*N178+O293*O178+P293*P178+Q293*Q178+R293*R178+S293*S178+T293*T178+U293*U178+V293*V178+W293*W178+X293*X178+Y293*Y178+Z293*Z178+AA293*AA178+AB293*AB178+AC293*AC178+AD293*AD178+AE293*AE178+AF293*AF178+AG293*AG178+AH293*AH178+AI293*AI178+AJ293*AJ178+AK293*AK178+AL293*AL178+AM293*AM178+AN293*AN178+AO293*AO178+AP293*AP178+AQ293*AQ178+AR293*AR178+AS293*AS178+AT293*AT178+AU293*AU178+AV293*AV178+AW293*AW178+AX293*AX178+AY293*AY178+AZ293*AZ178+BA293*BA178+BB293*BB178+BC293*BC178+BD293*BD178+BE293*BE178+BF293*BF178+BG293*BG178+BH293*BH178+BI293*BI178+BJ293*BJ178+BK293*BK178+BL293*BL178+BM293*BM178+BN293*BN178+BO293*BO178+BP293*BP178+BQ293*BQ178+BR293*BR178+BS293*BS178+BT293*BT178+BU293*BU178+BV293*BV178+BW293*BW178+BX293*BX178+BY293*BY178+BZ293*BZ178+CA293*CA178+CB293*CB178+CC293*CC178+CD293*CD178+CE293*CE178+CF293*CF178+CG293*CG178+CH293*CH178+CI293*CI178+CJ293*CJ178+CK293*CK178+CL293*CL178+CM293*CM178+CN293*CN178+CO293*CO178+CP293*CP178+CQ293*CQ178+CR293*CR178+CS293*CS178+CT293*CT178+CU293*CU178</f>
        <v>0</v>
      </c>
      <c r="DE178" s="2840">
        <f>E294*E178+F294*F178+G294*G178+H294*H178+I294*I178+J294*J178+K294*K178+L294*L178+M294*M178+N294*N178+O294*O178+P294*P178+Q294*Q178+R294*R178+S294*S178+T294*T178+U294*U178+V294*V178+W294*W178+X294*X178+Y294*Y178+Z294*Z178+AA294*AA178+AB294*AB178+AC294*AC178+AD294*AD178+AE294*AE178+AF294*AF178+AG294*AG178+AH294*AH178+AI294*AI178+AJ294*AJ178+AK294*AK178+AL294*AL178+AM294*AM178+AN294*AN178+AO294*AO178+AP294*AP178+AQ294*AQ178+AR294*AR178+AS294*AS178+AT294*AT178+AU294*AU178+AV294*AV178+AW294*AW178+AX294*AX178+AY294*AY178+AZ294*AZ178+BA294*BA178+BB294*BB178+BC294*BC178+BD294*BD178+BE294*BE178+BF294*BF178+BG294*BG178+BH294*BH178+BI294*BI178+BJ294*BJ178+BK294*BK178+BL294*BL178+BM294*BM178+BN294*BN178+BO294*BO178+BP294*BP178+BQ294*BQ178+BR294*BR178+BS294*BS178+BT294*BT178+BU294*BU178+BV294*BV178+BW294*BW178+BX294*BX178+BY294*BY178+BZ294*BZ178+CA294*CA178+CB294*CB178+CC294*CC178+CD294*CD178+CE294*CE178+CF294*CF178+CG294*CG178+CH294*CH178+CI294*CI178+CJ294*CJ178+CK294*CK178+CL294*CL178+CM294*CM178+CN294*CN178+CO294*CO178+CP294*CP178+CQ294*CQ178+CR294*CR178+CS294*CS178+CT294*CT178+CU294*CU178</f>
        <v>0</v>
      </c>
      <c r="DF178" s="2840">
        <f>E295*E178+F295*F178+G295*G178+H295*H178+I295*I178+J295*J178+K295*K178+L295*L178+M295*M178+N295*N178+O295*O178+P295*P178+Q295*Q178+R295*R178+S295*S178+T295*T178+U295*U178+V295*V178+W295*W178+X295*X178+Y295*Y178+Z295*Z178+AA295*AA178+AB295*AB178+AC295*AC178+AD295*AD178+AE295*AE178+AF295*AF178+AG295*AG178+AH295*AH178+AI295*AI178+AJ295*AJ178+AK295*AK178+AL295*AL178+AM295*AM178+AN295*AN178+AO295*AO178+AP295*AP178+AQ295*AQ178+AR295*AR178+AS295*AS178+AT295*AT178+AU295*AU178+AV295*AV178+AW295*AW178+AX295*AX178+AY295*AY178+AZ295*AZ178+BA295*BA178+BB295*BB178+BC295*BC178+BD295*BD178+BE295*BE178+BF295*BF178+BG295*BG178+BH295*BH178+BI295*BI178+BJ295*BJ178+BK295*BK178+BL295*BL178+BM295*BM178+BN295*BN178+BO295*BO178+BP295*BP178+BQ295*BQ178+BR295*BR178+BS295*BS178+BT295*BT178+BU295*BU178+BV295*BV178+BW295*BW178+BX295*BX178+BY295*BY178+BZ295*BZ178+CA295*CA178+CB295*CB178+CC295*CC178+CD295*CD178+CE295*CE178+CF295*CF178+CG295*CG178+CH295*CH178+CI295*CI178+CJ295*CJ178+CK295*CK178+CL295*CL178+CM295*CM178+CN295*CN178+CO295*CO178+CP295*CP178+CQ295*CQ178+CR295*CR178+CS295*CS178+CT295*CT178+CU295*CU178</f>
        <v>0</v>
      </c>
      <c r="DG178" s="2840">
        <f>E296*E178+F296*F178+G296*G178+H296*H178+I296*I178+J296*J178+K296*K178+L296*L178+M296*M178+N296*N178+O296*O178+P296*P178+Q296*Q178+R296*R178+S296*S178+T296*T178+U296*U178+V296*V178+W296*W178+X296*X178+Y296*Y178+Z296*Z178+AA296*AA178+AB296*AB178+AC296*AC178+AD296*AD178+AE296*AE178+AF296*AF178+AG296*AG178+AH296*AH178+AI296*AI178+AJ296*AJ178+AK296*AK178+AL296*AL178+AM296*AM178+AN296*AN178+AO296*AO178+AP296*AP178+AQ296*AQ178+AR296*AR178+AS296*AS178+AT296*AT178+AU296*AU178+AV296*AV178+AW296*AW178+AX296*AX178+AY296*AY178+AZ296*AZ178+BA296*BA178+BB296*BB178+BC296*BC178+BD296*BD178+BE296*BE178+BF296*BF178+BG296*BG178+BH296*BH178+BI296*BI178+BJ296*BJ178+BK296*BK178+BL296*BL178+BM296*BM178+BN296*BN178+BO296*BO178+BP296*BP178+BQ296*BQ178+BR296*BR178+BS296*BS178+BT296*BT178+BU296*BU178+BV296*BV178+BW296*BW178+BX296*BX178+BY296*BY178+BZ296*BZ178+CA296*CA178+CB296*CB178+CC296*CC178+CD296*CD178+CE296*CE178+CF296*CF178+CG296*CG178+CH296*CH178+CI296*CI178+CJ296*CJ178+CK296*CK178+CL296*CL178+CM296*CM178+CN296*CN178+CO296*CO178+CP296*CP178+CQ296*CQ178+CR296*CR178+CS296*CS178+CT296*CT178+CU296*CU178</f>
        <v>0</v>
      </c>
      <c r="DH178" s="2840">
        <f>E297*E178+F297*F178+G297*G178+H297*H178+I297*I178+J297*J178+K297*K178+L297*L178+M297*M178+N297*N178+O297*O178+P297*P178+Q297*Q178+R297*R178+S297*S178+T297*T178+U297*U178+V297*V178+W297*W178+X297*X178+Y297*Y178+Z297*Z178+AA297*AA178+AB297*AB178+AC297*AC178+AD297*AD178+AE297*AE178+AF297*AF178+AG297*AG178+AH297*AH178+AI297*AI178+AJ297*AJ178+AK297*AK178+AL297*AL178+AM297*AM178+AN297*AN178+AO297*AO178+AP297*AP178+AQ297*AQ178+AR297*AR178+AS297*AS178+AT297*AT178+AU297*AU178+AV297*AV178+AW297*AW178+AX297*AX178+AY297*AY178+AZ297*AZ178+BA297*BA178+BB297*BB178+BC297*BC178+BD297*BD178+BE297*BE178+BF297*BF178+BG297*BG178+BH297*BH178+BI297*BI178+BJ297*BJ178+BK297*BK178+BL297*BL178+BM297*BM178+BN297*BN178+BO297*BO178+BP297*BP178+BQ297*BQ178+BR297*BR178+BS297*BS178+BT297*BT178+BU297*BU178+BV297*BV178+BW297*BW178+BX297*BX178+BY297*BY178+BZ297*BZ178+CA297*CA178+CB297*CB178+CC297*CC178+CD297*CD178+CE297*CE178+CF297*CF178+CG297*CG178+CH297*CH178+CI297*CI178+CJ297*CJ178+CK297*CK178+CL297*CL178+CM297*CM178+CN297*CN178+CO297*CO178+CP297*CP178+CQ297*CQ178+CR297*CR178+CS297*CS178+CT297*CT178+CU297*CU178</f>
        <v>0</v>
      </c>
      <c r="DI178" s="2840">
        <f>E298*E178+F298*F178+G298*G178+H298*H178+I298*I178+J298*J178+K298*K178+L298*L178+M298*M178+N298*N178+O298*O178+P298*P178+Q298*Q178+R298*R178+S298*S178+T298*T178+U298*U178+V298*V178+W298*W178+X298*X178+Y298*Y178+Z298*Z178+AA298*AA178+AB298*AB178+AC298*AC178+AD298*AD178+AE298*AE178+AF298*AF178+AG298*AG178+AH298*AH178+AI298*AI178+AJ298*AJ178+AK298*AK178+AL298*AL178+AM298*AM178+AN298*AN178+AO298*AO178+AP298*AP178+AQ298*AQ178+AR298*AR178+AS298*AS178+AT298*AT178+AU298*AU178+AV298*AV178+AW298*AW178+AX298*AX178+AY298*AY178+AZ298*AZ178+BA298*BA178+BB298*BB178+BC298*BC178+BD298*BD178+BE298*BE178+BF298*BF178+BG298*BG178+BH298*BH178+BI298*BI178+BJ298*BJ178+BK298*BK178+BL298*BL178+BM298*BM178+BN298*BN178+BO298*BO178+BP298*BP178+BQ298*BQ178+BR298*BR178+BS298*BS178+BT298*BT178+BU298*BU178+BV298*BV178+BW298*BW178+BX298*BX178+BY298*BY178+BZ298*BZ178+CA298*CA178+CB298*CB178+CC298*CC178+CD298*CD178+CE298*CE178+CF298*CF178+CG298*CG178+CH298*CH178+CI298*CI178+CJ298*CJ178+CK298*CK178+CL298*CL178+CM298*CM178+CN298*CN178+CO298*CO178+CP298*CP178+CQ298*CQ178+CR298*CR178+CS298*CS178+CT298*CT178+CU298*CU178</f>
        <v>0</v>
      </c>
    </row>
    <row r="179" spans="2:113" ht="18" x14ac:dyDescent="0.25">
      <c r="B179" s="2489">
        <v>26</v>
      </c>
      <c r="C179" s="2406" t="s">
        <v>248</v>
      </c>
      <c r="D179" s="2407" t="s">
        <v>5854</v>
      </c>
      <c r="E179" s="3110">
        <f>-1</f>
        <v>-1</v>
      </c>
      <c r="F179" s="3110">
        <f>0</f>
        <v>0</v>
      </c>
      <c r="G179" s="3110">
        <f>0</f>
        <v>0</v>
      </c>
      <c r="H179" s="3110">
        <f>0</f>
        <v>0</v>
      </c>
      <c r="I179" s="3110">
        <f>0</f>
        <v>0</v>
      </c>
      <c r="J179" s="3110">
        <f>0</f>
        <v>0</v>
      </c>
      <c r="K179" s="3110">
        <f>0</f>
        <v>0</v>
      </c>
      <c r="L179" s="3110">
        <f>0</f>
        <v>0</v>
      </c>
      <c r="M179" s="3110">
        <f>0</f>
        <v>0</v>
      </c>
      <c r="N179" s="3110">
        <f>0</f>
        <v>0</v>
      </c>
      <c r="O179" s="3110">
        <f>1</f>
        <v>1</v>
      </c>
      <c r="P179" s="3110">
        <f>0</f>
        <v>0</v>
      </c>
      <c r="Q179" s="3110">
        <f>0</f>
        <v>0</v>
      </c>
      <c r="R179" s="3110">
        <f>0</f>
        <v>0</v>
      </c>
      <c r="S179" s="3110">
        <f>0</f>
        <v>0</v>
      </c>
      <c r="T179" s="3110">
        <f>0</f>
        <v>0</v>
      </c>
      <c r="U179" s="3110">
        <f>0</f>
        <v>0</v>
      </c>
      <c r="V179" s="3110">
        <f>0</f>
        <v>0</v>
      </c>
      <c r="W179" s="3110">
        <f>0</f>
        <v>0</v>
      </c>
      <c r="X179" s="3110">
        <f>0</f>
        <v>0</v>
      </c>
      <c r="Y179" s="3110">
        <f>0</f>
        <v>0</v>
      </c>
      <c r="Z179" s="3110">
        <f>0</f>
        <v>0</v>
      </c>
      <c r="AA179" s="3110">
        <f>0</f>
        <v>0</v>
      </c>
      <c r="AB179" s="3110">
        <f>0</f>
        <v>0</v>
      </c>
      <c r="AC179" s="3110">
        <f>0</f>
        <v>0</v>
      </c>
      <c r="AD179" s="3110">
        <f>0</f>
        <v>0</v>
      </c>
      <c r="AE179" s="3112">
        <f>0</f>
        <v>0</v>
      </c>
      <c r="AF179" s="3112">
        <f>0</f>
        <v>0</v>
      </c>
      <c r="AG179" s="3110">
        <f>0</f>
        <v>0</v>
      </c>
      <c r="AH179" s="3110">
        <f>0</f>
        <v>0</v>
      </c>
      <c r="AI179" s="3110">
        <f>0</f>
        <v>0</v>
      </c>
      <c r="AJ179" s="3110">
        <f>0</f>
        <v>0</v>
      </c>
      <c r="AK179" s="3110">
        <f>0</f>
        <v>0</v>
      </c>
      <c r="AL179" s="3110">
        <f>0</f>
        <v>0</v>
      </c>
      <c r="AM179" s="3112">
        <f>0</f>
        <v>0</v>
      </c>
      <c r="AN179" s="3110">
        <f>0</f>
        <v>0</v>
      </c>
      <c r="AO179" s="3110">
        <f>0</f>
        <v>0</v>
      </c>
      <c r="AP179" s="3110">
        <f>0</f>
        <v>0</v>
      </c>
      <c r="AQ179" s="3110">
        <f>0</f>
        <v>0</v>
      </c>
      <c r="AR179" s="3110">
        <f>0</f>
        <v>0</v>
      </c>
      <c r="AS179" s="3110">
        <f>0</f>
        <v>0</v>
      </c>
      <c r="AT179" s="3110">
        <f>0</f>
        <v>0</v>
      </c>
      <c r="AU179" s="3110">
        <f>i_CIT_VFA-i_CIT_PHA</f>
        <v>4.1999999999999982E-2</v>
      </c>
      <c r="AV179" s="3112">
        <f>0</f>
        <v>0</v>
      </c>
      <c r="AW179" s="3112">
        <f>0</f>
        <v>0</v>
      </c>
      <c r="AX179" s="3112">
        <f>0</f>
        <v>0</v>
      </c>
      <c r="AY179" s="3112">
        <f>0</f>
        <v>0</v>
      </c>
      <c r="AZ179" s="3112">
        <f>0</f>
        <v>0</v>
      </c>
      <c r="BA179" s="3112">
        <f>0</f>
        <v>0</v>
      </c>
      <c r="BB179" s="3112">
        <f>0</f>
        <v>0</v>
      </c>
      <c r="BC179" s="3112">
        <f>0</f>
        <v>0</v>
      </c>
      <c r="BD179" s="3112">
        <f>0</f>
        <v>0</v>
      </c>
      <c r="BE179" s="3110">
        <f>0</f>
        <v>0</v>
      </c>
      <c r="BF179" s="3110">
        <f>0</f>
        <v>0</v>
      </c>
      <c r="BG179" s="3110">
        <f>0</f>
        <v>0</v>
      </c>
      <c r="BH179" s="3110">
        <f>0</f>
        <v>0</v>
      </c>
      <c r="BI179" s="3110">
        <f>0</f>
        <v>0</v>
      </c>
      <c r="BJ179" s="3110">
        <f>0</f>
        <v>0</v>
      </c>
      <c r="BK179" s="3110">
        <f>0</f>
        <v>0</v>
      </c>
      <c r="BL179" s="3110">
        <f>0</f>
        <v>0</v>
      </c>
      <c r="BM179" s="3110">
        <f>0</f>
        <v>0</v>
      </c>
      <c r="BN179" s="3110">
        <f>0</f>
        <v>0</v>
      </c>
      <c r="BO179" s="3110">
        <f>0</f>
        <v>0</v>
      </c>
      <c r="BP179" s="3110">
        <f>0</f>
        <v>0</v>
      </c>
      <c r="BQ179" s="3110">
        <f>0</f>
        <v>0</v>
      </c>
      <c r="BR179" s="3110">
        <f>0</f>
        <v>0</v>
      </c>
      <c r="BS179" s="3110">
        <f>0</f>
        <v>0</v>
      </c>
      <c r="BT179" s="3110">
        <f>0</f>
        <v>0</v>
      </c>
      <c r="BU179" s="3110">
        <f>0</f>
        <v>0</v>
      </c>
      <c r="BV179" s="3110">
        <f>0</f>
        <v>0</v>
      </c>
      <c r="BW179" s="3110">
        <f>0</f>
        <v>0</v>
      </c>
      <c r="BX179" s="3110">
        <f>0</f>
        <v>0</v>
      </c>
      <c r="BY179" s="3110">
        <f>0</f>
        <v>0</v>
      </c>
      <c r="BZ179" s="3176">
        <f>0</f>
        <v>0</v>
      </c>
      <c r="CA179" s="3176">
        <f>0</f>
        <v>0</v>
      </c>
      <c r="CB179" s="3176">
        <f>0</f>
        <v>0</v>
      </c>
      <c r="CC179" s="3176">
        <f>0</f>
        <v>0</v>
      </c>
      <c r="CD179" s="3110">
        <f>0</f>
        <v>0</v>
      </c>
      <c r="CE179" s="3110">
        <f>0</f>
        <v>0</v>
      </c>
      <c r="CF179" s="3110">
        <f>0</f>
        <v>0</v>
      </c>
      <c r="CG179" s="3110">
        <f>0</f>
        <v>0</v>
      </c>
      <c r="CH179" s="3110">
        <f>0</f>
        <v>0</v>
      </c>
      <c r="CI179" s="3110">
        <f>0</f>
        <v>0</v>
      </c>
      <c r="CJ179" s="3110">
        <f>0</f>
        <v>0</v>
      </c>
      <c r="CK179" s="3110">
        <f>0</f>
        <v>0</v>
      </c>
      <c r="CL179" s="3110">
        <f>0</f>
        <v>0</v>
      </c>
      <c r="CM179" s="3110">
        <f>0</f>
        <v>0</v>
      </c>
      <c r="CN179" s="3110">
        <f>0</f>
        <v>0</v>
      </c>
      <c r="CO179" s="3110">
        <f>0</f>
        <v>0</v>
      </c>
      <c r="CP179" s="3110">
        <f>0</f>
        <v>0</v>
      </c>
      <c r="CQ179" s="3110">
        <f>0</f>
        <v>0</v>
      </c>
      <c r="CR179" s="3110">
        <f>0</f>
        <v>0</v>
      </c>
      <c r="CS179" s="3110">
        <f>0</f>
        <v>0</v>
      </c>
      <c r="CT179" s="3110">
        <f>0</f>
        <v>0</v>
      </c>
      <c r="CU179" s="3110">
        <f>0</f>
        <v>0</v>
      </c>
      <c r="CV179" s="3222">
        <f>q_GAO_PHA_T*X_CASTO*actsto_GAO_ORP*M_satSVFA_KVFA_CASTO*L_oginhXPHA_XGAO_max</f>
        <v>3.7838181114634031</v>
      </c>
      <c r="CX179" s="2838">
        <f>E287*E179+F287*F179+G287*G179+H287*H179+I287*I179+J287*J179+K287*K179+L287*L179+M287*M179+N287*N179+O287*O179+P287*P179+Q287*Q179+R287*R179+S287*S179+T287*T179+U287*U179+V287*V179+W287*W179+X287*X179+Y287*Y179+Z287*Z179+AA287*AA179+AB287*AB179+AC287*AC179+AD287*AD179+AE287*AE179+AF287*AF179+AG287*AG179+AH287*AH179+AI287*AI179+AJ287*AJ179+AK287*AK179+AL287*AL179+AM287*AM179+AN287*AN179+AO287*AO179+AP287*AP179+AQ287*AQ179+AR287*AR179+AS287*AS179+AT287*AT179+AU287*AU179+AV287*AV179+AW287*AW179+AX287*AX179+AY287*AY179+AZ287*AZ179+BA287*BA179+BB287*BB179+BC287*BC179+BD287*BD179+BE287*BE179+BF287*BF179+BG287*BG179+BH287*BH179+BI287*BI179+BJ287*BJ179+BK287*BK179+BL287*BL179+BM287*BM179+BN287*BN179+BO287*BO179+BP287*BP179+BQ287*BQ179+BR287*BR179+BS287*BS179+BT287*BT179+BU287*BU179+BV287*BV179+BW287*BW179+BX287*BX179+BY287*BY179+BZ287*BZ179+CA287*CA179+CB287*CB179+CC287*CC179+CD287*CD179+CE287*CE179+CF287*CF179+CG287*CG179+CH287*CH179+CI287*CI179+CJ287*CJ179+CK287*CK179+CL287*CL179+CM287*CM179+CN287*CN179+CO287*CO179+CP287*CP179+CQ287*CQ179+CR287*CR179+CS287*CS179+CT287*CT179+CU287*CU179</f>
        <v>0</v>
      </c>
      <c r="CY179" s="2838">
        <f>E288*E179+F288*F179+G288*G179+H288*H179+I288*I179+J288*J179+K288*K179+L288*L179+M288*M179+N288*N179+O288*O179+P288*P179+Q288*Q179+R288*R179+S288*S179+T288*T179+U288*U179+V288*V179+W288*W179+X288*X179+Y288*Y179+Z288*Z179+AA288*AA179+AB288*AB179+AC288*AC179+AD288*AD179+AE288*AE179+AF288*AF179+AG288*AG179+AH288*AH179+AI288*AI179+AJ288*AJ179+AK288*AK179+AL288*AL179+AM288*AM179+AN288*AN179+AO288*AO179+AP288*AP179+AQ288*AQ179+AR288*AR179+AS288*AS179+AT288*AT179+AU288*AU179+AV288*AV179+AW288*AW179+AX288*AX179+AY288*AY179+AZ288*AZ179+BA288*BA179+BB288*BB179+BC288*BC179+BD288*BD179+BE288*BE179+BF288*BF179+BG288*BG179+BH288*BH179+BI288*BI179+BJ288*BJ179+BK288*BK179+BL288*BL179+BM288*BM179+BN288*BN179+BO288*BO179+BP288*BP179+BQ288*BQ179+BR288*BR179+BS288*BS179+BT288*BT179+BU288*BU179+BV288*BV179+BW288*BW179+BX288*BX179+BY288*BY179+BZ288*BZ179+CA288*CA179+CB288*CB179+CC288*CC179+CD288*CD179+CE288*CE179+CF288*CF179+CG288*CG179+CH288*CH179+CI288*CI179+CJ288*CJ179+CK288*CK179+CL288*CL179+CM288*CM179+CN288*CN179+CO288*CO179+CP288*CP179+CQ288*CQ179+CR288*CR179+CS288*CS179+CT288*CT179+CU288*CU179</f>
        <v>0</v>
      </c>
      <c r="CZ179" s="2839">
        <f>E289*E179+F289*F179+G289*G179+H289*H179+I289*I179+J289*J179+K289*K179+L289*L179+M289*M179+N289*N179+O289*O179+P289*P179+Q289*Q179+R289*R179+S289*S179+T289*T179+U289*U179+V289*V179+W289*W179+X289*X179+Y289*Y179+Z289*Z179+AA289*AA179+AB289*AB179+AC289*AC179+AD289*AD179+AE289*AE179+AF289*AF179+AG289*AG179+AH289*AH179+AI289*AI179+AJ289*AJ179+AK289*AK179+AL289*AL179+AM289*AM179+AN289*AN179+AO289*AO179+AP289*AP179+AQ289*AQ179+AR289*AR179+AS289*AS179+AT289*AT179+AU289*AU179+AV289*AV179+AW289*AW179+AX289*AX179+AY289*AY179+AZ289*AZ179+BA289*BA179+BB289*BB179+BC289*BC179+BD289*BD179+BE289*BE179+BF289*BF179+BG289*BG179+BH289*BH179+BI289*BI179+BJ289*BJ179+BK289*BK179+BL289*BL179+BM289*BM179+BN289*BN179+BO289*BO179+BP289*BP179+BQ289*BQ179+BR289*BR179+BS289*BS179+BT289*BT179+BU289*BU179+BV289*BV179+BW289*BW179+BX289*BX179+BY289*BY179+BZ289*BZ179+CA289*CA179+CB289*CB179+CC289*CC179+CD289*CD179+CE289*CE179+CF289*CF179+CG289*CG179+CH289*CH179+CI289*CI179+CJ289*CJ179+CK289*CK179+CL289*CL179+CM289*CM179+CN289*CN179+CO289*CO179+CP289*CP179+CQ289*CQ179+CR289*CR179+CS289*CS179+CT289*CT179+CU289*CU179</f>
        <v>0</v>
      </c>
      <c r="DA179" s="2840">
        <f>E290*E179+F290*F179+G290*G179+H290*H179+I290*I179+J290*J179+K290*K179+L290*L179+M290*M179+N290*N179+O290*O179+P290*P179+Q290*Q179+R290*R179+S290*S179+T290*T179+U290*U179+V290*V179+W290*W179+X290*X179+Y290*Y179+Z290*Z179+AA290*AA179+AB290*AB179+AC290*AC179+AD290*AD179+AE290*AE179+AF290*AF179+AG290*AG179+AH290*AH179+AI290*AI179+AJ290*AJ179+AK290*AK179+AL290*AL179+AM290*AM179+AN290*AN179+AO290*AO179+AP290*AP179+AQ290*AQ179+AR290*AR179+AS290*AS179+AT290*AT179+AU290*AU179+AV290*AV179+AW290*AW179+AX290*AX179+AY290*AY179+AZ290*AZ179+BA290*BA179+BB290*BB179+BC290*BC179+BD290*BD179+BE290*BE179+BF290*BF179+BG290*BG179+BH290*BH179+BI290*BI179+BJ290*BJ179+BK290*BK179+BL290*BL179+BM290*BM179+BN290*BN179+BO290*BO179+BP290*BP179+BQ290*BQ179+BR290*BR179+BS290*BS179+BT290*BT179+BU290*BU179+BV290*BV179+BW290*BW179+BX290*BX179+BY290*BY179+BZ290*BZ179+CA290*CA179+CB290*CB179+CC290*CC179+CD290*CD179+CE290*CE179+CF290*CF179+CG290*CG179+CH290*CH179+CI290*CI179+CJ290*CJ179+CK290*CK179+CL290*CL179+CM290*CM179+CN290*CN179+CO290*CO179+CP290*CP179+CQ290*CQ179+CR290*CR179+CS290*CS179+CT290*CT179+CU290*CU179</f>
        <v>0</v>
      </c>
      <c r="DB179" s="2840">
        <f>E291*E179+F291*F179+G291*G179+H291*H179+I291*I179+J291*J179+K291*K179+L291*L179+M291*M179+N291*N179+O291*O179+P291*P179+Q291*Q179+R291*R179+S291*S179+T291*T179+U291*U179+V291*V179+W291*W179+X291*X179+Y291*Y179+Z291*Z179+AA291*AA179+AB291*AB179+AC291*AC179+AD291*AD179+AE291*AE179+AF291*AF179+AG291*AG179+AH291*AH179+AI291*AI179+AJ291*AJ179+AK291*AK179+AL291*AL179+AM291*AM179+AN291*AN179+AO291*AO179+AP291*AP179+AQ291*AQ179+AR291*AR179+AS291*AS179+AT291*AT179+AU291*AU179+AV291*AV179+AW291*AW179+AX291*AX179+AY291*AY179+AZ291*AZ179+BA291*BA179+BB291*BB179+BC291*BC179+BD291*BD179+BE291*BE179+BF291*BF179+BG291*BG179+BH291*BH179+BI291*BI179+BJ291*BJ179+BK291*BK179+BL291*BL179+BM291*BM179+BN291*BN179+BO291*BO179+BP291*BP179+BQ291*BQ179+BR291*BR179+BS291*BS179+BT291*BT179+BU291*BU179+BV291*BV179+BW291*BW179+BX291*BX179+BY291*BY179+BZ291*BZ179+CA291*CA179+CB291*CB179+CC291*CC179+CD291*CD179+CE291*CE179+CF291*CF179+CG291*CG179+CH291*CH179+CI291*CI179+CJ291*CJ179+CK291*CK179+CL291*CL179+CM291*CM179+CN291*CN179+CO291*CO179+CP291*CP179+CQ291*CQ179+CR291*CR179+CS291*CS179+CT291*CT179+CU291*CU179</f>
        <v>0</v>
      </c>
      <c r="DC179" s="2840">
        <f>E292*E179+F292*F179+G292*G179+H292*H179+I292*I179+J292*J179+K292*K179+L292*L179+M292*M179+N292*N179+O292*O179+P292*P179+Q292*Q179+R292*R179+S292*S179+T292*T179+U292*U179+V292*V179+W292*W179+X292*X179+Y292*Y179+Z292*Z179+AA292*AA179+AB292*AB179+AC292*AC179+AD292*AD179+AE292*AE179+AF292*AF179+AG292*AG179+AH292*AH179+AI292*AI179+AJ292*AJ179+AK292*AK179+AL292*AL179+AM292*AM179+AN292*AN179+AO292*AO179+AP292*AP179+AQ292*AQ179+AR292*AR179+AS292*AS179+AT292*AT179+AU292*AU179+AV292*AV179+AW292*AW179+AX292*AX179+AY292*AY179+AZ292*AZ179+BA292*BA179+BB292*BB179+BC292*BC179+BD292*BD179+BE292*BE179+BF292*BF179+BG292*BG179+BH292*BH179+BI292*BI179+BJ292*BJ179+BK292*BK179+BL292*BL179+BM292*BM179+BN292*BN179+BO292*BO179+BP292*BP179+BQ292*BQ179+BR292*BR179+BS292*BS179+BT292*BT179+BU292*BU179+BV292*BV179+BW292*BW179+BX292*BX179+BY292*BY179+BZ292*BZ179+CA292*CA179+CB292*CB179+CC292*CC179+CD292*CD179+CE292*CE179+CF292*CF179+CG292*CG179+CH292*CH179+CI292*CI179+CJ292*CJ179+CK292*CK179+CL292*CL179+CM292*CM179+CN292*CN179+CO292*CO179+CP292*CP179+CQ292*CQ179+CR292*CR179+CS292*CS179+CT292*CT179+CU292*CU179</f>
        <v>0</v>
      </c>
      <c r="DD179" s="2840">
        <f>E293*E179+F293*F179+G293*G179+H293*H179+I293*I179+J293*J179+K293*K179+L293*L179+M293*M179+N293*N179+O293*O179+P293*P179+Q293*Q179+R293*R179+S293*S179+T293*T179+U293*U179+V293*V179+W293*W179+X293*X179+Y293*Y179+Z293*Z179+AA293*AA179+AB293*AB179+AC293*AC179+AD293*AD179+AE293*AE179+AF293*AF179+AG293*AG179+AH293*AH179+AI293*AI179+AJ293*AJ179+AK293*AK179+AL293*AL179+AM293*AM179+AN293*AN179+AO293*AO179+AP293*AP179+AQ293*AQ179+AR293*AR179+AS293*AS179+AT293*AT179+AU293*AU179+AV293*AV179+AW293*AW179+AX293*AX179+AY293*AY179+AZ293*AZ179+BA293*BA179+BB293*BB179+BC293*BC179+BD293*BD179+BE293*BE179+BF293*BF179+BG293*BG179+BH293*BH179+BI293*BI179+BJ293*BJ179+BK293*BK179+BL293*BL179+BM293*BM179+BN293*BN179+BO293*BO179+BP293*BP179+BQ293*BQ179+BR293*BR179+BS293*BS179+BT293*BT179+BU293*BU179+BV293*BV179+BW293*BW179+BX293*BX179+BY293*BY179+BZ293*BZ179+CA293*CA179+CB293*CB179+CC293*CC179+CD293*CD179+CE293*CE179+CF293*CF179+CG293*CG179+CH293*CH179+CI293*CI179+CJ293*CJ179+CK293*CK179+CL293*CL179+CM293*CM179+CN293*CN179+CO293*CO179+CP293*CP179+CQ293*CQ179+CR293*CR179+CS293*CS179+CT293*CT179+CU293*CU179</f>
        <v>0</v>
      </c>
      <c r="DE179" s="2840">
        <f>E294*E179+F294*F179+G294*G179+H294*H179+I294*I179+J294*J179+K294*K179+L294*L179+M294*M179+N294*N179+O294*O179+P294*P179+Q294*Q179+R294*R179+S294*S179+T294*T179+U294*U179+V294*V179+W294*W179+X294*X179+Y294*Y179+Z294*Z179+AA294*AA179+AB294*AB179+AC294*AC179+AD294*AD179+AE294*AE179+AF294*AF179+AG294*AG179+AH294*AH179+AI294*AI179+AJ294*AJ179+AK294*AK179+AL294*AL179+AM294*AM179+AN294*AN179+AO294*AO179+AP294*AP179+AQ294*AQ179+AR294*AR179+AS294*AS179+AT294*AT179+AU294*AU179+AV294*AV179+AW294*AW179+AX294*AX179+AY294*AY179+AZ294*AZ179+BA294*BA179+BB294*BB179+BC294*BC179+BD294*BD179+BE294*BE179+BF294*BF179+BG294*BG179+BH294*BH179+BI294*BI179+BJ294*BJ179+BK294*BK179+BL294*BL179+BM294*BM179+BN294*BN179+BO294*BO179+BP294*BP179+BQ294*BQ179+BR294*BR179+BS294*BS179+BT294*BT179+BU294*BU179+BV294*BV179+BW294*BW179+BX294*BX179+BY294*BY179+BZ294*BZ179+CA294*CA179+CB294*CB179+CC294*CC179+CD294*CD179+CE294*CE179+CF294*CF179+CG294*CG179+CH294*CH179+CI294*CI179+CJ294*CJ179+CK294*CK179+CL294*CL179+CM294*CM179+CN294*CN179+CO294*CO179+CP294*CP179+CQ294*CQ179+CR294*CR179+CS294*CS179+CT294*CT179+CU294*CU179</f>
        <v>0</v>
      </c>
      <c r="DF179" s="2840">
        <f>E295*E179+F295*F179+G295*G179+H295*H179+I295*I179+J295*J179+K295*K179+L295*L179+M295*M179+N295*N179+O295*O179+P295*P179+Q295*Q179+R295*R179+S295*S179+T295*T179+U295*U179+V295*V179+W295*W179+X295*X179+Y295*Y179+Z295*Z179+AA295*AA179+AB295*AB179+AC295*AC179+AD295*AD179+AE295*AE179+AF295*AF179+AG295*AG179+AH295*AH179+AI295*AI179+AJ295*AJ179+AK295*AK179+AL295*AL179+AM295*AM179+AN295*AN179+AO295*AO179+AP295*AP179+AQ295*AQ179+AR295*AR179+AS295*AS179+AT295*AT179+AU295*AU179+AV295*AV179+AW295*AW179+AX295*AX179+AY295*AY179+AZ295*AZ179+BA295*BA179+BB295*BB179+BC295*BC179+BD295*BD179+BE295*BE179+BF295*BF179+BG295*BG179+BH295*BH179+BI295*BI179+BJ295*BJ179+BK295*BK179+BL295*BL179+BM295*BM179+BN295*BN179+BO295*BO179+BP295*BP179+BQ295*BQ179+BR295*BR179+BS295*BS179+BT295*BT179+BU295*BU179+BV295*BV179+BW295*BW179+BX295*BX179+BY295*BY179+BZ295*BZ179+CA295*CA179+CB295*CB179+CC295*CC179+CD295*CD179+CE295*CE179+CF295*CF179+CG295*CG179+CH295*CH179+CI295*CI179+CJ295*CJ179+CK295*CK179+CL295*CL179+CM295*CM179+CN295*CN179+CO295*CO179+CP295*CP179+CQ295*CQ179+CR295*CR179+CS295*CS179+CT295*CT179+CU295*CU179</f>
        <v>0</v>
      </c>
      <c r="DG179" s="2840">
        <f>E296*E179+F296*F179+G296*G179+H296*H179+I296*I179+J296*J179+K296*K179+L296*L179+M296*M179+N296*N179+O296*O179+P296*P179+Q296*Q179+R296*R179+S296*S179+T296*T179+U296*U179+V296*V179+W296*W179+X296*X179+Y296*Y179+Z296*Z179+AA296*AA179+AB296*AB179+AC296*AC179+AD296*AD179+AE296*AE179+AF296*AF179+AG296*AG179+AH296*AH179+AI296*AI179+AJ296*AJ179+AK296*AK179+AL296*AL179+AM296*AM179+AN296*AN179+AO296*AO179+AP296*AP179+AQ296*AQ179+AR296*AR179+AS296*AS179+AT296*AT179+AU296*AU179+AV296*AV179+AW296*AW179+AX296*AX179+AY296*AY179+AZ296*AZ179+BA296*BA179+BB296*BB179+BC296*BC179+BD296*BD179+BE296*BE179+BF296*BF179+BG296*BG179+BH296*BH179+BI296*BI179+BJ296*BJ179+BK296*BK179+BL296*BL179+BM296*BM179+BN296*BN179+BO296*BO179+BP296*BP179+BQ296*BQ179+BR296*BR179+BS296*BS179+BT296*BT179+BU296*BU179+BV296*BV179+BW296*BW179+BX296*BX179+BY296*BY179+BZ296*BZ179+CA296*CA179+CB296*CB179+CC296*CC179+CD296*CD179+CE296*CE179+CF296*CF179+CG296*CG179+CH296*CH179+CI296*CI179+CJ296*CJ179+CK296*CK179+CL296*CL179+CM296*CM179+CN296*CN179+CO296*CO179+CP296*CP179+CQ296*CQ179+CR296*CR179+CS296*CS179+CT296*CT179+CU296*CU179</f>
        <v>0</v>
      </c>
      <c r="DH179" s="2840">
        <f>E297*E179+F297*F179+G297*G179+H297*H179+I297*I179+J297*J179+K297*K179+L297*L179+M297*M179+N297*N179+O297*O179+P297*P179+Q297*Q179+R297*R179+S297*S179+T297*T179+U297*U179+V297*V179+W297*W179+X297*X179+Y297*Y179+Z297*Z179+AA297*AA179+AB297*AB179+AC297*AC179+AD297*AD179+AE297*AE179+AF297*AF179+AG297*AG179+AH297*AH179+AI297*AI179+AJ297*AJ179+AK297*AK179+AL297*AL179+AM297*AM179+AN297*AN179+AO297*AO179+AP297*AP179+AQ297*AQ179+AR297*AR179+AS297*AS179+AT297*AT179+AU297*AU179+AV297*AV179+AW297*AW179+AX297*AX179+AY297*AY179+AZ297*AZ179+BA297*BA179+BB297*BB179+BC297*BC179+BD297*BD179+BE297*BE179+BF297*BF179+BG297*BG179+BH297*BH179+BI297*BI179+BJ297*BJ179+BK297*BK179+BL297*BL179+BM297*BM179+BN297*BN179+BO297*BO179+BP297*BP179+BQ297*BQ179+BR297*BR179+BS297*BS179+BT297*BT179+BU297*BU179+BV297*BV179+BW297*BW179+BX297*BX179+BY297*BY179+BZ297*BZ179+CA297*CA179+CB297*CB179+CC297*CC179+CD297*CD179+CE297*CE179+CF297*CF179+CG297*CG179+CH297*CH179+CI297*CI179+CJ297*CJ179+CK297*CK179+CL297*CL179+CM297*CM179+CN297*CN179+CO297*CO179+CP297*CP179+CQ297*CQ179+CR297*CR179+CS297*CS179+CT297*CT179+CU297*CU179</f>
        <v>0</v>
      </c>
      <c r="DI179" s="2840">
        <f>E298*E179+F298*F179+G298*G179+H298*H179+I298*I179+J298*J179+K298*K179+L298*L179+M298*M179+N298*N179+O298*O179+P298*P179+Q298*Q179+R298*R179+S298*S179+T298*T179+U298*U179+V298*V179+W298*W179+X298*X179+Y298*Y179+Z298*Z179+AA298*AA179+AB298*AB179+AC298*AC179+AD298*AD179+AE298*AE179+AF298*AF179+AG298*AG179+AH298*AH179+AI298*AI179+AJ298*AJ179+AK298*AK179+AL298*AL179+AM298*AM179+AN298*AN179+AO298*AO179+AP298*AP179+AQ298*AQ179+AR298*AR179+AS298*AS179+AT298*AT179+AU298*AU179+AV298*AV179+AW298*AW179+AX298*AX179+AY298*AY179+AZ298*AZ179+BA298*BA179+BB298*BB179+BC298*BC179+BD298*BD179+BE298*BE179+BF298*BF179+BG298*BG179+BH298*BH179+BI298*BI179+BJ298*BJ179+BK298*BK179+BL298*BL179+BM298*BM179+BN298*BN179+BO298*BO179+BP298*BP179+BQ298*BQ179+BR298*BR179+BS298*BS179+BT298*BT179+BU298*BU179+BV298*BV179+BW298*BW179+BX298*BX179+BY298*BY179+BZ298*BZ179+CA298*CA179+CB298*CB179+CC298*CC179+CD298*CD179+CE298*CE179+CF298*CF179+CG298*CG179+CH298*CH179+CI298*CI179+CJ298*CJ179+CK298*CK179+CL298*CL179+CM298*CM179+CN298*CN179+CO298*CO179+CP298*CP179+CQ298*CQ179+CR298*CR179+CS298*CS179+CT298*CT179+CU298*CU179</f>
        <v>0</v>
      </c>
    </row>
    <row r="180" spans="2:113" ht="18" x14ac:dyDescent="0.25">
      <c r="B180" s="2489">
        <v>27</v>
      </c>
      <c r="C180" s="2406" t="s">
        <v>249</v>
      </c>
      <c r="D180" s="2407" t="s">
        <v>4885</v>
      </c>
      <c r="E180" s="3110">
        <f>0</f>
        <v>0</v>
      </c>
      <c r="F180" s="3110">
        <f>0</f>
        <v>0</v>
      </c>
      <c r="G180" s="3110">
        <f>0</f>
        <v>0</v>
      </c>
      <c r="H180" s="3110">
        <f>0</f>
        <v>0</v>
      </c>
      <c r="I180" s="3110">
        <f>0</f>
        <v>0</v>
      </c>
      <c r="J180" s="3110">
        <f>0</f>
        <v>0</v>
      </c>
      <c r="K180" s="3110">
        <f>0</f>
        <v>0</v>
      </c>
      <c r="L180" s="3110">
        <f>0</f>
        <v>0</v>
      </c>
      <c r="M180" s="3110">
        <f>0</f>
        <v>0</v>
      </c>
      <c r="N180" s="3112">
        <f>-X_PHA_PAO/X_STC</f>
        <v>-0.86956521739130432</v>
      </c>
      <c r="O180" s="3112">
        <f>-X_PHA_GAO/X_STC</f>
        <v>-0.13043478260869565</v>
      </c>
      <c r="P180" s="3110">
        <f>0</f>
        <v>0</v>
      </c>
      <c r="Q180" s="3110">
        <f>0</f>
        <v>0</v>
      </c>
      <c r="R180" s="3110">
        <f>0</f>
        <v>0</v>
      </c>
      <c r="S180" s="3110">
        <f>0</f>
        <v>0</v>
      </c>
      <c r="T180" s="3110">
        <f>0</f>
        <v>0</v>
      </c>
      <c r="U180" s="3110">
        <f>0</f>
        <v>0</v>
      </c>
      <c r="V180" s="3110">
        <f>0</f>
        <v>0</v>
      </c>
      <c r="W180" s="3110">
        <f>0</f>
        <v>0</v>
      </c>
      <c r="X180" s="3110">
        <f>0</f>
        <v>0</v>
      </c>
      <c r="Y180" s="3110">
        <f>0</f>
        <v>0</v>
      </c>
      <c r="Z180" s="3110">
        <f>0</f>
        <v>0</v>
      </c>
      <c r="AA180" s="3110">
        <f>0</f>
        <v>0</v>
      </c>
      <c r="AB180" s="3110">
        <f>0</f>
        <v>0</v>
      </c>
      <c r="AC180" s="3110">
        <f>0</f>
        <v>0</v>
      </c>
      <c r="AD180" s="3110">
        <f>0</f>
        <v>0</v>
      </c>
      <c r="AE180" s="3110">
        <f>0</f>
        <v>0</v>
      </c>
      <c r="AF180" s="3110">
        <f>0</f>
        <v>0</v>
      </c>
      <c r="AG180" s="3110">
        <f>0</f>
        <v>0</v>
      </c>
      <c r="AH180" s="3110">
        <f>0</f>
        <v>0</v>
      </c>
      <c r="AI180" s="3110">
        <f>0</f>
        <v>0</v>
      </c>
      <c r="AJ180" s="3110">
        <f>0</f>
        <v>0</v>
      </c>
      <c r="AK180" s="3110">
        <f>0</f>
        <v>0</v>
      </c>
      <c r="AL180" s="3110">
        <f>0</f>
        <v>0</v>
      </c>
      <c r="AM180" s="3112">
        <f>0</f>
        <v>0</v>
      </c>
      <c r="AN180" s="3110">
        <f>0</f>
        <v>0</v>
      </c>
      <c r="AO180" s="3110">
        <f>0</f>
        <v>0</v>
      </c>
      <c r="AP180" s="3110">
        <f>0</f>
        <v>0</v>
      </c>
      <c r="AQ180" s="3110">
        <f>0</f>
        <v>0</v>
      </c>
      <c r="AR180" s="3110">
        <f>-1</f>
        <v>-1</v>
      </c>
      <c r="AS180" s="3110">
        <f>0</f>
        <v>0</v>
      </c>
      <c r="AT180" s="3110">
        <f>0</f>
        <v>0</v>
      </c>
      <c r="AU180" s="3110">
        <f>i_CIT_STC</f>
        <v>0.33300000000000002</v>
      </c>
      <c r="AV180" s="3110">
        <f>0</f>
        <v>0</v>
      </c>
      <c r="AW180" s="3110">
        <f>0</f>
        <v>0</v>
      </c>
      <c r="AX180" s="3110">
        <f>0</f>
        <v>0</v>
      </c>
      <c r="AY180" s="3112">
        <f>0</f>
        <v>0</v>
      </c>
      <c r="AZ180" s="3112">
        <f>0</f>
        <v>0</v>
      </c>
      <c r="BA180" s="3112">
        <f>0</f>
        <v>0</v>
      </c>
      <c r="BB180" s="3112">
        <f>0</f>
        <v>0</v>
      </c>
      <c r="BC180" s="3112">
        <f>0</f>
        <v>0</v>
      </c>
      <c r="BD180" s="3112">
        <f>0</f>
        <v>0</v>
      </c>
      <c r="BE180" s="3110">
        <f>0</f>
        <v>0</v>
      </c>
      <c r="BF180" s="3110">
        <f>0</f>
        <v>0</v>
      </c>
      <c r="BG180" s="3110">
        <f>0</f>
        <v>0</v>
      </c>
      <c r="BH180" s="3110">
        <f>0</f>
        <v>0</v>
      </c>
      <c r="BI180" s="3110">
        <f>0</f>
        <v>0</v>
      </c>
      <c r="BJ180" s="3110">
        <f>0</f>
        <v>0</v>
      </c>
      <c r="BK180" s="3110">
        <f>0</f>
        <v>0</v>
      </c>
      <c r="BL180" s="3110">
        <f>0</f>
        <v>0</v>
      </c>
      <c r="BM180" s="3110">
        <f>0</f>
        <v>0</v>
      </c>
      <c r="BN180" s="3110">
        <f>0</f>
        <v>0</v>
      </c>
      <c r="BO180" s="3110">
        <f>0</f>
        <v>0</v>
      </c>
      <c r="BP180" s="3110">
        <f>0</f>
        <v>0</v>
      </c>
      <c r="BQ180" s="3110">
        <f>0</f>
        <v>0</v>
      </c>
      <c r="BR180" s="3110">
        <f>0</f>
        <v>0</v>
      </c>
      <c r="BS180" s="3110">
        <f>0</f>
        <v>0</v>
      </c>
      <c r="BT180" s="3110">
        <f>0</f>
        <v>0</v>
      </c>
      <c r="BU180" s="3110">
        <f>0</f>
        <v>0</v>
      </c>
      <c r="BV180" s="3110">
        <f>0</f>
        <v>0</v>
      </c>
      <c r="BW180" s="3110">
        <f>0</f>
        <v>0</v>
      </c>
      <c r="BX180" s="3110">
        <f>0</f>
        <v>0</v>
      </c>
      <c r="BY180" s="3110">
        <f>0</f>
        <v>0</v>
      </c>
      <c r="BZ180" s="3176">
        <f>0</f>
        <v>0</v>
      </c>
      <c r="CA180" s="3176">
        <f>0</f>
        <v>0</v>
      </c>
      <c r="CB180" s="3176">
        <f>0</f>
        <v>0</v>
      </c>
      <c r="CC180" s="3176">
        <f>0</f>
        <v>0</v>
      </c>
      <c r="CD180" s="3110">
        <f>0</f>
        <v>0</v>
      </c>
      <c r="CE180" s="3110">
        <f>0</f>
        <v>0</v>
      </c>
      <c r="CF180" s="3110">
        <f>0</f>
        <v>0</v>
      </c>
      <c r="CG180" s="3110">
        <f>0</f>
        <v>0</v>
      </c>
      <c r="CH180" s="3110">
        <f>0</f>
        <v>0</v>
      </c>
      <c r="CI180" s="3110">
        <f>0</f>
        <v>0</v>
      </c>
      <c r="CJ180" s="3110">
        <f>0</f>
        <v>0</v>
      </c>
      <c r="CK180" s="3110">
        <f>0</f>
        <v>0</v>
      </c>
      <c r="CL180" s="3110">
        <f>0</f>
        <v>0</v>
      </c>
      <c r="CM180" s="3110">
        <f>0</f>
        <v>0</v>
      </c>
      <c r="CN180" s="3110">
        <f>0</f>
        <v>0</v>
      </c>
      <c r="CO180" s="3110">
        <f>0</f>
        <v>0</v>
      </c>
      <c r="CP180" s="3110">
        <f>0</f>
        <v>0</v>
      </c>
      <c r="CQ180" s="3110">
        <f>0</f>
        <v>0</v>
      </c>
      <c r="CR180" s="3110">
        <f>0</f>
        <v>0</v>
      </c>
      <c r="CS180" s="3110">
        <f>0</f>
        <v>0</v>
      </c>
      <c r="CT180" s="3110">
        <f>0</f>
        <v>0</v>
      </c>
      <c r="CU180" s="3110">
        <f>0</f>
        <v>0</v>
      </c>
      <c r="CV180" s="3222">
        <f>b_STC_T*X_CASTO*M_satSO2_KO2_CASTO*M_RsatXSTC_XCASTO_KSTC</f>
        <v>10.7584363514868</v>
      </c>
      <c r="CX180" s="2838">
        <f>E287*E180+F287*F180+G287*G180+H287*H180+I287*I180+J287*J180+K287*K180+L287*L180+M287*M180+N287*N180+O287*O180+P287*P180+Q287*Q180+R287*R180+S287*S180+T287*T180+U287*U180+V287*V180+W287*W180+X287*X180+Y287*Y180+Z287*Z180+AA287*AA180+AB287*AB180+AC287*AC180+AD287*AD180+AE287*AE180+AF287*AF180+AG287*AG180+AH287*AH180+AI287*AI180+AJ287*AJ180+AK287*AK180+AL287*AL180+AM287*AM180+AN287*AN180+AO287*AO180+AP287*AP180+AQ287*AQ180+AR287*AR180+AS287*AS180+AT287*AT180+AU287*AU180+AV287*AV180+AW287*AW180+AX287*AX180+AY287*AY180+AZ287*AZ180+BA287*BA180+BB287*BB180+BC287*BC180+BD287*BD180+BE287*BE180+BF287*BF180+BG287*BG180+BH287*BH180+BI287*BI180+BJ287*BJ180+BK287*BK180+BL287*BL180+BM287*BM180+BN287*BN180+BO287*BO180+BP287*BP180+BQ287*BQ180+BR287*BR180+BS287*BS180+BT287*BT180+BU287*BU180+BV287*BV180+BW287*BW180+BX287*BX180+BY287*BY180+BZ287*BZ180+CA287*CA180+CB287*CB180+CC287*CC180+CD287*CD180+CE287*CE180+CF287*CF180+CG287*CG180+CH287*CH180+CI287*CI180+CJ287*CJ180+CK287*CK180+CL287*CL180+CM287*CM180+CN287*CN180+CO287*CO180+CP287*CP180+CQ287*CQ180+CR287*CR180+CS287*CS180+CT287*CT180+CU287*CU180</f>
        <v>0</v>
      </c>
      <c r="CY180" s="2838">
        <f>E288*E180+F288*F180+G288*G180+H288*H180+I288*I180+J288*J180+K288*K180+L288*L180+M288*M180+N288*N180+O288*O180+P288*P180+Q288*Q180+R288*R180+S288*S180+T288*T180+U288*U180+V288*V180+W288*W180+X288*X180+Y288*Y180+Z288*Z180+AA288*AA180+AB288*AB180+AC288*AC180+AD288*AD180+AE288*AE180+AF288*AF180+AG288*AG180+AH288*AH180+AI288*AI180+AJ288*AJ180+AK288*AK180+AL288*AL180+AM288*AM180+AN288*AN180+AO288*AO180+AP288*AP180+AQ288*AQ180+AR288*AR180+AS288*AS180+AT288*AT180+AU288*AU180+AV288*AV180+AW288*AW180+AX288*AX180+AY288*AY180+AZ288*AZ180+BA288*BA180+BB288*BB180+BC288*BC180+BD288*BD180+BE288*BE180+BF288*BF180+BG288*BG180+BH288*BH180+BI288*BI180+BJ288*BJ180+BK288*BK180+BL288*BL180+BM288*BM180+BN288*BN180+BO288*BO180+BP288*BP180+BQ288*BQ180+BR288*BR180+BS288*BS180+BT288*BT180+BU288*BU180+BV288*BV180+BW288*BW180+BX288*BX180+BY288*BY180+BZ288*BZ180+CA288*CA180+CB288*CB180+CC288*CC180+CD288*CD180+CE288*CE180+CF288*CF180+CG288*CG180+CH288*CH180+CI288*CI180+CJ288*CJ180+CK288*CK180+CL288*CL180+CM288*CM180+CN288*CN180+CO288*CO180+CP288*CP180+CQ288*CQ180+CR288*CR180+CS288*CS180+CT288*CT180+CU288*CU180</f>
        <v>0</v>
      </c>
      <c r="CZ180" s="2839">
        <f>E289*E180+F289*F180+G289*G180+H289*H180+I289*I180+J289*J180+K289*K180+L289*L180+M289*M180+N289*N180+O289*O180+P289*P180+Q289*Q180+R289*R180+S289*S180+T289*T180+U289*U180+V289*V180+W289*W180+X289*X180+Y289*Y180+Z289*Z180+AA289*AA180+AB289*AB180+AC289*AC180+AD289*AD180+AE289*AE180+AF289*AF180+AG289*AG180+AH289*AH180+AI289*AI180+AJ289*AJ180+AK289*AK180+AL289*AL180+AM289*AM180+AN289*AN180+AO289*AO180+AP289*AP180+AQ289*AQ180+AR289*AR180+AS289*AS180+AT289*AT180+AU289*AU180+AV289*AV180+AW289*AW180+AX289*AX180+AY289*AY180+AZ289*AZ180+BA289*BA180+BB289*BB180+BC289*BC180+BD289*BD180+BE289*BE180+BF289*BF180+BG289*BG180+BH289*BH180+BI289*BI180+BJ289*BJ180+BK289*BK180+BL289*BL180+BM289*BM180+BN289*BN180+BO289*BO180+BP289*BP180+BQ289*BQ180+BR289*BR180+BS289*BS180+BT289*BT180+BU289*BU180+BV289*BV180+BW289*BW180+BX289*BX180+BY289*BY180+BZ289*BZ180+CA289*CA180+CB289*CB180+CC289*CC180+CD289*CD180+CE289*CE180+CF289*CF180+CG289*CG180+CH289*CH180+CI289*CI180+CJ289*CJ180+CK289*CK180+CL289*CL180+CM289*CM180+CN289*CN180+CO289*CO180+CP289*CP180+CQ289*CQ180+CR289*CR180+CS289*CS180+CT289*CT180+CU289*CU180</f>
        <v>0</v>
      </c>
      <c r="DA180" s="2840">
        <f>E290*E180+F290*F180+G290*G180+H290*H180+I290*I180+J290*J180+K290*K180+L290*L180+M290*M180+N290*N180+O290*O180+P290*P180+Q290*Q180+R290*R180+S290*S180+T290*T180+U290*U180+V290*V180+W290*W180+X290*X180+Y290*Y180+Z290*Z180+AA290*AA180+AB290*AB180+AC290*AC180+AD290*AD180+AE290*AE180+AF290*AF180+AG290*AG180+AH290*AH180+AI290*AI180+AJ290*AJ180+AK290*AK180+AL290*AL180+AM290*AM180+AN290*AN180+AO290*AO180+AP290*AP180+AQ290*AQ180+AR290*AR180+AS290*AS180+AT290*AT180+AU290*AU180+AV290*AV180+AW290*AW180+AX290*AX180+AY290*AY180+AZ290*AZ180+BA290*BA180+BB290*BB180+BC290*BC180+BD290*BD180+BE290*BE180+BF290*BF180+BG290*BG180+BH290*BH180+BI290*BI180+BJ290*BJ180+BK290*BK180+BL290*BL180+BM290*BM180+BN290*BN180+BO290*BO180+BP290*BP180+BQ290*BQ180+BR290*BR180+BS290*BS180+BT290*BT180+BU290*BU180+BV290*BV180+BW290*BW180+BX290*BX180+BY290*BY180+BZ290*BZ180+CA290*CA180+CB290*CB180+CC290*CC180+CD290*CD180+CE290*CE180+CF290*CF180+CG290*CG180+CH290*CH180+CI290*CI180+CJ290*CJ180+CK290*CK180+CL290*CL180+CM290*CM180+CN290*CN180+CO290*CO180+CP290*CP180+CQ290*CQ180+CR290*CR180+CS290*CS180+CT290*CT180+CU290*CU180</f>
        <v>0</v>
      </c>
      <c r="DB180" s="2840">
        <f>E291*E180+F291*F180+G291*G180+H291*H180+I291*I180+J291*J180+K291*K180+L291*L180+M291*M180+N291*N180+O291*O180+P291*P180+Q291*Q180+R291*R180+S291*S180+T291*T180+U291*U180+V291*V180+W291*W180+X291*X180+Y291*Y180+Z291*Z180+AA291*AA180+AB291*AB180+AC291*AC180+AD291*AD180+AE291*AE180+AF291*AF180+AG291*AG180+AH291*AH180+AI291*AI180+AJ291*AJ180+AK291*AK180+AL291*AL180+AM291*AM180+AN291*AN180+AO291*AO180+AP291*AP180+AQ291*AQ180+AR291*AR180+AS291*AS180+AT291*AT180+AU291*AU180+AV291*AV180+AW291*AW180+AX291*AX180+AY291*AY180+AZ291*AZ180+BA291*BA180+BB291*BB180+BC291*BC180+BD291*BD180+BE291*BE180+BF291*BF180+BG291*BG180+BH291*BH180+BI291*BI180+BJ291*BJ180+BK291*BK180+BL291*BL180+BM291*BM180+BN291*BN180+BO291*BO180+BP291*BP180+BQ291*BQ180+BR291*BR180+BS291*BS180+BT291*BT180+BU291*BU180+BV291*BV180+BW291*BW180+BX291*BX180+BY291*BY180+BZ291*BZ180+CA291*CA180+CB291*CB180+CC291*CC180+CD291*CD180+CE291*CE180+CF291*CF180+CG291*CG180+CH291*CH180+CI291*CI180+CJ291*CJ180+CK291*CK180+CL291*CL180+CM291*CM180+CN291*CN180+CO291*CO180+CP291*CP180+CQ291*CQ180+CR291*CR180+CS291*CS180+CT291*CT180+CU291*CU180</f>
        <v>0</v>
      </c>
      <c r="DC180" s="2840">
        <f>E292*E180+F292*F180+G292*G180+H292*H180+I292*I180+J292*J180+K292*K180+L292*L180+M292*M180+N292*N180+O292*O180+P292*P180+Q292*Q180+R292*R180+S292*S180+T292*T180+U292*U180+V292*V180+W292*W180+X292*X180+Y292*Y180+Z292*Z180+AA292*AA180+AB292*AB180+AC292*AC180+AD292*AD180+AE292*AE180+AF292*AF180+AG292*AG180+AH292*AH180+AI292*AI180+AJ292*AJ180+AK292*AK180+AL292*AL180+AM292*AM180+AN292*AN180+AO292*AO180+AP292*AP180+AQ292*AQ180+AR292*AR180+AS292*AS180+AT292*AT180+AU292*AU180+AV292*AV180+AW292*AW180+AX292*AX180+AY292*AY180+AZ292*AZ180+BA292*BA180+BB292*BB180+BC292*BC180+BD292*BD180+BE292*BE180+BF292*BF180+BG292*BG180+BH292*BH180+BI292*BI180+BJ292*BJ180+BK292*BK180+BL292*BL180+BM292*BM180+BN292*BN180+BO292*BO180+BP292*BP180+BQ292*BQ180+BR292*BR180+BS292*BS180+BT292*BT180+BU292*BU180+BV292*BV180+BW292*BW180+BX292*BX180+BY292*BY180+BZ292*BZ180+CA292*CA180+CB292*CB180+CC292*CC180+CD292*CD180+CE292*CE180+CF292*CF180+CG292*CG180+CH292*CH180+CI292*CI180+CJ292*CJ180+CK292*CK180+CL292*CL180+CM292*CM180+CN292*CN180+CO292*CO180+CP292*CP180+CQ292*CQ180+CR292*CR180+CS292*CS180+CT292*CT180+CU292*CU180</f>
        <v>0</v>
      </c>
      <c r="DD180" s="2840">
        <f>E293*E180+F293*F180+G293*G180+H293*H180+I293*I180+J293*J180+K293*K180+L293*L180+M293*M180+N293*N180+O293*O180+P293*P180+Q293*Q180+R293*R180+S293*S180+T293*T180+U293*U180+V293*V180+W293*W180+X293*X180+Y293*Y180+Z293*Z180+AA293*AA180+AB293*AB180+AC293*AC180+AD293*AD180+AE293*AE180+AF293*AF180+AG293*AG180+AH293*AH180+AI293*AI180+AJ293*AJ180+AK293*AK180+AL293*AL180+AM293*AM180+AN293*AN180+AO293*AO180+AP293*AP180+AQ293*AQ180+AR293*AR180+AS293*AS180+AT293*AT180+AU293*AU180+AV293*AV180+AW293*AW180+AX293*AX180+AY293*AY180+AZ293*AZ180+BA293*BA180+BB293*BB180+BC293*BC180+BD293*BD180+BE293*BE180+BF293*BF180+BG293*BG180+BH293*BH180+BI293*BI180+BJ293*BJ180+BK293*BK180+BL293*BL180+BM293*BM180+BN293*BN180+BO293*BO180+BP293*BP180+BQ293*BQ180+BR293*BR180+BS293*BS180+BT293*BT180+BU293*BU180+BV293*BV180+BW293*BW180+BX293*BX180+BY293*BY180+BZ293*BZ180+CA293*CA180+CB293*CB180+CC293*CC180+CD293*CD180+CE293*CE180+CF293*CF180+CG293*CG180+CH293*CH180+CI293*CI180+CJ293*CJ180+CK293*CK180+CL293*CL180+CM293*CM180+CN293*CN180+CO293*CO180+CP293*CP180+CQ293*CQ180+CR293*CR180+CS293*CS180+CT293*CT180+CU293*CU180</f>
        <v>0</v>
      </c>
      <c r="DE180" s="2840">
        <f>E294*E180+F294*F180+G294*G180+H294*H180+I294*I180+J294*J180+K294*K180+L294*L180+M294*M180+N294*N180+O294*O180+P294*P180+Q294*Q180+R294*R180+S294*S180+T294*T180+U294*U180+V294*V180+W294*W180+X294*X180+Y294*Y180+Z294*Z180+AA294*AA180+AB294*AB180+AC294*AC180+AD294*AD180+AE294*AE180+AF294*AF180+AG294*AG180+AH294*AH180+AI294*AI180+AJ294*AJ180+AK294*AK180+AL294*AL180+AM294*AM180+AN294*AN180+AO294*AO180+AP294*AP180+AQ294*AQ180+AR294*AR180+AS294*AS180+AT294*AT180+AU294*AU180+AV294*AV180+AW294*AW180+AX294*AX180+AY294*AY180+AZ294*AZ180+BA294*BA180+BB294*BB180+BC294*BC180+BD294*BD180+BE294*BE180+BF294*BF180+BG294*BG180+BH294*BH180+BI294*BI180+BJ294*BJ180+BK294*BK180+BL294*BL180+BM294*BM180+BN294*BN180+BO294*BO180+BP294*BP180+BQ294*BQ180+BR294*BR180+BS294*BS180+BT294*BT180+BU294*BU180+BV294*BV180+BW294*BW180+BX294*BX180+BY294*BY180+BZ294*BZ180+CA294*CA180+CB294*CB180+CC294*CC180+CD294*CD180+CE294*CE180+CF294*CF180+CG294*CG180+CH294*CH180+CI294*CI180+CJ294*CJ180+CK294*CK180+CL294*CL180+CM294*CM180+CN294*CN180+CO294*CO180+CP294*CP180+CQ294*CQ180+CR294*CR180+CS294*CS180+CT294*CT180+CU294*CU180</f>
        <v>0</v>
      </c>
      <c r="DF180" s="2840">
        <f>E295*E180+F295*F180+G295*G180+H295*H180+I295*I180+J295*J180+K295*K180+L295*L180+M295*M180+N295*N180+O295*O180+P295*P180+Q295*Q180+R295*R180+S295*S180+T295*T180+U295*U180+V295*V180+W295*W180+X295*X180+Y295*Y180+Z295*Z180+AA295*AA180+AB295*AB180+AC295*AC180+AD295*AD180+AE295*AE180+AF295*AF180+AG295*AG180+AH295*AH180+AI295*AI180+AJ295*AJ180+AK295*AK180+AL295*AL180+AM295*AM180+AN295*AN180+AO295*AO180+AP295*AP180+AQ295*AQ180+AR295*AR180+AS295*AS180+AT295*AT180+AU295*AU180+AV295*AV180+AW295*AW180+AX295*AX180+AY295*AY180+AZ295*AZ180+BA295*BA180+BB295*BB180+BC295*BC180+BD295*BD180+BE295*BE180+BF295*BF180+BG295*BG180+BH295*BH180+BI295*BI180+BJ295*BJ180+BK295*BK180+BL295*BL180+BM295*BM180+BN295*BN180+BO295*BO180+BP295*BP180+BQ295*BQ180+BR295*BR180+BS295*BS180+BT295*BT180+BU295*BU180+BV295*BV180+BW295*BW180+BX295*BX180+BY295*BY180+BZ295*BZ180+CA295*CA180+CB295*CB180+CC295*CC180+CD295*CD180+CE295*CE180+CF295*CF180+CG295*CG180+CH295*CH180+CI295*CI180+CJ295*CJ180+CK295*CK180+CL295*CL180+CM295*CM180+CN295*CN180+CO295*CO180+CP295*CP180+CQ295*CQ180+CR295*CR180+CS295*CS180+CT295*CT180+CU295*CU180</f>
        <v>0</v>
      </c>
      <c r="DG180" s="2840">
        <f>E296*E180+F296*F180+G296*G180+H296*H180+I296*I180+J296*J180+K296*K180+L296*L180+M296*M180+N296*N180+O296*O180+P296*P180+Q296*Q180+R296*R180+S296*S180+T296*T180+U296*U180+V296*V180+W296*W180+X296*X180+Y296*Y180+Z296*Z180+AA296*AA180+AB296*AB180+AC296*AC180+AD296*AD180+AE296*AE180+AF296*AF180+AG296*AG180+AH296*AH180+AI296*AI180+AJ296*AJ180+AK296*AK180+AL296*AL180+AM296*AM180+AN296*AN180+AO296*AO180+AP296*AP180+AQ296*AQ180+AR296*AR180+AS296*AS180+AT296*AT180+AU296*AU180+AV296*AV180+AW296*AW180+AX296*AX180+AY296*AY180+AZ296*AZ180+BA296*BA180+BB296*BB180+BC296*BC180+BD296*BD180+BE296*BE180+BF296*BF180+BG296*BG180+BH296*BH180+BI296*BI180+BJ296*BJ180+BK296*BK180+BL296*BL180+BM296*BM180+BN296*BN180+BO296*BO180+BP296*BP180+BQ296*BQ180+BR296*BR180+BS296*BS180+BT296*BT180+BU296*BU180+BV296*BV180+BW296*BW180+BX296*BX180+BY296*BY180+BZ296*BZ180+CA296*CA180+CB296*CB180+CC296*CC180+CD296*CD180+CE296*CE180+CF296*CF180+CG296*CG180+CH296*CH180+CI296*CI180+CJ296*CJ180+CK296*CK180+CL296*CL180+CM296*CM180+CN296*CN180+CO296*CO180+CP296*CP180+CQ296*CQ180+CR296*CR180+CS296*CS180+CT296*CT180+CU296*CU180</f>
        <v>0</v>
      </c>
      <c r="DH180" s="2840">
        <f>E297*E180+F297*F180+G297*G180+H297*H180+I297*I180+J297*J180+K297*K180+L297*L180+M297*M180+N297*N180+O297*O180+P297*P180+Q297*Q180+R297*R180+S297*S180+T297*T180+U297*U180+V297*V180+W297*W180+X297*X180+Y297*Y180+Z297*Z180+AA297*AA180+AB297*AB180+AC297*AC180+AD297*AD180+AE297*AE180+AF297*AF180+AG297*AG180+AH297*AH180+AI297*AI180+AJ297*AJ180+AK297*AK180+AL297*AL180+AM297*AM180+AN297*AN180+AO297*AO180+AP297*AP180+AQ297*AQ180+AR297*AR180+AS297*AS180+AT297*AT180+AU297*AU180+AV297*AV180+AW297*AW180+AX297*AX180+AY297*AY180+AZ297*AZ180+BA297*BA180+BB297*BB180+BC297*BC180+BD297*BD180+BE297*BE180+BF297*BF180+BG297*BG180+BH297*BH180+BI297*BI180+BJ297*BJ180+BK297*BK180+BL297*BL180+BM297*BM180+BN297*BN180+BO297*BO180+BP297*BP180+BQ297*BQ180+BR297*BR180+BS297*BS180+BT297*BT180+BU297*BU180+BV297*BV180+BW297*BW180+BX297*BX180+BY297*BY180+BZ297*BZ180+CA297*CA180+CB297*CB180+CC297*CC180+CD297*CD180+CE297*CE180+CF297*CF180+CG297*CG180+CH297*CH180+CI297*CI180+CJ297*CJ180+CK297*CK180+CL297*CL180+CM297*CM180+CN297*CN180+CO297*CO180+CP297*CP180+CQ297*CQ180+CR297*CR180+CS297*CS180+CT297*CT180+CU297*CU180</f>
        <v>0</v>
      </c>
      <c r="DI180" s="2840">
        <f>E298*E180+F298*F180+G298*G180+H298*H180+I298*I180+J298*J180+K298*K180+L298*L180+M298*M180+N298*N180+O298*O180+P298*P180+Q298*Q180+R298*R180+S298*S180+T298*T180+U298*U180+V298*V180+W298*W180+X298*X180+Y298*Y180+Z298*Z180+AA298*AA180+AB298*AB180+AC298*AC180+AD298*AD180+AE298*AE180+AF298*AF180+AG298*AG180+AH298*AH180+AI298*AI180+AJ298*AJ180+AK298*AK180+AL298*AL180+AM298*AM180+AN298*AN180+AO298*AO180+AP298*AP180+AQ298*AQ180+AR298*AR180+AS298*AS180+AT298*AT180+AU298*AU180+AV298*AV180+AW298*AW180+AX298*AX180+AY298*AY180+AZ298*AZ180+BA298*BA180+BB298*BB180+BC298*BC180+BD298*BD180+BE298*BE180+BF298*BF180+BG298*BG180+BH298*BH180+BI298*BI180+BJ298*BJ180+BK298*BK180+BL298*BL180+BM298*BM180+BN298*BN180+BO298*BO180+BP298*BP180+BQ298*BQ180+BR298*BR180+BS298*BS180+BT298*BT180+BU298*BU180+BV298*BV180+BW298*BW180+BX298*BX180+BY298*BY180+BZ298*BZ180+CA298*CA180+CB298*CB180+CC298*CC180+CD298*CD180+CE298*CE180+CF298*CF180+CG298*CG180+CH298*CH180+CI298*CI180+CJ298*CJ180+CK298*CK180+CL298*CL180+CM298*CM180+CN298*CN180+CO298*CO180+CP298*CP180+CQ298*CQ180+CR298*CR180+CS298*CS180+CT298*CT180+CU298*CU180</f>
        <v>0</v>
      </c>
    </row>
    <row r="181" spans="2:113" ht="18" x14ac:dyDescent="0.25">
      <c r="B181" s="2489">
        <v>28</v>
      </c>
      <c r="C181" s="2406" t="s">
        <v>250</v>
      </c>
      <c r="D181" s="2407" t="s">
        <v>4887</v>
      </c>
      <c r="E181" s="3110">
        <f>0</f>
        <v>0</v>
      </c>
      <c r="F181" s="3110">
        <f>0</f>
        <v>0</v>
      </c>
      <c r="G181" s="3110">
        <f>0</f>
        <v>0</v>
      </c>
      <c r="H181" s="3110">
        <f>0</f>
        <v>0</v>
      </c>
      <c r="I181" s="3110">
        <f>0</f>
        <v>0</v>
      </c>
      <c r="J181" s="3110">
        <f>0</f>
        <v>0</v>
      </c>
      <c r="K181" s="3110">
        <f>0</f>
        <v>0</v>
      </c>
      <c r="L181" s="3110">
        <f>0</f>
        <v>0</v>
      </c>
      <c r="M181" s="3110">
        <f>0</f>
        <v>0</v>
      </c>
      <c r="N181" s="3112">
        <f>-X_PHA_PAO/X_STC</f>
        <v>-0.86956521739130432</v>
      </c>
      <c r="O181" s="3112">
        <f>-X_PHA_GAO/X_STC</f>
        <v>-0.13043478260869565</v>
      </c>
      <c r="P181" s="3110">
        <f>0</f>
        <v>0</v>
      </c>
      <c r="Q181" s="3110">
        <f>0</f>
        <v>0</v>
      </c>
      <c r="R181" s="3110">
        <f>0</f>
        <v>0</v>
      </c>
      <c r="S181" s="3110">
        <f>0</f>
        <v>0</v>
      </c>
      <c r="T181" s="3110">
        <f>0</f>
        <v>0</v>
      </c>
      <c r="U181" s="3110">
        <f>0</f>
        <v>0</v>
      </c>
      <c r="V181" s="3110">
        <f>0</f>
        <v>0</v>
      </c>
      <c r="W181" s="3110">
        <f>0</f>
        <v>0</v>
      </c>
      <c r="X181" s="3110">
        <f>0</f>
        <v>0</v>
      </c>
      <c r="Y181" s="3110">
        <f>0</f>
        <v>0</v>
      </c>
      <c r="Z181" s="3110">
        <f>0</f>
        <v>0</v>
      </c>
      <c r="AA181" s="3110">
        <f>0</f>
        <v>0</v>
      </c>
      <c r="AB181" s="3110">
        <f>0</f>
        <v>0</v>
      </c>
      <c r="AC181" s="3110">
        <f>0</f>
        <v>0</v>
      </c>
      <c r="AD181" s="3110">
        <f>0</f>
        <v>0</v>
      </c>
      <c r="AE181" s="3112">
        <f>-1/E_EQN2_NO2</f>
        <v>-0.58363438628948594</v>
      </c>
      <c r="AF181" s="3112">
        <f>0</f>
        <v>0</v>
      </c>
      <c r="AG181" s="3112">
        <f>1/E_EQN2_NO2</f>
        <v>0.58363438628948594</v>
      </c>
      <c r="AH181" s="3110">
        <f>0</f>
        <v>0</v>
      </c>
      <c r="AI181" s="3110">
        <f>0</f>
        <v>0</v>
      </c>
      <c r="AJ181" s="3110">
        <f>0</f>
        <v>0</v>
      </c>
      <c r="AK181" s="3110">
        <f>0</f>
        <v>0</v>
      </c>
      <c r="AL181" s="3110">
        <f>0</f>
        <v>0</v>
      </c>
      <c r="AM181" s="3112">
        <f>0</f>
        <v>0</v>
      </c>
      <c r="AN181" s="3110">
        <f>0</f>
        <v>0</v>
      </c>
      <c r="AO181" s="3110">
        <f>0</f>
        <v>0</v>
      </c>
      <c r="AP181" s="3110">
        <f>0</f>
        <v>0</v>
      </c>
      <c r="AQ181" s="3110">
        <f>0</f>
        <v>0</v>
      </c>
      <c r="AR181" s="3110">
        <f>0</f>
        <v>0</v>
      </c>
      <c r="AS181" s="3110">
        <f>0</f>
        <v>0</v>
      </c>
      <c r="AT181" s="3110">
        <f>0</f>
        <v>0</v>
      </c>
      <c r="AU181" s="3110">
        <f>i_CIT_STC</f>
        <v>0.33300000000000002</v>
      </c>
      <c r="AV181" s="3110">
        <f>0</f>
        <v>0</v>
      </c>
      <c r="AW181" s="3110">
        <f>0</f>
        <v>0</v>
      </c>
      <c r="AX181" s="3110">
        <f>0</f>
        <v>0</v>
      </c>
      <c r="AY181" s="3112">
        <f>0</f>
        <v>0</v>
      </c>
      <c r="AZ181" s="3112">
        <f>0</f>
        <v>0</v>
      </c>
      <c r="BA181" s="3112">
        <f>0</f>
        <v>0</v>
      </c>
      <c r="BB181" s="3112">
        <f>0</f>
        <v>0</v>
      </c>
      <c r="BC181" s="3112">
        <f>0</f>
        <v>0</v>
      </c>
      <c r="BD181" s="3112">
        <f>0</f>
        <v>0</v>
      </c>
      <c r="BE181" s="3110">
        <f>0</f>
        <v>0</v>
      </c>
      <c r="BF181" s="3110">
        <f>0</f>
        <v>0</v>
      </c>
      <c r="BG181" s="3110">
        <f>0</f>
        <v>0</v>
      </c>
      <c r="BH181" s="3110">
        <f>0</f>
        <v>0</v>
      </c>
      <c r="BI181" s="3110">
        <f>0</f>
        <v>0</v>
      </c>
      <c r="BJ181" s="3110">
        <f>0</f>
        <v>0</v>
      </c>
      <c r="BK181" s="3110">
        <f>0</f>
        <v>0</v>
      </c>
      <c r="BL181" s="3110">
        <f>0</f>
        <v>0</v>
      </c>
      <c r="BM181" s="3110">
        <f>0</f>
        <v>0</v>
      </c>
      <c r="BN181" s="3110">
        <f>0</f>
        <v>0</v>
      </c>
      <c r="BO181" s="3110">
        <f>0</f>
        <v>0</v>
      </c>
      <c r="BP181" s="3110">
        <f>0</f>
        <v>0</v>
      </c>
      <c r="BQ181" s="3110">
        <f>0</f>
        <v>0</v>
      </c>
      <c r="BR181" s="3110">
        <f>0</f>
        <v>0</v>
      </c>
      <c r="BS181" s="3110">
        <f>0</f>
        <v>0</v>
      </c>
      <c r="BT181" s="3110">
        <f>0</f>
        <v>0</v>
      </c>
      <c r="BU181" s="3110">
        <f>0</f>
        <v>0</v>
      </c>
      <c r="BV181" s="3110">
        <f>0</f>
        <v>0</v>
      </c>
      <c r="BW181" s="3110">
        <f>0</f>
        <v>0</v>
      </c>
      <c r="BX181" s="3110">
        <f>0</f>
        <v>0</v>
      </c>
      <c r="BY181" s="3110">
        <f>0</f>
        <v>0</v>
      </c>
      <c r="BZ181" s="3176">
        <f>0</f>
        <v>0</v>
      </c>
      <c r="CA181" s="3176">
        <f>0</f>
        <v>0</v>
      </c>
      <c r="CB181" s="3176">
        <f>0</f>
        <v>0</v>
      </c>
      <c r="CC181" s="3176">
        <f>0</f>
        <v>0</v>
      </c>
      <c r="CD181" s="3110">
        <f>0</f>
        <v>0</v>
      </c>
      <c r="CE181" s="3110">
        <f>0</f>
        <v>0</v>
      </c>
      <c r="CF181" s="3110">
        <f>0</f>
        <v>0</v>
      </c>
      <c r="CG181" s="3110">
        <f>0</f>
        <v>0</v>
      </c>
      <c r="CH181" s="3110">
        <f>0</f>
        <v>0</v>
      </c>
      <c r="CI181" s="3110">
        <f>0</f>
        <v>0</v>
      </c>
      <c r="CJ181" s="3110">
        <f>0</f>
        <v>0</v>
      </c>
      <c r="CK181" s="3110">
        <f>0</f>
        <v>0</v>
      </c>
      <c r="CL181" s="3110">
        <f>0</f>
        <v>0</v>
      </c>
      <c r="CM181" s="3110">
        <f>0</f>
        <v>0</v>
      </c>
      <c r="CN181" s="3110">
        <f>0</f>
        <v>0</v>
      </c>
      <c r="CO181" s="3110">
        <f>0</f>
        <v>0</v>
      </c>
      <c r="CP181" s="3110">
        <f>0</f>
        <v>0</v>
      </c>
      <c r="CQ181" s="3110">
        <f>0</f>
        <v>0</v>
      </c>
      <c r="CR181" s="3110">
        <f>0</f>
        <v>0</v>
      </c>
      <c r="CS181" s="3110">
        <f>0</f>
        <v>0</v>
      </c>
      <c r="CT181" s="3110">
        <f>0</f>
        <v>0</v>
      </c>
      <c r="CU181" s="3110">
        <f>0</f>
        <v>0</v>
      </c>
      <c r="CV181" s="3222">
        <f>b_STC_T*η_bSTC_anox*X_CASTO*M_inhSO2_KO2_CASTO*M_satSNO2_KNO2_CASTO*M_RsatXSTC_XCASTO_KSTC</f>
        <v>0.11834279986635483</v>
      </c>
      <c r="CX181" s="2838">
        <f>E287*E181+F287*F181+G287*G181+H287*H181+I287*I181+J287*J181+K287*K181+L287*L181+M287*M181+N287*N181+O287*O181+P287*P181+Q287*Q181+R287*R181+S287*S181+T287*T181+U287*U181+V287*V181+W287*W181+X287*X181+Y287*Y181+Z287*Z181+AA287*AA181+AB287*AB181+AC287*AC181+AD287*AD181+AE287*AE181+AF287*AF181+AG287*AG181+AH287*AH181+AI287*AI181+AJ287*AJ181+AK287*AK181+AL287*AL181+AM287*AM181+AN287*AN181+AO287*AO181+AP287*AP181+AQ287*AQ181+AR287*AR181+AS287*AS181+AT287*AT181+AU287*AU181+AV287*AV181+AW287*AW181+AX287*AX181+AY287*AY181+AZ287*AZ181+BA287*BA181+BB287*BB181+BC287*BC181+BD287*BD181+BE287*BE181+BF287*BF181+BG287*BG181+BH287*BH181+BI287*BI181+BJ287*BJ181+BK287*BK181+BL287*BL181+BM287*BM181+BN287*BN181+BO287*BO181+BP287*BP181+BQ287*BQ181+BR287*BR181+BS287*BS181+BT287*BT181+BU287*BU181+BV287*BV181+BW287*BW181+BX287*BX181+BY287*BY181+BZ287*BZ181+CA287*CA181+CB287*CB181+CC287*CC181+CD287*CD181+CE287*CE181+CF287*CF181+CG287*CG181+CH287*CH181+CI287*CI181+CJ287*CJ181+CK287*CK181+CL287*CL181+CM287*CM181+CN287*CN181+CO287*CO181+CP287*CP181+CQ287*CQ181+CR287*CR181+CS287*CS181+CT287*CT181+CU287*CU181</f>
        <v>0</v>
      </c>
      <c r="CY181" s="2838">
        <f>E288*E181+F288*F181+G288*G181+H288*H181+I288*I181+J288*J181+K288*K181+L288*L181+M288*M181+N288*N181+O288*O181+P288*P181+Q288*Q181+R288*R181+S288*S181+T288*T181+U288*U181+V288*V181+W288*W181+X288*X181+Y288*Y181+Z288*Z181+AA288*AA181+AB288*AB181+AC288*AC181+AD288*AD181+AE288*AE181+AF288*AF181+AG288*AG181+AH288*AH181+AI288*AI181+AJ288*AJ181+AK288*AK181+AL288*AL181+AM288*AM181+AN288*AN181+AO288*AO181+AP288*AP181+AQ288*AQ181+AR288*AR181+AS288*AS181+AT288*AT181+AU288*AU181+AV288*AV181+AW288*AW181+AX288*AX181+AY288*AY181+AZ288*AZ181+BA288*BA181+BB288*BB181+BC288*BC181+BD288*BD181+BE288*BE181+BF288*BF181+BG288*BG181+BH288*BH181+BI288*BI181+BJ288*BJ181+BK288*BK181+BL288*BL181+BM288*BM181+BN288*BN181+BO288*BO181+BP288*BP181+BQ288*BQ181+BR288*BR181+BS288*BS181+BT288*BT181+BU288*BU181+BV288*BV181+BW288*BW181+BX288*BX181+BY288*BY181+BZ288*BZ181+CA288*CA181+CB288*CB181+CC288*CC181+CD288*CD181+CE288*CE181+CF288*CF181+CG288*CG181+CH288*CH181+CI288*CI181+CJ288*CJ181+CK288*CK181+CL288*CL181+CM288*CM181+CN288*CN181+CO288*CO181+CP288*CP181+CQ288*CQ181+CR288*CR181+CS288*CS181+CT288*CT181+CU288*CU181</f>
        <v>0</v>
      </c>
      <c r="CZ181" s="2839">
        <f>E289*E181+F289*F181+G289*G181+H289*H181+I289*I181+J289*J181+K289*K181+L289*L181+M289*M181+N289*N181+O289*O181+P289*P181+Q289*Q181+R289*R181+S289*S181+T289*T181+U289*U181+V289*V181+W289*W181+X289*X181+Y289*Y181+Z289*Z181+AA289*AA181+AB289*AB181+AC289*AC181+AD289*AD181+AE289*AE181+AF289*AF181+AG289*AG181+AH289*AH181+AI289*AI181+AJ289*AJ181+AK289*AK181+AL289*AL181+AM289*AM181+AN289*AN181+AO289*AO181+AP289*AP181+AQ289*AQ181+AR289*AR181+AS289*AS181+AT289*AT181+AU289*AU181+AV289*AV181+AW289*AW181+AX289*AX181+AY289*AY181+AZ289*AZ181+BA289*BA181+BB289*BB181+BC289*BC181+BD289*BD181+BE289*BE181+BF289*BF181+BG289*BG181+BH289*BH181+BI289*BI181+BJ289*BJ181+BK289*BK181+BL289*BL181+BM289*BM181+BN289*BN181+BO289*BO181+BP289*BP181+BQ289*BQ181+BR289*BR181+BS289*BS181+BT289*BT181+BU289*BU181+BV289*BV181+BW289*BW181+BX289*BX181+BY289*BY181+BZ289*BZ181+CA289*CA181+CB289*CB181+CC289*CC181+CD289*CD181+CE289*CE181+CF289*CF181+CG289*CG181+CH289*CH181+CI289*CI181+CJ289*CJ181+CK289*CK181+CL289*CL181+CM289*CM181+CN289*CN181+CO289*CO181+CP289*CP181+CQ289*CQ181+CR289*CR181+CS289*CS181+CT289*CT181+CU289*CU181</f>
        <v>0</v>
      </c>
      <c r="DA181" s="2840">
        <f>E290*E181+F290*F181+G290*G181+H290*H181+I290*I181+J290*J181+K290*K181+L290*L181+M290*M181+N290*N181+O290*O181+P290*P181+Q290*Q181+R290*R181+S290*S181+T290*T181+U290*U181+V290*V181+W290*W181+X290*X181+Y290*Y181+Z290*Z181+AA290*AA181+AB290*AB181+AC290*AC181+AD290*AD181+AE290*AE181+AF290*AF181+AG290*AG181+AH290*AH181+AI290*AI181+AJ290*AJ181+AK290*AK181+AL290*AL181+AM290*AM181+AN290*AN181+AO290*AO181+AP290*AP181+AQ290*AQ181+AR290*AR181+AS290*AS181+AT290*AT181+AU290*AU181+AV290*AV181+AW290*AW181+AX290*AX181+AY290*AY181+AZ290*AZ181+BA290*BA181+BB290*BB181+BC290*BC181+BD290*BD181+BE290*BE181+BF290*BF181+BG290*BG181+BH290*BH181+BI290*BI181+BJ290*BJ181+BK290*BK181+BL290*BL181+BM290*BM181+BN290*BN181+BO290*BO181+BP290*BP181+BQ290*BQ181+BR290*BR181+BS290*BS181+BT290*BT181+BU290*BU181+BV290*BV181+BW290*BW181+BX290*BX181+BY290*BY181+BZ290*BZ181+CA290*CA181+CB290*CB181+CC290*CC181+CD290*CD181+CE290*CE181+CF290*CF181+CG290*CG181+CH290*CH181+CI290*CI181+CJ290*CJ181+CK290*CK181+CL290*CL181+CM290*CM181+CN290*CN181+CO290*CO181+CP290*CP181+CQ290*CQ181+CR290*CR181+CS290*CS181+CT290*CT181+CU290*CU181</f>
        <v>0</v>
      </c>
      <c r="DB181" s="2840">
        <f>E291*E181+F291*F181+G291*G181+H291*H181+I291*I181+J291*J181+K291*K181+L291*L181+M291*M181+N291*N181+O291*O181+P291*P181+Q291*Q181+R291*R181+S291*S181+T291*T181+U291*U181+V291*V181+W291*W181+X291*X181+Y291*Y181+Z291*Z181+AA291*AA181+AB291*AB181+AC291*AC181+AD291*AD181+AE291*AE181+AF291*AF181+AG291*AG181+AH291*AH181+AI291*AI181+AJ291*AJ181+AK291*AK181+AL291*AL181+AM291*AM181+AN291*AN181+AO291*AO181+AP291*AP181+AQ291*AQ181+AR291*AR181+AS291*AS181+AT291*AT181+AU291*AU181+AV291*AV181+AW291*AW181+AX291*AX181+AY291*AY181+AZ291*AZ181+BA291*BA181+BB291*BB181+BC291*BC181+BD291*BD181+BE291*BE181+BF291*BF181+BG291*BG181+BH291*BH181+BI291*BI181+BJ291*BJ181+BK291*BK181+BL291*BL181+BM291*BM181+BN291*BN181+BO291*BO181+BP291*BP181+BQ291*BQ181+BR291*BR181+BS291*BS181+BT291*BT181+BU291*BU181+BV291*BV181+BW291*BW181+BX291*BX181+BY291*BY181+BZ291*BZ181+CA291*CA181+CB291*CB181+CC291*CC181+CD291*CD181+CE291*CE181+CF291*CF181+CG291*CG181+CH291*CH181+CI291*CI181+CJ291*CJ181+CK291*CK181+CL291*CL181+CM291*CM181+CN291*CN181+CO291*CO181+CP291*CP181+CQ291*CQ181+CR291*CR181+CS291*CS181+CT291*CT181+CU291*CU181</f>
        <v>0</v>
      </c>
      <c r="DC181" s="2840">
        <f>E292*E181+F292*F181+G292*G181+H292*H181+I292*I181+J292*J181+K292*K181+L292*L181+M292*M181+N292*N181+O292*O181+P292*P181+Q292*Q181+R292*R181+S292*S181+T292*T181+U292*U181+V292*V181+W292*W181+X292*X181+Y292*Y181+Z292*Z181+AA292*AA181+AB292*AB181+AC292*AC181+AD292*AD181+AE292*AE181+AF292*AF181+AG292*AG181+AH292*AH181+AI292*AI181+AJ292*AJ181+AK292*AK181+AL292*AL181+AM292*AM181+AN292*AN181+AO292*AO181+AP292*AP181+AQ292*AQ181+AR292*AR181+AS292*AS181+AT292*AT181+AU292*AU181+AV292*AV181+AW292*AW181+AX292*AX181+AY292*AY181+AZ292*AZ181+BA292*BA181+BB292*BB181+BC292*BC181+BD292*BD181+BE292*BE181+BF292*BF181+BG292*BG181+BH292*BH181+BI292*BI181+BJ292*BJ181+BK292*BK181+BL292*BL181+BM292*BM181+BN292*BN181+BO292*BO181+BP292*BP181+BQ292*BQ181+BR292*BR181+BS292*BS181+BT292*BT181+BU292*BU181+BV292*BV181+BW292*BW181+BX292*BX181+BY292*BY181+BZ292*BZ181+CA292*CA181+CB292*CB181+CC292*CC181+CD292*CD181+CE292*CE181+CF292*CF181+CG292*CG181+CH292*CH181+CI292*CI181+CJ292*CJ181+CK292*CK181+CL292*CL181+CM292*CM181+CN292*CN181+CO292*CO181+CP292*CP181+CQ292*CQ181+CR292*CR181+CS292*CS181+CT292*CT181+CU292*CU181</f>
        <v>0</v>
      </c>
      <c r="DD181" s="2840">
        <f>E293*E181+F293*F181+G293*G181+H293*H181+I293*I181+J293*J181+K293*K181+L293*L181+M293*M181+N293*N181+O293*O181+P293*P181+Q293*Q181+R293*R181+S293*S181+T293*T181+U293*U181+V293*V181+W293*W181+X293*X181+Y293*Y181+Z293*Z181+AA293*AA181+AB293*AB181+AC293*AC181+AD293*AD181+AE293*AE181+AF293*AF181+AG293*AG181+AH293*AH181+AI293*AI181+AJ293*AJ181+AK293*AK181+AL293*AL181+AM293*AM181+AN293*AN181+AO293*AO181+AP293*AP181+AQ293*AQ181+AR293*AR181+AS293*AS181+AT293*AT181+AU293*AU181+AV293*AV181+AW293*AW181+AX293*AX181+AY293*AY181+AZ293*AZ181+BA293*BA181+BB293*BB181+BC293*BC181+BD293*BD181+BE293*BE181+BF293*BF181+BG293*BG181+BH293*BH181+BI293*BI181+BJ293*BJ181+BK293*BK181+BL293*BL181+BM293*BM181+BN293*BN181+BO293*BO181+BP293*BP181+BQ293*BQ181+BR293*BR181+BS293*BS181+BT293*BT181+BU293*BU181+BV293*BV181+BW293*BW181+BX293*BX181+BY293*BY181+BZ293*BZ181+CA293*CA181+CB293*CB181+CC293*CC181+CD293*CD181+CE293*CE181+CF293*CF181+CG293*CG181+CH293*CH181+CI293*CI181+CJ293*CJ181+CK293*CK181+CL293*CL181+CM293*CM181+CN293*CN181+CO293*CO181+CP293*CP181+CQ293*CQ181+CR293*CR181+CS293*CS181+CT293*CT181+CU293*CU181</f>
        <v>0</v>
      </c>
      <c r="DE181" s="2840">
        <f>E294*E181+F294*F181+G294*G181+H294*H181+I294*I181+J294*J181+K294*K181+L294*L181+M294*M181+N294*N181+O294*O181+P294*P181+Q294*Q181+R294*R181+S294*S181+T294*T181+U294*U181+V294*V181+W294*W181+X294*X181+Y294*Y181+Z294*Z181+AA294*AA181+AB294*AB181+AC294*AC181+AD294*AD181+AE294*AE181+AF294*AF181+AG294*AG181+AH294*AH181+AI294*AI181+AJ294*AJ181+AK294*AK181+AL294*AL181+AM294*AM181+AN294*AN181+AO294*AO181+AP294*AP181+AQ294*AQ181+AR294*AR181+AS294*AS181+AT294*AT181+AU294*AU181+AV294*AV181+AW294*AW181+AX294*AX181+AY294*AY181+AZ294*AZ181+BA294*BA181+BB294*BB181+BC294*BC181+BD294*BD181+BE294*BE181+BF294*BF181+BG294*BG181+BH294*BH181+BI294*BI181+BJ294*BJ181+BK294*BK181+BL294*BL181+BM294*BM181+BN294*BN181+BO294*BO181+BP294*BP181+BQ294*BQ181+BR294*BR181+BS294*BS181+BT294*BT181+BU294*BU181+BV294*BV181+BW294*BW181+BX294*BX181+BY294*BY181+BZ294*BZ181+CA294*CA181+CB294*CB181+CC294*CC181+CD294*CD181+CE294*CE181+CF294*CF181+CG294*CG181+CH294*CH181+CI294*CI181+CJ294*CJ181+CK294*CK181+CL294*CL181+CM294*CM181+CN294*CN181+CO294*CO181+CP294*CP181+CQ294*CQ181+CR294*CR181+CS294*CS181+CT294*CT181+CU294*CU181</f>
        <v>0</v>
      </c>
      <c r="DF181" s="2840">
        <f>E295*E181+F295*F181+G295*G181+H295*H181+I295*I181+J295*J181+K295*K181+L295*L181+M295*M181+N295*N181+O295*O181+P295*P181+Q295*Q181+R295*R181+S295*S181+T295*T181+U295*U181+V295*V181+W295*W181+X295*X181+Y295*Y181+Z295*Z181+AA295*AA181+AB295*AB181+AC295*AC181+AD295*AD181+AE295*AE181+AF295*AF181+AG295*AG181+AH295*AH181+AI295*AI181+AJ295*AJ181+AK295*AK181+AL295*AL181+AM295*AM181+AN295*AN181+AO295*AO181+AP295*AP181+AQ295*AQ181+AR295*AR181+AS295*AS181+AT295*AT181+AU295*AU181+AV295*AV181+AW295*AW181+AX295*AX181+AY295*AY181+AZ295*AZ181+BA295*BA181+BB295*BB181+BC295*BC181+BD295*BD181+BE295*BE181+BF295*BF181+BG295*BG181+BH295*BH181+BI295*BI181+BJ295*BJ181+BK295*BK181+BL295*BL181+BM295*BM181+BN295*BN181+BO295*BO181+BP295*BP181+BQ295*BQ181+BR295*BR181+BS295*BS181+BT295*BT181+BU295*BU181+BV295*BV181+BW295*BW181+BX295*BX181+BY295*BY181+BZ295*BZ181+CA295*CA181+CB295*CB181+CC295*CC181+CD295*CD181+CE295*CE181+CF295*CF181+CG295*CG181+CH295*CH181+CI295*CI181+CJ295*CJ181+CK295*CK181+CL295*CL181+CM295*CM181+CN295*CN181+CO295*CO181+CP295*CP181+CQ295*CQ181+CR295*CR181+CS295*CS181+CT295*CT181+CU295*CU181</f>
        <v>0</v>
      </c>
      <c r="DG181" s="2840">
        <f>E296*E181+F296*F181+G296*G181+H296*H181+I296*I181+J296*J181+K296*K181+L296*L181+M296*M181+N296*N181+O296*O181+P296*P181+Q296*Q181+R296*R181+S296*S181+T296*T181+U296*U181+V296*V181+W296*W181+X296*X181+Y296*Y181+Z296*Z181+AA296*AA181+AB296*AB181+AC296*AC181+AD296*AD181+AE296*AE181+AF296*AF181+AG296*AG181+AH296*AH181+AI296*AI181+AJ296*AJ181+AK296*AK181+AL296*AL181+AM296*AM181+AN296*AN181+AO296*AO181+AP296*AP181+AQ296*AQ181+AR296*AR181+AS296*AS181+AT296*AT181+AU296*AU181+AV296*AV181+AW296*AW181+AX296*AX181+AY296*AY181+AZ296*AZ181+BA296*BA181+BB296*BB181+BC296*BC181+BD296*BD181+BE296*BE181+BF296*BF181+BG296*BG181+BH296*BH181+BI296*BI181+BJ296*BJ181+BK296*BK181+BL296*BL181+BM296*BM181+BN296*BN181+BO296*BO181+BP296*BP181+BQ296*BQ181+BR296*BR181+BS296*BS181+BT296*BT181+BU296*BU181+BV296*BV181+BW296*BW181+BX296*BX181+BY296*BY181+BZ296*BZ181+CA296*CA181+CB296*CB181+CC296*CC181+CD296*CD181+CE296*CE181+CF296*CF181+CG296*CG181+CH296*CH181+CI296*CI181+CJ296*CJ181+CK296*CK181+CL296*CL181+CM296*CM181+CN296*CN181+CO296*CO181+CP296*CP181+CQ296*CQ181+CR296*CR181+CS296*CS181+CT296*CT181+CU296*CU181</f>
        <v>0</v>
      </c>
      <c r="DH181" s="2840">
        <f>E297*E181+F297*F181+G297*G181+H297*H181+I297*I181+J297*J181+K297*K181+L297*L181+M297*M181+N297*N181+O297*O181+P297*P181+Q297*Q181+R297*R181+S297*S181+T297*T181+U297*U181+V297*V181+W297*W181+X297*X181+Y297*Y181+Z297*Z181+AA297*AA181+AB297*AB181+AC297*AC181+AD297*AD181+AE297*AE181+AF297*AF181+AG297*AG181+AH297*AH181+AI297*AI181+AJ297*AJ181+AK297*AK181+AL297*AL181+AM297*AM181+AN297*AN181+AO297*AO181+AP297*AP181+AQ297*AQ181+AR297*AR181+AS297*AS181+AT297*AT181+AU297*AU181+AV297*AV181+AW297*AW181+AX297*AX181+AY297*AY181+AZ297*AZ181+BA297*BA181+BB297*BB181+BC297*BC181+BD297*BD181+BE297*BE181+BF297*BF181+BG297*BG181+BH297*BH181+BI297*BI181+BJ297*BJ181+BK297*BK181+BL297*BL181+BM297*BM181+BN297*BN181+BO297*BO181+BP297*BP181+BQ297*BQ181+BR297*BR181+BS297*BS181+BT297*BT181+BU297*BU181+BV297*BV181+BW297*BW181+BX297*BX181+BY297*BY181+BZ297*BZ181+CA297*CA181+CB297*CB181+CC297*CC181+CD297*CD181+CE297*CE181+CF297*CF181+CG297*CG181+CH297*CH181+CI297*CI181+CJ297*CJ181+CK297*CK181+CL297*CL181+CM297*CM181+CN297*CN181+CO297*CO181+CP297*CP181+CQ297*CQ181+CR297*CR181+CS297*CS181+CT297*CT181+CU297*CU181</f>
        <v>0</v>
      </c>
      <c r="DI181" s="2840">
        <f>E298*E181+F298*F181+G298*G181+H298*H181+I298*I181+J298*J181+K298*K181+L298*L181+M298*M181+N298*N181+O298*O181+P298*P181+Q298*Q181+R298*R181+S298*S181+T298*T181+U298*U181+V298*V181+W298*W181+X298*X181+Y298*Y181+Z298*Z181+AA298*AA181+AB298*AB181+AC298*AC181+AD298*AD181+AE298*AE181+AF298*AF181+AG298*AG181+AH298*AH181+AI298*AI181+AJ298*AJ181+AK298*AK181+AL298*AL181+AM298*AM181+AN298*AN181+AO298*AO181+AP298*AP181+AQ298*AQ181+AR298*AR181+AS298*AS181+AT298*AT181+AU298*AU181+AV298*AV181+AW298*AW181+AX298*AX181+AY298*AY181+AZ298*AZ181+BA298*BA181+BB298*BB181+BC298*BC181+BD298*BD181+BE298*BE181+BF298*BF181+BG298*BG181+BH298*BH181+BI298*BI181+BJ298*BJ181+BK298*BK181+BL298*BL181+BM298*BM181+BN298*BN181+BO298*BO181+BP298*BP181+BQ298*BQ181+BR298*BR181+BS298*BS181+BT298*BT181+BU298*BU181+BV298*BV181+BW298*BW181+BX298*BX181+BY298*BY181+BZ298*BZ181+CA298*CA181+CB298*CB181+CC298*CC181+CD298*CD181+CE298*CE181+CF298*CF181+CG298*CG181+CH298*CH181+CI298*CI181+CJ298*CJ181+CK298*CK181+CL298*CL181+CM298*CM181+CN298*CN181+CO298*CO181+CP298*CP181+CQ298*CQ181+CR298*CR181+CS298*CS181+CT298*CT181+CU298*CU181</f>
        <v>0</v>
      </c>
    </row>
    <row r="182" spans="2:113" ht="18" x14ac:dyDescent="0.25">
      <c r="B182" s="2489">
        <v>29</v>
      </c>
      <c r="C182" s="2406" t="s">
        <v>251</v>
      </c>
      <c r="D182" s="2407" t="s">
        <v>4888</v>
      </c>
      <c r="E182" s="3110">
        <f>0</f>
        <v>0</v>
      </c>
      <c r="F182" s="3110">
        <f>0</f>
        <v>0</v>
      </c>
      <c r="G182" s="3110">
        <f>0</f>
        <v>0</v>
      </c>
      <c r="H182" s="3110">
        <f>0</f>
        <v>0</v>
      </c>
      <c r="I182" s="3110">
        <f>0</f>
        <v>0</v>
      </c>
      <c r="J182" s="3110">
        <f>0</f>
        <v>0</v>
      </c>
      <c r="K182" s="3110">
        <f>0</f>
        <v>0</v>
      </c>
      <c r="L182" s="3110">
        <f>0</f>
        <v>0</v>
      </c>
      <c r="M182" s="3110">
        <f>0</f>
        <v>0</v>
      </c>
      <c r="N182" s="3112">
        <f>-X_PHA_PAO/X_STC</f>
        <v>-0.86956521739130432</v>
      </c>
      <c r="O182" s="3112">
        <f>-X_PHA_GAO/X_STC</f>
        <v>-0.13043478260869565</v>
      </c>
      <c r="P182" s="3110">
        <f>0</f>
        <v>0</v>
      </c>
      <c r="Q182" s="3110">
        <f>0</f>
        <v>0</v>
      </c>
      <c r="R182" s="3110">
        <f>0</f>
        <v>0</v>
      </c>
      <c r="S182" s="3110">
        <f>0</f>
        <v>0</v>
      </c>
      <c r="T182" s="3110">
        <f>0</f>
        <v>0</v>
      </c>
      <c r="U182" s="3110">
        <f>0</f>
        <v>0</v>
      </c>
      <c r="V182" s="3110">
        <f>0</f>
        <v>0</v>
      </c>
      <c r="W182" s="3110">
        <f>0</f>
        <v>0</v>
      </c>
      <c r="X182" s="3110">
        <f>0</f>
        <v>0</v>
      </c>
      <c r="Y182" s="3110">
        <f>0</f>
        <v>0</v>
      </c>
      <c r="Z182" s="3110">
        <f>0</f>
        <v>0</v>
      </c>
      <c r="AA182" s="3110">
        <f>0</f>
        <v>0</v>
      </c>
      <c r="AB182" s="3110">
        <f>0</f>
        <v>0</v>
      </c>
      <c r="AC182" s="3110">
        <f>0</f>
        <v>0</v>
      </c>
      <c r="AD182" s="3110">
        <f>0</f>
        <v>0</v>
      </c>
      <c r="AE182" s="3112">
        <f>1/E_EQNO2_NO3</f>
        <v>0.87545157943422891</v>
      </c>
      <c r="AF182" s="3112">
        <f>-1/E_EQNO2_NO3</f>
        <v>-0.87545157943422891</v>
      </c>
      <c r="AG182" s="3112">
        <f>0</f>
        <v>0</v>
      </c>
      <c r="AH182" s="3110">
        <f>0</f>
        <v>0</v>
      </c>
      <c r="AI182" s="3110">
        <f>0</f>
        <v>0</v>
      </c>
      <c r="AJ182" s="3110">
        <f>0</f>
        <v>0</v>
      </c>
      <c r="AK182" s="3110">
        <f>0</f>
        <v>0</v>
      </c>
      <c r="AL182" s="3110">
        <f>0</f>
        <v>0</v>
      </c>
      <c r="AM182" s="3112">
        <f>0</f>
        <v>0</v>
      </c>
      <c r="AN182" s="3110">
        <f>0</f>
        <v>0</v>
      </c>
      <c r="AO182" s="3110">
        <f>0</f>
        <v>0</v>
      </c>
      <c r="AP182" s="3110">
        <f>0</f>
        <v>0</v>
      </c>
      <c r="AQ182" s="3110">
        <f>0</f>
        <v>0</v>
      </c>
      <c r="AR182" s="3110">
        <f>0</f>
        <v>0</v>
      </c>
      <c r="AS182" s="3110">
        <f>0</f>
        <v>0</v>
      </c>
      <c r="AT182" s="3110">
        <f>0</f>
        <v>0</v>
      </c>
      <c r="AU182" s="3110">
        <f>i_CIT_STC</f>
        <v>0.33300000000000002</v>
      </c>
      <c r="AV182" s="3110">
        <f>0</f>
        <v>0</v>
      </c>
      <c r="AW182" s="3110">
        <f>0</f>
        <v>0</v>
      </c>
      <c r="AX182" s="3110">
        <f>0</f>
        <v>0</v>
      </c>
      <c r="AY182" s="3112">
        <f>0</f>
        <v>0</v>
      </c>
      <c r="AZ182" s="3112">
        <f>0</f>
        <v>0</v>
      </c>
      <c r="BA182" s="3112">
        <f>0</f>
        <v>0</v>
      </c>
      <c r="BB182" s="3112">
        <f>0</f>
        <v>0</v>
      </c>
      <c r="BC182" s="3112">
        <f>0</f>
        <v>0</v>
      </c>
      <c r="BD182" s="3112">
        <f>0</f>
        <v>0</v>
      </c>
      <c r="BE182" s="3110">
        <f>0</f>
        <v>0</v>
      </c>
      <c r="BF182" s="3110">
        <f>0</f>
        <v>0</v>
      </c>
      <c r="BG182" s="3110">
        <f>0</f>
        <v>0</v>
      </c>
      <c r="BH182" s="3110">
        <f>0</f>
        <v>0</v>
      </c>
      <c r="BI182" s="3110">
        <f>0</f>
        <v>0</v>
      </c>
      <c r="BJ182" s="3110">
        <f>0</f>
        <v>0</v>
      </c>
      <c r="BK182" s="3110">
        <f>0</f>
        <v>0</v>
      </c>
      <c r="BL182" s="3110">
        <f>0</f>
        <v>0</v>
      </c>
      <c r="BM182" s="3110">
        <f>0</f>
        <v>0</v>
      </c>
      <c r="BN182" s="3110">
        <f>0</f>
        <v>0</v>
      </c>
      <c r="BO182" s="3110">
        <f>0</f>
        <v>0</v>
      </c>
      <c r="BP182" s="3110">
        <f>0</f>
        <v>0</v>
      </c>
      <c r="BQ182" s="3110">
        <f>0</f>
        <v>0</v>
      </c>
      <c r="BR182" s="3110">
        <f>0</f>
        <v>0</v>
      </c>
      <c r="BS182" s="3110">
        <f>0</f>
        <v>0</v>
      </c>
      <c r="BT182" s="3110">
        <f>0</f>
        <v>0</v>
      </c>
      <c r="BU182" s="3110">
        <f>0</f>
        <v>0</v>
      </c>
      <c r="BV182" s="3110">
        <f>0</f>
        <v>0</v>
      </c>
      <c r="BW182" s="3110">
        <f>0</f>
        <v>0</v>
      </c>
      <c r="BX182" s="3110">
        <f>0</f>
        <v>0</v>
      </c>
      <c r="BY182" s="3110">
        <f>0</f>
        <v>0</v>
      </c>
      <c r="BZ182" s="3176">
        <f>0</f>
        <v>0</v>
      </c>
      <c r="CA182" s="3176">
        <f>0</f>
        <v>0</v>
      </c>
      <c r="CB182" s="3176">
        <f>0</f>
        <v>0</v>
      </c>
      <c r="CC182" s="3176">
        <f>0</f>
        <v>0</v>
      </c>
      <c r="CD182" s="3110">
        <f>0</f>
        <v>0</v>
      </c>
      <c r="CE182" s="3110">
        <f>0</f>
        <v>0</v>
      </c>
      <c r="CF182" s="3110">
        <f>0</f>
        <v>0</v>
      </c>
      <c r="CG182" s="3110">
        <f>0</f>
        <v>0</v>
      </c>
      <c r="CH182" s="3110">
        <f>0</f>
        <v>0</v>
      </c>
      <c r="CI182" s="3110">
        <f>0</f>
        <v>0</v>
      </c>
      <c r="CJ182" s="3110">
        <f>0</f>
        <v>0</v>
      </c>
      <c r="CK182" s="3110">
        <f>0</f>
        <v>0</v>
      </c>
      <c r="CL182" s="3110">
        <f>0</f>
        <v>0</v>
      </c>
      <c r="CM182" s="3110">
        <f>0</f>
        <v>0</v>
      </c>
      <c r="CN182" s="3110">
        <f>0</f>
        <v>0</v>
      </c>
      <c r="CO182" s="3110">
        <f>0</f>
        <v>0</v>
      </c>
      <c r="CP182" s="3110">
        <f>0</f>
        <v>0</v>
      </c>
      <c r="CQ182" s="3110">
        <f>0</f>
        <v>0</v>
      </c>
      <c r="CR182" s="3110">
        <f>0</f>
        <v>0</v>
      </c>
      <c r="CS182" s="3110">
        <f>0</f>
        <v>0</v>
      </c>
      <c r="CT182" s="3110">
        <f>0</f>
        <v>0</v>
      </c>
      <c r="CU182" s="3110">
        <f>0</f>
        <v>0</v>
      </c>
      <c r="CV182" s="3222">
        <f>b_STC_T*η_bSTC_anox*X_CASTO*M_inhSO2_KO2_CASTO*M_satSNO3_KNO3_CASTO*M_inhSNO2_KNO2_CASTO*M_RsatXSTC_XCASTO_KSTC</f>
        <v>5.8011176405075908E-2</v>
      </c>
      <c r="CX182" s="2838">
        <f>E287*E182+F287*F182+G287*G182+H287*H182+I287*I182+J287*J182+K287*K182+L287*L182+M287*M182+N287*N182+O287*O182+P287*P182+Q287*Q182+R287*R182+S287*S182+T287*T182+U287*U182+V287*V182+W287*W182+X287*X182+Y287*Y182+Z287*Z182+AA287*AA182+AB287*AB182+AC287*AC182+AD287*AD182+AE287*AE182+AF287*AF182+AG287*AG182+AH287*AH182+AI287*AI182+AJ287*AJ182+AK287*AK182+AL287*AL182+AM287*AM182+AN287*AN182+AO287*AO182+AP287*AP182+AQ287*AQ182+AR287*AR182+AS287*AS182+AT287*AT182+AU287*AU182+AV287*AV182+AW287*AW182+AX287*AX182+AY287*AY182+AZ287*AZ182+BA287*BA182+BB287*BB182+BC287*BC182+BD287*BD182+BE287*BE182+BF287*BF182+BG287*BG182+BH287*BH182+BI287*BI182+BJ287*BJ182+BK287*BK182+BL287*BL182+BM287*BM182+BN287*BN182+BO287*BO182+BP287*BP182+BQ287*BQ182+BR287*BR182+BS287*BS182+BT287*BT182+BU287*BU182+BV287*BV182+BW287*BW182+BX287*BX182+BY287*BY182+BZ287*BZ182+CA287*CA182+CB287*CB182+CC287*CC182+CD287*CD182+CE287*CE182+CF287*CF182+CG287*CG182+CH287*CH182+CI287*CI182+CJ287*CJ182+CK287*CK182+CL287*CL182+CM287*CM182+CN287*CN182+CO287*CO182+CP287*CP182+CQ287*CQ182+CR287*CR182+CS287*CS182+CT287*CT182+CU287*CU182</f>
        <v>0</v>
      </c>
      <c r="CY182" s="2838">
        <f>E288*E182+F288*F182+G288*G182+H288*H182+I288*I182+J288*J182+K288*K182+L288*L182+M288*M182+N288*N182+O288*O182+P288*P182+Q288*Q182+R288*R182+S288*S182+T288*T182+U288*U182+V288*V182+W288*W182+X288*X182+Y288*Y182+Z288*Z182+AA288*AA182+AB288*AB182+AC288*AC182+AD288*AD182+AE288*AE182+AF288*AF182+AG288*AG182+AH288*AH182+AI288*AI182+AJ288*AJ182+AK288*AK182+AL288*AL182+AM288*AM182+AN288*AN182+AO288*AO182+AP288*AP182+AQ288*AQ182+AR288*AR182+AS288*AS182+AT288*AT182+AU288*AU182+AV288*AV182+AW288*AW182+AX288*AX182+AY288*AY182+AZ288*AZ182+BA288*BA182+BB288*BB182+BC288*BC182+BD288*BD182+BE288*BE182+BF288*BF182+BG288*BG182+BH288*BH182+BI288*BI182+BJ288*BJ182+BK288*BK182+BL288*BL182+BM288*BM182+BN288*BN182+BO288*BO182+BP288*BP182+BQ288*BQ182+BR288*BR182+BS288*BS182+BT288*BT182+BU288*BU182+BV288*BV182+BW288*BW182+BX288*BX182+BY288*BY182+BZ288*BZ182+CA288*CA182+CB288*CB182+CC288*CC182+CD288*CD182+CE288*CE182+CF288*CF182+CG288*CG182+CH288*CH182+CI288*CI182+CJ288*CJ182+CK288*CK182+CL288*CL182+CM288*CM182+CN288*CN182+CO288*CO182+CP288*CP182+CQ288*CQ182+CR288*CR182+CS288*CS182+CT288*CT182+CU288*CU182</f>
        <v>0</v>
      </c>
      <c r="CZ182" s="2839">
        <f>E289*E182+F289*F182+G289*G182+H289*H182+I289*I182+J289*J182+K289*K182+L289*L182+M289*M182+N289*N182+O289*O182+P289*P182+Q289*Q182+R289*R182+S289*S182+T289*T182+U289*U182+V289*V182+W289*W182+X289*X182+Y289*Y182+Z289*Z182+AA289*AA182+AB289*AB182+AC289*AC182+AD289*AD182+AE289*AE182+AF289*AF182+AG289*AG182+AH289*AH182+AI289*AI182+AJ289*AJ182+AK289*AK182+AL289*AL182+AM289*AM182+AN289*AN182+AO289*AO182+AP289*AP182+AQ289*AQ182+AR289*AR182+AS289*AS182+AT289*AT182+AU289*AU182+AV289*AV182+AW289*AW182+AX289*AX182+AY289*AY182+AZ289*AZ182+BA289*BA182+BB289*BB182+BC289*BC182+BD289*BD182+BE289*BE182+BF289*BF182+BG289*BG182+BH289*BH182+BI289*BI182+BJ289*BJ182+BK289*BK182+BL289*BL182+BM289*BM182+BN289*BN182+BO289*BO182+BP289*BP182+BQ289*BQ182+BR289*BR182+BS289*BS182+BT289*BT182+BU289*BU182+BV289*BV182+BW289*BW182+BX289*BX182+BY289*BY182+BZ289*BZ182+CA289*CA182+CB289*CB182+CC289*CC182+CD289*CD182+CE289*CE182+CF289*CF182+CG289*CG182+CH289*CH182+CI289*CI182+CJ289*CJ182+CK289*CK182+CL289*CL182+CM289*CM182+CN289*CN182+CO289*CO182+CP289*CP182+CQ289*CQ182+CR289*CR182+CS289*CS182+CT289*CT182+CU289*CU182</f>
        <v>0</v>
      </c>
      <c r="DA182" s="2840">
        <f>E290*E182+F290*F182+G290*G182+H290*H182+I290*I182+J290*J182+K290*K182+L290*L182+M290*M182+N290*N182+O290*O182+P290*P182+Q290*Q182+R290*R182+S290*S182+T290*T182+U290*U182+V290*V182+W290*W182+X290*X182+Y290*Y182+Z290*Z182+AA290*AA182+AB290*AB182+AC290*AC182+AD290*AD182+AE290*AE182+AF290*AF182+AG290*AG182+AH290*AH182+AI290*AI182+AJ290*AJ182+AK290*AK182+AL290*AL182+AM290*AM182+AN290*AN182+AO290*AO182+AP290*AP182+AQ290*AQ182+AR290*AR182+AS290*AS182+AT290*AT182+AU290*AU182+AV290*AV182+AW290*AW182+AX290*AX182+AY290*AY182+AZ290*AZ182+BA290*BA182+BB290*BB182+BC290*BC182+BD290*BD182+BE290*BE182+BF290*BF182+BG290*BG182+BH290*BH182+BI290*BI182+BJ290*BJ182+BK290*BK182+BL290*BL182+BM290*BM182+BN290*BN182+BO290*BO182+BP290*BP182+BQ290*BQ182+BR290*BR182+BS290*BS182+BT290*BT182+BU290*BU182+BV290*BV182+BW290*BW182+BX290*BX182+BY290*BY182+BZ290*BZ182+CA290*CA182+CB290*CB182+CC290*CC182+CD290*CD182+CE290*CE182+CF290*CF182+CG290*CG182+CH290*CH182+CI290*CI182+CJ290*CJ182+CK290*CK182+CL290*CL182+CM290*CM182+CN290*CN182+CO290*CO182+CP290*CP182+CQ290*CQ182+CR290*CR182+CS290*CS182+CT290*CT182+CU290*CU182</f>
        <v>0</v>
      </c>
      <c r="DB182" s="2840">
        <f>E291*E182+F291*F182+G291*G182+H291*H182+I291*I182+J291*J182+K291*K182+L291*L182+M291*M182+N291*N182+O291*O182+P291*P182+Q291*Q182+R291*R182+S291*S182+T291*T182+U291*U182+V291*V182+W291*W182+X291*X182+Y291*Y182+Z291*Z182+AA291*AA182+AB291*AB182+AC291*AC182+AD291*AD182+AE291*AE182+AF291*AF182+AG291*AG182+AH291*AH182+AI291*AI182+AJ291*AJ182+AK291*AK182+AL291*AL182+AM291*AM182+AN291*AN182+AO291*AO182+AP291*AP182+AQ291*AQ182+AR291*AR182+AS291*AS182+AT291*AT182+AU291*AU182+AV291*AV182+AW291*AW182+AX291*AX182+AY291*AY182+AZ291*AZ182+BA291*BA182+BB291*BB182+BC291*BC182+BD291*BD182+BE291*BE182+BF291*BF182+BG291*BG182+BH291*BH182+BI291*BI182+BJ291*BJ182+BK291*BK182+BL291*BL182+BM291*BM182+BN291*BN182+BO291*BO182+BP291*BP182+BQ291*BQ182+BR291*BR182+BS291*BS182+BT291*BT182+BU291*BU182+BV291*BV182+BW291*BW182+BX291*BX182+BY291*BY182+BZ291*BZ182+CA291*CA182+CB291*CB182+CC291*CC182+CD291*CD182+CE291*CE182+CF291*CF182+CG291*CG182+CH291*CH182+CI291*CI182+CJ291*CJ182+CK291*CK182+CL291*CL182+CM291*CM182+CN291*CN182+CO291*CO182+CP291*CP182+CQ291*CQ182+CR291*CR182+CS291*CS182+CT291*CT182+CU291*CU182</f>
        <v>0</v>
      </c>
      <c r="DC182" s="2840">
        <f>E292*E182+F292*F182+G292*G182+H292*H182+I292*I182+J292*J182+K292*K182+L292*L182+M292*M182+N292*N182+O292*O182+P292*P182+Q292*Q182+R292*R182+S292*S182+T292*T182+U292*U182+V292*V182+W292*W182+X292*X182+Y292*Y182+Z292*Z182+AA292*AA182+AB292*AB182+AC292*AC182+AD292*AD182+AE292*AE182+AF292*AF182+AG292*AG182+AH292*AH182+AI292*AI182+AJ292*AJ182+AK292*AK182+AL292*AL182+AM292*AM182+AN292*AN182+AO292*AO182+AP292*AP182+AQ292*AQ182+AR292*AR182+AS292*AS182+AT292*AT182+AU292*AU182+AV292*AV182+AW292*AW182+AX292*AX182+AY292*AY182+AZ292*AZ182+BA292*BA182+BB292*BB182+BC292*BC182+BD292*BD182+BE292*BE182+BF292*BF182+BG292*BG182+BH292*BH182+BI292*BI182+BJ292*BJ182+BK292*BK182+BL292*BL182+BM292*BM182+BN292*BN182+BO292*BO182+BP292*BP182+BQ292*BQ182+BR292*BR182+BS292*BS182+BT292*BT182+BU292*BU182+BV292*BV182+BW292*BW182+BX292*BX182+BY292*BY182+BZ292*BZ182+CA292*CA182+CB292*CB182+CC292*CC182+CD292*CD182+CE292*CE182+CF292*CF182+CG292*CG182+CH292*CH182+CI292*CI182+CJ292*CJ182+CK292*CK182+CL292*CL182+CM292*CM182+CN292*CN182+CO292*CO182+CP292*CP182+CQ292*CQ182+CR292*CR182+CS292*CS182+CT292*CT182+CU292*CU182</f>
        <v>0</v>
      </c>
      <c r="DD182" s="2840">
        <f>E293*E182+F293*F182+G293*G182+H293*H182+I293*I182+J293*J182+K293*K182+L293*L182+M293*M182+N293*N182+O293*O182+P293*P182+Q293*Q182+R293*R182+S293*S182+T293*T182+U293*U182+V293*V182+W293*W182+X293*X182+Y293*Y182+Z293*Z182+AA293*AA182+AB293*AB182+AC293*AC182+AD293*AD182+AE293*AE182+AF293*AF182+AG293*AG182+AH293*AH182+AI293*AI182+AJ293*AJ182+AK293*AK182+AL293*AL182+AM293*AM182+AN293*AN182+AO293*AO182+AP293*AP182+AQ293*AQ182+AR293*AR182+AS293*AS182+AT293*AT182+AU293*AU182+AV293*AV182+AW293*AW182+AX293*AX182+AY293*AY182+AZ293*AZ182+BA293*BA182+BB293*BB182+BC293*BC182+BD293*BD182+BE293*BE182+BF293*BF182+BG293*BG182+BH293*BH182+BI293*BI182+BJ293*BJ182+BK293*BK182+BL293*BL182+BM293*BM182+BN293*BN182+BO293*BO182+BP293*BP182+BQ293*BQ182+BR293*BR182+BS293*BS182+BT293*BT182+BU293*BU182+BV293*BV182+BW293*BW182+BX293*BX182+BY293*BY182+BZ293*BZ182+CA293*CA182+CB293*CB182+CC293*CC182+CD293*CD182+CE293*CE182+CF293*CF182+CG293*CG182+CH293*CH182+CI293*CI182+CJ293*CJ182+CK293*CK182+CL293*CL182+CM293*CM182+CN293*CN182+CO293*CO182+CP293*CP182+CQ293*CQ182+CR293*CR182+CS293*CS182+CT293*CT182+CU293*CU182</f>
        <v>0</v>
      </c>
      <c r="DE182" s="2840">
        <f>E294*E182+F294*F182+G294*G182+H294*H182+I294*I182+J294*J182+K294*K182+L294*L182+M294*M182+N294*N182+O294*O182+P294*P182+Q294*Q182+R294*R182+S294*S182+T294*T182+U294*U182+V294*V182+W294*W182+X294*X182+Y294*Y182+Z294*Z182+AA294*AA182+AB294*AB182+AC294*AC182+AD294*AD182+AE294*AE182+AF294*AF182+AG294*AG182+AH294*AH182+AI294*AI182+AJ294*AJ182+AK294*AK182+AL294*AL182+AM294*AM182+AN294*AN182+AO294*AO182+AP294*AP182+AQ294*AQ182+AR294*AR182+AS294*AS182+AT294*AT182+AU294*AU182+AV294*AV182+AW294*AW182+AX294*AX182+AY294*AY182+AZ294*AZ182+BA294*BA182+BB294*BB182+BC294*BC182+BD294*BD182+BE294*BE182+BF294*BF182+BG294*BG182+BH294*BH182+BI294*BI182+BJ294*BJ182+BK294*BK182+BL294*BL182+BM294*BM182+BN294*BN182+BO294*BO182+BP294*BP182+BQ294*BQ182+BR294*BR182+BS294*BS182+BT294*BT182+BU294*BU182+BV294*BV182+BW294*BW182+BX294*BX182+BY294*BY182+BZ294*BZ182+CA294*CA182+CB294*CB182+CC294*CC182+CD294*CD182+CE294*CE182+CF294*CF182+CG294*CG182+CH294*CH182+CI294*CI182+CJ294*CJ182+CK294*CK182+CL294*CL182+CM294*CM182+CN294*CN182+CO294*CO182+CP294*CP182+CQ294*CQ182+CR294*CR182+CS294*CS182+CT294*CT182+CU294*CU182</f>
        <v>0</v>
      </c>
      <c r="DF182" s="2840">
        <f>E295*E182+F295*F182+G295*G182+H295*H182+I295*I182+J295*J182+K295*K182+L295*L182+M295*M182+N295*N182+O295*O182+P295*P182+Q295*Q182+R295*R182+S295*S182+T295*T182+U295*U182+V295*V182+W295*W182+X295*X182+Y295*Y182+Z295*Z182+AA295*AA182+AB295*AB182+AC295*AC182+AD295*AD182+AE295*AE182+AF295*AF182+AG295*AG182+AH295*AH182+AI295*AI182+AJ295*AJ182+AK295*AK182+AL295*AL182+AM295*AM182+AN295*AN182+AO295*AO182+AP295*AP182+AQ295*AQ182+AR295*AR182+AS295*AS182+AT295*AT182+AU295*AU182+AV295*AV182+AW295*AW182+AX295*AX182+AY295*AY182+AZ295*AZ182+BA295*BA182+BB295*BB182+BC295*BC182+BD295*BD182+BE295*BE182+BF295*BF182+BG295*BG182+BH295*BH182+BI295*BI182+BJ295*BJ182+BK295*BK182+BL295*BL182+BM295*BM182+BN295*BN182+BO295*BO182+BP295*BP182+BQ295*BQ182+BR295*BR182+BS295*BS182+BT295*BT182+BU295*BU182+BV295*BV182+BW295*BW182+BX295*BX182+BY295*BY182+BZ295*BZ182+CA295*CA182+CB295*CB182+CC295*CC182+CD295*CD182+CE295*CE182+CF295*CF182+CG295*CG182+CH295*CH182+CI295*CI182+CJ295*CJ182+CK295*CK182+CL295*CL182+CM295*CM182+CN295*CN182+CO295*CO182+CP295*CP182+CQ295*CQ182+CR295*CR182+CS295*CS182+CT295*CT182+CU295*CU182</f>
        <v>0</v>
      </c>
      <c r="DG182" s="2840">
        <f>E296*E182+F296*F182+G296*G182+H296*H182+I296*I182+J296*J182+K296*K182+L296*L182+M296*M182+N296*N182+O296*O182+P296*P182+Q296*Q182+R296*R182+S296*S182+T296*T182+U296*U182+V296*V182+W296*W182+X296*X182+Y296*Y182+Z296*Z182+AA296*AA182+AB296*AB182+AC296*AC182+AD296*AD182+AE296*AE182+AF296*AF182+AG296*AG182+AH296*AH182+AI296*AI182+AJ296*AJ182+AK296*AK182+AL296*AL182+AM296*AM182+AN296*AN182+AO296*AO182+AP296*AP182+AQ296*AQ182+AR296*AR182+AS296*AS182+AT296*AT182+AU296*AU182+AV296*AV182+AW296*AW182+AX296*AX182+AY296*AY182+AZ296*AZ182+BA296*BA182+BB296*BB182+BC296*BC182+BD296*BD182+BE296*BE182+BF296*BF182+BG296*BG182+BH296*BH182+BI296*BI182+BJ296*BJ182+BK296*BK182+BL296*BL182+BM296*BM182+BN296*BN182+BO296*BO182+BP296*BP182+BQ296*BQ182+BR296*BR182+BS296*BS182+BT296*BT182+BU296*BU182+BV296*BV182+BW296*BW182+BX296*BX182+BY296*BY182+BZ296*BZ182+CA296*CA182+CB296*CB182+CC296*CC182+CD296*CD182+CE296*CE182+CF296*CF182+CG296*CG182+CH296*CH182+CI296*CI182+CJ296*CJ182+CK296*CK182+CL296*CL182+CM296*CM182+CN296*CN182+CO296*CO182+CP296*CP182+CQ296*CQ182+CR296*CR182+CS296*CS182+CT296*CT182+CU296*CU182</f>
        <v>0</v>
      </c>
      <c r="DH182" s="2840">
        <f>E297*E182+F297*F182+G297*G182+H297*H182+I297*I182+J297*J182+K297*K182+L297*L182+M297*M182+N297*N182+O297*O182+P297*P182+Q297*Q182+R297*R182+S297*S182+T297*T182+U297*U182+V297*V182+W297*W182+X297*X182+Y297*Y182+Z297*Z182+AA297*AA182+AB297*AB182+AC297*AC182+AD297*AD182+AE297*AE182+AF297*AF182+AG297*AG182+AH297*AH182+AI297*AI182+AJ297*AJ182+AK297*AK182+AL297*AL182+AM297*AM182+AN297*AN182+AO297*AO182+AP297*AP182+AQ297*AQ182+AR297*AR182+AS297*AS182+AT297*AT182+AU297*AU182+AV297*AV182+AW297*AW182+AX297*AX182+AY297*AY182+AZ297*AZ182+BA297*BA182+BB297*BB182+BC297*BC182+BD297*BD182+BE297*BE182+BF297*BF182+BG297*BG182+BH297*BH182+BI297*BI182+BJ297*BJ182+BK297*BK182+BL297*BL182+BM297*BM182+BN297*BN182+BO297*BO182+BP297*BP182+BQ297*BQ182+BR297*BR182+BS297*BS182+BT297*BT182+BU297*BU182+BV297*BV182+BW297*BW182+BX297*BX182+BY297*BY182+BZ297*BZ182+CA297*CA182+CB297*CB182+CC297*CC182+CD297*CD182+CE297*CE182+CF297*CF182+CG297*CG182+CH297*CH182+CI297*CI182+CJ297*CJ182+CK297*CK182+CL297*CL182+CM297*CM182+CN297*CN182+CO297*CO182+CP297*CP182+CQ297*CQ182+CR297*CR182+CS297*CS182+CT297*CT182+CU297*CU182</f>
        <v>0</v>
      </c>
      <c r="DI182" s="2840">
        <f>E298*E182+F298*F182+G298*G182+H298*H182+I298*I182+J298*J182+K298*K182+L298*L182+M298*M182+N298*N182+O298*O182+P298*P182+Q298*Q182+R298*R182+S298*S182+T298*T182+U298*U182+V298*V182+W298*W182+X298*X182+Y298*Y182+Z298*Z182+AA298*AA182+AB298*AB182+AC298*AC182+AD298*AD182+AE298*AE182+AF298*AF182+AG298*AG182+AH298*AH182+AI298*AI182+AJ298*AJ182+AK298*AK182+AL298*AL182+AM298*AM182+AN298*AN182+AO298*AO182+AP298*AP182+AQ298*AQ182+AR298*AR182+AS298*AS182+AT298*AT182+AU298*AU182+AV298*AV182+AW298*AW182+AX298*AX182+AY298*AY182+AZ298*AZ182+BA298*BA182+BB298*BB182+BC298*BC182+BD298*BD182+BE298*BE182+BF298*BF182+BG298*BG182+BH298*BH182+BI298*BI182+BJ298*BJ182+BK298*BK182+BL298*BL182+BM298*BM182+BN298*BN182+BO298*BO182+BP298*BP182+BQ298*BQ182+BR298*BR182+BS298*BS182+BT298*BT182+BU298*BU182+BV298*BV182+BW298*BW182+BX298*BX182+BY298*BY182+BZ298*BZ182+CA298*CA182+CB298*CB182+CC298*CC182+CD298*CD182+CE298*CE182+CF298*CF182+CG298*CG182+CH298*CH182+CI298*CI182+CJ298*CJ182+CK298*CK182+CL298*CL182+CM298*CM182+CN298*CN182+CO298*CO182+CP298*CP182+CQ298*CQ182+CR298*CR182+CS298*CS182+CT298*CT182+CU298*CU182</f>
        <v>0</v>
      </c>
    </row>
    <row r="183" spans="2:113" ht="18" x14ac:dyDescent="0.25">
      <c r="B183" s="2489">
        <v>30</v>
      </c>
      <c r="C183" s="2406" t="s">
        <v>1360</v>
      </c>
      <c r="D183" s="2407" t="s">
        <v>2186</v>
      </c>
      <c r="E183" s="3110">
        <f>1</f>
        <v>1</v>
      </c>
      <c r="F183" s="3110">
        <f>0</f>
        <v>0</v>
      </c>
      <c r="G183" s="3110">
        <f>0</f>
        <v>0</v>
      </c>
      <c r="H183" s="3110">
        <f>0</f>
        <v>0</v>
      </c>
      <c r="I183" s="3110">
        <f>0</f>
        <v>0</v>
      </c>
      <c r="J183" s="3110">
        <f>0</f>
        <v>0</v>
      </c>
      <c r="K183" s="3110">
        <f>0</f>
        <v>0</v>
      </c>
      <c r="L183" s="3110">
        <f>0</f>
        <v>0</v>
      </c>
      <c r="M183" s="3110">
        <f>0</f>
        <v>0</v>
      </c>
      <c r="N183" s="3110">
        <f>0</f>
        <v>0</v>
      </c>
      <c r="O183" s="3110">
        <f>-1</f>
        <v>-1</v>
      </c>
      <c r="P183" s="3110">
        <f>0</f>
        <v>0</v>
      </c>
      <c r="Q183" s="3110">
        <f>0</f>
        <v>0</v>
      </c>
      <c r="R183" s="3110">
        <f>0</f>
        <v>0</v>
      </c>
      <c r="S183" s="3110">
        <f>0</f>
        <v>0</v>
      </c>
      <c r="T183" s="3110">
        <f>0</f>
        <v>0</v>
      </c>
      <c r="U183" s="3110">
        <f>0</f>
        <v>0</v>
      </c>
      <c r="V183" s="3110">
        <f>0</f>
        <v>0</v>
      </c>
      <c r="W183" s="3110">
        <f>0</f>
        <v>0</v>
      </c>
      <c r="X183" s="3110">
        <f>0</f>
        <v>0</v>
      </c>
      <c r="Y183" s="3110">
        <f>0</f>
        <v>0</v>
      </c>
      <c r="Z183" s="3110">
        <f>0</f>
        <v>0</v>
      </c>
      <c r="AA183" s="3110">
        <f>0</f>
        <v>0</v>
      </c>
      <c r="AB183" s="3110">
        <f>0</f>
        <v>0</v>
      </c>
      <c r="AC183" s="3110">
        <f>0</f>
        <v>0</v>
      </c>
      <c r="AD183" s="3110">
        <f>0</f>
        <v>0</v>
      </c>
      <c r="AE183" s="3112">
        <f>0</f>
        <v>0</v>
      </c>
      <c r="AF183" s="3112">
        <f>0</f>
        <v>0</v>
      </c>
      <c r="AG183" s="3112">
        <f>0</f>
        <v>0</v>
      </c>
      <c r="AH183" s="3110">
        <f>0</f>
        <v>0</v>
      </c>
      <c r="AI183" s="3110">
        <f>0</f>
        <v>0</v>
      </c>
      <c r="AJ183" s="3110">
        <f>0</f>
        <v>0</v>
      </c>
      <c r="AK183" s="3110">
        <f>0</f>
        <v>0</v>
      </c>
      <c r="AL183" s="3110">
        <f>0</f>
        <v>0</v>
      </c>
      <c r="AM183" s="3112">
        <f>0</f>
        <v>0</v>
      </c>
      <c r="AN183" s="3110">
        <f>0</f>
        <v>0</v>
      </c>
      <c r="AO183" s="3110">
        <f>0</f>
        <v>0</v>
      </c>
      <c r="AP183" s="3110">
        <f>0</f>
        <v>0</v>
      </c>
      <c r="AQ183" s="3110">
        <f>0</f>
        <v>0</v>
      </c>
      <c r="AR183" s="3110">
        <f>0</f>
        <v>0</v>
      </c>
      <c r="AS183" s="3110">
        <f>0</f>
        <v>0</v>
      </c>
      <c r="AT183" s="3110">
        <f>0</f>
        <v>0</v>
      </c>
      <c r="AU183" s="3216">
        <f>i_CIT_PHA-i_CIT_VFA</f>
        <v>-4.1999999999999982E-2</v>
      </c>
      <c r="AV183" s="3112">
        <f>0</f>
        <v>0</v>
      </c>
      <c r="AW183" s="3112">
        <f>0</f>
        <v>0</v>
      </c>
      <c r="AX183" s="3112">
        <f>0</f>
        <v>0</v>
      </c>
      <c r="AY183" s="3112">
        <f>0</f>
        <v>0</v>
      </c>
      <c r="AZ183" s="3112">
        <f>0</f>
        <v>0</v>
      </c>
      <c r="BA183" s="3112">
        <f>0</f>
        <v>0</v>
      </c>
      <c r="BB183" s="3112">
        <f>0</f>
        <v>0</v>
      </c>
      <c r="BC183" s="3112">
        <f>0</f>
        <v>0</v>
      </c>
      <c r="BD183" s="3112">
        <f>0</f>
        <v>0</v>
      </c>
      <c r="BE183" s="3110">
        <f>0</f>
        <v>0</v>
      </c>
      <c r="BF183" s="3110">
        <f>0</f>
        <v>0</v>
      </c>
      <c r="BG183" s="3110">
        <f>0</f>
        <v>0</v>
      </c>
      <c r="BH183" s="3110">
        <f>0</f>
        <v>0</v>
      </c>
      <c r="BI183" s="3110">
        <f>0</f>
        <v>0</v>
      </c>
      <c r="BJ183" s="3110">
        <f>0</f>
        <v>0</v>
      </c>
      <c r="BK183" s="3110">
        <f>0</f>
        <v>0</v>
      </c>
      <c r="BL183" s="3110">
        <f>0</f>
        <v>0</v>
      </c>
      <c r="BM183" s="3110">
        <f>0</f>
        <v>0</v>
      </c>
      <c r="BN183" s="3110">
        <f>0</f>
        <v>0</v>
      </c>
      <c r="BO183" s="3110">
        <f>0</f>
        <v>0</v>
      </c>
      <c r="BP183" s="3110">
        <f>0</f>
        <v>0</v>
      </c>
      <c r="BQ183" s="3110">
        <f>0</f>
        <v>0</v>
      </c>
      <c r="BR183" s="3110">
        <f>0</f>
        <v>0</v>
      </c>
      <c r="BS183" s="3110">
        <f>0</f>
        <v>0</v>
      </c>
      <c r="BT183" s="3110">
        <f>0</f>
        <v>0</v>
      </c>
      <c r="BU183" s="3110">
        <f>0</f>
        <v>0</v>
      </c>
      <c r="BV183" s="3110">
        <f>0</f>
        <v>0</v>
      </c>
      <c r="BW183" s="3110">
        <f>0</f>
        <v>0</v>
      </c>
      <c r="BX183" s="3110">
        <f>0</f>
        <v>0</v>
      </c>
      <c r="BY183" s="3110">
        <f>0</f>
        <v>0</v>
      </c>
      <c r="BZ183" s="3176">
        <f>0</f>
        <v>0</v>
      </c>
      <c r="CA183" s="3176">
        <f>0</f>
        <v>0</v>
      </c>
      <c r="CB183" s="3176">
        <f>0</f>
        <v>0</v>
      </c>
      <c r="CC183" s="3176">
        <f>0</f>
        <v>0</v>
      </c>
      <c r="CD183" s="3110">
        <f>0</f>
        <v>0</v>
      </c>
      <c r="CE183" s="3110">
        <f>0</f>
        <v>0</v>
      </c>
      <c r="CF183" s="3110">
        <f>0</f>
        <v>0</v>
      </c>
      <c r="CG183" s="3110">
        <f>0</f>
        <v>0</v>
      </c>
      <c r="CH183" s="3110">
        <f>0</f>
        <v>0</v>
      </c>
      <c r="CI183" s="3110">
        <f>0</f>
        <v>0</v>
      </c>
      <c r="CJ183" s="3110">
        <f>0</f>
        <v>0</v>
      </c>
      <c r="CK183" s="3110">
        <f>0</f>
        <v>0</v>
      </c>
      <c r="CL183" s="3110">
        <f>0</f>
        <v>0</v>
      </c>
      <c r="CM183" s="3110">
        <f>0</f>
        <v>0</v>
      </c>
      <c r="CN183" s="3110">
        <f>0</f>
        <v>0</v>
      </c>
      <c r="CO183" s="3110">
        <f>0</f>
        <v>0</v>
      </c>
      <c r="CP183" s="3110">
        <f>0</f>
        <v>0</v>
      </c>
      <c r="CQ183" s="3110">
        <f>0</f>
        <v>0</v>
      </c>
      <c r="CR183" s="3110">
        <f>0</f>
        <v>0</v>
      </c>
      <c r="CS183" s="3110">
        <f>0</f>
        <v>0</v>
      </c>
      <c r="CT183" s="3110">
        <f>0</f>
        <v>0</v>
      </c>
      <c r="CU183" s="3110">
        <f>0</f>
        <v>0</v>
      </c>
      <c r="CV183" s="3222">
        <f>b_STC_T*η_bPHA_ana*X_GAO*M_inhSO2_KO2_CASTO*M_inhSNO3_KNO3_CASTO*M_inhSNO2_KNO2_CASTO*M_RsatXPHA_XGAO_KPHA</f>
        <v>3.4871672246134239E-5</v>
      </c>
      <c r="CX183" s="2838">
        <f>E287*E183+F287*F183+G287*G183+H287*H183+I287*I183+J287*J183+K287*K183+L287*L183+M287*M183+N287*N183+O287*O183+P287*P183+Q287*Q183+R287*R183+S287*S183+T287*T183+U287*U183+V287*V183+W287*W183+X287*X183+Y287*Y183+Z287*Z183+AA287*AA183+AB287*AB183+AC287*AC183+AD287*AD183+AE287*AE183+AF287*AF183+AG287*AG183+AH287*AH183+AI287*AI183+AJ287*AJ183+AK287*AK183+AL287*AL183+AM287*AM183+AN287*AN183+AO287*AO183+AP287*AP183+AQ287*AQ183+AR287*AR183+AS287*AS183+AT287*AT183+AU287*AU183+AV287*AV183+AW287*AW183+AX287*AX183+AY287*AY183+AZ287*AZ183+BA287*BA183+BB287*BB183+BC287*BC183+BD287*BD183+BE287*BE183+BF287*BF183+BG287*BG183+BH287*BH183+BI287*BI183+BJ287*BJ183+BK287*BK183+BL287*BL183+BM287*BM183+BN287*BN183+BO287*BO183+BP287*BP183+BQ287*BQ183+BR287*BR183+BS287*BS183+BT287*BT183+BU287*BU183+BV287*BV183+BW287*BW183+BX287*BX183+BY287*BY183+BZ287*BZ183+CA287*CA183+CB287*CB183+CC287*CC183+CD287*CD183+CE287*CE183+CF287*CF183+CG287*CG183+CH287*CH183+CI287*CI183+CJ287*CJ183+CK287*CK183+CL287*CL183+CM287*CM183+CN287*CN183+CO287*CO183+CP287*CP183+CQ287*CQ183+CR287*CR183+CS287*CS183+CT287*CT183+CU287*CU183</f>
        <v>0</v>
      </c>
      <c r="CY183" s="2838">
        <f>E288*E183+F288*F183+G288*G183+H288*H183+I288*I183+J288*J183+K288*K183+L288*L183+M288*M183+N288*N183+O288*O183+P288*P183+Q288*Q183+R288*R183+S288*S183+T288*T183+U288*U183+V288*V183+W288*W183+X288*X183+Y288*Y183+Z288*Z183+AA288*AA183+AB288*AB183+AC288*AC183+AD288*AD183+AE288*AE183+AF288*AF183+AG288*AG183+AH288*AH183+AI288*AI183+AJ288*AJ183+AK288*AK183+AL288*AL183+AM288*AM183+AN288*AN183+AO288*AO183+AP288*AP183+AQ288*AQ183+AR288*AR183+AS288*AS183+AT288*AT183+AU288*AU183+AV288*AV183+AW288*AW183+AX288*AX183+AY288*AY183+AZ288*AZ183+BA288*BA183+BB288*BB183+BC288*BC183+BD288*BD183+BE288*BE183+BF288*BF183+BG288*BG183+BH288*BH183+BI288*BI183+BJ288*BJ183+BK288*BK183+BL288*BL183+BM288*BM183+BN288*BN183+BO288*BO183+BP288*BP183+BQ288*BQ183+BR288*BR183+BS288*BS183+BT288*BT183+BU288*BU183+BV288*BV183+BW288*BW183+BX288*BX183+BY288*BY183+BZ288*BZ183+CA288*CA183+CB288*CB183+CC288*CC183+CD288*CD183+CE288*CE183+CF288*CF183+CG288*CG183+CH288*CH183+CI288*CI183+CJ288*CJ183+CK288*CK183+CL288*CL183+CM288*CM183+CN288*CN183+CO288*CO183+CP288*CP183+CQ288*CQ183+CR288*CR183+CS288*CS183+CT288*CT183+CU288*CU183</f>
        <v>0</v>
      </c>
      <c r="CZ183" s="2839">
        <f>E289*E183+F289*F183+G289*G183+H289*H183+I289*I183+J289*J183+K289*K183+L289*L183+M289*M183+N289*N183+O289*O183+P289*P183+Q289*Q183+R289*R183+S289*S183+T289*T183+U289*U183+V289*V183+W289*W183+X289*X183+Y289*Y183+Z289*Z183+AA289*AA183+AB289*AB183+AC289*AC183+AD289*AD183+AE289*AE183+AF289*AF183+AG289*AG183+AH289*AH183+AI289*AI183+AJ289*AJ183+AK289*AK183+AL289*AL183+AM289*AM183+AN289*AN183+AO289*AO183+AP289*AP183+AQ289*AQ183+AR289*AR183+AS289*AS183+AT289*AT183+AU289*AU183+AV289*AV183+AW289*AW183+AX289*AX183+AY289*AY183+AZ289*AZ183+BA289*BA183+BB289*BB183+BC289*BC183+BD289*BD183+BE289*BE183+BF289*BF183+BG289*BG183+BH289*BH183+BI289*BI183+BJ289*BJ183+BK289*BK183+BL289*BL183+BM289*BM183+BN289*BN183+BO289*BO183+BP289*BP183+BQ289*BQ183+BR289*BR183+BS289*BS183+BT289*BT183+BU289*BU183+BV289*BV183+BW289*BW183+BX289*BX183+BY289*BY183+BZ289*BZ183+CA289*CA183+CB289*CB183+CC289*CC183+CD289*CD183+CE289*CE183+CF289*CF183+CG289*CG183+CH289*CH183+CI289*CI183+CJ289*CJ183+CK289*CK183+CL289*CL183+CM289*CM183+CN289*CN183+CO289*CO183+CP289*CP183+CQ289*CQ183+CR289*CR183+CS289*CS183+CT289*CT183+CU289*CU183</f>
        <v>0</v>
      </c>
      <c r="DA183" s="2840">
        <f>E290*E183+F290*F183+G290*G183+H290*H183+I290*I183+J290*J183+K290*K183+L290*L183+M290*M183+N290*N183+O290*O183+P290*P183+Q290*Q183+R290*R183+S290*S183+T290*T183+U290*U183+V290*V183+W290*W183+X290*X183+Y290*Y183+Z290*Z183+AA290*AA183+AB290*AB183+AC290*AC183+AD290*AD183+AE290*AE183+AF290*AF183+AG290*AG183+AH290*AH183+AI290*AI183+AJ290*AJ183+AK290*AK183+AL290*AL183+AM290*AM183+AN290*AN183+AO290*AO183+AP290*AP183+AQ290*AQ183+AR290*AR183+AS290*AS183+AT290*AT183+AU290*AU183+AV290*AV183+AW290*AW183+AX290*AX183+AY290*AY183+AZ290*AZ183+BA290*BA183+BB290*BB183+BC290*BC183+BD290*BD183+BE290*BE183+BF290*BF183+BG290*BG183+BH290*BH183+BI290*BI183+BJ290*BJ183+BK290*BK183+BL290*BL183+BM290*BM183+BN290*BN183+BO290*BO183+BP290*BP183+BQ290*BQ183+BR290*BR183+BS290*BS183+BT290*BT183+BU290*BU183+BV290*BV183+BW290*BW183+BX290*BX183+BY290*BY183+BZ290*BZ183+CA290*CA183+CB290*CB183+CC290*CC183+CD290*CD183+CE290*CE183+CF290*CF183+CG290*CG183+CH290*CH183+CI290*CI183+CJ290*CJ183+CK290*CK183+CL290*CL183+CM290*CM183+CN290*CN183+CO290*CO183+CP290*CP183+CQ290*CQ183+CR290*CR183+CS290*CS183+CT290*CT183+CU290*CU183</f>
        <v>0</v>
      </c>
      <c r="DB183" s="2840">
        <f>E291*E183+F291*F183+G291*G183+H291*H183+I291*I183+J291*J183+K291*K183+L291*L183+M291*M183+N291*N183+O291*O183+P291*P183+Q291*Q183+R291*R183+S291*S183+T291*T183+U291*U183+V291*V183+W291*W183+X291*X183+Y291*Y183+Z291*Z183+AA291*AA183+AB291*AB183+AC291*AC183+AD291*AD183+AE291*AE183+AF291*AF183+AG291*AG183+AH291*AH183+AI291*AI183+AJ291*AJ183+AK291*AK183+AL291*AL183+AM291*AM183+AN291*AN183+AO291*AO183+AP291*AP183+AQ291*AQ183+AR291*AR183+AS291*AS183+AT291*AT183+AU291*AU183+AV291*AV183+AW291*AW183+AX291*AX183+AY291*AY183+AZ291*AZ183+BA291*BA183+BB291*BB183+BC291*BC183+BD291*BD183+BE291*BE183+BF291*BF183+BG291*BG183+BH291*BH183+BI291*BI183+BJ291*BJ183+BK291*BK183+BL291*BL183+BM291*BM183+BN291*BN183+BO291*BO183+BP291*BP183+BQ291*BQ183+BR291*BR183+BS291*BS183+BT291*BT183+BU291*BU183+BV291*BV183+BW291*BW183+BX291*BX183+BY291*BY183+BZ291*BZ183+CA291*CA183+CB291*CB183+CC291*CC183+CD291*CD183+CE291*CE183+CF291*CF183+CG291*CG183+CH291*CH183+CI291*CI183+CJ291*CJ183+CK291*CK183+CL291*CL183+CM291*CM183+CN291*CN183+CO291*CO183+CP291*CP183+CQ291*CQ183+CR291*CR183+CS291*CS183+CT291*CT183+CU291*CU183</f>
        <v>0</v>
      </c>
      <c r="DC183" s="2840">
        <f>E292*E183+F292*F183+G292*G183+H292*H183+I292*I183+J292*J183+K292*K183+L292*L183+M292*M183+N292*N183+O292*O183+P292*P183+Q292*Q183+R292*R183+S292*S183+T292*T183+U292*U183+V292*V183+W292*W183+X292*X183+Y292*Y183+Z292*Z183+AA292*AA183+AB292*AB183+AC292*AC183+AD292*AD183+AE292*AE183+AF292*AF183+AG292*AG183+AH292*AH183+AI292*AI183+AJ292*AJ183+AK292*AK183+AL292*AL183+AM292*AM183+AN292*AN183+AO292*AO183+AP292*AP183+AQ292*AQ183+AR292*AR183+AS292*AS183+AT292*AT183+AU292*AU183+AV292*AV183+AW292*AW183+AX292*AX183+AY292*AY183+AZ292*AZ183+BA292*BA183+BB292*BB183+BC292*BC183+BD292*BD183+BE292*BE183+BF292*BF183+BG292*BG183+BH292*BH183+BI292*BI183+BJ292*BJ183+BK292*BK183+BL292*BL183+BM292*BM183+BN292*BN183+BO292*BO183+BP292*BP183+BQ292*BQ183+BR292*BR183+BS292*BS183+BT292*BT183+BU292*BU183+BV292*BV183+BW292*BW183+BX292*BX183+BY292*BY183+BZ292*BZ183+CA292*CA183+CB292*CB183+CC292*CC183+CD292*CD183+CE292*CE183+CF292*CF183+CG292*CG183+CH292*CH183+CI292*CI183+CJ292*CJ183+CK292*CK183+CL292*CL183+CM292*CM183+CN292*CN183+CO292*CO183+CP292*CP183+CQ292*CQ183+CR292*CR183+CS292*CS183+CT292*CT183+CU292*CU183</f>
        <v>0</v>
      </c>
      <c r="DD183" s="2840">
        <f>E293*E183+F293*F183+G293*G183+H293*H183+I293*I183+J293*J183+K293*K183+L293*L183+M293*M183+N293*N183+O293*O183+P293*P183+Q293*Q183+R293*R183+S293*S183+T293*T183+U293*U183+V293*V183+W293*W183+X293*X183+Y293*Y183+Z293*Z183+AA293*AA183+AB293*AB183+AC293*AC183+AD293*AD183+AE293*AE183+AF293*AF183+AG293*AG183+AH293*AH183+AI293*AI183+AJ293*AJ183+AK293*AK183+AL293*AL183+AM293*AM183+AN293*AN183+AO293*AO183+AP293*AP183+AQ293*AQ183+AR293*AR183+AS293*AS183+AT293*AT183+AU293*AU183+AV293*AV183+AW293*AW183+AX293*AX183+AY293*AY183+AZ293*AZ183+BA293*BA183+BB293*BB183+BC293*BC183+BD293*BD183+BE293*BE183+BF293*BF183+BG293*BG183+BH293*BH183+BI293*BI183+BJ293*BJ183+BK293*BK183+BL293*BL183+BM293*BM183+BN293*BN183+BO293*BO183+BP293*BP183+BQ293*BQ183+BR293*BR183+BS293*BS183+BT293*BT183+BU293*BU183+BV293*BV183+BW293*BW183+BX293*BX183+BY293*BY183+BZ293*BZ183+CA293*CA183+CB293*CB183+CC293*CC183+CD293*CD183+CE293*CE183+CF293*CF183+CG293*CG183+CH293*CH183+CI293*CI183+CJ293*CJ183+CK293*CK183+CL293*CL183+CM293*CM183+CN293*CN183+CO293*CO183+CP293*CP183+CQ293*CQ183+CR293*CR183+CS293*CS183+CT293*CT183+CU293*CU183</f>
        <v>0</v>
      </c>
      <c r="DE183" s="2840">
        <f>E294*E183+F294*F183+G294*G183+H294*H183+I294*I183+J294*J183+K294*K183+L294*L183+M294*M183+N294*N183+O294*O183+P294*P183+Q294*Q183+R294*R183+S294*S183+T294*T183+U294*U183+V294*V183+W294*W183+X294*X183+Y294*Y183+Z294*Z183+AA294*AA183+AB294*AB183+AC294*AC183+AD294*AD183+AE294*AE183+AF294*AF183+AG294*AG183+AH294*AH183+AI294*AI183+AJ294*AJ183+AK294*AK183+AL294*AL183+AM294*AM183+AN294*AN183+AO294*AO183+AP294*AP183+AQ294*AQ183+AR294*AR183+AS294*AS183+AT294*AT183+AU294*AU183+AV294*AV183+AW294*AW183+AX294*AX183+AY294*AY183+AZ294*AZ183+BA294*BA183+BB294*BB183+BC294*BC183+BD294*BD183+BE294*BE183+BF294*BF183+BG294*BG183+BH294*BH183+BI294*BI183+BJ294*BJ183+BK294*BK183+BL294*BL183+BM294*BM183+BN294*BN183+BO294*BO183+BP294*BP183+BQ294*BQ183+BR294*BR183+BS294*BS183+BT294*BT183+BU294*BU183+BV294*BV183+BW294*BW183+BX294*BX183+BY294*BY183+BZ294*BZ183+CA294*CA183+CB294*CB183+CC294*CC183+CD294*CD183+CE294*CE183+CF294*CF183+CG294*CG183+CH294*CH183+CI294*CI183+CJ294*CJ183+CK294*CK183+CL294*CL183+CM294*CM183+CN294*CN183+CO294*CO183+CP294*CP183+CQ294*CQ183+CR294*CR183+CS294*CS183+CT294*CT183+CU294*CU183</f>
        <v>0</v>
      </c>
      <c r="DF183" s="2840">
        <f>E295*E183+F295*F183+G295*G183+H295*H183+I295*I183+J295*J183+K295*K183+L295*L183+M295*M183+N295*N183+O295*O183+P295*P183+Q295*Q183+R295*R183+S295*S183+T295*T183+U295*U183+V295*V183+W295*W183+X295*X183+Y295*Y183+Z295*Z183+AA295*AA183+AB295*AB183+AC295*AC183+AD295*AD183+AE295*AE183+AF295*AF183+AG295*AG183+AH295*AH183+AI295*AI183+AJ295*AJ183+AK295*AK183+AL295*AL183+AM295*AM183+AN295*AN183+AO295*AO183+AP295*AP183+AQ295*AQ183+AR295*AR183+AS295*AS183+AT295*AT183+AU295*AU183+AV295*AV183+AW295*AW183+AX295*AX183+AY295*AY183+AZ295*AZ183+BA295*BA183+BB295*BB183+BC295*BC183+BD295*BD183+BE295*BE183+BF295*BF183+BG295*BG183+BH295*BH183+BI295*BI183+BJ295*BJ183+BK295*BK183+BL295*BL183+BM295*BM183+BN295*BN183+BO295*BO183+BP295*BP183+BQ295*BQ183+BR295*BR183+BS295*BS183+BT295*BT183+BU295*BU183+BV295*BV183+BW295*BW183+BX295*BX183+BY295*BY183+BZ295*BZ183+CA295*CA183+CB295*CB183+CC295*CC183+CD295*CD183+CE295*CE183+CF295*CF183+CG295*CG183+CH295*CH183+CI295*CI183+CJ295*CJ183+CK295*CK183+CL295*CL183+CM295*CM183+CN295*CN183+CO295*CO183+CP295*CP183+CQ295*CQ183+CR295*CR183+CS295*CS183+CT295*CT183+CU295*CU183</f>
        <v>0</v>
      </c>
      <c r="DG183" s="2840">
        <f>E296*E183+F296*F183+G296*G183+H296*H183+I296*I183+J296*J183+K296*K183+L296*L183+M296*M183+N296*N183+O296*O183+P296*P183+Q296*Q183+R296*R183+S296*S183+T296*T183+U296*U183+V296*V183+W296*W183+X296*X183+Y296*Y183+Z296*Z183+AA296*AA183+AB296*AB183+AC296*AC183+AD296*AD183+AE296*AE183+AF296*AF183+AG296*AG183+AH296*AH183+AI296*AI183+AJ296*AJ183+AK296*AK183+AL296*AL183+AM296*AM183+AN296*AN183+AO296*AO183+AP296*AP183+AQ296*AQ183+AR296*AR183+AS296*AS183+AT296*AT183+AU296*AU183+AV296*AV183+AW296*AW183+AX296*AX183+AY296*AY183+AZ296*AZ183+BA296*BA183+BB296*BB183+BC296*BC183+BD296*BD183+BE296*BE183+BF296*BF183+BG296*BG183+BH296*BH183+BI296*BI183+BJ296*BJ183+BK296*BK183+BL296*BL183+BM296*BM183+BN296*BN183+BO296*BO183+BP296*BP183+BQ296*BQ183+BR296*BR183+BS296*BS183+BT296*BT183+BU296*BU183+BV296*BV183+BW296*BW183+BX296*BX183+BY296*BY183+BZ296*BZ183+CA296*CA183+CB296*CB183+CC296*CC183+CD296*CD183+CE296*CE183+CF296*CF183+CG296*CG183+CH296*CH183+CI296*CI183+CJ296*CJ183+CK296*CK183+CL296*CL183+CM296*CM183+CN296*CN183+CO296*CO183+CP296*CP183+CQ296*CQ183+CR296*CR183+CS296*CS183+CT296*CT183+CU296*CU183</f>
        <v>0</v>
      </c>
      <c r="DH183" s="2840">
        <f>E297*E183+F297*F183+G297*G183+H297*H183+I297*I183+J297*J183+K297*K183+L297*L183+M297*M183+N297*N183+O297*O183+P297*P183+Q297*Q183+R297*R183+S297*S183+T297*T183+U297*U183+V297*V183+W297*W183+X297*X183+Y297*Y183+Z297*Z183+AA297*AA183+AB297*AB183+AC297*AC183+AD297*AD183+AE297*AE183+AF297*AF183+AG297*AG183+AH297*AH183+AI297*AI183+AJ297*AJ183+AK297*AK183+AL297*AL183+AM297*AM183+AN297*AN183+AO297*AO183+AP297*AP183+AQ297*AQ183+AR297*AR183+AS297*AS183+AT297*AT183+AU297*AU183+AV297*AV183+AW297*AW183+AX297*AX183+AY297*AY183+AZ297*AZ183+BA297*BA183+BB297*BB183+BC297*BC183+BD297*BD183+BE297*BE183+BF297*BF183+BG297*BG183+BH297*BH183+BI297*BI183+BJ297*BJ183+BK297*BK183+BL297*BL183+BM297*BM183+BN297*BN183+BO297*BO183+BP297*BP183+BQ297*BQ183+BR297*BR183+BS297*BS183+BT297*BT183+BU297*BU183+BV297*BV183+BW297*BW183+BX297*BX183+BY297*BY183+BZ297*BZ183+CA297*CA183+CB297*CB183+CC297*CC183+CD297*CD183+CE297*CE183+CF297*CF183+CG297*CG183+CH297*CH183+CI297*CI183+CJ297*CJ183+CK297*CK183+CL297*CL183+CM297*CM183+CN297*CN183+CO297*CO183+CP297*CP183+CQ297*CQ183+CR297*CR183+CS297*CS183+CT297*CT183+CU297*CU183</f>
        <v>0</v>
      </c>
      <c r="DI183" s="2840">
        <f>E298*E183+F298*F183+G298*G183+H298*H183+I298*I183+J298*J183+K298*K183+L298*L183+M298*M183+N298*N183+O298*O183+P298*P183+Q298*Q183+R298*R183+S298*S183+T298*T183+U298*U183+V298*V183+W298*W183+X298*X183+Y298*Y183+Z298*Z183+AA298*AA183+AB298*AB183+AC298*AC183+AD298*AD183+AE298*AE183+AF298*AF183+AG298*AG183+AH298*AH183+AI298*AI183+AJ298*AJ183+AK298*AK183+AL298*AL183+AM298*AM183+AN298*AN183+AO298*AO183+AP298*AP183+AQ298*AQ183+AR298*AR183+AS298*AS183+AT298*AT183+AU298*AU183+AV298*AV183+AW298*AW183+AX298*AX183+AY298*AY183+AZ298*AZ183+BA298*BA183+BB298*BB183+BC298*BC183+BD298*BD183+BE298*BE183+BF298*BF183+BG298*BG183+BH298*BH183+BI298*BI183+BJ298*BJ183+BK298*BK183+BL298*BL183+BM298*BM183+BN298*BN183+BO298*BO183+BP298*BP183+BQ298*BQ183+BR298*BR183+BS298*BS183+BT298*BT183+BU298*BU183+BV298*BV183+BW298*BW183+BX298*BX183+BY298*BY183+BZ298*BZ183+CA298*CA183+CB298*CB183+CC298*CC183+CD298*CD183+CE298*CE183+CF298*CF183+CG298*CG183+CH298*CH183+CI298*CI183+CJ298*CJ183+CK298*CK183+CL298*CL183+CM298*CM183+CN298*CN183+CO298*CO183+CP298*CP183+CQ298*CQ183+CR298*CR183+CS298*CS183+CT298*CT183+CU298*CU183</f>
        <v>0</v>
      </c>
    </row>
    <row r="184" spans="2:113" ht="18" x14ac:dyDescent="0.25">
      <c r="B184" s="2489">
        <v>31</v>
      </c>
      <c r="C184" s="2406" t="s">
        <v>1361</v>
      </c>
      <c r="D184" s="2407" t="s">
        <v>2189</v>
      </c>
      <c r="E184" s="3110">
        <f>0</f>
        <v>0</v>
      </c>
      <c r="F184" s="3110">
        <f>0</f>
        <v>0</v>
      </c>
      <c r="G184" s="3110">
        <f>0</f>
        <v>0</v>
      </c>
      <c r="H184" s="3110">
        <f>0</f>
        <v>0</v>
      </c>
      <c r="I184" s="3110">
        <f>0</f>
        <v>0</v>
      </c>
      <c r="J184" s="3110">
        <f>0</f>
        <v>0</v>
      </c>
      <c r="K184" s="3110">
        <f>0</f>
        <v>0</v>
      </c>
      <c r="L184" s="3110">
        <f>0</f>
        <v>0</v>
      </c>
      <c r="M184" s="3110">
        <f>0</f>
        <v>0</v>
      </c>
      <c r="N184" s="3110">
        <f>0</f>
        <v>0</v>
      </c>
      <c r="O184" s="3110">
        <f>0</f>
        <v>0</v>
      </c>
      <c r="P184" s="3110">
        <f>0</f>
        <v>0</v>
      </c>
      <c r="Q184" s="3110">
        <f>0</f>
        <v>0</v>
      </c>
      <c r="R184" s="3110">
        <f>0</f>
        <v>0</v>
      </c>
      <c r="S184" s="3110">
        <f>0</f>
        <v>0</v>
      </c>
      <c r="T184" s="3110">
        <f>0</f>
        <v>0</v>
      </c>
      <c r="U184" s="3110">
        <f>0</f>
        <v>0</v>
      </c>
      <c r="V184" s="3110">
        <f>0</f>
        <v>0</v>
      </c>
      <c r="W184" s="3110">
        <f>0</f>
        <v>0</v>
      </c>
      <c r="X184" s="3110">
        <f>0</f>
        <v>0</v>
      </c>
      <c r="Y184" s="3110">
        <f>0</f>
        <v>0</v>
      </c>
      <c r="Z184" s="3110">
        <f>0</f>
        <v>0</v>
      </c>
      <c r="AA184" s="3110">
        <f>0</f>
        <v>0</v>
      </c>
      <c r="AB184" s="3110">
        <f>0</f>
        <v>0</v>
      </c>
      <c r="AC184" s="3110">
        <f>0</f>
        <v>0</v>
      </c>
      <c r="AD184" s="3110">
        <f>0</f>
        <v>0</v>
      </c>
      <c r="AE184" s="3110">
        <f>0</f>
        <v>0</v>
      </c>
      <c r="AF184" s="3110">
        <f>0</f>
        <v>0</v>
      </c>
      <c r="AG184" s="3110">
        <f>0</f>
        <v>0</v>
      </c>
      <c r="AH184" s="3110">
        <f>0</f>
        <v>0</v>
      </c>
      <c r="AI184" s="3110">
        <f>0</f>
        <v>0</v>
      </c>
      <c r="AJ184" s="3110">
        <f>0</f>
        <v>0</v>
      </c>
      <c r="AK184" s="3110">
        <f>0</f>
        <v>0</v>
      </c>
      <c r="AL184" s="3110">
        <f>1</f>
        <v>1</v>
      </c>
      <c r="AM184" s="3110">
        <f>-1</f>
        <v>-1</v>
      </c>
      <c r="AN184" s="3110">
        <f>0</f>
        <v>0</v>
      </c>
      <c r="AO184" s="3110">
        <f>0</f>
        <v>0</v>
      </c>
      <c r="AP184" s="3110">
        <f>0</f>
        <v>0</v>
      </c>
      <c r="AQ184" s="3110">
        <f>0</f>
        <v>0</v>
      </c>
      <c r="AR184" s="3110">
        <f>0</f>
        <v>0</v>
      </c>
      <c r="AS184" s="3110">
        <f>0</f>
        <v>0</v>
      </c>
      <c r="AT184" s="3110">
        <f>0</f>
        <v>0</v>
      </c>
      <c r="AU184" s="3110">
        <f>0</f>
        <v>0</v>
      </c>
      <c r="AV184" s="3110">
        <f>0</f>
        <v>0</v>
      </c>
      <c r="AW184" s="3110">
        <f>0</f>
        <v>0</v>
      </c>
      <c r="AX184" s="3110">
        <f>0</f>
        <v>0</v>
      </c>
      <c r="AY184" s="3112">
        <f>i_Ca_PP*A_MCa/A_MP</f>
        <v>0.12939338702613273</v>
      </c>
      <c r="AZ184" s="3112">
        <f>i_Mg_PP*A_MMg/A_MP</f>
        <v>0.27464374347136938</v>
      </c>
      <c r="BA184" s="3112">
        <f>i_K_PP*A_MK/A_MP</f>
        <v>0.12623038734377579</v>
      </c>
      <c r="BB184" s="3112">
        <f>0</f>
        <v>0</v>
      </c>
      <c r="BC184" s="3112">
        <f>0</f>
        <v>0</v>
      </c>
      <c r="BD184" s="3112">
        <f>0</f>
        <v>0</v>
      </c>
      <c r="BE184" s="3110">
        <f>0</f>
        <v>0</v>
      </c>
      <c r="BF184" s="3110">
        <f>0</f>
        <v>0</v>
      </c>
      <c r="BG184" s="3110">
        <f>0</f>
        <v>0</v>
      </c>
      <c r="BH184" s="3110">
        <f>0</f>
        <v>0</v>
      </c>
      <c r="BI184" s="3110">
        <f>0</f>
        <v>0</v>
      </c>
      <c r="BJ184" s="3110">
        <f>0</f>
        <v>0</v>
      </c>
      <c r="BK184" s="3110">
        <f>0</f>
        <v>0</v>
      </c>
      <c r="BL184" s="3110">
        <f>0</f>
        <v>0</v>
      </c>
      <c r="BM184" s="3110">
        <f>0</f>
        <v>0</v>
      </c>
      <c r="BN184" s="3110">
        <f>0</f>
        <v>0</v>
      </c>
      <c r="BO184" s="3110">
        <f>0</f>
        <v>0</v>
      </c>
      <c r="BP184" s="3110">
        <f>0</f>
        <v>0</v>
      </c>
      <c r="BQ184" s="3110">
        <f>0</f>
        <v>0</v>
      </c>
      <c r="BR184" s="3110">
        <f>0</f>
        <v>0</v>
      </c>
      <c r="BS184" s="3110">
        <f>0</f>
        <v>0</v>
      </c>
      <c r="BT184" s="3110">
        <f>0</f>
        <v>0</v>
      </c>
      <c r="BU184" s="3110">
        <f>0</f>
        <v>0</v>
      </c>
      <c r="BV184" s="3110">
        <f>0</f>
        <v>0</v>
      </c>
      <c r="BW184" s="3110">
        <f>0</f>
        <v>0</v>
      </c>
      <c r="BX184" s="3110">
        <f>0</f>
        <v>0</v>
      </c>
      <c r="BY184" s="3110">
        <f>0</f>
        <v>0</v>
      </c>
      <c r="BZ184" s="3176">
        <f>0</f>
        <v>0</v>
      </c>
      <c r="CA184" s="3176">
        <f>0</f>
        <v>0</v>
      </c>
      <c r="CB184" s="3176">
        <f>0</f>
        <v>0</v>
      </c>
      <c r="CC184" s="3176">
        <f>0</f>
        <v>0</v>
      </c>
      <c r="CD184" s="3110">
        <f>0</f>
        <v>0</v>
      </c>
      <c r="CE184" s="3110">
        <f>0</f>
        <v>0</v>
      </c>
      <c r="CF184" s="3110">
        <f>0</f>
        <v>0</v>
      </c>
      <c r="CG184" s="3110">
        <f>0</f>
        <v>0</v>
      </c>
      <c r="CH184" s="3110">
        <f>0</f>
        <v>0</v>
      </c>
      <c r="CI184" s="3110">
        <f>0</f>
        <v>0</v>
      </c>
      <c r="CJ184" s="3110">
        <f>0</f>
        <v>0</v>
      </c>
      <c r="CK184" s="3110">
        <f>0</f>
        <v>0</v>
      </c>
      <c r="CL184" s="3110">
        <f>0</f>
        <v>0</v>
      </c>
      <c r="CM184" s="3110">
        <f>0</f>
        <v>0</v>
      </c>
      <c r="CN184" s="3110">
        <f>0</f>
        <v>0</v>
      </c>
      <c r="CO184" s="3110">
        <f>0</f>
        <v>0</v>
      </c>
      <c r="CP184" s="3110">
        <f>0</f>
        <v>0</v>
      </c>
      <c r="CQ184" s="3110">
        <f>0</f>
        <v>0</v>
      </c>
      <c r="CR184" s="3110">
        <f>0</f>
        <v>0</v>
      </c>
      <c r="CS184" s="3110">
        <f>0</f>
        <v>0</v>
      </c>
      <c r="CT184" s="3110">
        <f>0</f>
        <v>0</v>
      </c>
      <c r="CU184" s="3110">
        <f>0</f>
        <v>0</v>
      </c>
      <c r="CV184" s="3222">
        <f>b_PP_ana_T*X_PAO*L_ogsatXPP_KPO4_PAO*(η_bPP_aer*M_RinhXPHA_XPAO_KPHA_cle*M_satSO2_KO2_CASTO+η_bPP_anox*M_inhSO2_KO2_CASTO*M_satSNO2_KNO2_CASTO+η_bPP_anox*M_inhSO2_KO2_CASTO*M_inhSNO2_KNO2_CASTO*M_satSNO3_KNO3_CASTO+M_inhSO2_KO2_CASTO*M_inhSNO2_KNO2_CASTO*M_inhSNO3_KNO3_CASTO)</f>
        <v>0.38985063851269147</v>
      </c>
      <c r="CX184" s="2838">
        <f>E287*E184+F287*F184+G287*G184+H287*H184+I287*I184+J287*J184+K287*K184+L287*L184+M287*M184+N287*N184+O287*O184+P287*P184+Q287*Q184+R287*R184+S287*S184+T287*T184+U287*U184+V287*V184+W287*W184+X287*X184+Y287*Y184+Z287*Z184+AA287*AA184+AB287*AB184+AC287*AC184+AD287*AD184+AE287*AE184+AF287*AF184+AG287*AG184+AH287*AH184+AI287*AI184+AJ287*AJ184+AK287*AK184+AL287*AL184+AM287*AM184+AN287*AN184+AO287*AO184+AP287*AP184+AQ287*AQ184+AR287*AR184+AS287*AS184+AT287*AT184+AU287*AU184+AV287*AV184+AW287*AW184+AX287*AX184+AY287*AY184+AZ287*AZ184+BA287*BA184+BB287*BB184+BC287*BC184+BD287*BD184+BE287*BE184+BF287*BF184+BG287*BG184+BH287*BH184+BI287*BI184+BJ287*BJ184+BK287*BK184+BL287*BL184+BM287*BM184+BN287*BN184+BO287*BO184+BP287*BP184+BQ287*BQ184+BR287*BR184+BS287*BS184+BT287*BT184+BU287*BU184+BV287*BV184+BW287*BW184+BX287*BX184+BY287*BY184+BZ287*BZ184+CA287*CA184+CB287*CB184+CC287*CC184+CD287*CD184+CE287*CE184+CF287*CF184+CG287*CG184+CH287*CH184+CI287*CI184+CJ287*CJ184+CK287*CK184+CL287*CL184+CM287*CM184+CN287*CN184+CO287*CO184+CP287*CP184+CQ287*CQ184+CR287*CR184+CS287*CS184+CT287*CT184+CU287*CU184</f>
        <v>0</v>
      </c>
      <c r="CY184" s="2838">
        <f>E288*E184+F288*F184+G288*G184+H288*H184+I288*I184+J288*J184+K288*K184+L288*L184+M288*M184+N288*N184+O288*O184+P288*P184+Q288*Q184+R288*R184+S288*S184+T288*T184+U288*U184+V288*V184+W288*W184+X288*X184+Y288*Y184+Z288*Z184+AA288*AA184+AB288*AB184+AC288*AC184+AD288*AD184+AE288*AE184+AF288*AF184+AG288*AG184+AH288*AH184+AI288*AI184+AJ288*AJ184+AK288*AK184+AL288*AL184+AM288*AM184+AN288*AN184+AO288*AO184+AP288*AP184+AQ288*AQ184+AR288*AR184+AS288*AS184+AT288*AT184+AU288*AU184+AV288*AV184+AW288*AW184+AX288*AX184+AY288*AY184+AZ288*AZ184+BA288*BA184+BB288*BB184+BC288*BC184+BD288*BD184+BE288*BE184+BF288*BF184+BG288*BG184+BH288*BH184+BI288*BI184+BJ288*BJ184+BK288*BK184+BL288*BL184+BM288*BM184+BN288*BN184+BO288*BO184+BP288*BP184+BQ288*BQ184+BR288*BR184+BS288*BS184+BT288*BT184+BU288*BU184+BV288*BV184+BW288*BW184+BX288*BX184+BY288*BY184+BZ288*BZ184+CA288*CA184+CB288*CB184+CC288*CC184+CD288*CD184+CE288*CE184+CF288*CF184+CG288*CG184+CH288*CH184+CI288*CI184+CJ288*CJ184+CK288*CK184+CL288*CL184+CM288*CM184+CN288*CN184+CO288*CO184+CP288*CP184+CQ288*CQ184+CR288*CR184+CS288*CS184+CT288*CT184+CU288*CU184</f>
        <v>0</v>
      </c>
      <c r="CZ184" s="2839">
        <f>E289*E184+F289*F184+G289*G184+H289*H184+I289*I184+J289*J184+K289*K184+L289*L184+M289*M184+N289*N184+O289*O184+P289*P184+Q289*Q184+R289*R184+S289*S184+T289*T184+U289*U184+V289*V184+W289*W184+X289*X184+Y289*Y184+Z289*Z184+AA289*AA184+AB289*AB184+AC289*AC184+AD289*AD184+AE289*AE184+AF289*AF184+AG289*AG184+AH289*AH184+AI289*AI184+AJ289*AJ184+AK289*AK184+AL289*AL184+AM289*AM184+AN289*AN184+AO289*AO184+AP289*AP184+AQ289*AQ184+AR289*AR184+AS289*AS184+AT289*AT184+AU289*AU184+AV289*AV184+AW289*AW184+AX289*AX184+AY289*AY184+AZ289*AZ184+BA289*BA184+BB289*BB184+BC289*BC184+BD289*BD184+BE289*BE184+BF289*BF184+BG289*BG184+BH289*BH184+BI289*BI184+BJ289*BJ184+BK289*BK184+BL289*BL184+BM289*BM184+BN289*BN184+BO289*BO184+BP289*BP184+BQ289*BQ184+BR289*BR184+BS289*BS184+BT289*BT184+BU289*BU184+BV289*BV184+BW289*BW184+BX289*BX184+BY289*BY184+BZ289*BZ184+CA289*CA184+CB289*CB184+CC289*CC184+CD289*CD184+CE289*CE184+CF289*CF184+CG289*CG184+CH289*CH184+CI289*CI184+CJ289*CJ184+CK289*CK184+CL289*CL184+CM289*CM184+CN289*CN184+CO289*CO184+CP289*CP184+CQ289*CQ184+CR289*CR184+CS289*CS184+CT289*CT184+CU289*CU184</f>
        <v>0</v>
      </c>
      <c r="DA184" s="2840">
        <f>E290*E184+F290*F184+G290*G184+H290*H184+I290*I184+J290*J184+K290*K184+L290*L184+M290*M184+N290*N184+O290*O184+P290*P184+Q290*Q184+R290*R184+S290*S184+T290*T184+U290*U184+V290*V184+W290*W184+X290*X184+Y290*Y184+Z290*Z184+AA290*AA184+AB290*AB184+AC290*AC184+AD290*AD184+AE290*AE184+AF290*AF184+AG290*AG184+AH290*AH184+AI290*AI184+AJ290*AJ184+AK290*AK184+AL290*AL184+AM290*AM184+AN290*AN184+AO290*AO184+AP290*AP184+AQ290*AQ184+AR290*AR184+AS290*AS184+AT290*AT184+AU290*AU184+AV290*AV184+AW290*AW184+AX290*AX184+AY290*AY184+AZ290*AZ184+BA290*BA184+BB290*BB184+BC290*BC184+BD290*BD184+BE290*BE184+BF290*BF184+BG290*BG184+BH290*BH184+BI290*BI184+BJ290*BJ184+BK290*BK184+BL290*BL184+BM290*BM184+BN290*BN184+BO290*BO184+BP290*BP184+BQ290*BQ184+BR290*BR184+BS290*BS184+BT290*BT184+BU290*BU184+BV290*BV184+BW290*BW184+BX290*BX184+BY290*BY184+BZ290*BZ184+CA290*CA184+CB290*CB184+CC290*CC184+CD290*CD184+CE290*CE184+CF290*CF184+CG290*CG184+CH290*CH184+CI290*CI184+CJ290*CJ184+CK290*CK184+CL290*CL184+CM290*CM184+CN290*CN184+CO290*CO184+CP290*CP184+CQ290*CQ184+CR290*CR184+CS290*CS184+CT290*CT184+CU290*CU184</f>
        <v>0</v>
      </c>
      <c r="DB184" s="2840">
        <f>E291*E184+F291*F184+G291*G184+H291*H184+I291*I184+J291*J184+K291*K184+L291*L184+M291*M184+N291*N184+O291*O184+P291*P184+Q291*Q184+R291*R184+S291*S184+T291*T184+U291*U184+V291*V184+W291*W184+X291*X184+Y291*Y184+Z291*Z184+AA291*AA184+AB291*AB184+AC291*AC184+AD291*AD184+AE291*AE184+AF291*AF184+AG291*AG184+AH291*AH184+AI291*AI184+AJ291*AJ184+AK291*AK184+AL291*AL184+AM291*AM184+AN291*AN184+AO291*AO184+AP291*AP184+AQ291*AQ184+AR291*AR184+AS291*AS184+AT291*AT184+AU291*AU184+AV291*AV184+AW291*AW184+AX291*AX184+AY291*AY184+AZ291*AZ184+BA291*BA184+BB291*BB184+BC291*BC184+BD291*BD184+BE291*BE184+BF291*BF184+BG291*BG184+BH291*BH184+BI291*BI184+BJ291*BJ184+BK291*BK184+BL291*BL184+BM291*BM184+BN291*BN184+BO291*BO184+BP291*BP184+BQ291*BQ184+BR291*BR184+BS291*BS184+BT291*BT184+BU291*BU184+BV291*BV184+BW291*BW184+BX291*BX184+BY291*BY184+BZ291*BZ184+CA291*CA184+CB291*CB184+CC291*CC184+CD291*CD184+CE291*CE184+CF291*CF184+CG291*CG184+CH291*CH184+CI291*CI184+CJ291*CJ184+CK291*CK184+CL291*CL184+CM291*CM184+CN291*CN184+CO291*CO184+CP291*CP184+CQ291*CQ184+CR291*CR184+CS291*CS184+CT291*CT184+CU291*CU184</f>
        <v>0</v>
      </c>
      <c r="DC184" s="2840">
        <f>E292*E184+F292*F184+G292*G184+H292*H184+I292*I184+J292*J184+K292*K184+L292*L184+M292*M184+N292*N184+O292*O184+P292*P184+Q292*Q184+R292*R184+S292*S184+T292*T184+U292*U184+V292*V184+W292*W184+X292*X184+Y292*Y184+Z292*Z184+AA292*AA184+AB292*AB184+AC292*AC184+AD292*AD184+AE292*AE184+AF292*AF184+AG292*AG184+AH292*AH184+AI292*AI184+AJ292*AJ184+AK292*AK184+AL292*AL184+AM292*AM184+AN292*AN184+AO292*AO184+AP292*AP184+AQ292*AQ184+AR292*AR184+AS292*AS184+AT292*AT184+AU292*AU184+AV292*AV184+AW292*AW184+AX292*AX184+AY292*AY184+AZ292*AZ184+BA292*BA184+BB292*BB184+BC292*BC184+BD292*BD184+BE292*BE184+BF292*BF184+BG292*BG184+BH292*BH184+BI292*BI184+BJ292*BJ184+BK292*BK184+BL292*BL184+BM292*BM184+BN292*BN184+BO292*BO184+BP292*BP184+BQ292*BQ184+BR292*BR184+BS292*BS184+BT292*BT184+BU292*BU184+BV292*BV184+BW292*BW184+BX292*BX184+BY292*BY184+BZ292*BZ184+CA292*CA184+CB292*CB184+CC292*CC184+CD292*CD184+CE292*CE184+CF292*CF184+CG292*CG184+CH292*CH184+CI292*CI184+CJ292*CJ184+CK292*CK184+CL292*CL184+CM292*CM184+CN292*CN184+CO292*CO184+CP292*CP184+CQ292*CQ184+CR292*CR184+CS292*CS184+CT292*CT184+CU292*CU184</f>
        <v>0</v>
      </c>
      <c r="DD184" s="2840">
        <f>E293*E184+F293*F184+G293*G184+H293*H184+I293*I184+J293*J184+K293*K184+L293*L184+M293*M184+N293*N184+O293*O184+P293*P184+Q293*Q184+R293*R184+S293*S184+T293*T184+U293*U184+V293*V184+W293*W184+X293*X184+Y293*Y184+Z293*Z184+AA293*AA184+AB293*AB184+AC293*AC184+AD293*AD184+AE293*AE184+AF293*AF184+AG293*AG184+AH293*AH184+AI293*AI184+AJ293*AJ184+AK293*AK184+AL293*AL184+AM293*AM184+AN293*AN184+AO293*AO184+AP293*AP184+AQ293*AQ184+AR293*AR184+AS293*AS184+AT293*AT184+AU293*AU184+AV293*AV184+AW293*AW184+AX293*AX184+AY293*AY184+AZ293*AZ184+BA293*BA184+BB293*BB184+BC293*BC184+BD293*BD184+BE293*BE184+BF293*BF184+BG293*BG184+BH293*BH184+BI293*BI184+BJ293*BJ184+BK293*BK184+BL293*BL184+BM293*BM184+BN293*BN184+BO293*BO184+BP293*BP184+BQ293*BQ184+BR293*BR184+BS293*BS184+BT293*BT184+BU293*BU184+BV293*BV184+BW293*BW184+BX293*BX184+BY293*BY184+BZ293*BZ184+CA293*CA184+CB293*CB184+CC293*CC184+CD293*CD184+CE293*CE184+CF293*CF184+CG293*CG184+CH293*CH184+CI293*CI184+CJ293*CJ184+CK293*CK184+CL293*CL184+CM293*CM184+CN293*CN184+CO293*CO184+CP293*CP184+CQ293*CQ184+CR293*CR184+CS293*CS184+CT293*CT184+CU293*CU184</f>
        <v>0</v>
      </c>
      <c r="DE184" s="2840">
        <f>E294*E184+F294*F184+G294*G184+H294*H184+I294*I184+J294*J184+K294*K184+L294*L184+M294*M184+N294*N184+O294*O184+P294*P184+Q294*Q184+R294*R184+S294*S184+T294*T184+U294*U184+V294*V184+W294*W184+X294*X184+Y294*Y184+Z294*Z184+AA294*AA184+AB294*AB184+AC294*AC184+AD294*AD184+AE294*AE184+AF294*AF184+AG294*AG184+AH294*AH184+AI294*AI184+AJ294*AJ184+AK294*AK184+AL294*AL184+AM294*AM184+AN294*AN184+AO294*AO184+AP294*AP184+AQ294*AQ184+AR294*AR184+AS294*AS184+AT294*AT184+AU294*AU184+AV294*AV184+AW294*AW184+AX294*AX184+AY294*AY184+AZ294*AZ184+BA294*BA184+BB294*BB184+BC294*BC184+BD294*BD184+BE294*BE184+BF294*BF184+BG294*BG184+BH294*BH184+BI294*BI184+BJ294*BJ184+BK294*BK184+BL294*BL184+BM294*BM184+BN294*BN184+BO294*BO184+BP294*BP184+BQ294*BQ184+BR294*BR184+BS294*BS184+BT294*BT184+BU294*BU184+BV294*BV184+BW294*BW184+BX294*BX184+BY294*BY184+BZ294*BZ184+CA294*CA184+CB294*CB184+CC294*CC184+CD294*CD184+CE294*CE184+CF294*CF184+CG294*CG184+CH294*CH184+CI294*CI184+CJ294*CJ184+CK294*CK184+CL294*CL184+CM294*CM184+CN294*CN184+CO294*CO184+CP294*CP184+CQ294*CQ184+CR294*CR184+CS294*CS184+CT294*CT184+CU294*CU184</f>
        <v>0</v>
      </c>
      <c r="DF184" s="2840">
        <f>E295*E184+F295*F184+G295*G184+H295*H184+I295*I184+J295*J184+K295*K184+L295*L184+M295*M184+N295*N184+O295*O184+P295*P184+Q295*Q184+R295*R184+S295*S184+T295*T184+U295*U184+V295*V184+W295*W184+X295*X184+Y295*Y184+Z295*Z184+AA295*AA184+AB295*AB184+AC295*AC184+AD295*AD184+AE295*AE184+AF295*AF184+AG295*AG184+AH295*AH184+AI295*AI184+AJ295*AJ184+AK295*AK184+AL295*AL184+AM295*AM184+AN295*AN184+AO295*AO184+AP295*AP184+AQ295*AQ184+AR295*AR184+AS295*AS184+AT295*AT184+AU295*AU184+AV295*AV184+AW295*AW184+AX295*AX184+AY295*AY184+AZ295*AZ184+BA295*BA184+BB295*BB184+BC295*BC184+BD295*BD184+BE295*BE184+BF295*BF184+BG295*BG184+BH295*BH184+BI295*BI184+BJ295*BJ184+BK295*BK184+BL295*BL184+BM295*BM184+BN295*BN184+BO295*BO184+BP295*BP184+BQ295*BQ184+BR295*BR184+BS295*BS184+BT295*BT184+BU295*BU184+BV295*BV184+BW295*BW184+BX295*BX184+BY295*BY184+BZ295*BZ184+CA295*CA184+CB295*CB184+CC295*CC184+CD295*CD184+CE295*CE184+CF295*CF184+CG295*CG184+CH295*CH184+CI295*CI184+CJ295*CJ184+CK295*CK184+CL295*CL184+CM295*CM184+CN295*CN184+CO295*CO184+CP295*CP184+CQ295*CQ184+CR295*CR184+CS295*CS184+CT295*CT184+CU295*CU184</f>
        <v>0</v>
      </c>
      <c r="DG184" s="2840">
        <f>E296*E184+F296*F184+G296*G184+H296*H184+I296*I184+J296*J184+K296*K184+L296*L184+M296*M184+N296*N184+O296*O184+P296*P184+Q296*Q184+R296*R184+S296*S184+T296*T184+U296*U184+V296*V184+W296*W184+X296*X184+Y296*Y184+Z296*Z184+AA296*AA184+AB296*AB184+AC296*AC184+AD296*AD184+AE296*AE184+AF296*AF184+AG296*AG184+AH296*AH184+AI296*AI184+AJ296*AJ184+AK296*AK184+AL296*AL184+AM296*AM184+AN296*AN184+AO296*AO184+AP296*AP184+AQ296*AQ184+AR296*AR184+AS296*AS184+AT296*AT184+AU296*AU184+AV296*AV184+AW296*AW184+AX296*AX184+AY296*AY184+AZ296*AZ184+BA296*BA184+BB296*BB184+BC296*BC184+BD296*BD184+BE296*BE184+BF296*BF184+BG296*BG184+BH296*BH184+BI296*BI184+BJ296*BJ184+BK296*BK184+BL296*BL184+BM296*BM184+BN296*BN184+BO296*BO184+BP296*BP184+BQ296*BQ184+BR296*BR184+BS296*BS184+BT296*BT184+BU296*BU184+BV296*BV184+BW296*BW184+BX296*BX184+BY296*BY184+BZ296*BZ184+CA296*CA184+CB296*CB184+CC296*CC184+CD296*CD184+CE296*CE184+CF296*CF184+CG296*CG184+CH296*CH184+CI296*CI184+CJ296*CJ184+CK296*CK184+CL296*CL184+CM296*CM184+CN296*CN184+CO296*CO184+CP296*CP184+CQ296*CQ184+CR296*CR184+CS296*CS184+CT296*CT184+CU296*CU184</f>
        <v>0</v>
      </c>
      <c r="DH184" s="2840">
        <f>E297*E184+F297*F184+G297*G184+H297*H184+I297*I184+J297*J184+K297*K184+L297*L184+M297*M184+N297*N184+O297*O184+P297*P184+Q297*Q184+R297*R184+S297*S184+T297*T184+U297*U184+V297*V184+W297*W184+X297*X184+Y297*Y184+Z297*Z184+AA297*AA184+AB297*AB184+AC297*AC184+AD297*AD184+AE297*AE184+AF297*AF184+AG297*AG184+AH297*AH184+AI297*AI184+AJ297*AJ184+AK297*AK184+AL297*AL184+AM297*AM184+AN297*AN184+AO297*AO184+AP297*AP184+AQ297*AQ184+AR297*AR184+AS297*AS184+AT297*AT184+AU297*AU184+AV297*AV184+AW297*AW184+AX297*AX184+AY297*AY184+AZ297*AZ184+BA297*BA184+BB297*BB184+BC297*BC184+BD297*BD184+BE297*BE184+BF297*BF184+BG297*BG184+BH297*BH184+BI297*BI184+BJ297*BJ184+BK297*BK184+BL297*BL184+BM297*BM184+BN297*BN184+BO297*BO184+BP297*BP184+BQ297*BQ184+BR297*BR184+BS297*BS184+BT297*BT184+BU297*BU184+BV297*BV184+BW297*BW184+BX297*BX184+BY297*BY184+BZ297*BZ184+CA297*CA184+CB297*CB184+CC297*CC184+CD297*CD184+CE297*CE184+CF297*CF184+CG297*CG184+CH297*CH184+CI297*CI184+CJ297*CJ184+CK297*CK184+CL297*CL184+CM297*CM184+CN297*CN184+CO297*CO184+CP297*CP184+CQ297*CQ184+CR297*CR184+CS297*CS184+CT297*CT184+CU297*CU184</f>
        <v>0</v>
      </c>
      <c r="DI184" s="2840">
        <f>E298*E184+F298*F184+G298*G184+H298*H184+I298*I184+J298*J184+K298*K184+L298*L184+M298*M184+N298*N184+O298*O184+P298*P184+Q298*Q184+R298*R184+S298*S184+T298*T184+U298*U184+V298*V184+W298*W184+X298*X184+Y298*Y184+Z298*Z184+AA298*AA184+AB298*AB184+AC298*AC184+AD298*AD184+AE298*AE184+AF298*AF184+AG298*AG184+AH298*AH184+AI298*AI184+AJ298*AJ184+AK298*AK184+AL298*AL184+AM298*AM184+AN298*AN184+AO298*AO184+AP298*AP184+AQ298*AQ184+AR298*AR184+AS298*AS184+AT298*AT184+AU298*AU184+AV298*AV184+AW298*AW184+AX298*AX184+AY298*AY184+AZ298*AZ184+BA298*BA184+BB298*BB184+BC298*BC184+BD298*BD184+BE298*BE184+BF298*BF184+BG298*BG184+BH298*BH184+BI298*BI184+BJ298*BJ184+BK298*BK184+BL298*BL184+BM298*BM184+BN298*BN184+BO298*BO184+BP298*BP184+BQ298*BQ184+BR298*BR184+BS298*BS184+BT298*BT184+BU298*BU184+BV298*BV184+BW298*BW184+BX298*BX184+BY298*BY184+BZ298*BZ184+CA298*CA184+CB298*CB184+CC298*CC184+CD298*CD184+CE298*CE184+CF298*CF184+CG298*CG184+CH298*CH184+CI298*CI184+CJ298*CJ184+CK298*CK184+CL298*CL184+CM298*CM184+CN298*CN184+CO298*CO184+CP298*CP184+CQ298*CQ184+CR298*CR184+CS298*CS184+CT298*CT184+CU298*CU184</f>
        <v>0</v>
      </c>
    </row>
    <row r="185" spans="2:113" ht="18" x14ac:dyDescent="0.25">
      <c r="B185" s="2489">
        <v>32</v>
      </c>
      <c r="C185" s="2406" t="s">
        <v>252</v>
      </c>
      <c r="D185" s="2407" t="s">
        <v>3569</v>
      </c>
      <c r="E185" s="3110">
        <f>(1-Y_CASTO_SB_ana-Y_CASTO_H2_ana_high)/Y_CASTO_SB_ana</f>
        <v>5.5</v>
      </c>
      <c r="F185" s="3112">
        <f>-1/Y_CASTO_SB_ana</f>
        <v>-10</v>
      </c>
      <c r="G185" s="3110">
        <f>0</f>
        <v>0</v>
      </c>
      <c r="H185" s="3110">
        <f>0</f>
        <v>0</v>
      </c>
      <c r="I185" s="3110">
        <f>0</f>
        <v>0</v>
      </c>
      <c r="J185" s="3110">
        <f>0</f>
        <v>0</v>
      </c>
      <c r="K185" s="3110">
        <f>0</f>
        <v>0</v>
      </c>
      <c r="L185" s="3110">
        <f>0</f>
        <v>0</v>
      </c>
      <c r="M185" s="3110">
        <f>0</f>
        <v>0</v>
      </c>
      <c r="N185" s="3112">
        <f>1</f>
        <v>1</v>
      </c>
      <c r="O185" s="3112">
        <f>0</f>
        <v>0</v>
      </c>
      <c r="P185" s="3110">
        <f>0</f>
        <v>0</v>
      </c>
      <c r="Q185" s="3110">
        <f>0</f>
        <v>0</v>
      </c>
      <c r="R185" s="3110">
        <f>0</f>
        <v>0</v>
      </c>
      <c r="S185" s="3110">
        <f>0</f>
        <v>0</v>
      </c>
      <c r="T185" s="3110">
        <f>0</f>
        <v>0</v>
      </c>
      <c r="U185" s="3110">
        <f>0</f>
        <v>0</v>
      </c>
      <c r="V185" s="3110">
        <f>0</f>
        <v>0</v>
      </c>
      <c r="W185" s="3110">
        <f>0</f>
        <v>0</v>
      </c>
      <c r="X185" s="3110">
        <f>0</f>
        <v>0</v>
      </c>
      <c r="Y185" s="3110">
        <f>0</f>
        <v>0</v>
      </c>
      <c r="Z185" s="3110">
        <f>0</f>
        <v>0</v>
      </c>
      <c r="AA185" s="3110">
        <f>0</f>
        <v>0</v>
      </c>
      <c r="AB185" s="3110">
        <f>0</f>
        <v>0</v>
      </c>
      <c r="AC185" s="3110">
        <f>0</f>
        <v>0</v>
      </c>
      <c r="AD185" s="3110">
        <f>0</f>
        <v>0</v>
      </c>
      <c r="AE185" s="3112">
        <f>0</f>
        <v>0</v>
      </c>
      <c r="AF185" s="3112">
        <f>0</f>
        <v>0</v>
      </c>
      <c r="AG185" s="3112">
        <f>0</f>
        <v>0</v>
      </c>
      <c r="AH185" s="3110">
        <f>0</f>
        <v>0</v>
      </c>
      <c r="AI185" s="3110">
        <f>0</f>
        <v>0</v>
      </c>
      <c r="AJ185" s="3110">
        <f>0</f>
        <v>0</v>
      </c>
      <c r="AK185" s="3110">
        <f>0</f>
        <v>0</v>
      </c>
      <c r="AL185" s="3110">
        <f>0</f>
        <v>0</v>
      </c>
      <c r="AM185" s="3112">
        <f>0</f>
        <v>0</v>
      </c>
      <c r="AN185" s="3110">
        <f>0</f>
        <v>0</v>
      </c>
      <c r="AO185" s="3110">
        <f>0</f>
        <v>0</v>
      </c>
      <c r="AP185" s="3110">
        <f>0</f>
        <v>0</v>
      </c>
      <c r="AQ185" s="3110">
        <f>0</f>
        <v>0</v>
      </c>
      <c r="AR185" s="3110">
        <f>0</f>
        <v>0</v>
      </c>
      <c r="AS185" s="3110">
        <f>0</f>
        <v>0</v>
      </c>
      <c r="AT185" s="3110">
        <f>Y_CASTO_H2_ana_high/Y_CASTO_SB_ana</f>
        <v>3.4999999999999996</v>
      </c>
      <c r="AU185" s="3110">
        <f>(i_CIT_SB-i_CIT_VFA*(1-Y_CASTO_SB_ana-Y_CASTO_H2_ana_high)-i_CIT_PHA*Y_CASTO_SB_ana)/Y_CASTO_SB_ana</f>
        <v>0.46449999999999952</v>
      </c>
      <c r="AV185" s="3112">
        <f>i_INORG</f>
        <v>0.11</v>
      </c>
      <c r="AW185" s="3112">
        <f>-i_INORG*(1-i_Ca_INORG*(A_MCa+2*A_MCl)/A_MCa-i_Mg_INORG*(A_MMg+2*A_MCl)/A_MMg)*f_Na</f>
        <v>-2.8804303582798466E-2</v>
      </c>
      <c r="AX185" s="3112">
        <f>-i_INORG*(i_Ca_INORG*(2*A_MCl)/A_MCa+i_Mg_INORG*(2*A_MCl)/A_MMg)-i_INORG*(1-i_Ca_INORG*(A_MCa+2*A_MCl)/A_MCa-i_Mg_INORG*(A_MMg+2*A_MCl)/A_MMg)*(1-f_Na)</f>
        <v>-7.0195696417201539E-2</v>
      </c>
      <c r="AY185" s="3112">
        <f>-i_INORG*i_Ca_INORG</f>
        <v>-5.5000000000000005E-3</v>
      </c>
      <c r="AZ185" s="3112">
        <f>-i_INORG*i_Mg_INORG</f>
        <v>-5.5000000000000005E-3</v>
      </c>
      <c r="BA185" s="3112">
        <f>0</f>
        <v>0</v>
      </c>
      <c r="BB185" s="3112">
        <f>0</f>
        <v>0</v>
      </c>
      <c r="BC185" s="3112">
        <f>1/Y_CASTO_SB_ana*i_S_SB</f>
        <v>1.4999999999999999E-2</v>
      </c>
      <c r="BD185" s="3112">
        <f>0</f>
        <v>0</v>
      </c>
      <c r="BE185" s="3112">
        <f>0</f>
        <v>0</v>
      </c>
      <c r="BF185" s="3112">
        <f>0</f>
        <v>0</v>
      </c>
      <c r="BG185" s="3112">
        <f>0</f>
        <v>0</v>
      </c>
      <c r="BH185" s="3112">
        <f>0</f>
        <v>0</v>
      </c>
      <c r="BI185" s="3112">
        <f>0</f>
        <v>0</v>
      </c>
      <c r="BJ185" s="3112">
        <f>0</f>
        <v>0</v>
      </c>
      <c r="BK185" s="3112">
        <f>0</f>
        <v>0</v>
      </c>
      <c r="BL185" s="3112">
        <f>0</f>
        <v>0</v>
      </c>
      <c r="BM185" s="3112">
        <f>0</f>
        <v>0</v>
      </c>
      <c r="BN185" s="3112">
        <f>0</f>
        <v>0</v>
      </c>
      <c r="BO185" s="3112">
        <f>0</f>
        <v>0</v>
      </c>
      <c r="BP185" s="3112">
        <f>0</f>
        <v>0</v>
      </c>
      <c r="BQ185" s="3112">
        <f>0</f>
        <v>0</v>
      </c>
      <c r="BR185" s="3112">
        <f>0</f>
        <v>0</v>
      </c>
      <c r="BS185" s="3112">
        <f>0</f>
        <v>0</v>
      </c>
      <c r="BT185" s="3112">
        <f>0</f>
        <v>0</v>
      </c>
      <c r="BU185" s="3112">
        <f>0</f>
        <v>0</v>
      </c>
      <c r="BV185" s="3112">
        <f>0</f>
        <v>0</v>
      </c>
      <c r="BW185" s="3112">
        <f>0</f>
        <v>0</v>
      </c>
      <c r="BX185" s="3112">
        <f>0</f>
        <v>0</v>
      </c>
      <c r="BY185" s="3112">
        <f>0</f>
        <v>0</v>
      </c>
      <c r="BZ185" s="3188">
        <f>0</f>
        <v>0</v>
      </c>
      <c r="CA185" s="3188">
        <f>0</f>
        <v>0</v>
      </c>
      <c r="CB185" s="3188">
        <f>0</f>
        <v>0</v>
      </c>
      <c r="CC185" s="3188">
        <f>0</f>
        <v>0</v>
      </c>
      <c r="CD185" s="3112">
        <f>0</f>
        <v>0</v>
      </c>
      <c r="CE185" s="3112">
        <f>0</f>
        <v>0</v>
      </c>
      <c r="CF185" s="3112">
        <f>0</f>
        <v>0</v>
      </c>
      <c r="CG185" s="3112">
        <f>0</f>
        <v>0</v>
      </c>
      <c r="CH185" s="3112">
        <f>0</f>
        <v>0</v>
      </c>
      <c r="CI185" s="3112">
        <f>0</f>
        <v>0</v>
      </c>
      <c r="CJ185" s="3112">
        <f>0</f>
        <v>0</v>
      </c>
      <c r="CK185" s="3112">
        <f>0</f>
        <v>0</v>
      </c>
      <c r="CL185" s="3112">
        <f>0</f>
        <v>0</v>
      </c>
      <c r="CM185" s="3112">
        <f>0</f>
        <v>0</v>
      </c>
      <c r="CN185" s="3112">
        <f>0</f>
        <v>0</v>
      </c>
      <c r="CO185" s="3112">
        <f>0</f>
        <v>0</v>
      </c>
      <c r="CP185" s="3112">
        <f>0</f>
        <v>0</v>
      </c>
      <c r="CQ185" s="3112">
        <f>0</f>
        <v>0</v>
      </c>
      <c r="CR185" s="3112">
        <f>0</f>
        <v>0</v>
      </c>
      <c r="CS185" s="3112">
        <f>0</f>
        <v>0</v>
      </c>
      <c r="CT185" s="3112">
        <f>0</f>
        <v>0</v>
      </c>
      <c r="CU185" s="3112">
        <f>0</f>
        <v>0</v>
      </c>
      <c r="CV185" s="3222">
        <f>µ_FERM_PAO_T*X_CASTO*actferm_PAO_ORP*L_ogsatSVFA_KVFA_FERM*M_satSB_KSB_ana*M_satSNHx_KNHx_BIO*M_satSPO4_KPO4_BIO*M_satSCAT_KCAT*M_satSAN_KAN*M_satSCa_KCa*M_satSMg_KMg*M_satSSO4_KSO4_BIO*B_ellinhpH</f>
        <v>1.7819636055155652E-225</v>
      </c>
      <c r="CX185" s="2838">
        <f>E287*E185+F287*F185+G287*G185+H287*H185+I287*I185+J287*J185+K287*K185+L287*L185+M287*M185+N287*N185+O287*O185+P287*P185+Q287*Q185+R287*R185+S287*S185+T287*T185+U287*U185+V287*V185+W287*W185+X287*X185+Y287*Y185+Z287*Z185+AA287*AA185+AB287*AB185+AC287*AC185+AD287*AD185+AE287*AE185+AF287*AF185+AG287*AG185+AH287*AH185+AI287*AI185+AJ287*AJ185+AK287*AK185+AL287*AL185+AM287*AM185+AN287*AN185+AO287*AO185+AP287*AP185+AQ287*AQ185+AR287*AR185+AS287*AS185+AT287*AT185+AU287*AU185+AV287*AV185+AW287*AW185+AX287*AX185+AY287*AY185+AZ287*AZ185+BA287*BA185+BB287*BB185+BC287*BC185+BD287*BD185+BE287*BE185+BF287*BF185+BG287*BG185+BH287*BH185+BI287*BI185+BJ287*BJ185+BK287*BK185+BL287*BL185+BM287*BM185+BN287*BN185+BO287*BO185+BP287*BP185+BQ287*BQ185+BR287*BR185+BS287*BS185+BT287*BT185+BU287*BU185+BV287*BV185+BW287*BW185+BX287*BX185+BY287*BY185+BZ287*BZ185+CA287*CA185+CB287*CB185+CC287*CC185+CD287*CD185+CE287*CE185+CF287*CF185+CG287*CG185+CH287*CH185+CI287*CI185+CJ287*CJ185+CK287*CK185+CL287*CL185+CM287*CM185+CN287*CN185+CO287*CO185+CP287*CP185+CQ287*CQ185+CR287*CR185+CS287*CS185+CT287*CT185+CU287*CU185</f>
        <v>-4.4408920985006262E-16</v>
      </c>
      <c r="CY185" s="2838">
        <f>E288*E185+F288*F185+G288*G185+H288*H185+I288*I185+J288*J185+K288*K185+L288*L185+M288*M185+N288*N185+O288*O185+P288*P185+Q288*Q185+R288*R185+S288*S185+T288*T185+U288*U185+V288*V185+W288*W185+X288*X185+Y288*Y185+Z288*Z185+AA288*AA185+AB288*AB185+AC288*AC185+AD288*AD185+AE288*AE185+AF288*AF185+AG288*AG185+AH288*AH185+AI288*AI185+AJ288*AJ185+AK288*AK185+AL288*AL185+AM288*AM185+AN288*AN185+AO288*AO185+AP288*AP185+AQ288*AQ185+AR288*AR185+AS288*AS185+AT288*AT185+AU288*AU185+AV288*AV185+AW288*AW185+AX288*AX185+AY288*AY185+AZ288*AZ185+BA288*BA185+BB288*BB185+BC288*BC185+BD288*BD185+BE288*BE185+BF288*BF185+BG288*BG185+BH288*BH185+BI288*BI185+BJ288*BJ185+BK288*BK185+BL288*BL185+BM288*BM185+BN288*BN185+BO288*BO185+BP288*BP185+BQ288*BQ185+BR288*BR185+BS288*BS185+BT288*BT185+BU288*BU185+BV288*BV185+BW288*BW185+BX288*BX185+BY288*BY185+BZ288*BZ185+CA288*CA185+CB288*CB185+CC288*CC185+CD288*CD185+CE288*CE185+CF288*CF185+CG288*CG185+CH288*CH185+CI288*CI185+CJ288*CJ185+CK288*CK185+CL288*CL185+CM288*CM185+CN288*CN185+CO288*CO185+CP288*CP185+CQ288*CQ185+CR288*CR185+CS288*CS185+CT288*CT185+CU288*CU185</f>
        <v>-3.3306690738754696E-16</v>
      </c>
      <c r="CZ185" s="2839">
        <f>E289*E185+F289*F185+G289*G185+H289*H185+I289*I185+J289*J185+K289*K185+L289*L185+M289*M185+N289*N185+O289*O185+P289*P185+Q289*Q185+R289*R185+S289*S185+T289*T185+U289*U185+V289*V185+W289*W185+X289*X185+Y289*Y185+Z289*Z185+AA289*AA185+AB289*AB185+AC289*AC185+AD289*AD185+AE289*AE185+AF289*AF185+AG289*AG185+AH289*AH185+AI289*AI185+AJ289*AJ185+AK289*AK185+AL289*AL185+AM289*AM185+AN289*AN185+AO289*AO185+AP289*AP185+AQ289*AQ185+AR289*AR185+AS289*AS185+AT289*AT185+AU289*AU185+AV289*AV185+AW289*AW185+AX289*AX185+AY289*AY185+AZ289*AZ185+BA289*BA185+BB289*BB185+BC289*BC185+BD289*BD185+BE289*BE185+BF289*BF185+BG289*BG185+BH289*BH185+BI289*BI185+BJ289*BJ185+BK289*BK185+BL289*BL185+BM289*BM185+BN289*BN185+BO289*BO185+BP289*BP185+BQ289*BQ185+BR289*BR185+BS289*BS185+BT289*BT185+BU289*BU185+BV289*BV185+BW289*BW185+BX289*BX185+BY289*BY185+BZ289*BZ185+CA289*CA185+CB289*CB185+CC289*CC185+CD289*CD185+CE289*CE185+CF289*CF185+CG289*CG185+CH289*CH185+CI289*CI185+CJ289*CJ185+CK289*CK185+CL289*CL185+CM289*CM185+CN289*CN185+CO289*CO185+CP289*CP185+CQ289*CQ185+CR289*CR185+CS289*CS185+CT289*CT185+CU289*CU185</f>
        <v>0</v>
      </c>
      <c r="DA185" s="2840">
        <f>E290*E185+F290*F185+G290*G185+H290*H185+I290*I185+J290*J185+K290*K185+L290*L185+M290*M185+N290*N185+O290*O185+P290*P185+Q290*Q185+R290*R185+S290*S185+T290*T185+U290*U185+V290*V185+W290*W185+X290*X185+Y290*Y185+Z290*Z185+AA290*AA185+AB290*AB185+AC290*AC185+AD290*AD185+AE290*AE185+AF290*AF185+AG290*AG185+AH290*AH185+AI290*AI185+AJ290*AJ185+AK290*AK185+AL290*AL185+AM290*AM185+AN290*AN185+AO290*AO185+AP290*AP185+AQ290*AQ185+AR290*AR185+AS290*AS185+AT290*AT185+AU290*AU185+AV290*AV185+AW290*AW185+AX290*AX185+AY290*AY185+AZ290*AZ185+BA290*BA185+BB290*BB185+BC290*BC185+BD290*BD185+BE290*BE185+BF290*BF185+BG290*BG185+BH290*BH185+BI290*BI185+BJ290*BJ185+BK290*BK185+BL290*BL185+BM290*BM185+BN290*BN185+BO290*BO185+BP290*BP185+BQ290*BQ185+BR290*BR185+BS290*BS185+BT290*BT185+BU290*BU185+BV290*BV185+BW290*BW185+BX290*BX185+BY290*BY185+BZ290*BZ185+CA290*CA185+CB290*CB185+CC290*CC185+CD290*CD185+CE290*CE185+CF290*CF185+CG290*CG185+CH290*CH185+CI290*CI185+CJ290*CJ185+CK290*CK185+CL290*CL185+CM290*CM185+CN290*CN185+CO290*CO185+CP290*CP185+CQ290*CQ185+CR290*CR185+CS290*CS185+CT290*CT185+CU290*CU185</f>
        <v>0</v>
      </c>
      <c r="DB185" s="2840">
        <f>E291*E185+F291*F185+G291*G185+H291*H185+I291*I185+J291*J185+K291*K185+L291*L185+M291*M185+N291*N185+O291*O185+P291*P185+Q291*Q185+R291*R185+S291*S185+T291*T185+U291*U185+V291*V185+W291*W185+X291*X185+Y291*Y185+Z291*Z185+AA291*AA185+AB291*AB185+AC291*AC185+AD291*AD185+AE291*AE185+AF291*AF185+AG291*AG185+AH291*AH185+AI291*AI185+AJ291*AJ185+AK291*AK185+AL291*AL185+AM291*AM185+AN291*AN185+AO291*AO185+AP291*AP185+AQ291*AQ185+AR291*AR185+AS291*AS185+AT291*AT185+AU291*AU185+AV291*AV185+AW291*AW185+AX291*AX185+AY291*AY185+AZ291*AZ185+BA291*BA185+BB291*BB185+BC291*BC185+BD291*BD185+BE291*BE185+BF291*BF185+BG291*BG185+BH291*BH185+BI291*BI185+BJ291*BJ185+BK291*BK185+BL291*BL185+BM291*BM185+BN291*BN185+BO291*BO185+BP291*BP185+BQ291*BQ185+BR291*BR185+BS291*BS185+BT291*BT185+BU291*BU185+BV291*BV185+BW291*BW185+BX291*BX185+BY291*BY185+BZ291*BZ185+CA291*CA185+CB291*CB185+CC291*CC185+CD291*CD185+CE291*CE185+CF291*CF185+CG291*CG185+CH291*CH185+CI291*CI185+CJ291*CJ185+CK291*CK185+CL291*CL185+CM291*CM185+CN291*CN185+CO291*CO185+CP291*CP185+CQ291*CQ185+CR291*CR185+CS291*CS185+CT291*CT185+CU291*CU185</f>
        <v>0</v>
      </c>
      <c r="DC185" s="2840">
        <f>E292*E185+F292*F185+G292*G185+H292*H185+I292*I185+J292*J185+K292*K185+L292*L185+M292*M185+N292*N185+O292*O185+P292*P185+Q292*Q185+R292*R185+S292*S185+T292*T185+U292*U185+V292*V185+W292*W185+X292*X185+Y292*Y185+Z292*Z185+AA292*AA185+AB292*AB185+AC292*AC185+AD292*AD185+AE292*AE185+AF292*AF185+AG292*AG185+AH292*AH185+AI292*AI185+AJ292*AJ185+AK292*AK185+AL292*AL185+AM292*AM185+AN292*AN185+AO292*AO185+AP292*AP185+AQ292*AQ185+AR292*AR185+AS292*AS185+AT292*AT185+AU292*AU185+AV292*AV185+AW292*AW185+AX292*AX185+AY292*AY185+AZ292*AZ185+BA292*BA185+BB292*BB185+BC292*BC185+BD292*BD185+BE292*BE185+BF292*BF185+BG292*BG185+BH292*BH185+BI292*BI185+BJ292*BJ185+BK292*BK185+BL292*BL185+BM292*BM185+BN292*BN185+BO292*BO185+BP292*BP185+BQ292*BQ185+BR292*BR185+BS292*BS185+BT292*BT185+BU292*BU185+BV292*BV185+BW292*BW185+BX292*BX185+BY292*BY185+BZ292*BZ185+CA292*CA185+CB292*CB185+CC292*CC185+CD292*CD185+CE292*CE185+CF292*CF185+CG292*CG185+CH292*CH185+CI292*CI185+CJ292*CJ185+CK292*CK185+CL292*CL185+CM292*CM185+CN292*CN185+CO292*CO185+CP292*CP185+CQ292*CQ185+CR292*CR185+CS292*CS185+CT292*CT185+CU292*CU185</f>
        <v>0</v>
      </c>
      <c r="DD185" s="2840">
        <f>E293*E185+F293*F185+G293*G185+H293*H185+I293*I185+J293*J185+K293*K185+L293*L185+M293*M185+N293*N185+O293*O185+P293*P185+Q293*Q185+R293*R185+S293*S185+T293*T185+U293*U185+V293*V185+W293*W185+X293*X185+Y293*Y185+Z293*Z185+AA293*AA185+AB293*AB185+AC293*AC185+AD293*AD185+AE293*AE185+AF293*AF185+AG293*AG185+AH293*AH185+AI293*AI185+AJ293*AJ185+AK293*AK185+AL293*AL185+AM293*AM185+AN293*AN185+AO293*AO185+AP293*AP185+AQ293*AQ185+AR293*AR185+AS293*AS185+AT293*AT185+AU293*AU185+AV293*AV185+AW293*AW185+AX293*AX185+AY293*AY185+AZ293*AZ185+BA293*BA185+BB293*BB185+BC293*BC185+BD293*BD185+BE293*BE185+BF293*BF185+BG293*BG185+BH293*BH185+BI293*BI185+BJ293*BJ185+BK293*BK185+BL293*BL185+BM293*BM185+BN293*BN185+BO293*BO185+BP293*BP185+BQ293*BQ185+BR293*BR185+BS293*BS185+BT293*BT185+BU293*BU185+BV293*BV185+BW293*BW185+BX293*BX185+BY293*BY185+BZ293*BZ185+CA293*CA185+CB293*CB185+CC293*CC185+CD293*CD185+CE293*CE185+CF293*CF185+CG293*CG185+CH293*CH185+CI293*CI185+CJ293*CJ185+CK293*CK185+CL293*CL185+CM293*CM185+CN293*CN185+CO293*CO185+CP293*CP185+CQ293*CQ185+CR293*CR185+CS293*CS185+CT293*CT185+CU293*CU185</f>
        <v>0</v>
      </c>
      <c r="DE185" s="2840">
        <f>E294*E185+F294*F185+G294*G185+H294*H185+I294*I185+J294*J185+K294*K185+L294*L185+M294*M185+N294*N185+O294*O185+P294*P185+Q294*Q185+R294*R185+S294*S185+T294*T185+U294*U185+V294*V185+W294*W185+X294*X185+Y294*Y185+Z294*Z185+AA294*AA185+AB294*AB185+AC294*AC185+AD294*AD185+AE294*AE185+AF294*AF185+AG294*AG185+AH294*AH185+AI294*AI185+AJ294*AJ185+AK294*AK185+AL294*AL185+AM294*AM185+AN294*AN185+AO294*AO185+AP294*AP185+AQ294*AQ185+AR294*AR185+AS294*AS185+AT294*AT185+AU294*AU185+AV294*AV185+AW294*AW185+AX294*AX185+AY294*AY185+AZ294*AZ185+BA294*BA185+BB294*BB185+BC294*BC185+BD294*BD185+BE294*BE185+BF294*BF185+BG294*BG185+BH294*BH185+BI294*BI185+BJ294*BJ185+BK294*BK185+BL294*BL185+BM294*BM185+BN294*BN185+BO294*BO185+BP294*BP185+BQ294*BQ185+BR294*BR185+BS294*BS185+BT294*BT185+BU294*BU185+BV294*BV185+BW294*BW185+BX294*BX185+BY294*BY185+BZ294*BZ185+CA294*CA185+CB294*CB185+CC294*CC185+CD294*CD185+CE294*CE185+CF294*CF185+CG294*CG185+CH294*CH185+CI294*CI185+CJ294*CJ185+CK294*CK185+CL294*CL185+CM294*CM185+CN294*CN185+CO294*CO185+CP294*CP185+CQ294*CQ185+CR294*CR185+CS294*CS185+CT294*CT185+CU294*CU185</f>
        <v>0</v>
      </c>
      <c r="DF185" s="2840">
        <f>E295*E185+F295*F185+G295*G185+H295*H185+I295*I185+J295*J185+K295*K185+L295*L185+M295*M185+N295*N185+O295*O185+P295*P185+Q295*Q185+R295*R185+S295*S185+T295*T185+U295*U185+V295*V185+W295*W185+X295*X185+Y295*Y185+Z295*Z185+AA295*AA185+AB295*AB185+AC295*AC185+AD295*AD185+AE295*AE185+AF295*AF185+AG295*AG185+AH295*AH185+AI295*AI185+AJ295*AJ185+AK295*AK185+AL295*AL185+AM295*AM185+AN295*AN185+AO295*AO185+AP295*AP185+AQ295*AQ185+AR295*AR185+AS295*AS185+AT295*AT185+AU295*AU185+AV295*AV185+AW295*AW185+AX295*AX185+AY295*AY185+AZ295*AZ185+BA295*BA185+BB295*BB185+BC295*BC185+BD295*BD185+BE295*BE185+BF295*BF185+BG295*BG185+BH295*BH185+BI295*BI185+BJ295*BJ185+BK295*BK185+BL295*BL185+BM295*BM185+BN295*BN185+BO295*BO185+BP295*BP185+BQ295*BQ185+BR295*BR185+BS295*BS185+BT295*BT185+BU295*BU185+BV295*BV185+BW295*BW185+BX295*BX185+BY295*BY185+BZ295*BZ185+CA295*CA185+CB295*CB185+CC295*CC185+CD295*CD185+CE295*CE185+CF295*CF185+CG295*CG185+CH295*CH185+CI295*CI185+CJ295*CJ185+CK295*CK185+CL295*CL185+CM295*CM185+CN295*CN185+CO295*CO185+CP295*CP185+CQ295*CQ185+CR295*CR185+CS295*CS185+CT295*CT185+CU295*CU185</f>
        <v>0</v>
      </c>
      <c r="DG185" s="2840">
        <f>E296*E185+F296*F185+G296*G185+H296*H185+I296*I185+J296*J185+K296*K185+L296*L185+M296*M185+N296*N185+O296*O185+P296*P185+Q296*Q185+R296*R185+S296*S185+T296*T185+U296*U185+V296*V185+W296*W185+X296*X185+Y296*Y185+Z296*Z185+AA296*AA185+AB296*AB185+AC296*AC185+AD296*AD185+AE296*AE185+AF296*AF185+AG296*AG185+AH296*AH185+AI296*AI185+AJ296*AJ185+AK296*AK185+AL296*AL185+AM296*AM185+AN296*AN185+AO296*AO185+AP296*AP185+AQ296*AQ185+AR296*AR185+AS296*AS185+AT296*AT185+AU296*AU185+AV296*AV185+AW296*AW185+AX296*AX185+AY296*AY185+AZ296*AZ185+BA296*BA185+BB296*BB185+BC296*BC185+BD296*BD185+BE296*BE185+BF296*BF185+BG296*BG185+BH296*BH185+BI296*BI185+BJ296*BJ185+BK296*BK185+BL296*BL185+BM296*BM185+BN296*BN185+BO296*BO185+BP296*BP185+BQ296*BQ185+BR296*BR185+BS296*BS185+BT296*BT185+BU296*BU185+BV296*BV185+BW296*BW185+BX296*BX185+BY296*BY185+BZ296*BZ185+CA296*CA185+CB296*CB185+CC296*CC185+CD296*CD185+CE296*CE185+CF296*CF185+CG296*CG185+CH296*CH185+CI296*CI185+CJ296*CJ185+CK296*CK185+CL296*CL185+CM296*CM185+CN296*CN185+CO296*CO185+CP296*CP185+CQ296*CQ185+CR296*CR185+CS296*CS185+CT296*CT185+CU296*CU185</f>
        <v>0</v>
      </c>
      <c r="DH185" s="2840">
        <f>E297*E185+F297*F185+G297*G185+H297*H185+I297*I185+J297*J185+K297*K185+L297*L185+M297*M185+N297*N185+O297*O185+P297*P185+Q297*Q185+R297*R185+S297*S185+T297*T185+U297*U185+V297*V185+W297*W185+X297*X185+Y297*Y185+Z297*Z185+AA297*AA185+AB297*AB185+AC297*AC185+AD297*AD185+AE297*AE185+AF297*AF185+AG297*AG185+AH297*AH185+AI297*AI185+AJ297*AJ185+AK297*AK185+AL297*AL185+AM297*AM185+AN297*AN185+AO297*AO185+AP297*AP185+AQ297*AQ185+AR297*AR185+AS297*AS185+AT297*AT185+AU297*AU185+AV297*AV185+AW297*AW185+AX297*AX185+AY297*AY185+AZ297*AZ185+BA297*BA185+BB297*BB185+BC297*BC185+BD297*BD185+BE297*BE185+BF297*BF185+BG297*BG185+BH297*BH185+BI297*BI185+BJ297*BJ185+BK297*BK185+BL297*BL185+BM297*BM185+BN297*BN185+BO297*BO185+BP297*BP185+BQ297*BQ185+BR297*BR185+BS297*BS185+BT297*BT185+BU297*BU185+BV297*BV185+BW297*BW185+BX297*BX185+BY297*BY185+BZ297*BZ185+CA297*CA185+CB297*CB185+CC297*CC185+CD297*CD185+CE297*CE185+CF297*CF185+CG297*CG185+CH297*CH185+CI297*CI185+CJ297*CJ185+CK297*CK185+CL297*CL185+CM297*CM185+CN297*CN185+CO297*CO185+CP297*CP185+CQ297*CQ185+CR297*CR185+CS297*CS185+CT297*CT185+CU297*CU185</f>
        <v>0</v>
      </c>
      <c r="DI185" s="2840">
        <f>E298*E185+F298*F185+G298*G185+H298*H185+I298*I185+J298*J185+K298*K185+L298*L185+M298*M185+N298*N185+O298*O185+P298*P185+Q298*Q185+R298*R185+S298*S185+T298*T185+U298*U185+V298*V185+W298*W185+X298*X185+Y298*Y185+Z298*Z185+AA298*AA185+AB298*AB185+AC298*AC185+AD298*AD185+AE298*AE185+AF298*AF185+AG298*AG185+AH298*AH185+AI298*AI185+AJ298*AJ185+AK298*AK185+AL298*AL185+AM298*AM185+AN298*AN185+AO298*AO185+AP298*AP185+AQ298*AQ185+AR298*AR185+AS298*AS185+AT298*AT185+AU298*AU185+AV298*AV185+AW298*AW185+AX298*AX185+AY298*AY185+AZ298*AZ185+BA298*BA185+BB298*BB185+BC298*BC185+BD298*BD185+BE298*BE185+BF298*BF185+BG298*BG185+BH298*BH185+BI298*BI185+BJ298*BJ185+BK298*BK185+BL298*BL185+BM298*BM185+BN298*BN185+BO298*BO185+BP298*BP185+BQ298*BQ185+BR298*BR185+BS298*BS185+BT298*BT185+BU298*BU185+BV298*BV185+BW298*BW185+BX298*BX185+BY298*BY185+BZ298*BZ185+CA298*CA185+CB298*CB185+CC298*CC185+CD298*CD185+CE298*CE185+CF298*CF185+CG298*CG185+CH298*CH185+CI298*CI185+CJ298*CJ185+CK298*CK185+CL298*CL185+CM298*CM185+CN298*CN185+CO298*CO185+CP298*CP185+CQ298*CQ185+CR298*CR185+CS298*CS185+CT298*CT185+CU298*CU185</f>
        <v>0</v>
      </c>
    </row>
    <row r="186" spans="2:113" ht="18" x14ac:dyDescent="0.25">
      <c r="B186" s="2489">
        <v>33</v>
      </c>
      <c r="C186" s="2406" t="s">
        <v>253</v>
      </c>
      <c r="D186" s="2407" t="s">
        <v>3570</v>
      </c>
      <c r="E186" s="3110">
        <f>(1-Y_CASTO_SB_ana-Y_CASTO_H2_ana_low)/Y_CASTO_SB_ana</f>
        <v>8</v>
      </c>
      <c r="F186" s="3112">
        <f>-1/Y_CASTO_SB_ana</f>
        <v>-10</v>
      </c>
      <c r="G186" s="3110">
        <f>0</f>
        <v>0</v>
      </c>
      <c r="H186" s="3110">
        <f>0</f>
        <v>0</v>
      </c>
      <c r="I186" s="3110">
        <f>0</f>
        <v>0</v>
      </c>
      <c r="J186" s="3110">
        <f>0</f>
        <v>0</v>
      </c>
      <c r="K186" s="3110">
        <f>0</f>
        <v>0</v>
      </c>
      <c r="L186" s="3110">
        <f>0</f>
        <v>0</v>
      </c>
      <c r="M186" s="3110">
        <f>0</f>
        <v>0</v>
      </c>
      <c r="N186" s="3112">
        <f>1</f>
        <v>1</v>
      </c>
      <c r="O186" s="3112">
        <f>0</f>
        <v>0</v>
      </c>
      <c r="P186" s="3110">
        <f>0</f>
        <v>0</v>
      </c>
      <c r="Q186" s="3110">
        <f>0</f>
        <v>0</v>
      </c>
      <c r="R186" s="3110">
        <f>0</f>
        <v>0</v>
      </c>
      <c r="S186" s="3110">
        <f>0</f>
        <v>0</v>
      </c>
      <c r="T186" s="3110">
        <f>0</f>
        <v>0</v>
      </c>
      <c r="U186" s="3110">
        <f>0</f>
        <v>0</v>
      </c>
      <c r="V186" s="3110">
        <f>0</f>
        <v>0</v>
      </c>
      <c r="W186" s="3110">
        <f>0</f>
        <v>0</v>
      </c>
      <c r="X186" s="3110">
        <f>0</f>
        <v>0</v>
      </c>
      <c r="Y186" s="3110">
        <f>0</f>
        <v>0</v>
      </c>
      <c r="Z186" s="3110">
        <f>0</f>
        <v>0</v>
      </c>
      <c r="AA186" s="3110">
        <f>0</f>
        <v>0</v>
      </c>
      <c r="AB186" s="3110">
        <f>0</f>
        <v>0</v>
      </c>
      <c r="AC186" s="3110">
        <f>0</f>
        <v>0</v>
      </c>
      <c r="AD186" s="3110">
        <f>0</f>
        <v>0</v>
      </c>
      <c r="AE186" s="3112">
        <f>0</f>
        <v>0</v>
      </c>
      <c r="AF186" s="3112">
        <f>0</f>
        <v>0</v>
      </c>
      <c r="AG186" s="3112">
        <f>0</f>
        <v>0</v>
      </c>
      <c r="AH186" s="3110">
        <f>0</f>
        <v>0</v>
      </c>
      <c r="AI186" s="3110">
        <f>0</f>
        <v>0</v>
      </c>
      <c r="AJ186" s="3110">
        <f>0</f>
        <v>0</v>
      </c>
      <c r="AK186" s="3110">
        <f>0</f>
        <v>0</v>
      </c>
      <c r="AL186" s="3110">
        <f>0</f>
        <v>0</v>
      </c>
      <c r="AM186" s="3112">
        <f>0</f>
        <v>0</v>
      </c>
      <c r="AN186" s="3110">
        <f>0</f>
        <v>0</v>
      </c>
      <c r="AO186" s="3110">
        <f>0</f>
        <v>0</v>
      </c>
      <c r="AP186" s="3110">
        <f>0</f>
        <v>0</v>
      </c>
      <c r="AQ186" s="3110">
        <f>0</f>
        <v>0</v>
      </c>
      <c r="AR186" s="3110">
        <f>0</f>
        <v>0</v>
      </c>
      <c r="AS186" s="3110">
        <f>0</f>
        <v>0</v>
      </c>
      <c r="AT186" s="3110">
        <f>Y_CASTO_H2_ana_low/Y_CASTO_SB_ana</f>
        <v>1</v>
      </c>
      <c r="AU186" s="3110">
        <f>(i_CIT_SB-i_CIT_VFA*(1-Y_CASTO_SB_ana-Y_CASTO_H2_ana_low)-i_CIT_PHA*Y_CASTO_SB_ana)/Y_CASTO_SB_ana</f>
        <v>-0.4730000000000007</v>
      </c>
      <c r="AV186" s="3112">
        <f>i_INORG</f>
        <v>0.11</v>
      </c>
      <c r="AW186" s="3112">
        <f>-i_INORG*(1-i_Ca_INORG*(A_MCa+2*A_MCl)/A_MCa-i_Mg_INORG*(A_MMg+2*A_MCl)/A_MMg)*f_Na</f>
        <v>-2.8804303582798466E-2</v>
      </c>
      <c r="AX186" s="3112">
        <f>-i_INORG*(i_Ca_INORG*(2*A_MCl)/A_MCa+i_Mg_INORG*(2*A_MCl)/A_MMg)-i_INORG*(1-i_Ca_INORG*(A_MCa+2*A_MCl)/A_MCa-i_Mg_INORG*(A_MMg+2*A_MCl)/A_MMg)*(1-f_Na)</f>
        <v>-7.0195696417201539E-2</v>
      </c>
      <c r="AY186" s="3112">
        <f>-i_INORG*i_Ca_INORG</f>
        <v>-5.5000000000000005E-3</v>
      </c>
      <c r="AZ186" s="3112">
        <f>-i_INORG*i_Mg_INORG</f>
        <v>-5.5000000000000005E-3</v>
      </c>
      <c r="BA186" s="3112">
        <f>0</f>
        <v>0</v>
      </c>
      <c r="BB186" s="3112">
        <f>0</f>
        <v>0</v>
      </c>
      <c r="BC186" s="3112">
        <f>1/Y_CASTO_SB_ana*i_S_SB</f>
        <v>1.4999999999999999E-2</v>
      </c>
      <c r="BD186" s="3112">
        <f>0</f>
        <v>0</v>
      </c>
      <c r="BE186" s="3112">
        <f>0</f>
        <v>0</v>
      </c>
      <c r="BF186" s="3112">
        <f>0</f>
        <v>0</v>
      </c>
      <c r="BG186" s="3112">
        <f>0</f>
        <v>0</v>
      </c>
      <c r="BH186" s="3112">
        <f>0</f>
        <v>0</v>
      </c>
      <c r="BI186" s="3112">
        <f>0</f>
        <v>0</v>
      </c>
      <c r="BJ186" s="3112">
        <f>0</f>
        <v>0</v>
      </c>
      <c r="BK186" s="3112">
        <f>0</f>
        <v>0</v>
      </c>
      <c r="BL186" s="3112">
        <f>0</f>
        <v>0</v>
      </c>
      <c r="BM186" s="3112">
        <f>0</f>
        <v>0</v>
      </c>
      <c r="BN186" s="3112">
        <f>0</f>
        <v>0</v>
      </c>
      <c r="BO186" s="3112">
        <f>0</f>
        <v>0</v>
      </c>
      <c r="BP186" s="3112">
        <f>0</f>
        <v>0</v>
      </c>
      <c r="BQ186" s="3112">
        <f>0</f>
        <v>0</v>
      </c>
      <c r="BR186" s="3112">
        <f>0</f>
        <v>0</v>
      </c>
      <c r="BS186" s="3112">
        <f>0</f>
        <v>0</v>
      </c>
      <c r="BT186" s="3112">
        <f>0</f>
        <v>0</v>
      </c>
      <c r="BU186" s="3112">
        <f>0</f>
        <v>0</v>
      </c>
      <c r="BV186" s="3112">
        <f>0</f>
        <v>0</v>
      </c>
      <c r="BW186" s="3112">
        <f>0</f>
        <v>0</v>
      </c>
      <c r="BX186" s="3112">
        <f>0</f>
        <v>0</v>
      </c>
      <c r="BY186" s="3112">
        <f>0</f>
        <v>0</v>
      </c>
      <c r="BZ186" s="3188">
        <f>0</f>
        <v>0</v>
      </c>
      <c r="CA186" s="3188">
        <f>0</f>
        <v>0</v>
      </c>
      <c r="CB186" s="3188">
        <f>0</f>
        <v>0</v>
      </c>
      <c r="CC186" s="3188">
        <f>0</f>
        <v>0</v>
      </c>
      <c r="CD186" s="3112">
        <f>0</f>
        <v>0</v>
      </c>
      <c r="CE186" s="3112">
        <f>0</f>
        <v>0</v>
      </c>
      <c r="CF186" s="3112">
        <f>0</f>
        <v>0</v>
      </c>
      <c r="CG186" s="3112">
        <f>0</f>
        <v>0</v>
      </c>
      <c r="CH186" s="3112">
        <f>0</f>
        <v>0</v>
      </c>
      <c r="CI186" s="3112">
        <f>0</f>
        <v>0</v>
      </c>
      <c r="CJ186" s="3112">
        <f>0</f>
        <v>0</v>
      </c>
      <c r="CK186" s="3112">
        <f>0</f>
        <v>0</v>
      </c>
      <c r="CL186" s="3112">
        <f>0</f>
        <v>0</v>
      </c>
      <c r="CM186" s="3112">
        <f>0</f>
        <v>0</v>
      </c>
      <c r="CN186" s="3112">
        <f>0</f>
        <v>0</v>
      </c>
      <c r="CO186" s="3112">
        <f>0</f>
        <v>0</v>
      </c>
      <c r="CP186" s="3112">
        <f>0</f>
        <v>0</v>
      </c>
      <c r="CQ186" s="3112">
        <f>0</f>
        <v>0</v>
      </c>
      <c r="CR186" s="3112">
        <f>0</f>
        <v>0</v>
      </c>
      <c r="CS186" s="3112">
        <f>0</f>
        <v>0</v>
      </c>
      <c r="CT186" s="3112">
        <f>0</f>
        <v>0</v>
      </c>
      <c r="CU186" s="3112">
        <f>0</f>
        <v>0</v>
      </c>
      <c r="CV186" s="3222">
        <f>µ_FERM_PAO_T*X_CASTO*actferm_PAO_ORP*L_oginhSVFA_KVFA_FERM*M_satSB_KSB_ana*M_satSNHx_KNHx_BIO*M_satSPO4_KPO4_BIO*M_satSCAT_KCAT*M_satSAN_KAN*M_satSCa_KCa*M_satSMg_KMg*M_satSCO2_KCO2_BIO*M_satSSO4_KSO4_BIO*B_ellinhpH</f>
        <v>3.916945824142682E-9</v>
      </c>
      <c r="CX186" s="2838">
        <f>E287*E186+F287*F186+G287*G186+H287*H186+I287*I186+J287*J186+K287*K186+L287*L186+M287*M186+N287*N186+O287*O186+P287*P186+Q287*Q186+R287*R186+S287*S186+T287*T186+U287*U186+V287*V186+W287*W186+X287*X186+Y287*Y186+Z287*Z186+AA287*AA186+AB287*AB186+AC287*AC186+AD287*AD186+AE287*AE186+AF287*AF186+AG287*AG186+AH287*AH186+AI287*AI186+AJ287*AJ186+AK287*AK186+AL287*AL186+AM287*AM186+AN287*AN186+AO287*AO186+AP287*AP186+AQ287*AQ186+AR287*AR186+AS287*AS186+AT287*AT186+AU287*AU186+AV287*AV186+AW287*AW186+AX287*AX186+AY287*AY186+AZ287*AZ186+BA287*BA186+BB287*BB186+BC287*BC186+BD287*BD186+BE287*BE186+BF287*BF186+BG287*BG186+BH287*BH186+BI287*BI186+BJ287*BJ186+BK287*BK186+BL287*BL186+BM287*BM186+BN287*BN186+BO287*BO186+BP287*BP186+BQ287*BQ186+BR287*BR186+BS287*BS186+BT287*BT186+BU287*BU186+BV287*BV186+BW287*BW186+BX287*BX186+BY287*BY186+BZ287*BZ186+CA287*CA186+CB287*CB186+CC287*CC186+CD287*CD186+CE287*CE186+CF287*CF186+CG287*CG186+CH287*CH186+CI287*CI186+CJ287*CJ186+CK287*CK186+CL287*CL186+CM287*CM186+CN287*CN186+CO287*CO186+CP287*CP186+CQ287*CQ186+CR287*CR186+CS287*CS186+CT287*CT186+CU287*CU186</f>
        <v>0</v>
      </c>
      <c r="CY186" s="2838">
        <f>E288*E186+F288*F186+G288*G186+H288*H186+I288*I186+J288*J186+K288*K186+L288*L186+M288*M186+N288*N186+O288*O186+P288*P186+Q288*Q186+R288*R186+S288*S186+T288*T186+U288*U186+V288*V186+W288*W186+X288*X186+Y288*Y186+Z288*Z186+AA288*AA186+AB288*AB186+AC288*AC186+AD288*AD186+AE288*AE186+AF288*AF186+AG288*AG186+AH288*AH186+AI288*AI186+AJ288*AJ186+AK288*AK186+AL288*AL186+AM288*AM186+AN288*AN186+AO288*AO186+AP288*AP186+AQ288*AQ186+AR288*AR186+AS288*AS186+AT288*AT186+AU288*AU186+AV288*AV186+AW288*AW186+AX288*AX186+AY288*AY186+AZ288*AZ186+BA288*BA186+BB288*BB186+BC288*BC186+BD288*BD186+BE288*BE186+BF288*BF186+BG288*BG186+BH288*BH186+BI288*BI186+BJ288*BJ186+BK288*BK186+BL288*BL186+BM288*BM186+BN288*BN186+BO288*BO186+BP288*BP186+BQ288*BQ186+BR288*BR186+BS288*BS186+BT288*BT186+BU288*BU186+BV288*BV186+BW288*BW186+BX288*BX186+BY288*BY186+BZ288*BZ186+CA288*CA186+CB288*CB186+CC288*CC186+CD288*CD186+CE288*CE186+CF288*CF186+CG288*CG186+CH288*CH186+CI288*CI186+CJ288*CJ186+CK288*CK186+CL288*CL186+CM288*CM186+CN288*CN186+CO288*CO186+CP288*CP186+CQ288*CQ186+CR288*CR186+CS288*CS186+CT288*CT186+CU288*CU186</f>
        <v>-5.5511151231257827E-16</v>
      </c>
      <c r="CZ186" s="2839">
        <f>E289*E186+F289*F186+G289*G186+H289*H186+I289*I186+J289*J186+K289*K186+L289*L186+M289*M186+N289*N186+O289*O186+P289*P186+Q289*Q186+R289*R186+S289*S186+T289*T186+U289*U186+V289*V186+W289*W186+X289*X186+Y289*Y186+Z289*Z186+AA289*AA186+AB289*AB186+AC289*AC186+AD289*AD186+AE289*AE186+AF289*AF186+AG289*AG186+AH289*AH186+AI289*AI186+AJ289*AJ186+AK289*AK186+AL289*AL186+AM289*AM186+AN289*AN186+AO289*AO186+AP289*AP186+AQ289*AQ186+AR289*AR186+AS289*AS186+AT289*AT186+AU289*AU186+AV289*AV186+AW289*AW186+AX289*AX186+AY289*AY186+AZ289*AZ186+BA289*BA186+BB289*BB186+BC289*BC186+BD289*BD186+BE289*BE186+BF289*BF186+BG289*BG186+BH289*BH186+BI289*BI186+BJ289*BJ186+BK289*BK186+BL289*BL186+BM289*BM186+BN289*BN186+BO289*BO186+BP289*BP186+BQ289*BQ186+BR289*BR186+BS289*BS186+BT289*BT186+BU289*BU186+BV289*BV186+BW289*BW186+BX289*BX186+BY289*BY186+BZ289*BZ186+CA289*CA186+CB289*CB186+CC289*CC186+CD289*CD186+CE289*CE186+CF289*CF186+CG289*CG186+CH289*CH186+CI289*CI186+CJ289*CJ186+CK289*CK186+CL289*CL186+CM289*CM186+CN289*CN186+CO289*CO186+CP289*CP186+CQ289*CQ186+CR289*CR186+CS289*CS186+CT289*CT186+CU289*CU186</f>
        <v>0</v>
      </c>
      <c r="DA186" s="2840">
        <f>E290*E186+F290*F186+G290*G186+H290*H186+I290*I186+J290*J186+K290*K186+L290*L186+M290*M186+N290*N186+O290*O186+P290*P186+Q290*Q186+R290*R186+S290*S186+T290*T186+U290*U186+V290*V186+W290*W186+X290*X186+Y290*Y186+Z290*Z186+AA290*AA186+AB290*AB186+AC290*AC186+AD290*AD186+AE290*AE186+AF290*AF186+AG290*AG186+AH290*AH186+AI290*AI186+AJ290*AJ186+AK290*AK186+AL290*AL186+AM290*AM186+AN290*AN186+AO290*AO186+AP290*AP186+AQ290*AQ186+AR290*AR186+AS290*AS186+AT290*AT186+AU290*AU186+AV290*AV186+AW290*AW186+AX290*AX186+AY290*AY186+AZ290*AZ186+BA290*BA186+BB290*BB186+BC290*BC186+BD290*BD186+BE290*BE186+BF290*BF186+BG290*BG186+BH290*BH186+BI290*BI186+BJ290*BJ186+BK290*BK186+BL290*BL186+BM290*BM186+BN290*BN186+BO290*BO186+BP290*BP186+BQ290*BQ186+BR290*BR186+BS290*BS186+BT290*BT186+BU290*BU186+BV290*BV186+BW290*BW186+BX290*BX186+BY290*BY186+BZ290*BZ186+CA290*CA186+CB290*CB186+CC290*CC186+CD290*CD186+CE290*CE186+CF290*CF186+CG290*CG186+CH290*CH186+CI290*CI186+CJ290*CJ186+CK290*CK186+CL290*CL186+CM290*CM186+CN290*CN186+CO290*CO186+CP290*CP186+CQ290*CQ186+CR290*CR186+CS290*CS186+CT290*CT186+CU290*CU186</f>
        <v>0</v>
      </c>
      <c r="DB186" s="2840">
        <f>E291*E186+F291*F186+G291*G186+H291*H186+I291*I186+J291*J186+K291*K186+L291*L186+M291*M186+N291*N186+O291*O186+P291*P186+Q291*Q186+R291*R186+S291*S186+T291*T186+U291*U186+V291*V186+W291*W186+X291*X186+Y291*Y186+Z291*Z186+AA291*AA186+AB291*AB186+AC291*AC186+AD291*AD186+AE291*AE186+AF291*AF186+AG291*AG186+AH291*AH186+AI291*AI186+AJ291*AJ186+AK291*AK186+AL291*AL186+AM291*AM186+AN291*AN186+AO291*AO186+AP291*AP186+AQ291*AQ186+AR291*AR186+AS291*AS186+AT291*AT186+AU291*AU186+AV291*AV186+AW291*AW186+AX291*AX186+AY291*AY186+AZ291*AZ186+BA291*BA186+BB291*BB186+BC291*BC186+BD291*BD186+BE291*BE186+BF291*BF186+BG291*BG186+BH291*BH186+BI291*BI186+BJ291*BJ186+BK291*BK186+BL291*BL186+BM291*BM186+BN291*BN186+BO291*BO186+BP291*BP186+BQ291*BQ186+BR291*BR186+BS291*BS186+BT291*BT186+BU291*BU186+BV291*BV186+BW291*BW186+BX291*BX186+BY291*BY186+BZ291*BZ186+CA291*CA186+CB291*CB186+CC291*CC186+CD291*CD186+CE291*CE186+CF291*CF186+CG291*CG186+CH291*CH186+CI291*CI186+CJ291*CJ186+CK291*CK186+CL291*CL186+CM291*CM186+CN291*CN186+CO291*CO186+CP291*CP186+CQ291*CQ186+CR291*CR186+CS291*CS186+CT291*CT186+CU291*CU186</f>
        <v>0</v>
      </c>
      <c r="DC186" s="2840">
        <f>E292*E186+F292*F186+G292*G186+H292*H186+I292*I186+J292*J186+K292*K186+L292*L186+M292*M186+N292*N186+O292*O186+P292*P186+Q292*Q186+R292*R186+S292*S186+T292*T186+U292*U186+V292*V186+W292*W186+X292*X186+Y292*Y186+Z292*Z186+AA292*AA186+AB292*AB186+AC292*AC186+AD292*AD186+AE292*AE186+AF292*AF186+AG292*AG186+AH292*AH186+AI292*AI186+AJ292*AJ186+AK292*AK186+AL292*AL186+AM292*AM186+AN292*AN186+AO292*AO186+AP292*AP186+AQ292*AQ186+AR292*AR186+AS292*AS186+AT292*AT186+AU292*AU186+AV292*AV186+AW292*AW186+AX292*AX186+AY292*AY186+AZ292*AZ186+BA292*BA186+BB292*BB186+BC292*BC186+BD292*BD186+BE292*BE186+BF292*BF186+BG292*BG186+BH292*BH186+BI292*BI186+BJ292*BJ186+BK292*BK186+BL292*BL186+BM292*BM186+BN292*BN186+BO292*BO186+BP292*BP186+BQ292*BQ186+BR292*BR186+BS292*BS186+BT292*BT186+BU292*BU186+BV292*BV186+BW292*BW186+BX292*BX186+BY292*BY186+BZ292*BZ186+CA292*CA186+CB292*CB186+CC292*CC186+CD292*CD186+CE292*CE186+CF292*CF186+CG292*CG186+CH292*CH186+CI292*CI186+CJ292*CJ186+CK292*CK186+CL292*CL186+CM292*CM186+CN292*CN186+CO292*CO186+CP292*CP186+CQ292*CQ186+CR292*CR186+CS292*CS186+CT292*CT186+CU292*CU186</f>
        <v>0</v>
      </c>
      <c r="DD186" s="2840">
        <f>E293*E186+F293*F186+G293*G186+H293*H186+I293*I186+J293*J186+K293*K186+L293*L186+M293*M186+N293*N186+O293*O186+P293*P186+Q293*Q186+R293*R186+S293*S186+T293*T186+U293*U186+V293*V186+W293*W186+X293*X186+Y293*Y186+Z293*Z186+AA293*AA186+AB293*AB186+AC293*AC186+AD293*AD186+AE293*AE186+AF293*AF186+AG293*AG186+AH293*AH186+AI293*AI186+AJ293*AJ186+AK293*AK186+AL293*AL186+AM293*AM186+AN293*AN186+AO293*AO186+AP293*AP186+AQ293*AQ186+AR293*AR186+AS293*AS186+AT293*AT186+AU293*AU186+AV293*AV186+AW293*AW186+AX293*AX186+AY293*AY186+AZ293*AZ186+BA293*BA186+BB293*BB186+BC293*BC186+BD293*BD186+BE293*BE186+BF293*BF186+BG293*BG186+BH293*BH186+BI293*BI186+BJ293*BJ186+BK293*BK186+BL293*BL186+BM293*BM186+BN293*BN186+BO293*BO186+BP293*BP186+BQ293*BQ186+BR293*BR186+BS293*BS186+BT293*BT186+BU293*BU186+BV293*BV186+BW293*BW186+BX293*BX186+BY293*BY186+BZ293*BZ186+CA293*CA186+CB293*CB186+CC293*CC186+CD293*CD186+CE293*CE186+CF293*CF186+CG293*CG186+CH293*CH186+CI293*CI186+CJ293*CJ186+CK293*CK186+CL293*CL186+CM293*CM186+CN293*CN186+CO293*CO186+CP293*CP186+CQ293*CQ186+CR293*CR186+CS293*CS186+CT293*CT186+CU293*CU186</f>
        <v>0</v>
      </c>
      <c r="DE186" s="2840">
        <f>E294*E186+F294*F186+G294*G186+H294*H186+I294*I186+J294*J186+K294*K186+L294*L186+M294*M186+N294*N186+O294*O186+P294*P186+Q294*Q186+R294*R186+S294*S186+T294*T186+U294*U186+V294*V186+W294*W186+X294*X186+Y294*Y186+Z294*Z186+AA294*AA186+AB294*AB186+AC294*AC186+AD294*AD186+AE294*AE186+AF294*AF186+AG294*AG186+AH294*AH186+AI294*AI186+AJ294*AJ186+AK294*AK186+AL294*AL186+AM294*AM186+AN294*AN186+AO294*AO186+AP294*AP186+AQ294*AQ186+AR294*AR186+AS294*AS186+AT294*AT186+AU294*AU186+AV294*AV186+AW294*AW186+AX294*AX186+AY294*AY186+AZ294*AZ186+BA294*BA186+BB294*BB186+BC294*BC186+BD294*BD186+BE294*BE186+BF294*BF186+BG294*BG186+BH294*BH186+BI294*BI186+BJ294*BJ186+BK294*BK186+BL294*BL186+BM294*BM186+BN294*BN186+BO294*BO186+BP294*BP186+BQ294*BQ186+BR294*BR186+BS294*BS186+BT294*BT186+BU294*BU186+BV294*BV186+BW294*BW186+BX294*BX186+BY294*BY186+BZ294*BZ186+CA294*CA186+CB294*CB186+CC294*CC186+CD294*CD186+CE294*CE186+CF294*CF186+CG294*CG186+CH294*CH186+CI294*CI186+CJ294*CJ186+CK294*CK186+CL294*CL186+CM294*CM186+CN294*CN186+CO294*CO186+CP294*CP186+CQ294*CQ186+CR294*CR186+CS294*CS186+CT294*CT186+CU294*CU186</f>
        <v>0</v>
      </c>
      <c r="DF186" s="2840">
        <f>E295*E186+F295*F186+G295*G186+H295*H186+I295*I186+J295*J186+K295*K186+L295*L186+M295*M186+N295*N186+O295*O186+P295*P186+Q295*Q186+R295*R186+S295*S186+T295*T186+U295*U186+V295*V186+W295*W186+X295*X186+Y295*Y186+Z295*Z186+AA295*AA186+AB295*AB186+AC295*AC186+AD295*AD186+AE295*AE186+AF295*AF186+AG295*AG186+AH295*AH186+AI295*AI186+AJ295*AJ186+AK295*AK186+AL295*AL186+AM295*AM186+AN295*AN186+AO295*AO186+AP295*AP186+AQ295*AQ186+AR295*AR186+AS295*AS186+AT295*AT186+AU295*AU186+AV295*AV186+AW295*AW186+AX295*AX186+AY295*AY186+AZ295*AZ186+BA295*BA186+BB295*BB186+BC295*BC186+BD295*BD186+BE295*BE186+BF295*BF186+BG295*BG186+BH295*BH186+BI295*BI186+BJ295*BJ186+BK295*BK186+BL295*BL186+BM295*BM186+BN295*BN186+BO295*BO186+BP295*BP186+BQ295*BQ186+BR295*BR186+BS295*BS186+BT295*BT186+BU295*BU186+BV295*BV186+BW295*BW186+BX295*BX186+BY295*BY186+BZ295*BZ186+CA295*CA186+CB295*CB186+CC295*CC186+CD295*CD186+CE295*CE186+CF295*CF186+CG295*CG186+CH295*CH186+CI295*CI186+CJ295*CJ186+CK295*CK186+CL295*CL186+CM295*CM186+CN295*CN186+CO295*CO186+CP295*CP186+CQ295*CQ186+CR295*CR186+CS295*CS186+CT295*CT186+CU295*CU186</f>
        <v>0</v>
      </c>
      <c r="DG186" s="2840">
        <f>E296*E186+F296*F186+G296*G186+H296*H186+I296*I186+J296*J186+K296*K186+L296*L186+M296*M186+N296*N186+O296*O186+P296*P186+Q296*Q186+R296*R186+S296*S186+T296*T186+U296*U186+V296*V186+W296*W186+X296*X186+Y296*Y186+Z296*Z186+AA296*AA186+AB296*AB186+AC296*AC186+AD296*AD186+AE296*AE186+AF296*AF186+AG296*AG186+AH296*AH186+AI296*AI186+AJ296*AJ186+AK296*AK186+AL296*AL186+AM296*AM186+AN296*AN186+AO296*AO186+AP296*AP186+AQ296*AQ186+AR296*AR186+AS296*AS186+AT296*AT186+AU296*AU186+AV296*AV186+AW296*AW186+AX296*AX186+AY296*AY186+AZ296*AZ186+BA296*BA186+BB296*BB186+BC296*BC186+BD296*BD186+BE296*BE186+BF296*BF186+BG296*BG186+BH296*BH186+BI296*BI186+BJ296*BJ186+BK296*BK186+BL296*BL186+BM296*BM186+BN296*BN186+BO296*BO186+BP296*BP186+BQ296*BQ186+BR296*BR186+BS296*BS186+BT296*BT186+BU296*BU186+BV296*BV186+BW296*BW186+BX296*BX186+BY296*BY186+BZ296*BZ186+CA296*CA186+CB296*CB186+CC296*CC186+CD296*CD186+CE296*CE186+CF296*CF186+CG296*CG186+CH296*CH186+CI296*CI186+CJ296*CJ186+CK296*CK186+CL296*CL186+CM296*CM186+CN296*CN186+CO296*CO186+CP296*CP186+CQ296*CQ186+CR296*CR186+CS296*CS186+CT296*CT186+CU296*CU186</f>
        <v>0</v>
      </c>
      <c r="DH186" s="2840">
        <f>E297*E186+F297*F186+G297*G186+H297*H186+I297*I186+J297*J186+K297*K186+L297*L186+M297*M186+N297*N186+O297*O186+P297*P186+Q297*Q186+R297*R186+S297*S186+T297*T186+U297*U186+V297*V186+W297*W186+X297*X186+Y297*Y186+Z297*Z186+AA297*AA186+AB297*AB186+AC297*AC186+AD297*AD186+AE297*AE186+AF297*AF186+AG297*AG186+AH297*AH186+AI297*AI186+AJ297*AJ186+AK297*AK186+AL297*AL186+AM297*AM186+AN297*AN186+AO297*AO186+AP297*AP186+AQ297*AQ186+AR297*AR186+AS297*AS186+AT297*AT186+AU297*AU186+AV297*AV186+AW297*AW186+AX297*AX186+AY297*AY186+AZ297*AZ186+BA297*BA186+BB297*BB186+BC297*BC186+BD297*BD186+BE297*BE186+BF297*BF186+BG297*BG186+BH297*BH186+BI297*BI186+BJ297*BJ186+BK297*BK186+BL297*BL186+BM297*BM186+BN297*BN186+BO297*BO186+BP297*BP186+BQ297*BQ186+BR297*BR186+BS297*BS186+BT297*BT186+BU297*BU186+BV297*BV186+BW297*BW186+BX297*BX186+BY297*BY186+BZ297*BZ186+CA297*CA186+CB297*CB186+CC297*CC186+CD297*CD186+CE297*CE186+CF297*CF186+CG297*CG186+CH297*CH186+CI297*CI186+CJ297*CJ186+CK297*CK186+CL297*CL186+CM297*CM186+CN297*CN186+CO297*CO186+CP297*CP186+CQ297*CQ186+CR297*CR186+CS297*CS186+CT297*CT186+CU297*CU186</f>
        <v>0</v>
      </c>
      <c r="DI186" s="2840">
        <f>E298*E186+F298*F186+G298*G186+H298*H186+I298*I186+J298*J186+K298*K186+L298*L186+M298*M186+N298*N186+O298*O186+P298*P186+Q298*Q186+R298*R186+S298*S186+T298*T186+U298*U186+V298*V186+W298*W186+X298*X186+Y298*Y186+Z298*Z186+AA298*AA186+AB298*AB186+AC298*AC186+AD298*AD186+AE298*AE186+AF298*AF186+AG298*AG186+AH298*AH186+AI298*AI186+AJ298*AJ186+AK298*AK186+AL298*AL186+AM298*AM186+AN298*AN186+AO298*AO186+AP298*AP186+AQ298*AQ186+AR298*AR186+AS298*AS186+AT298*AT186+AU298*AU186+AV298*AV186+AW298*AW186+AX298*AX186+AY298*AY186+AZ298*AZ186+BA298*BA186+BB298*BB186+BC298*BC186+BD298*BD186+BE298*BE186+BF298*BF186+BG298*BG186+BH298*BH186+BI298*BI186+BJ298*BJ186+BK298*BK186+BL298*BL186+BM298*BM186+BN298*BN186+BO298*BO186+BP298*BP186+BQ298*BQ186+BR298*BR186+BS298*BS186+BT298*BT186+BU298*BU186+BV298*BV186+BW298*BW186+BX298*BX186+BY298*BY186+BZ298*BZ186+CA298*CA186+CB298*CB186+CC298*CC186+CD298*CD186+CE298*CE186+CF298*CF186+CG298*CG186+CH298*CH186+CI298*CI186+CJ298*CJ186+CK298*CK186+CL298*CL186+CM298*CM186+CN298*CN186+CO298*CO186+CP298*CP186+CQ298*CQ186+CR298*CR186+CS298*CS186+CT298*CT186+CU298*CU186</f>
        <v>0</v>
      </c>
    </row>
    <row r="187" spans="2:113" ht="18" x14ac:dyDescent="0.25">
      <c r="B187" s="2489">
        <v>34</v>
      </c>
      <c r="C187" s="2406" t="s">
        <v>4897</v>
      </c>
      <c r="D187" s="2407" t="s">
        <v>4894</v>
      </c>
      <c r="E187" s="3112">
        <f>X_STC/X_CASTO</f>
        <v>4.5999999999999999E-2</v>
      </c>
      <c r="F187" s="3110">
        <f>0</f>
        <v>0</v>
      </c>
      <c r="G187" s="3110">
        <f>0</f>
        <v>0</v>
      </c>
      <c r="H187" s="3110">
        <f>0</f>
        <v>0</v>
      </c>
      <c r="I187" s="3110">
        <f>0</f>
        <v>0</v>
      </c>
      <c r="J187" s="3110">
        <f>1-f_E</f>
        <v>0.92</v>
      </c>
      <c r="K187" s="3110">
        <f>0</f>
        <v>0</v>
      </c>
      <c r="L187" s="3110">
        <f>0</f>
        <v>0</v>
      </c>
      <c r="M187" s="3110">
        <f>0</f>
        <v>0</v>
      </c>
      <c r="N187" s="3112">
        <f>-X_PHA_PAO/X_CASTO</f>
        <v>-0.04</v>
      </c>
      <c r="O187" s="3112">
        <f>-X_PHA_GAO/X_CASTO</f>
        <v>-6.0000000000000001E-3</v>
      </c>
      <c r="P187" s="3110">
        <f>f_E</f>
        <v>0.08</v>
      </c>
      <c r="Q187" s="3110">
        <f>0</f>
        <v>0</v>
      </c>
      <c r="R187" s="3110">
        <f>0</f>
        <v>0</v>
      </c>
      <c r="S187" s="3110">
        <f>-1</f>
        <v>-1</v>
      </c>
      <c r="T187" s="3110">
        <f>0</f>
        <v>0</v>
      </c>
      <c r="U187" s="3110">
        <f>0</f>
        <v>0</v>
      </c>
      <c r="V187" s="3110">
        <f>0</f>
        <v>0</v>
      </c>
      <c r="W187" s="3110">
        <f>0</f>
        <v>0</v>
      </c>
      <c r="X187" s="3110">
        <f>0</f>
        <v>0</v>
      </c>
      <c r="Y187" s="3110">
        <f>0</f>
        <v>0</v>
      </c>
      <c r="Z187" s="3110">
        <f>0</f>
        <v>0</v>
      </c>
      <c r="AA187" s="3110">
        <f>0</f>
        <v>0</v>
      </c>
      <c r="AB187" s="3110">
        <f>0</f>
        <v>0</v>
      </c>
      <c r="AC187" s="3110">
        <f>0</f>
        <v>0</v>
      </c>
      <c r="AD187" s="3110">
        <f>-f_E*(i_N_XE-i_N_BIO)</f>
        <v>8.0000000000000069E-4</v>
      </c>
      <c r="AE187" s="3110">
        <f>0</f>
        <v>0</v>
      </c>
      <c r="AF187" s="3110">
        <f>0</f>
        <v>0</v>
      </c>
      <c r="AG187" s="3110">
        <f>0</f>
        <v>0</v>
      </c>
      <c r="AH187" s="3110">
        <f>0</f>
        <v>0</v>
      </c>
      <c r="AI187" s="3110">
        <f>0</f>
        <v>0</v>
      </c>
      <c r="AJ187" s="3110">
        <f>(1-f_E)*i_N_BIO</f>
        <v>6.4400000000000013E-2</v>
      </c>
      <c r="AK187" s="3110">
        <f>0</f>
        <v>0</v>
      </c>
      <c r="AL187" s="3112">
        <f>X_PP/X_CASTO</f>
        <v>0.12</v>
      </c>
      <c r="AM187" s="3112">
        <f>-X_PP/X_CASTO</f>
        <v>-0.12</v>
      </c>
      <c r="AN187" s="3110">
        <f>0</f>
        <v>0</v>
      </c>
      <c r="AO187" s="3110">
        <f>0</f>
        <v>0</v>
      </c>
      <c r="AP187" s="3110">
        <f>(1-f_E)*i_P_BIO</f>
        <v>1.84E-2</v>
      </c>
      <c r="AQ187" s="3110">
        <f>0</f>
        <v>0</v>
      </c>
      <c r="AR187" s="3110">
        <f>0</f>
        <v>0</v>
      </c>
      <c r="AS187" s="3110">
        <f>0</f>
        <v>0</v>
      </c>
      <c r="AT187" s="3110">
        <f>0</f>
        <v>0</v>
      </c>
      <c r="AU187" s="3176">
        <f>(1-f_E)*(i_CIT_BIO-i_CIT_XBe)+(i_CIT_STC-i_CIT_VFA)*X_STC/X_CASTO</f>
        <v>5.8788000000000007E-2</v>
      </c>
      <c r="AV187" s="3176">
        <f>0</f>
        <v>0</v>
      </c>
      <c r="AW187" s="3188">
        <f>0</f>
        <v>0</v>
      </c>
      <c r="AX187" s="3188">
        <f>0</f>
        <v>0</v>
      </c>
      <c r="AY187" s="3188">
        <f>X_PP*A_MCa/A_MP*i_Ca_PP/X_CASTO</f>
        <v>1.5527206443135931E-2</v>
      </c>
      <c r="AZ187" s="3188">
        <f>X_PP*A_MMg/A_MP*i_Mg_PP/X_CASTO</f>
        <v>3.295724921656433E-2</v>
      </c>
      <c r="BA187" s="3188">
        <f>X_PP*A_MK/A_MP*i_K_PP/X_CASTO</f>
        <v>1.5147646481253094E-2</v>
      </c>
      <c r="BB187" s="3112">
        <f>0</f>
        <v>0</v>
      </c>
      <c r="BC187" s="3112">
        <f>(1-f_E)*i_S_BIO-(1-f_E)*i_S_XB</f>
        <v>7.8200000000000006E-3</v>
      </c>
      <c r="BD187" s="3112">
        <f>0</f>
        <v>0</v>
      </c>
      <c r="BE187" s="3110">
        <f>0</f>
        <v>0</v>
      </c>
      <c r="BF187" s="3110">
        <f>0</f>
        <v>0</v>
      </c>
      <c r="BG187" s="3110">
        <f>0</f>
        <v>0</v>
      </c>
      <c r="BH187" s="3110">
        <f>0</f>
        <v>0</v>
      </c>
      <c r="BI187" s="3110">
        <f>0</f>
        <v>0</v>
      </c>
      <c r="BJ187" s="3110">
        <f>0</f>
        <v>0</v>
      </c>
      <c r="BK187" s="3110">
        <f>0</f>
        <v>0</v>
      </c>
      <c r="BL187" s="3110">
        <f>0</f>
        <v>0</v>
      </c>
      <c r="BM187" s="3110">
        <f>0</f>
        <v>0</v>
      </c>
      <c r="BN187" s="3110">
        <f>0</f>
        <v>0</v>
      </c>
      <c r="BO187" s="3110">
        <f>0</f>
        <v>0</v>
      </c>
      <c r="BP187" s="3110">
        <f>0</f>
        <v>0</v>
      </c>
      <c r="BQ187" s="3110">
        <f>0</f>
        <v>0</v>
      </c>
      <c r="BR187" s="3110">
        <f>0</f>
        <v>0</v>
      </c>
      <c r="BS187" s="3110">
        <f>0</f>
        <v>0</v>
      </c>
      <c r="BT187" s="3110">
        <f>0</f>
        <v>0</v>
      </c>
      <c r="BU187" s="3110">
        <f>0</f>
        <v>0</v>
      </c>
      <c r="BV187" s="3110">
        <f>0</f>
        <v>0</v>
      </c>
      <c r="BW187" s="3110">
        <f>0</f>
        <v>0</v>
      </c>
      <c r="BX187" s="3110">
        <f>0</f>
        <v>0</v>
      </c>
      <c r="BY187" s="3110">
        <f>0</f>
        <v>0</v>
      </c>
      <c r="BZ187" s="3176">
        <f>0</f>
        <v>0</v>
      </c>
      <c r="CA187" s="3176">
        <f>0</f>
        <v>0</v>
      </c>
      <c r="CB187" s="3176">
        <f>0</f>
        <v>0</v>
      </c>
      <c r="CC187" s="3176">
        <f>0</f>
        <v>0</v>
      </c>
      <c r="CD187" s="3110">
        <f>0</f>
        <v>0</v>
      </c>
      <c r="CE187" s="3110">
        <f>0</f>
        <v>0</v>
      </c>
      <c r="CF187" s="3110">
        <f>0</f>
        <v>0</v>
      </c>
      <c r="CG187" s="3110">
        <f>0</f>
        <v>0</v>
      </c>
      <c r="CH187" s="3110">
        <f>0</f>
        <v>0</v>
      </c>
      <c r="CI187" s="3110">
        <f>0</f>
        <v>0</v>
      </c>
      <c r="CJ187" s="3110">
        <f>0</f>
        <v>0</v>
      </c>
      <c r="CK187" s="3110">
        <f>0</f>
        <v>0</v>
      </c>
      <c r="CL187" s="3110">
        <f>0</f>
        <v>0</v>
      </c>
      <c r="CM187" s="3110">
        <f>0</f>
        <v>0</v>
      </c>
      <c r="CN187" s="3110">
        <f>0</f>
        <v>0</v>
      </c>
      <c r="CO187" s="3110">
        <f>0</f>
        <v>0</v>
      </c>
      <c r="CP187" s="3110">
        <f>0</f>
        <v>0</v>
      </c>
      <c r="CQ187" s="3110">
        <f>0</f>
        <v>0</v>
      </c>
      <c r="CR187" s="3110">
        <f>0</f>
        <v>0</v>
      </c>
      <c r="CS187" s="3110">
        <f>0</f>
        <v>0</v>
      </c>
      <c r="CT187" s="3110">
        <f>0</f>
        <v>0</v>
      </c>
      <c r="CU187" s="3110">
        <f>0</f>
        <v>0</v>
      </c>
      <c r="CV187" s="3222">
        <f>b_CASTO_T*M_RinhXSTC_XCASTO_KSTC*(X_CASTO*M_satSO2_KO2_CASTO+η_bCASTO_anox*(X_GAO+X_PAO*M_RinhXPP_XPAO_KPP)*(M_satSNO2_KNO2_CASTO+M_inhSNO2_KNO2_CASTO*M_satSNO3_KNO3_CASTO)*M_inhSO2_KO2_CASTO)</f>
        <v>26.791831827110222</v>
      </c>
      <c r="CX187" s="2838">
        <f>E287*E187+F287*F187+G287*G187+H287*H187+I287*I187+J287*J187+K287*K187+L287*L187+M287*M187+N287*N187+O287*O187+P287*P187+Q287*Q187+R287*R187+S287*S187+T287*T187+U287*U187+V287*V187+W287*W187+X287*X187+Y287*Y187+Z287*Z187+AA287*AA187+AB287*AB187+AC287*AC187+AD287*AD187+AE287*AE187+AF287*AF187+AG287*AG187+AH287*AH187+AI287*AI187+AJ287*AJ187+AK287*AK187+AL287*AL187+AM287*AM187+AN287*AN187+AO287*AO187+AP287*AP187+AQ287*AQ187+AR287*AR187+AS287*AS187+AT287*AT187+AU287*AU187+AV287*AV187+AW287*AW187+AX287*AX187+AY287*AY187+AZ287*AZ187+BA287*BA187+BB287*BB187+BC287*BC187+BD287*BD187+BE287*BE187+BF287*BF187+BG287*BG187+BH287*BH187+BI287*BI187+BJ287*BJ187+BK287*BK187+BL287*BL187+BM287*BM187+BN287*BN187+BO287*BO187+BP287*BP187+BQ287*BQ187+BR287*BR187+BS287*BS187+BT287*BT187+BU287*BU187+BV287*BV187+BW287*BW187+BX287*BX187+BY287*BY187+BZ287*BZ187+CA287*CA187+CB287*CB187+CC287*CC187+CD287*CD187+CE287*CE187+CF287*CF187+CG287*CG187+CH287*CH187+CI287*CI187+CJ287*CJ187+CK287*CK187+CL287*CL187+CM287*CM187+CN287*CN187+CO287*CO187+CP287*CP187+CQ287*CQ187+CR287*CR187+CS287*CS187+CT287*CT187+CU287*CU187</f>
        <v>0</v>
      </c>
      <c r="CY187" s="2838">
        <f>E288*E187+F288*F187+G288*G187+H288*H187+I288*I187+J288*J187+K288*K187+L288*L187+M288*M187+N288*N187+O288*O187+P288*P187+Q288*Q187+R288*R187+S288*S187+T288*T187+U288*U187+V288*V187+W288*W187+X288*X187+Y288*Y187+Z288*Z187+AA288*AA187+AB288*AB187+AC288*AC187+AD288*AD187+AE288*AE187+AF288*AF187+AG288*AG187+AH288*AH187+AI288*AI187+AJ288*AJ187+AK288*AK187+AL288*AL187+AM288*AM187+AN288*AN187+AO288*AO187+AP288*AP187+AQ288*AQ187+AR288*AR187+AS288*AS187+AT288*AT187+AU288*AU187+AV288*AV187+AW288*AW187+AX288*AX187+AY288*AY187+AZ288*AZ187+BA288*BA187+BB288*BB187+BC288*BC187+BD288*BD187+BE288*BE187+BF288*BF187+BG288*BG187+BH288*BH187+BI288*BI187+BJ288*BJ187+BK288*BK187+BL288*BL187+BM288*BM187+BN288*BN187+BO288*BO187+BP288*BP187+BQ288*BQ187+BR288*BR187+BS288*BS187+BT288*BT187+BU288*BU187+BV288*BV187+BW288*BW187+BX288*BX187+BY288*BY187+BZ288*BZ187+CA288*CA187+CB288*CB187+CC288*CC187+CD288*CD187+CE288*CE187+CF288*CF187+CG288*CG187+CH288*CH187+CI288*CI187+CJ288*CJ187+CK288*CK187+CL288*CL187+CM288*CM187+CN288*CN187+CO288*CO187+CP288*CP187+CQ288*CQ187+CR288*CR187+CS288*CS187+CT288*CT187+CU288*CU187</f>
        <v>0</v>
      </c>
      <c r="CZ187" s="2839">
        <f>E289*E187+F289*F187+G289*G187+H289*H187+I289*I187+J289*J187+K289*K187+L289*L187+M289*M187+N289*N187+O289*O187+P289*P187+Q289*Q187+R289*R187+S289*S187+T289*T187+U289*U187+V289*V187+W289*W187+X289*X187+Y289*Y187+Z289*Z187+AA289*AA187+AB289*AB187+AC289*AC187+AD289*AD187+AE289*AE187+AF289*AF187+AG289*AG187+AH289*AH187+AI289*AI187+AJ289*AJ187+AK289*AK187+AL289*AL187+AM289*AM187+AN289*AN187+AO289*AO187+AP289*AP187+AQ289*AQ187+AR289*AR187+AS289*AS187+AT289*AT187+AU289*AU187+AV289*AV187+AW289*AW187+AX289*AX187+AY289*AY187+AZ289*AZ187+BA289*BA187+BB289*BB187+BC289*BC187+BD289*BD187+BE289*BE187+BF289*BF187+BG289*BG187+BH289*BH187+BI289*BI187+BJ289*BJ187+BK289*BK187+BL289*BL187+BM289*BM187+BN289*BN187+BO289*BO187+BP289*BP187+BQ289*BQ187+BR289*BR187+BS289*BS187+BT289*BT187+BU289*BU187+BV289*BV187+BW289*BW187+BX289*BX187+BY289*BY187+BZ289*BZ187+CA289*CA187+CB289*CB187+CC289*CC187+CD289*CD187+CE289*CE187+CF289*CF187+CG289*CG187+CH289*CH187+CI289*CI187+CJ289*CJ187+CK289*CK187+CL289*CL187+CM289*CM187+CN289*CN187+CO289*CO187+CP289*CP187+CQ289*CQ187+CR289*CR187+CS289*CS187+CT289*CT187+CU289*CU187</f>
        <v>0</v>
      </c>
      <c r="DA187" s="2840">
        <f>E290*E187+F290*F187+G290*G187+H290*H187+I290*I187+J290*J187+K290*K187+L290*L187+M290*M187+N290*N187+O290*O187+P290*P187+Q290*Q187+R290*R187+S290*S187+T290*T187+U290*U187+V290*V187+W290*W187+X290*X187+Y290*Y187+Z290*Z187+AA290*AA187+AB290*AB187+AC290*AC187+AD290*AD187+AE290*AE187+AF290*AF187+AG290*AG187+AH290*AH187+AI290*AI187+AJ290*AJ187+AK290*AK187+AL290*AL187+AM290*AM187+AN290*AN187+AO290*AO187+AP290*AP187+AQ290*AQ187+AR290*AR187+AS290*AS187+AT290*AT187+AU290*AU187+AV290*AV187+AW290*AW187+AX290*AX187+AY290*AY187+AZ290*AZ187+BA290*BA187+BB290*BB187+BC290*BC187+BD290*BD187+BE290*BE187+BF290*BF187+BG290*BG187+BH290*BH187+BI290*BI187+BJ290*BJ187+BK290*BK187+BL290*BL187+BM290*BM187+BN290*BN187+BO290*BO187+BP290*BP187+BQ290*BQ187+BR290*BR187+BS290*BS187+BT290*BT187+BU290*BU187+BV290*BV187+BW290*BW187+BX290*BX187+BY290*BY187+BZ290*BZ187+CA290*CA187+CB290*CB187+CC290*CC187+CD290*CD187+CE290*CE187+CF290*CF187+CG290*CG187+CH290*CH187+CI290*CI187+CJ290*CJ187+CK290*CK187+CL290*CL187+CM290*CM187+CN290*CN187+CO290*CO187+CP290*CP187+CQ290*CQ187+CR290*CR187+CS290*CS187+CT290*CT187+CU290*CU187</f>
        <v>0</v>
      </c>
      <c r="DB187" s="2840">
        <f>E291*E187+F291*F187+G291*G187+H291*H187+I291*I187+J291*J187+K291*K187+L291*L187+M291*M187+N291*N187+O291*O187+P291*P187+Q291*Q187+R291*R187+S291*S187+T291*T187+U291*U187+V291*V187+W291*W187+X291*X187+Y291*Y187+Z291*Z187+AA291*AA187+AB291*AB187+AC291*AC187+AD291*AD187+AE291*AE187+AF291*AF187+AG291*AG187+AH291*AH187+AI291*AI187+AJ291*AJ187+AK291*AK187+AL291*AL187+AM291*AM187+AN291*AN187+AO291*AO187+AP291*AP187+AQ291*AQ187+AR291*AR187+AS291*AS187+AT291*AT187+AU291*AU187+AV291*AV187+AW291*AW187+AX291*AX187+AY291*AY187+AZ291*AZ187+BA291*BA187+BB291*BB187+BC291*BC187+BD291*BD187+BE291*BE187+BF291*BF187+BG291*BG187+BH291*BH187+BI291*BI187+BJ291*BJ187+BK291*BK187+BL291*BL187+BM291*BM187+BN291*BN187+BO291*BO187+BP291*BP187+BQ291*BQ187+BR291*BR187+BS291*BS187+BT291*BT187+BU291*BU187+BV291*BV187+BW291*BW187+BX291*BX187+BY291*BY187+BZ291*BZ187+CA291*CA187+CB291*CB187+CC291*CC187+CD291*CD187+CE291*CE187+CF291*CF187+CG291*CG187+CH291*CH187+CI291*CI187+CJ291*CJ187+CK291*CK187+CL291*CL187+CM291*CM187+CN291*CN187+CO291*CO187+CP291*CP187+CQ291*CQ187+CR291*CR187+CS291*CS187+CT291*CT187+CU291*CU187</f>
        <v>0</v>
      </c>
      <c r="DC187" s="2840">
        <f>E292*E187+F292*F187+G292*G187+H292*H187+I292*I187+J292*J187+K292*K187+L292*L187+M292*M187+N292*N187+O292*O187+P292*P187+Q292*Q187+R292*R187+S292*S187+T292*T187+U292*U187+V292*V187+W292*W187+X292*X187+Y292*Y187+Z292*Z187+AA292*AA187+AB292*AB187+AC292*AC187+AD292*AD187+AE292*AE187+AF292*AF187+AG292*AG187+AH292*AH187+AI292*AI187+AJ292*AJ187+AK292*AK187+AL292*AL187+AM292*AM187+AN292*AN187+AO292*AO187+AP292*AP187+AQ292*AQ187+AR292*AR187+AS292*AS187+AT292*AT187+AU292*AU187+AV292*AV187+AW292*AW187+AX292*AX187+AY292*AY187+AZ292*AZ187+BA292*BA187+BB292*BB187+BC292*BC187+BD292*BD187+BE292*BE187+BF292*BF187+BG292*BG187+BH292*BH187+BI292*BI187+BJ292*BJ187+BK292*BK187+BL292*BL187+BM292*BM187+BN292*BN187+BO292*BO187+BP292*BP187+BQ292*BQ187+BR292*BR187+BS292*BS187+BT292*BT187+BU292*BU187+BV292*BV187+BW292*BW187+BX292*BX187+BY292*BY187+BZ292*BZ187+CA292*CA187+CB292*CB187+CC292*CC187+CD292*CD187+CE292*CE187+CF292*CF187+CG292*CG187+CH292*CH187+CI292*CI187+CJ292*CJ187+CK292*CK187+CL292*CL187+CM292*CM187+CN292*CN187+CO292*CO187+CP292*CP187+CQ292*CQ187+CR292*CR187+CS292*CS187+CT292*CT187+CU292*CU187</f>
        <v>0</v>
      </c>
      <c r="DD187" s="2840">
        <f>E293*E187+F293*F187+G293*G187+H293*H187+I293*I187+J293*J187+K293*K187+L293*L187+M293*M187+N293*N187+O293*O187+P293*P187+Q293*Q187+R293*R187+S293*S187+T293*T187+U293*U187+V293*V187+W293*W187+X293*X187+Y293*Y187+Z293*Z187+AA293*AA187+AB293*AB187+AC293*AC187+AD293*AD187+AE293*AE187+AF293*AF187+AG293*AG187+AH293*AH187+AI293*AI187+AJ293*AJ187+AK293*AK187+AL293*AL187+AM293*AM187+AN293*AN187+AO293*AO187+AP293*AP187+AQ293*AQ187+AR293*AR187+AS293*AS187+AT293*AT187+AU293*AU187+AV293*AV187+AW293*AW187+AX293*AX187+AY293*AY187+AZ293*AZ187+BA293*BA187+BB293*BB187+BC293*BC187+BD293*BD187+BE293*BE187+BF293*BF187+BG293*BG187+BH293*BH187+BI293*BI187+BJ293*BJ187+BK293*BK187+BL293*BL187+BM293*BM187+BN293*BN187+BO293*BO187+BP293*BP187+BQ293*BQ187+BR293*BR187+BS293*BS187+BT293*BT187+BU293*BU187+BV293*BV187+BW293*BW187+BX293*BX187+BY293*BY187+BZ293*BZ187+CA293*CA187+CB293*CB187+CC293*CC187+CD293*CD187+CE293*CE187+CF293*CF187+CG293*CG187+CH293*CH187+CI293*CI187+CJ293*CJ187+CK293*CK187+CL293*CL187+CM293*CM187+CN293*CN187+CO293*CO187+CP293*CP187+CQ293*CQ187+CR293*CR187+CS293*CS187+CT293*CT187+CU293*CU187</f>
        <v>0</v>
      </c>
      <c r="DE187" s="2840">
        <f>E294*E187+F294*F187+G294*G187+H294*H187+I294*I187+J294*J187+K294*K187+L294*L187+M294*M187+N294*N187+O294*O187+P294*P187+Q294*Q187+R294*R187+S294*S187+T294*T187+U294*U187+V294*V187+W294*W187+X294*X187+Y294*Y187+Z294*Z187+AA294*AA187+AB294*AB187+AC294*AC187+AD294*AD187+AE294*AE187+AF294*AF187+AG294*AG187+AH294*AH187+AI294*AI187+AJ294*AJ187+AK294*AK187+AL294*AL187+AM294*AM187+AN294*AN187+AO294*AO187+AP294*AP187+AQ294*AQ187+AR294*AR187+AS294*AS187+AT294*AT187+AU294*AU187+AV294*AV187+AW294*AW187+AX294*AX187+AY294*AY187+AZ294*AZ187+BA294*BA187+BB294*BB187+BC294*BC187+BD294*BD187+BE294*BE187+BF294*BF187+BG294*BG187+BH294*BH187+BI294*BI187+BJ294*BJ187+BK294*BK187+BL294*BL187+BM294*BM187+BN294*BN187+BO294*BO187+BP294*BP187+BQ294*BQ187+BR294*BR187+BS294*BS187+BT294*BT187+BU294*BU187+BV294*BV187+BW294*BW187+BX294*BX187+BY294*BY187+BZ294*BZ187+CA294*CA187+CB294*CB187+CC294*CC187+CD294*CD187+CE294*CE187+CF294*CF187+CG294*CG187+CH294*CH187+CI294*CI187+CJ294*CJ187+CK294*CK187+CL294*CL187+CM294*CM187+CN294*CN187+CO294*CO187+CP294*CP187+CQ294*CQ187+CR294*CR187+CS294*CS187+CT294*CT187+CU294*CU187</f>
        <v>3.4694469519536142E-18</v>
      </c>
      <c r="DF187" s="2840">
        <f>E295*E187+F295*F187+G295*G187+H295*H187+I295*I187+J295*J187+K295*K187+L295*L187+M295*M187+N295*N187+O295*O187+P295*P187+Q295*Q187+R295*R187+S295*S187+T295*T187+U295*U187+V295*V187+W295*W187+X295*X187+Y295*Y187+Z295*Z187+AA295*AA187+AB295*AB187+AC295*AC187+AD295*AD187+AE295*AE187+AF295*AF187+AG295*AG187+AH295*AH187+AI295*AI187+AJ295*AJ187+AK295*AK187+AL295*AL187+AM295*AM187+AN295*AN187+AO295*AO187+AP295*AP187+AQ295*AQ187+AR295*AR187+AS295*AS187+AT295*AT187+AU295*AU187+AV295*AV187+AW295*AW187+AX295*AX187+AY295*AY187+AZ295*AZ187+BA295*BA187+BB295*BB187+BC295*BC187+BD295*BD187+BE295*BE187+BF295*BF187+BG295*BG187+BH295*BH187+BI295*BI187+BJ295*BJ187+BK295*BK187+BL295*BL187+BM295*BM187+BN295*BN187+BO295*BO187+BP295*BP187+BQ295*BQ187+BR295*BR187+BS295*BS187+BT295*BT187+BU295*BU187+BV295*BV187+BW295*BW187+BX295*BX187+BY295*BY187+BZ295*BZ187+CA295*CA187+CB295*CB187+CC295*CC187+CD295*CD187+CE295*CE187+CF295*CF187+CG295*CG187+CH295*CH187+CI295*CI187+CJ295*CJ187+CK295*CK187+CL295*CL187+CM295*CM187+CN295*CN187+CO295*CO187+CP295*CP187+CQ295*CQ187+CR295*CR187+CS295*CS187+CT295*CT187+CU295*CU187</f>
        <v>6.9388939039072284E-18</v>
      </c>
      <c r="DG187" s="2840">
        <f>E296*E187+F296*F187+G296*G187+H296*H187+I296*I187+J296*J187+K296*K187+L296*L187+M296*M187+N296*N187+O296*O187+P296*P187+Q296*Q187+R296*R187+S296*S187+T296*T187+U296*U187+V296*V187+W296*W187+X296*X187+Y296*Y187+Z296*Z187+AA296*AA187+AB296*AB187+AC296*AC187+AD296*AD187+AE296*AE187+AF296*AF187+AG296*AG187+AH296*AH187+AI296*AI187+AJ296*AJ187+AK296*AK187+AL296*AL187+AM296*AM187+AN296*AN187+AO296*AO187+AP296*AP187+AQ296*AQ187+AR296*AR187+AS296*AS187+AT296*AT187+AU296*AU187+AV296*AV187+AW296*AW187+AX296*AX187+AY296*AY187+AZ296*AZ187+BA296*BA187+BB296*BB187+BC296*BC187+BD296*BD187+BE296*BE187+BF296*BF187+BG296*BG187+BH296*BH187+BI296*BI187+BJ296*BJ187+BK296*BK187+BL296*BL187+BM296*BM187+BN296*BN187+BO296*BO187+BP296*BP187+BQ296*BQ187+BR296*BR187+BS296*BS187+BT296*BT187+BU296*BU187+BV296*BV187+BW296*BW187+BX296*BX187+BY296*BY187+BZ296*BZ187+CA296*CA187+CB296*CB187+CC296*CC187+CD296*CD187+CE296*CE187+CF296*CF187+CG296*CG187+CH296*CH187+CI296*CI187+CJ296*CJ187+CK296*CK187+CL296*CL187+CM296*CM187+CN296*CN187+CO296*CO187+CP296*CP187+CQ296*CQ187+CR296*CR187+CS296*CS187+CT296*CT187+CU296*CU187</f>
        <v>0</v>
      </c>
      <c r="DH187" s="2840">
        <f>E297*E187+F297*F187+G297*G187+H297*H187+I297*I187+J297*J187+K297*K187+L297*L187+M297*M187+N297*N187+O297*O187+P297*P187+Q297*Q187+R297*R187+S297*S187+T297*T187+U297*U187+V297*V187+W297*W187+X297*X187+Y297*Y187+Z297*Z187+AA297*AA187+AB297*AB187+AC297*AC187+AD297*AD187+AE297*AE187+AF297*AF187+AG297*AG187+AH297*AH187+AI297*AI187+AJ297*AJ187+AK297*AK187+AL297*AL187+AM297*AM187+AN297*AN187+AO297*AO187+AP297*AP187+AQ297*AQ187+AR297*AR187+AS297*AS187+AT297*AT187+AU297*AU187+AV297*AV187+AW297*AW187+AX297*AX187+AY297*AY187+AZ297*AZ187+BA297*BA187+BB297*BB187+BC297*BC187+BD297*BD187+BE297*BE187+BF297*BF187+BG297*BG187+BH297*BH187+BI297*BI187+BJ297*BJ187+BK297*BK187+BL297*BL187+BM297*BM187+BN297*BN187+BO297*BO187+BP297*BP187+BQ297*BQ187+BR297*BR187+BS297*BS187+BT297*BT187+BU297*BU187+BV297*BV187+BW297*BW187+BX297*BX187+BY297*BY187+BZ297*BZ187+CA297*CA187+CB297*CB187+CC297*CC187+CD297*CD187+CE297*CE187+CF297*CF187+CG297*CG187+CH297*CH187+CI297*CI187+CJ297*CJ187+CK297*CK187+CL297*CL187+CM297*CM187+CN297*CN187+CO297*CO187+CP297*CP187+CQ297*CQ187+CR297*CR187+CS297*CS187+CT297*CT187+CU297*CU187</f>
        <v>0</v>
      </c>
      <c r="DI187" s="2840">
        <f>E298*E187+F298*F187+G298*G187+H298*H187+I298*I187+J298*J187+K298*K187+L298*L187+M298*M187+N298*N187+O298*O187+P298*P187+Q298*Q187+R298*R187+S298*S187+T298*T187+U298*U187+V298*V187+W298*W187+X298*X187+Y298*Y187+Z298*Z187+AA298*AA187+AB298*AB187+AC298*AC187+AD298*AD187+AE298*AE187+AF298*AF187+AG298*AG187+AH298*AH187+AI298*AI187+AJ298*AJ187+AK298*AK187+AL298*AL187+AM298*AM187+AN298*AN187+AO298*AO187+AP298*AP187+AQ298*AQ187+AR298*AR187+AS298*AS187+AT298*AT187+AU298*AU187+AV298*AV187+AW298*AW187+AX298*AX187+AY298*AY187+AZ298*AZ187+BA298*BA187+BB298*BB187+BC298*BC187+BD298*BD187+BE298*BE187+BF298*BF187+BG298*BG187+BH298*BH187+BI298*BI187+BJ298*BJ187+BK298*BK187+BL298*BL187+BM298*BM187+BN298*BN187+BO298*BO187+BP298*BP187+BQ298*BQ187+BR298*BR187+BS298*BS187+BT298*BT187+BU298*BU187+BV298*BV187+BW298*BW187+BX298*BX187+BY298*BY187+BZ298*BZ187+CA298*CA187+CB298*CB187+CC298*CC187+CD298*CD187+CE298*CE187+CF298*CF187+CG298*CG187+CH298*CH187+CI298*CI187+CJ298*CJ187+CK298*CK187+CL298*CL187+CM298*CM187+CN298*CN187+CO298*CO187+CP298*CP187+CQ298*CQ187+CR298*CR187+CS298*CS187+CT298*CT187+CU298*CU187</f>
        <v>0</v>
      </c>
    </row>
    <row r="188" spans="2:113" ht="18" x14ac:dyDescent="0.25">
      <c r="B188" s="2489">
        <v>35</v>
      </c>
      <c r="C188" s="2406" t="s">
        <v>4898</v>
      </c>
      <c r="D188" s="2407" t="s">
        <v>4895</v>
      </c>
      <c r="E188" s="3112">
        <f>X_STC/X_CASTO</f>
        <v>4.5999999999999999E-2</v>
      </c>
      <c r="F188" s="3110">
        <f>0</f>
        <v>0</v>
      </c>
      <c r="G188" s="3110">
        <f>0</f>
        <v>0</v>
      </c>
      <c r="H188" s="3110">
        <f>0</f>
        <v>0</v>
      </c>
      <c r="I188" s="3110">
        <f>0</f>
        <v>0</v>
      </c>
      <c r="J188" s="3110">
        <f>1-f_E</f>
        <v>0.92</v>
      </c>
      <c r="K188" s="3110">
        <f>0</f>
        <v>0</v>
      </c>
      <c r="L188" s="3110">
        <f>0</f>
        <v>0</v>
      </c>
      <c r="M188" s="3110">
        <f>0</f>
        <v>0</v>
      </c>
      <c r="N188" s="3112">
        <f>-X_PHA_PAO/X_CASTO</f>
        <v>-0.04</v>
      </c>
      <c r="O188" s="3112">
        <f>-X_PHA_GAO/X_CASTO</f>
        <v>-6.0000000000000001E-3</v>
      </c>
      <c r="P188" s="3110">
        <f>0</f>
        <v>0</v>
      </c>
      <c r="Q188" s="3110">
        <f>f_E</f>
        <v>0.08</v>
      </c>
      <c r="R188" s="3110">
        <f>0</f>
        <v>0</v>
      </c>
      <c r="S188" s="3110">
        <f>-1</f>
        <v>-1</v>
      </c>
      <c r="T188" s="3110">
        <f>0</f>
        <v>0</v>
      </c>
      <c r="U188" s="3110">
        <f>0</f>
        <v>0</v>
      </c>
      <c r="V188" s="3110">
        <f>0</f>
        <v>0</v>
      </c>
      <c r="W188" s="3110">
        <f>0</f>
        <v>0</v>
      </c>
      <c r="X188" s="3110">
        <f>0</f>
        <v>0</v>
      </c>
      <c r="Y188" s="3110">
        <f>0</f>
        <v>0</v>
      </c>
      <c r="Z188" s="3110">
        <f>0</f>
        <v>0</v>
      </c>
      <c r="AA188" s="3110">
        <f>0</f>
        <v>0</v>
      </c>
      <c r="AB188" s="3110">
        <f>0</f>
        <v>0</v>
      </c>
      <c r="AC188" s="3110">
        <f>0</f>
        <v>0</v>
      </c>
      <c r="AD188" s="3110">
        <f>-f_E*(i_N_XE-i_N_BIO)</f>
        <v>8.0000000000000069E-4</v>
      </c>
      <c r="AE188" s="3110">
        <f>0</f>
        <v>0</v>
      </c>
      <c r="AF188" s="3110">
        <f>0</f>
        <v>0</v>
      </c>
      <c r="AG188" s="3110">
        <f>0</f>
        <v>0</v>
      </c>
      <c r="AH188" s="3110">
        <f>0</f>
        <v>0</v>
      </c>
      <c r="AI188" s="3110">
        <f>0</f>
        <v>0</v>
      </c>
      <c r="AJ188" s="3110">
        <f>(1-f_E)*i_N_BIO</f>
        <v>6.4400000000000013E-2</v>
      </c>
      <c r="AK188" s="3110">
        <f>0</f>
        <v>0</v>
      </c>
      <c r="AL188" s="3112">
        <f>X_PP/X_CASTO</f>
        <v>0.12</v>
      </c>
      <c r="AM188" s="3112">
        <f>-X_PP/X_CASTO</f>
        <v>-0.12</v>
      </c>
      <c r="AN188" s="3110">
        <f>0</f>
        <v>0</v>
      </c>
      <c r="AO188" s="3110">
        <f>0</f>
        <v>0</v>
      </c>
      <c r="AP188" s="3110">
        <f>(1-f_E)*i_P_BIO</f>
        <v>1.84E-2</v>
      </c>
      <c r="AQ188" s="3110">
        <f>0</f>
        <v>0</v>
      </c>
      <c r="AR188" s="3110">
        <f>0</f>
        <v>0</v>
      </c>
      <c r="AS188" s="3110">
        <f>0</f>
        <v>0</v>
      </c>
      <c r="AT188" s="3110">
        <f>0</f>
        <v>0</v>
      </c>
      <c r="AU188" s="3176">
        <f>(1-f_E)*(i_CIT_BIO-i_CIT_XBe)+(i_CIT_STC-i_CIT_VFA)*X_STC/X_CASTO</f>
        <v>5.8788000000000007E-2</v>
      </c>
      <c r="AV188" s="3176">
        <f>0</f>
        <v>0</v>
      </c>
      <c r="AW188" s="3188">
        <f>0</f>
        <v>0</v>
      </c>
      <c r="AX188" s="3188">
        <f>0</f>
        <v>0</v>
      </c>
      <c r="AY188" s="3188">
        <f>X_PP*A_MCa/A_MP*i_Ca_PP/X_CASTO</f>
        <v>1.5527206443135931E-2</v>
      </c>
      <c r="AZ188" s="3188">
        <f>X_PP*A_MMg/A_MP*i_Mg_PP/X_CASTO</f>
        <v>3.295724921656433E-2</v>
      </c>
      <c r="BA188" s="3188">
        <f>X_PP*A_MK/A_MP*i_K_PP/X_CASTO</f>
        <v>1.5147646481253094E-2</v>
      </c>
      <c r="BB188" s="3112">
        <f>0</f>
        <v>0</v>
      </c>
      <c r="BC188" s="3112">
        <f>(1-f_E)*i_S_BIO-(1-f_E)*i_S_XB</f>
        <v>7.8200000000000006E-3</v>
      </c>
      <c r="BD188" s="3112">
        <f>0</f>
        <v>0</v>
      </c>
      <c r="BE188" s="3110">
        <f>0</f>
        <v>0</v>
      </c>
      <c r="BF188" s="3110">
        <f>0</f>
        <v>0</v>
      </c>
      <c r="BG188" s="3110">
        <f>0</f>
        <v>0</v>
      </c>
      <c r="BH188" s="3110">
        <f>0</f>
        <v>0</v>
      </c>
      <c r="BI188" s="3110">
        <f>0</f>
        <v>0</v>
      </c>
      <c r="BJ188" s="3110">
        <f>0</f>
        <v>0</v>
      </c>
      <c r="BK188" s="3110">
        <f>0</f>
        <v>0</v>
      </c>
      <c r="BL188" s="3110">
        <f>0</f>
        <v>0</v>
      </c>
      <c r="BM188" s="3110">
        <f>0</f>
        <v>0</v>
      </c>
      <c r="BN188" s="3110">
        <f>0</f>
        <v>0</v>
      </c>
      <c r="BO188" s="3110">
        <f>0</f>
        <v>0</v>
      </c>
      <c r="BP188" s="3110">
        <f>0</f>
        <v>0</v>
      </c>
      <c r="BQ188" s="3110">
        <f>0</f>
        <v>0</v>
      </c>
      <c r="BR188" s="3110">
        <f>0</f>
        <v>0</v>
      </c>
      <c r="BS188" s="3110">
        <f>0</f>
        <v>0</v>
      </c>
      <c r="BT188" s="3110">
        <f>0</f>
        <v>0</v>
      </c>
      <c r="BU188" s="3110">
        <f>0</f>
        <v>0</v>
      </c>
      <c r="BV188" s="3110">
        <f>0</f>
        <v>0</v>
      </c>
      <c r="BW188" s="3110">
        <f>0</f>
        <v>0</v>
      </c>
      <c r="BX188" s="3110">
        <f>0</f>
        <v>0</v>
      </c>
      <c r="BY188" s="3110">
        <f>0</f>
        <v>0</v>
      </c>
      <c r="BZ188" s="3176">
        <f>0</f>
        <v>0</v>
      </c>
      <c r="CA188" s="3176">
        <f>0</f>
        <v>0</v>
      </c>
      <c r="CB188" s="3176">
        <f>0</f>
        <v>0</v>
      </c>
      <c r="CC188" s="3176">
        <f>0</f>
        <v>0</v>
      </c>
      <c r="CD188" s="3110">
        <f>0</f>
        <v>0</v>
      </c>
      <c r="CE188" s="3110">
        <f>0</f>
        <v>0</v>
      </c>
      <c r="CF188" s="3110">
        <f>0</f>
        <v>0</v>
      </c>
      <c r="CG188" s="3110">
        <f>0</f>
        <v>0</v>
      </c>
      <c r="CH188" s="3110">
        <f>0</f>
        <v>0</v>
      </c>
      <c r="CI188" s="3110">
        <f>0</f>
        <v>0</v>
      </c>
      <c r="CJ188" s="3110">
        <f>0</f>
        <v>0</v>
      </c>
      <c r="CK188" s="3110">
        <f>0</f>
        <v>0</v>
      </c>
      <c r="CL188" s="3110">
        <f>0</f>
        <v>0</v>
      </c>
      <c r="CM188" s="3110">
        <f>0</f>
        <v>0</v>
      </c>
      <c r="CN188" s="3110">
        <f>0</f>
        <v>0</v>
      </c>
      <c r="CO188" s="3110">
        <f>0</f>
        <v>0</v>
      </c>
      <c r="CP188" s="3110">
        <f>0</f>
        <v>0</v>
      </c>
      <c r="CQ188" s="3110">
        <f>0</f>
        <v>0</v>
      </c>
      <c r="CR188" s="3110">
        <f>0</f>
        <v>0</v>
      </c>
      <c r="CS188" s="3110">
        <f>0</f>
        <v>0</v>
      </c>
      <c r="CT188" s="3110">
        <f>0</f>
        <v>0</v>
      </c>
      <c r="CU188" s="3110">
        <f>0</f>
        <v>0</v>
      </c>
      <c r="CV188" s="3222">
        <f>b_CASTO_T*(η_bCASTO_ana*(X_PAO*M_RinhXPP_XPAO_KPP+X_GAO*M_RinhXPHA_XGAO_KPHA)*M_inhSNO3_KNO3_CASTO*M_inhSNO2_KNO2_CASTO*M_inhSO2_KO2_CASTO+X_CASTO*m_tox_ana)</f>
        <v>2.019594917729782E-4</v>
      </c>
      <c r="CX188" s="2838">
        <f>E287*E188+F287*F188+G287*G188+H287*H188+I287*I188+J287*J188+K287*K188+L287*L188+M287*M188+N287*N188+O287*O188+P287*P188+Q287*Q188+R287*R188+S287*S188+T287*T188+U287*U188+V287*V188+W287*W188+X287*X188+Y287*Y188+Z287*Z188+AA287*AA188+AB287*AB188+AC287*AC188+AD287*AD188+AE287*AE188+AF287*AF188+AG287*AG188+AH287*AH188+AI287*AI188+AJ287*AJ188+AK287*AK188+AL287*AL188+AM287*AM188+AN287*AN188+AO287*AO188+AP287*AP188+AQ287*AQ188+AR287*AR188+AS287*AS188+AT287*AT188+AU287*AU188+AV287*AV188+AW287*AW188+AX287*AX188+AY287*AY188+AZ287*AZ188+BA287*BA188+BB287*BB188+BC287*BC188+BD287*BD188+BE287*BE188+BF287*BF188+BG287*BG188+BH287*BH188+BI287*BI188+BJ287*BJ188+BK287*BK188+BL287*BL188+BM287*BM188+BN287*BN188+BO287*BO188+BP287*BP188+BQ287*BQ188+BR287*BR188+BS287*BS188+BT287*BT188+BU287*BU188+BV287*BV188+BW287*BW188+BX287*BX188+BY287*BY188+BZ287*BZ188+CA287*CA188+CB287*CB188+CC287*CC188+CD287*CD188+CE287*CE188+CF287*CF188+CG287*CG188+CH287*CH188+CI287*CI188+CJ287*CJ188+CK287*CK188+CL287*CL188+CM287*CM188+CN287*CN188+CO287*CO188+CP287*CP188+CQ287*CQ188+CR287*CR188+CS287*CS188+CT287*CT188+CU287*CU188</f>
        <v>0</v>
      </c>
      <c r="CY188" s="2838">
        <f>E288*E188+F288*F188+G288*G188+H288*H188+I288*I188+J288*J188+K288*K188+L288*L188+M288*M188+N288*N188+O288*O188+P288*P188+Q288*Q188+R288*R188+S288*S188+T288*T188+U288*U188+V288*V188+W288*W188+X288*X188+Y288*Y188+Z288*Z188+AA288*AA188+AB288*AB188+AC288*AC188+AD288*AD188+AE288*AE188+AF288*AF188+AG288*AG188+AH288*AH188+AI288*AI188+AJ288*AJ188+AK288*AK188+AL288*AL188+AM288*AM188+AN288*AN188+AO288*AO188+AP288*AP188+AQ288*AQ188+AR288*AR188+AS288*AS188+AT288*AT188+AU288*AU188+AV288*AV188+AW288*AW188+AX288*AX188+AY288*AY188+AZ288*AZ188+BA288*BA188+BB288*BB188+BC288*BC188+BD288*BD188+BE288*BE188+BF288*BF188+BG288*BG188+BH288*BH188+BI288*BI188+BJ288*BJ188+BK288*BK188+BL288*BL188+BM288*BM188+BN288*BN188+BO288*BO188+BP288*BP188+BQ288*BQ188+BR288*BR188+BS288*BS188+BT288*BT188+BU288*BU188+BV288*BV188+BW288*BW188+BX288*BX188+BY288*BY188+BZ288*BZ188+CA288*CA188+CB288*CB188+CC288*CC188+CD288*CD188+CE288*CE188+CF288*CF188+CG288*CG188+CH288*CH188+CI288*CI188+CJ288*CJ188+CK288*CK188+CL288*CL188+CM288*CM188+CN288*CN188+CO288*CO188+CP288*CP188+CQ288*CQ188+CR288*CR188+CS288*CS188+CT288*CT188+CU288*CU188</f>
        <v>0</v>
      </c>
      <c r="CZ188" s="2839">
        <f>E289*E188+F289*F188+G289*G188+H289*H188+I289*I188+J289*J188+K289*K188+L289*L188+M289*M188+N289*N188+O289*O188+P289*P188+Q289*Q188+R289*R188+S289*S188+T289*T188+U289*U188+V289*V188+W289*W188+X289*X188+Y289*Y188+Z289*Z188+AA289*AA188+AB289*AB188+AC289*AC188+AD289*AD188+AE289*AE188+AF289*AF188+AG289*AG188+AH289*AH188+AI289*AI188+AJ289*AJ188+AK289*AK188+AL289*AL188+AM289*AM188+AN289*AN188+AO289*AO188+AP289*AP188+AQ289*AQ188+AR289*AR188+AS289*AS188+AT289*AT188+AU289*AU188+AV289*AV188+AW289*AW188+AX289*AX188+AY289*AY188+AZ289*AZ188+BA289*BA188+BB289*BB188+BC289*BC188+BD289*BD188+BE289*BE188+BF289*BF188+BG289*BG188+BH289*BH188+BI289*BI188+BJ289*BJ188+BK289*BK188+BL289*BL188+BM289*BM188+BN289*BN188+BO289*BO188+BP289*BP188+BQ289*BQ188+BR289*BR188+BS289*BS188+BT289*BT188+BU289*BU188+BV289*BV188+BW289*BW188+BX289*BX188+BY289*BY188+BZ289*BZ188+CA289*CA188+CB289*CB188+CC289*CC188+CD289*CD188+CE289*CE188+CF289*CF188+CG289*CG188+CH289*CH188+CI289*CI188+CJ289*CJ188+CK289*CK188+CL289*CL188+CM289*CM188+CN289*CN188+CO289*CO188+CP289*CP188+CQ289*CQ188+CR289*CR188+CS289*CS188+CT289*CT188+CU289*CU188</f>
        <v>0</v>
      </c>
      <c r="DA188" s="2840">
        <f>E290*E188+F290*F188+G290*G188+H290*H188+I290*I188+J290*J188+K290*K188+L290*L188+M290*M188+N290*N188+O290*O188+P290*P188+Q290*Q188+R290*R188+S290*S188+T290*T188+U290*U188+V290*V188+W290*W188+X290*X188+Y290*Y188+Z290*Z188+AA290*AA188+AB290*AB188+AC290*AC188+AD290*AD188+AE290*AE188+AF290*AF188+AG290*AG188+AH290*AH188+AI290*AI188+AJ290*AJ188+AK290*AK188+AL290*AL188+AM290*AM188+AN290*AN188+AO290*AO188+AP290*AP188+AQ290*AQ188+AR290*AR188+AS290*AS188+AT290*AT188+AU290*AU188+AV290*AV188+AW290*AW188+AX290*AX188+AY290*AY188+AZ290*AZ188+BA290*BA188+BB290*BB188+BC290*BC188+BD290*BD188+BE290*BE188+BF290*BF188+BG290*BG188+BH290*BH188+BI290*BI188+BJ290*BJ188+BK290*BK188+BL290*BL188+BM290*BM188+BN290*BN188+BO290*BO188+BP290*BP188+BQ290*BQ188+BR290*BR188+BS290*BS188+BT290*BT188+BU290*BU188+BV290*BV188+BW290*BW188+BX290*BX188+BY290*BY188+BZ290*BZ188+CA290*CA188+CB290*CB188+CC290*CC188+CD290*CD188+CE290*CE188+CF290*CF188+CG290*CG188+CH290*CH188+CI290*CI188+CJ290*CJ188+CK290*CK188+CL290*CL188+CM290*CM188+CN290*CN188+CO290*CO188+CP290*CP188+CQ290*CQ188+CR290*CR188+CS290*CS188+CT290*CT188+CU290*CU188</f>
        <v>0</v>
      </c>
      <c r="DB188" s="2840">
        <f>E291*E188+F291*F188+G291*G188+H291*H188+I291*I188+J291*J188+K291*K188+L291*L188+M291*M188+N291*N188+O291*O188+P291*P188+Q291*Q188+R291*R188+S291*S188+T291*T188+U291*U188+V291*V188+W291*W188+X291*X188+Y291*Y188+Z291*Z188+AA291*AA188+AB291*AB188+AC291*AC188+AD291*AD188+AE291*AE188+AF291*AF188+AG291*AG188+AH291*AH188+AI291*AI188+AJ291*AJ188+AK291*AK188+AL291*AL188+AM291*AM188+AN291*AN188+AO291*AO188+AP291*AP188+AQ291*AQ188+AR291*AR188+AS291*AS188+AT291*AT188+AU291*AU188+AV291*AV188+AW291*AW188+AX291*AX188+AY291*AY188+AZ291*AZ188+BA291*BA188+BB291*BB188+BC291*BC188+BD291*BD188+BE291*BE188+BF291*BF188+BG291*BG188+BH291*BH188+BI291*BI188+BJ291*BJ188+BK291*BK188+BL291*BL188+BM291*BM188+BN291*BN188+BO291*BO188+BP291*BP188+BQ291*BQ188+BR291*BR188+BS291*BS188+BT291*BT188+BU291*BU188+BV291*BV188+BW291*BW188+BX291*BX188+BY291*BY188+BZ291*BZ188+CA291*CA188+CB291*CB188+CC291*CC188+CD291*CD188+CE291*CE188+CF291*CF188+CG291*CG188+CH291*CH188+CI291*CI188+CJ291*CJ188+CK291*CK188+CL291*CL188+CM291*CM188+CN291*CN188+CO291*CO188+CP291*CP188+CQ291*CQ188+CR291*CR188+CS291*CS188+CT291*CT188+CU291*CU188</f>
        <v>0</v>
      </c>
      <c r="DC188" s="2840">
        <f>E292*E188+F292*F188+G292*G188+H292*H188+I292*I188+J292*J188+K292*K188+L292*L188+M292*M188+N292*N188+O292*O188+P292*P188+Q292*Q188+R292*R188+S292*S188+T292*T188+U292*U188+V292*V188+W292*W188+X292*X188+Y292*Y188+Z292*Z188+AA292*AA188+AB292*AB188+AC292*AC188+AD292*AD188+AE292*AE188+AF292*AF188+AG292*AG188+AH292*AH188+AI292*AI188+AJ292*AJ188+AK292*AK188+AL292*AL188+AM292*AM188+AN292*AN188+AO292*AO188+AP292*AP188+AQ292*AQ188+AR292*AR188+AS292*AS188+AT292*AT188+AU292*AU188+AV292*AV188+AW292*AW188+AX292*AX188+AY292*AY188+AZ292*AZ188+BA292*BA188+BB292*BB188+BC292*BC188+BD292*BD188+BE292*BE188+BF292*BF188+BG292*BG188+BH292*BH188+BI292*BI188+BJ292*BJ188+BK292*BK188+BL292*BL188+BM292*BM188+BN292*BN188+BO292*BO188+BP292*BP188+BQ292*BQ188+BR292*BR188+BS292*BS188+BT292*BT188+BU292*BU188+BV292*BV188+BW292*BW188+BX292*BX188+BY292*BY188+BZ292*BZ188+CA292*CA188+CB292*CB188+CC292*CC188+CD292*CD188+CE292*CE188+CF292*CF188+CG292*CG188+CH292*CH188+CI292*CI188+CJ292*CJ188+CK292*CK188+CL292*CL188+CM292*CM188+CN292*CN188+CO292*CO188+CP292*CP188+CQ292*CQ188+CR292*CR188+CS292*CS188+CT292*CT188+CU292*CU188</f>
        <v>0</v>
      </c>
      <c r="DD188" s="2840">
        <f>E293*E188+F293*F188+G293*G188+H293*H188+I293*I188+J293*J188+K293*K188+L293*L188+M293*M188+N293*N188+O293*O188+P293*P188+Q293*Q188+R293*R188+S293*S188+T293*T188+U293*U188+V293*V188+W293*W188+X293*X188+Y293*Y188+Z293*Z188+AA293*AA188+AB293*AB188+AC293*AC188+AD293*AD188+AE293*AE188+AF293*AF188+AG293*AG188+AH293*AH188+AI293*AI188+AJ293*AJ188+AK293*AK188+AL293*AL188+AM293*AM188+AN293*AN188+AO293*AO188+AP293*AP188+AQ293*AQ188+AR293*AR188+AS293*AS188+AT293*AT188+AU293*AU188+AV293*AV188+AW293*AW188+AX293*AX188+AY293*AY188+AZ293*AZ188+BA293*BA188+BB293*BB188+BC293*BC188+BD293*BD188+BE293*BE188+BF293*BF188+BG293*BG188+BH293*BH188+BI293*BI188+BJ293*BJ188+BK293*BK188+BL293*BL188+BM293*BM188+BN293*BN188+BO293*BO188+BP293*BP188+BQ293*BQ188+BR293*BR188+BS293*BS188+BT293*BT188+BU293*BU188+BV293*BV188+BW293*BW188+BX293*BX188+BY293*BY188+BZ293*BZ188+CA293*CA188+CB293*CB188+CC293*CC188+CD293*CD188+CE293*CE188+CF293*CF188+CG293*CG188+CH293*CH188+CI293*CI188+CJ293*CJ188+CK293*CK188+CL293*CL188+CM293*CM188+CN293*CN188+CO293*CO188+CP293*CP188+CQ293*CQ188+CR293*CR188+CS293*CS188+CT293*CT188+CU293*CU188</f>
        <v>0</v>
      </c>
      <c r="DE188" s="2840">
        <f>E294*E188+F294*F188+G294*G188+H294*H188+I294*I188+J294*J188+K294*K188+L294*L188+M294*M188+N294*N188+O294*O188+P294*P188+Q294*Q188+R294*R188+S294*S188+T294*T188+U294*U188+V294*V188+W294*W188+X294*X188+Y294*Y188+Z294*Z188+AA294*AA188+AB294*AB188+AC294*AC188+AD294*AD188+AE294*AE188+AF294*AF188+AG294*AG188+AH294*AH188+AI294*AI188+AJ294*AJ188+AK294*AK188+AL294*AL188+AM294*AM188+AN294*AN188+AO294*AO188+AP294*AP188+AQ294*AQ188+AR294*AR188+AS294*AS188+AT294*AT188+AU294*AU188+AV294*AV188+AW294*AW188+AX294*AX188+AY294*AY188+AZ294*AZ188+BA294*BA188+BB294*BB188+BC294*BC188+BD294*BD188+BE294*BE188+BF294*BF188+BG294*BG188+BH294*BH188+BI294*BI188+BJ294*BJ188+BK294*BK188+BL294*BL188+BM294*BM188+BN294*BN188+BO294*BO188+BP294*BP188+BQ294*BQ188+BR294*BR188+BS294*BS188+BT294*BT188+BU294*BU188+BV294*BV188+BW294*BW188+BX294*BX188+BY294*BY188+BZ294*BZ188+CA294*CA188+CB294*CB188+CC294*CC188+CD294*CD188+CE294*CE188+CF294*CF188+CG294*CG188+CH294*CH188+CI294*CI188+CJ294*CJ188+CK294*CK188+CL294*CL188+CM294*CM188+CN294*CN188+CO294*CO188+CP294*CP188+CQ294*CQ188+CR294*CR188+CS294*CS188+CT294*CT188+CU294*CU188</f>
        <v>3.4694469519536142E-18</v>
      </c>
      <c r="DF188" s="2840">
        <f>E295*E188+F295*F188+G295*G188+H295*H188+I295*I188+J295*J188+K295*K188+L295*L188+M295*M188+N295*N188+O295*O188+P295*P188+Q295*Q188+R295*R188+S295*S188+T295*T188+U295*U188+V295*V188+W295*W188+X295*X188+Y295*Y188+Z295*Z188+AA295*AA188+AB295*AB188+AC295*AC188+AD295*AD188+AE295*AE188+AF295*AF188+AG295*AG188+AH295*AH188+AI295*AI188+AJ295*AJ188+AK295*AK188+AL295*AL188+AM295*AM188+AN295*AN188+AO295*AO188+AP295*AP188+AQ295*AQ188+AR295*AR188+AS295*AS188+AT295*AT188+AU295*AU188+AV295*AV188+AW295*AW188+AX295*AX188+AY295*AY188+AZ295*AZ188+BA295*BA188+BB295*BB188+BC295*BC188+BD295*BD188+BE295*BE188+BF295*BF188+BG295*BG188+BH295*BH188+BI295*BI188+BJ295*BJ188+BK295*BK188+BL295*BL188+BM295*BM188+BN295*BN188+BO295*BO188+BP295*BP188+BQ295*BQ188+BR295*BR188+BS295*BS188+BT295*BT188+BU295*BU188+BV295*BV188+BW295*BW188+BX295*BX188+BY295*BY188+BZ295*BZ188+CA295*CA188+CB295*CB188+CC295*CC188+CD295*CD188+CE295*CE188+CF295*CF188+CG295*CG188+CH295*CH188+CI295*CI188+CJ295*CJ188+CK295*CK188+CL295*CL188+CM295*CM188+CN295*CN188+CO295*CO188+CP295*CP188+CQ295*CQ188+CR295*CR188+CS295*CS188+CT295*CT188+CU295*CU188</f>
        <v>6.9388939039072284E-18</v>
      </c>
      <c r="DG188" s="2840">
        <f>E296*E188+F296*F188+G296*G188+H296*H188+I296*I188+J296*J188+K296*K188+L296*L188+M296*M188+N296*N188+O296*O188+P296*P188+Q296*Q188+R296*R188+S296*S188+T296*T188+U296*U188+V296*V188+W296*W188+X296*X188+Y296*Y188+Z296*Z188+AA296*AA188+AB296*AB188+AC296*AC188+AD296*AD188+AE296*AE188+AF296*AF188+AG296*AG188+AH296*AH188+AI296*AI188+AJ296*AJ188+AK296*AK188+AL296*AL188+AM296*AM188+AN296*AN188+AO296*AO188+AP296*AP188+AQ296*AQ188+AR296*AR188+AS296*AS188+AT296*AT188+AU296*AU188+AV296*AV188+AW296*AW188+AX296*AX188+AY296*AY188+AZ296*AZ188+BA296*BA188+BB296*BB188+BC296*BC188+BD296*BD188+BE296*BE188+BF296*BF188+BG296*BG188+BH296*BH188+BI296*BI188+BJ296*BJ188+BK296*BK188+BL296*BL188+BM296*BM188+BN296*BN188+BO296*BO188+BP296*BP188+BQ296*BQ188+BR296*BR188+BS296*BS188+BT296*BT188+BU296*BU188+BV296*BV188+BW296*BW188+BX296*BX188+BY296*BY188+BZ296*BZ188+CA296*CA188+CB296*CB188+CC296*CC188+CD296*CD188+CE296*CE188+CF296*CF188+CG296*CG188+CH296*CH188+CI296*CI188+CJ296*CJ188+CK296*CK188+CL296*CL188+CM296*CM188+CN296*CN188+CO296*CO188+CP296*CP188+CQ296*CQ188+CR296*CR188+CS296*CS188+CT296*CT188+CU296*CU188</f>
        <v>0</v>
      </c>
      <c r="DH188" s="2840">
        <f>E297*E188+F297*F188+G297*G188+H297*H188+I297*I188+J297*J188+K297*K188+L297*L188+M297*M188+N297*N188+O297*O188+P297*P188+Q297*Q188+R297*R188+S297*S188+T297*T188+U297*U188+V297*V188+W297*W188+X297*X188+Y297*Y188+Z297*Z188+AA297*AA188+AB297*AB188+AC297*AC188+AD297*AD188+AE297*AE188+AF297*AF188+AG297*AG188+AH297*AH188+AI297*AI188+AJ297*AJ188+AK297*AK188+AL297*AL188+AM297*AM188+AN297*AN188+AO297*AO188+AP297*AP188+AQ297*AQ188+AR297*AR188+AS297*AS188+AT297*AT188+AU297*AU188+AV297*AV188+AW297*AW188+AX297*AX188+AY297*AY188+AZ297*AZ188+BA297*BA188+BB297*BB188+BC297*BC188+BD297*BD188+BE297*BE188+BF297*BF188+BG297*BG188+BH297*BH188+BI297*BI188+BJ297*BJ188+BK297*BK188+BL297*BL188+BM297*BM188+BN297*BN188+BO297*BO188+BP297*BP188+BQ297*BQ188+BR297*BR188+BS297*BS188+BT297*BT188+BU297*BU188+BV297*BV188+BW297*BW188+BX297*BX188+BY297*BY188+BZ297*BZ188+CA297*CA188+CB297*CB188+CC297*CC188+CD297*CD188+CE297*CE188+CF297*CF188+CG297*CG188+CH297*CH188+CI297*CI188+CJ297*CJ188+CK297*CK188+CL297*CL188+CM297*CM188+CN297*CN188+CO297*CO188+CP297*CP188+CQ297*CQ188+CR297*CR188+CS297*CS188+CT297*CT188+CU297*CU188</f>
        <v>0</v>
      </c>
      <c r="DI188" s="2840">
        <f>E298*E188+F298*F188+G298*G188+H298*H188+I298*I188+J298*J188+K298*K188+L298*L188+M298*M188+N298*N188+O298*O188+P298*P188+Q298*Q188+R298*R188+S298*S188+T298*T188+U298*U188+V298*V188+W298*W188+X298*X188+Y298*Y188+Z298*Z188+AA298*AA188+AB298*AB188+AC298*AC188+AD298*AD188+AE298*AE188+AF298*AF188+AG298*AG188+AH298*AH188+AI298*AI188+AJ298*AJ188+AK298*AK188+AL298*AL188+AM298*AM188+AN298*AN188+AO298*AO188+AP298*AP188+AQ298*AQ188+AR298*AR188+AS298*AS188+AT298*AT188+AU298*AU188+AV298*AV188+AW298*AW188+AX298*AX188+AY298*AY188+AZ298*AZ188+BA298*BA188+BB298*BB188+BC298*BC188+BD298*BD188+BE298*BE188+BF298*BF188+BG298*BG188+BH298*BH188+BI298*BI188+BJ298*BJ188+BK298*BK188+BL298*BL188+BM298*BM188+BN298*BN188+BO298*BO188+BP298*BP188+BQ298*BQ188+BR298*BR188+BS298*BS188+BT298*BT188+BU298*BU188+BV298*BV188+BW298*BW188+BX298*BX188+BY298*BY188+BZ298*BZ188+CA298*CA188+CB298*CB188+CC298*CC188+CD298*CD188+CE298*CE188+CF298*CF188+CG298*CG188+CH298*CH188+CI298*CI188+CJ298*CJ188+CK298*CK188+CL298*CL188+CM298*CM188+CN298*CN188+CO298*CO188+CP298*CP188+CQ298*CQ188+CR298*CR188+CS298*CS188+CT298*CT188+CU298*CU188</f>
        <v>0</v>
      </c>
    </row>
    <row r="189" spans="2:113" ht="18" x14ac:dyDescent="0.25">
      <c r="B189" s="2492">
        <v>36</v>
      </c>
      <c r="C189" s="2411" t="s">
        <v>4899</v>
      </c>
      <c r="D189" s="2412" t="s">
        <v>5128</v>
      </c>
      <c r="E189" s="3110">
        <f>0</f>
        <v>0</v>
      </c>
      <c r="F189" s="3110">
        <f>0</f>
        <v>0</v>
      </c>
      <c r="G189" s="3110">
        <f>0</f>
        <v>0</v>
      </c>
      <c r="H189" s="3110">
        <f>0</f>
        <v>0</v>
      </c>
      <c r="I189" s="3110">
        <f>0</f>
        <v>0</v>
      </c>
      <c r="J189" s="3110">
        <f>0</f>
        <v>0</v>
      </c>
      <c r="K189" s="3110">
        <f>0</f>
        <v>0</v>
      </c>
      <c r="L189" s="3110">
        <f>0</f>
        <v>0</v>
      </c>
      <c r="M189" s="3110">
        <f>0</f>
        <v>0</v>
      </c>
      <c r="N189" s="3110">
        <f>0</f>
        <v>0</v>
      </c>
      <c r="O189" s="3110">
        <f>0</f>
        <v>0</v>
      </c>
      <c r="P189" s="3110">
        <f>0</f>
        <v>0</v>
      </c>
      <c r="Q189" s="3110">
        <f>0</f>
        <v>0</v>
      </c>
      <c r="R189" s="3112">
        <f>0</f>
        <v>0</v>
      </c>
      <c r="S189" s="3110">
        <f>0</f>
        <v>0</v>
      </c>
      <c r="T189" s="3110">
        <f>0</f>
        <v>0</v>
      </c>
      <c r="U189" s="3110">
        <f>0</f>
        <v>0</v>
      </c>
      <c r="V189" s="3110">
        <f>0</f>
        <v>0</v>
      </c>
      <c r="W189" s="3110">
        <f>0</f>
        <v>0</v>
      </c>
      <c r="X189" s="3112">
        <f>0</f>
        <v>0</v>
      </c>
      <c r="Y189" s="3110">
        <f>0</f>
        <v>0</v>
      </c>
      <c r="Z189" s="3110">
        <f>0</f>
        <v>0</v>
      </c>
      <c r="AA189" s="3110">
        <f>0</f>
        <v>0</v>
      </c>
      <c r="AB189" s="3110">
        <f>0</f>
        <v>0</v>
      </c>
      <c r="AC189" s="3110">
        <f>0</f>
        <v>0</v>
      </c>
      <c r="AD189" s="3110">
        <f>0</f>
        <v>0</v>
      </c>
      <c r="AE189" s="3112">
        <f>0</f>
        <v>0</v>
      </c>
      <c r="AF189" s="3110">
        <f>0</f>
        <v>0</v>
      </c>
      <c r="AG189" s="3110">
        <f>0</f>
        <v>0</v>
      </c>
      <c r="AH189" s="3110">
        <f>0</f>
        <v>0</v>
      </c>
      <c r="AI189" s="3110">
        <f>0</f>
        <v>0</v>
      </c>
      <c r="AJ189" s="3110">
        <f>0</f>
        <v>0</v>
      </c>
      <c r="AK189" s="3110">
        <f>0</f>
        <v>0</v>
      </c>
      <c r="AL189" s="3110">
        <f>0</f>
        <v>0</v>
      </c>
      <c r="AM189" s="3110">
        <f>0</f>
        <v>0</v>
      </c>
      <c r="AN189" s="3110">
        <f>0</f>
        <v>0</v>
      </c>
      <c r="AO189" s="3110">
        <f>0</f>
        <v>0</v>
      </c>
      <c r="AP189" s="3110">
        <f>0</f>
        <v>0</v>
      </c>
      <c r="AQ189" s="3110">
        <f>0</f>
        <v>0</v>
      </c>
      <c r="AR189" s="3110">
        <f>0</f>
        <v>0</v>
      </c>
      <c r="AS189" s="3110">
        <f>0</f>
        <v>0</v>
      </c>
      <c r="AT189" s="3112">
        <f>0</f>
        <v>0</v>
      </c>
      <c r="AU189" s="3110">
        <f>0</f>
        <v>0</v>
      </c>
      <c r="AV189" s="3112">
        <f>0</f>
        <v>0</v>
      </c>
      <c r="AW189" s="3110">
        <f>0</f>
        <v>0</v>
      </c>
      <c r="AX189" s="3110">
        <f>0</f>
        <v>0</v>
      </c>
      <c r="AY189" s="3112">
        <f>0</f>
        <v>0</v>
      </c>
      <c r="AZ189" s="3112">
        <f>0</f>
        <v>0</v>
      </c>
      <c r="BA189" s="3110">
        <f>0</f>
        <v>0</v>
      </c>
      <c r="BB189" s="3112">
        <f>0</f>
        <v>0</v>
      </c>
      <c r="BC189" s="3112">
        <f>0</f>
        <v>0</v>
      </c>
      <c r="BD189" s="3110">
        <f>0</f>
        <v>0</v>
      </c>
      <c r="BE189" s="3110">
        <f>0</f>
        <v>0</v>
      </c>
      <c r="BF189" s="3112">
        <f>0</f>
        <v>0</v>
      </c>
      <c r="BG189" s="3112">
        <f>0</f>
        <v>0</v>
      </c>
      <c r="BH189" s="3110">
        <f>0</f>
        <v>0</v>
      </c>
      <c r="BI189" s="3112">
        <f>0</f>
        <v>0</v>
      </c>
      <c r="BJ189" s="3112">
        <f>0</f>
        <v>0</v>
      </c>
      <c r="BK189" s="3112">
        <f>0</f>
        <v>0</v>
      </c>
      <c r="BL189" s="3112">
        <f>0</f>
        <v>0</v>
      </c>
      <c r="BM189" s="3112">
        <f>0</f>
        <v>0</v>
      </c>
      <c r="BN189" s="3112">
        <f>0</f>
        <v>0</v>
      </c>
      <c r="BO189" s="3112">
        <f>0</f>
        <v>0</v>
      </c>
      <c r="BP189" s="3112">
        <f>0</f>
        <v>0</v>
      </c>
      <c r="BQ189" s="3112">
        <f>0</f>
        <v>0</v>
      </c>
      <c r="BR189" s="3112">
        <f>0</f>
        <v>0</v>
      </c>
      <c r="BS189" s="3112">
        <f>0</f>
        <v>0</v>
      </c>
      <c r="BT189" s="3112">
        <f>0</f>
        <v>0</v>
      </c>
      <c r="BU189" s="3112">
        <f>0</f>
        <v>0</v>
      </c>
      <c r="BV189" s="3112">
        <f>0</f>
        <v>0</v>
      </c>
      <c r="BW189" s="3112">
        <f>0</f>
        <v>0</v>
      </c>
      <c r="BX189" s="3112">
        <f>0</f>
        <v>0</v>
      </c>
      <c r="BY189" s="3112">
        <f>0</f>
        <v>0</v>
      </c>
      <c r="BZ189" s="3188">
        <f>0</f>
        <v>0</v>
      </c>
      <c r="CA189" s="3188">
        <f>0</f>
        <v>0</v>
      </c>
      <c r="CB189" s="3188">
        <f>0</f>
        <v>0</v>
      </c>
      <c r="CC189" s="3188">
        <f>0</f>
        <v>0</v>
      </c>
      <c r="CD189" s="3112">
        <f>0</f>
        <v>0</v>
      </c>
      <c r="CE189" s="3112">
        <f>0</f>
        <v>0</v>
      </c>
      <c r="CF189" s="3112">
        <f>1</f>
        <v>1</v>
      </c>
      <c r="CG189" s="3112">
        <f>0</f>
        <v>0</v>
      </c>
      <c r="CH189" s="3112">
        <f>0</f>
        <v>0</v>
      </c>
      <c r="CI189" s="3112">
        <f>0</f>
        <v>0</v>
      </c>
      <c r="CJ189" s="3112">
        <f>0</f>
        <v>0</v>
      </c>
      <c r="CK189" s="3111">
        <f>0</f>
        <v>0</v>
      </c>
      <c r="CL189" s="3111">
        <f>0</f>
        <v>0</v>
      </c>
      <c r="CM189" s="3214">
        <f>0</f>
        <v>0</v>
      </c>
      <c r="CN189" s="3111">
        <f>0</f>
        <v>0</v>
      </c>
      <c r="CO189" s="3111">
        <f>0</f>
        <v>0</v>
      </c>
      <c r="CP189" s="3214">
        <f>0</f>
        <v>0</v>
      </c>
      <c r="CQ189" s="3214">
        <f>0</f>
        <v>0</v>
      </c>
      <c r="CR189" s="3214">
        <f>0</f>
        <v>0</v>
      </c>
      <c r="CS189" s="3214">
        <f>0</f>
        <v>0</v>
      </c>
      <c r="CT189" s="3214">
        <f>0</f>
        <v>0</v>
      </c>
      <c r="CU189" s="3214">
        <f>0</f>
        <v>0</v>
      </c>
      <c r="CV189" s="3222">
        <f>k_ORPswitch*(O_RP+o_ffsetORPswitch-S_ORPswitch)</f>
        <v>6848.780487804881</v>
      </c>
      <c r="CX189" s="2838">
        <f>E287*E189+F287*F189+G287*G189+H287*H189+I287*I189+J287*J189+K287*K189+L287*L189+M287*M189+N287*N189+O287*O189+P287*P189+Q287*Q189+R287*R189+S287*S189+T287*T189+U287*U189+V287*V189+W287*W189+X287*X189+Y287*Y189+Z287*Z189+AA287*AA189+AB287*AB189+AC287*AC189+AD287*AD189+AE287*AE189+AF287*AF189+AG287*AG189+AH287*AH189+AI287*AI189+AJ287*AJ189+AK287*AK189+AL287*AL189+AM287*AM189+AN287*AN189+AO287*AO189+AP287*AP189+AQ287*AQ189+AR287*AR189+AS287*AS189+AT287*AT189+AU287*AU189+AV287*AV189+AW287*AW189+AX287*AX189+AY287*AY189+AZ287*AZ189+BA287*BA189+BB287*BB189+BC287*BC189+BD287*BD189+BE287*BE189+BF287*BF189+BG287*BG189+BH287*BH189+BI287*BI189+BJ287*BJ189+BK287*BK189+BL287*BL189+BM287*BM189+BN287*BN189+BO287*BO189+BP287*BP189+BQ287*BQ189+BR287*BR189+BS287*BS189+BT287*BT189+BU287*BU189+BV287*BV189+BW287*BW189+BX287*BX189+BY287*BY189+BZ287*BZ189+CA287*CA189+CB287*CB189+CC287*CC189+CD287*CD189+CE287*CE189+CF287*CF189+CG287*CG189+CH287*CH189+CI287*CI189+CJ287*CJ189+CK287*CK189+CL287*CL189+CM287*CM189+CN287*CN189+CO287*CO189+CP287*CP189+CQ287*CQ189+CR287*CR189+CS287*CS189+CT287*CT189+CU287*CU189</f>
        <v>0</v>
      </c>
      <c r="CY189" s="2838">
        <f>E288*E189+F288*F189+G288*G189+H288*H189+I288*I189+J288*J189+K288*K189+L288*L189+M288*M189+N288*N189+O288*O189+P288*P189+Q288*Q189+R288*R189+S288*S189+T288*T189+U288*U189+V288*V189+W288*W189+X288*X189+Y288*Y189+Z288*Z189+AA288*AA189+AB288*AB189+AC288*AC189+AD288*AD189+AE288*AE189+AF288*AF189+AG288*AG189+AH288*AH189+AI288*AI189+AJ288*AJ189+AK288*AK189+AL288*AL189+AM288*AM189+AN288*AN189+AO288*AO189+AP288*AP189+AQ288*AQ189+AR288*AR189+AS288*AS189+AT288*AT189+AU288*AU189+AV288*AV189+AW288*AW189+AX288*AX189+AY288*AY189+AZ288*AZ189+BA288*BA189+BB288*BB189+BC288*BC189+BD288*BD189+BE288*BE189+BF288*BF189+BG288*BG189+BH288*BH189+BI288*BI189+BJ288*BJ189+BK288*BK189+BL288*BL189+BM288*BM189+BN288*BN189+BO288*BO189+BP288*BP189+BQ288*BQ189+BR288*BR189+BS288*BS189+BT288*BT189+BU288*BU189+BV288*BV189+BW288*BW189+BX288*BX189+BY288*BY189+BZ288*BZ189+CA288*CA189+CB288*CB189+CC288*CC189+CD288*CD189+CE288*CE189+CF288*CF189+CG288*CG189+CH288*CH189+CI288*CI189+CJ288*CJ189+CK288*CK189+CL288*CL189+CM288*CM189+CN288*CN189+CO288*CO189+CP288*CP189+CQ288*CQ189+CR288*CR189+CS288*CS189+CT288*CT189+CU288*CU189</f>
        <v>0</v>
      </c>
      <c r="CZ189" s="2839">
        <f>E289*E189+F289*F189+G289*G189+H289*H189+I289*I189+J289*J189+K289*K189+L289*L189+M289*M189+N289*N189+O289*O189+P289*P189+Q289*Q189+R289*R189+S289*S189+T289*T189+U289*U189+V289*V189+W289*W189+X289*X189+Y289*Y189+Z289*Z189+AA289*AA189+AB289*AB189+AC289*AC189+AD289*AD189+AE289*AE189+AF289*AF189+AG289*AG189+AH289*AH189+AI289*AI189+AJ289*AJ189+AK289*AK189+AL289*AL189+AM289*AM189+AN289*AN189+AO289*AO189+AP289*AP189+AQ289*AQ189+AR289*AR189+AS289*AS189+AT289*AT189+AU289*AU189+AV289*AV189+AW289*AW189+AX289*AX189+AY289*AY189+AZ289*AZ189+BA289*BA189+BB289*BB189+BC289*BC189+BD289*BD189+BE289*BE189+BF289*BF189+BG289*BG189+BH289*BH189+BI289*BI189+BJ289*BJ189+BK289*BK189+BL289*BL189+BM289*BM189+BN289*BN189+BO289*BO189+BP289*BP189+BQ289*BQ189+BR289*BR189+BS289*BS189+BT289*BT189+BU289*BU189+BV289*BV189+BW289*BW189+BX289*BX189+BY289*BY189+BZ289*BZ189+CA289*CA189+CB289*CB189+CC289*CC189+CD289*CD189+CE289*CE189+CF289*CF189+CG289*CG189+CH289*CH189+CI289*CI189+CJ289*CJ189+CK289*CK189+CL289*CL189+CM289*CM189+CN289*CN189+CO289*CO189+CP289*CP189+CQ289*CQ189+CR289*CR189+CS289*CS189+CT289*CT189+CU289*CU189</f>
        <v>0</v>
      </c>
      <c r="DA189" s="2840">
        <f>E290*E189+F290*F189+G290*G189+H290*H189+I290*I189+J290*J189+K290*K189+L290*L189+M290*M189+N290*N189+O290*O189+P290*P189+Q290*Q189+R290*R189+S290*S189+T290*T189+U290*U189+V290*V189+W290*W189+X290*X189+Y290*Y189+Z290*Z189+AA290*AA189+AB290*AB189+AC290*AC189+AD290*AD189+AE290*AE189+AF290*AF189+AG290*AG189+AH290*AH189+AI290*AI189+AJ290*AJ189+AK290*AK189+AL290*AL189+AM290*AM189+AN290*AN189+AO290*AO189+AP290*AP189+AQ290*AQ189+AR290*AR189+AS290*AS189+AT290*AT189+AU290*AU189+AV290*AV189+AW290*AW189+AX290*AX189+AY290*AY189+AZ290*AZ189+BA290*BA189+BB290*BB189+BC290*BC189+BD290*BD189+BE290*BE189+BF290*BF189+BG290*BG189+BH290*BH189+BI290*BI189+BJ290*BJ189+BK290*BK189+BL290*BL189+BM290*BM189+BN290*BN189+BO290*BO189+BP290*BP189+BQ290*BQ189+BR290*BR189+BS290*BS189+BT290*BT189+BU290*BU189+BV290*BV189+BW290*BW189+BX290*BX189+BY290*BY189+BZ290*BZ189+CA290*CA189+CB290*CB189+CC290*CC189+CD290*CD189+CE290*CE189+CF290*CF189+CG290*CG189+CH290*CH189+CI290*CI189+CJ290*CJ189+CK290*CK189+CL290*CL189+CM290*CM189+CN290*CN189+CO290*CO189+CP290*CP189+CQ290*CQ189+CR290*CR189+CS290*CS189+CT290*CT189+CU290*CU189</f>
        <v>0</v>
      </c>
      <c r="DB189" s="2840">
        <f>E291*E189+F291*F189+G291*G189+H291*H189+I291*I189+J291*J189+K291*K189+L291*L189+M291*M189+N291*N189+O291*O189+P291*P189+Q291*Q189+R291*R189+S291*S189+T291*T189+U291*U189+V291*V189+W291*W189+X291*X189+Y291*Y189+Z291*Z189+AA291*AA189+AB291*AB189+AC291*AC189+AD291*AD189+AE291*AE189+AF291*AF189+AG291*AG189+AH291*AH189+AI291*AI189+AJ291*AJ189+AK291*AK189+AL291*AL189+AM291*AM189+AN291*AN189+AO291*AO189+AP291*AP189+AQ291*AQ189+AR291*AR189+AS291*AS189+AT291*AT189+AU291*AU189+AV291*AV189+AW291*AW189+AX291*AX189+AY291*AY189+AZ291*AZ189+BA291*BA189+BB291*BB189+BC291*BC189+BD291*BD189+BE291*BE189+BF291*BF189+BG291*BG189+BH291*BH189+BI291*BI189+BJ291*BJ189+BK291*BK189+BL291*BL189+BM291*BM189+BN291*BN189+BO291*BO189+BP291*BP189+BQ291*BQ189+BR291*BR189+BS291*BS189+BT291*BT189+BU291*BU189+BV291*BV189+BW291*BW189+BX291*BX189+BY291*BY189+BZ291*BZ189+CA291*CA189+CB291*CB189+CC291*CC189+CD291*CD189+CE291*CE189+CF291*CF189+CG291*CG189+CH291*CH189+CI291*CI189+CJ291*CJ189+CK291*CK189+CL291*CL189+CM291*CM189+CN291*CN189+CO291*CO189+CP291*CP189+CQ291*CQ189+CR291*CR189+CS291*CS189+CT291*CT189+CU291*CU189</f>
        <v>0</v>
      </c>
      <c r="DC189" s="2840">
        <f>E292*E189+F292*F189+G292*G189+H292*H189+I292*I189+J292*J189+K292*K189+L292*L189+M292*M189+N292*N189+O292*O189+P292*P189+Q292*Q189+R292*R189+S292*S189+T292*T189+U292*U189+V292*V189+W292*W189+X292*X189+Y292*Y189+Z292*Z189+AA292*AA189+AB292*AB189+AC292*AC189+AD292*AD189+AE292*AE189+AF292*AF189+AG292*AG189+AH292*AH189+AI292*AI189+AJ292*AJ189+AK292*AK189+AL292*AL189+AM292*AM189+AN292*AN189+AO292*AO189+AP292*AP189+AQ292*AQ189+AR292*AR189+AS292*AS189+AT292*AT189+AU292*AU189+AV292*AV189+AW292*AW189+AX292*AX189+AY292*AY189+AZ292*AZ189+BA292*BA189+BB292*BB189+BC292*BC189+BD292*BD189+BE292*BE189+BF292*BF189+BG292*BG189+BH292*BH189+BI292*BI189+BJ292*BJ189+BK292*BK189+BL292*BL189+BM292*BM189+BN292*BN189+BO292*BO189+BP292*BP189+BQ292*BQ189+BR292*BR189+BS292*BS189+BT292*BT189+BU292*BU189+BV292*BV189+BW292*BW189+BX292*BX189+BY292*BY189+BZ292*BZ189+CA292*CA189+CB292*CB189+CC292*CC189+CD292*CD189+CE292*CE189+CF292*CF189+CG292*CG189+CH292*CH189+CI292*CI189+CJ292*CJ189+CK292*CK189+CL292*CL189+CM292*CM189+CN292*CN189+CO292*CO189+CP292*CP189+CQ292*CQ189+CR292*CR189+CS292*CS189+CT292*CT189+CU292*CU189</f>
        <v>0</v>
      </c>
      <c r="DD189" s="2840">
        <f>E293*E189+F293*F189+G293*G189+H293*H189+I293*I189+J293*J189+K293*K189+L293*L189+M293*M189+N293*N189+O293*O189+P293*P189+Q293*Q189+R293*R189+S293*S189+T293*T189+U293*U189+V293*V189+W293*W189+X293*X189+Y293*Y189+Z293*Z189+AA293*AA189+AB293*AB189+AC293*AC189+AD293*AD189+AE293*AE189+AF293*AF189+AG293*AG189+AH293*AH189+AI293*AI189+AJ293*AJ189+AK293*AK189+AL293*AL189+AM293*AM189+AN293*AN189+AO293*AO189+AP293*AP189+AQ293*AQ189+AR293*AR189+AS293*AS189+AT293*AT189+AU293*AU189+AV293*AV189+AW293*AW189+AX293*AX189+AY293*AY189+AZ293*AZ189+BA293*BA189+BB293*BB189+BC293*BC189+BD293*BD189+BE293*BE189+BF293*BF189+BG293*BG189+BH293*BH189+BI293*BI189+BJ293*BJ189+BK293*BK189+BL293*BL189+BM293*BM189+BN293*BN189+BO293*BO189+BP293*BP189+BQ293*BQ189+BR293*BR189+BS293*BS189+BT293*BT189+BU293*BU189+BV293*BV189+BW293*BW189+BX293*BX189+BY293*BY189+BZ293*BZ189+CA293*CA189+CB293*CB189+CC293*CC189+CD293*CD189+CE293*CE189+CF293*CF189+CG293*CG189+CH293*CH189+CI293*CI189+CJ293*CJ189+CK293*CK189+CL293*CL189+CM293*CM189+CN293*CN189+CO293*CO189+CP293*CP189+CQ293*CQ189+CR293*CR189+CS293*CS189+CT293*CT189+CU293*CU189</f>
        <v>0</v>
      </c>
      <c r="DE189" s="2840">
        <f>E294*E189+F294*F189+G294*G189+H294*H189+I294*I189+J294*J189+K294*K189+L294*L189+M294*M189+N294*N189+O294*O189+P294*P189+Q294*Q189+R294*R189+S294*S189+T294*T189+U294*U189+V294*V189+W294*W189+X294*X189+Y294*Y189+Z294*Z189+AA294*AA189+AB294*AB189+AC294*AC189+AD294*AD189+AE294*AE189+AF294*AF189+AG294*AG189+AH294*AH189+AI294*AI189+AJ294*AJ189+AK294*AK189+AL294*AL189+AM294*AM189+AN294*AN189+AO294*AO189+AP294*AP189+AQ294*AQ189+AR294*AR189+AS294*AS189+AT294*AT189+AU294*AU189+AV294*AV189+AW294*AW189+AX294*AX189+AY294*AY189+AZ294*AZ189+BA294*BA189+BB294*BB189+BC294*BC189+BD294*BD189+BE294*BE189+BF294*BF189+BG294*BG189+BH294*BH189+BI294*BI189+BJ294*BJ189+BK294*BK189+BL294*BL189+BM294*BM189+BN294*BN189+BO294*BO189+BP294*BP189+BQ294*BQ189+BR294*BR189+BS294*BS189+BT294*BT189+BU294*BU189+BV294*BV189+BW294*BW189+BX294*BX189+BY294*BY189+BZ294*BZ189+CA294*CA189+CB294*CB189+CC294*CC189+CD294*CD189+CE294*CE189+CF294*CF189+CG294*CG189+CH294*CH189+CI294*CI189+CJ294*CJ189+CK294*CK189+CL294*CL189+CM294*CM189+CN294*CN189+CO294*CO189+CP294*CP189+CQ294*CQ189+CR294*CR189+CS294*CS189+CT294*CT189+CU294*CU189</f>
        <v>0</v>
      </c>
      <c r="DF189" s="2840">
        <f>E295*E189+F295*F189+G295*G189+H295*H189+I295*I189+J295*J189+K295*K189+L295*L189+M295*M189+N295*N189+O295*O189+P295*P189+Q295*Q189+R295*R189+S295*S189+T295*T189+U295*U189+V295*V189+W295*W189+X295*X189+Y295*Y189+Z295*Z189+AA295*AA189+AB295*AB189+AC295*AC189+AD295*AD189+AE295*AE189+AF295*AF189+AG295*AG189+AH295*AH189+AI295*AI189+AJ295*AJ189+AK295*AK189+AL295*AL189+AM295*AM189+AN295*AN189+AO295*AO189+AP295*AP189+AQ295*AQ189+AR295*AR189+AS295*AS189+AT295*AT189+AU295*AU189+AV295*AV189+AW295*AW189+AX295*AX189+AY295*AY189+AZ295*AZ189+BA295*BA189+BB295*BB189+BC295*BC189+BD295*BD189+BE295*BE189+BF295*BF189+BG295*BG189+BH295*BH189+BI295*BI189+BJ295*BJ189+BK295*BK189+BL295*BL189+BM295*BM189+BN295*BN189+BO295*BO189+BP295*BP189+BQ295*BQ189+BR295*BR189+BS295*BS189+BT295*BT189+BU295*BU189+BV295*BV189+BW295*BW189+BX295*BX189+BY295*BY189+BZ295*BZ189+CA295*CA189+CB295*CB189+CC295*CC189+CD295*CD189+CE295*CE189+CF295*CF189+CG295*CG189+CH295*CH189+CI295*CI189+CJ295*CJ189+CK295*CK189+CL295*CL189+CM295*CM189+CN295*CN189+CO295*CO189+CP295*CP189+CQ295*CQ189+CR295*CR189+CS295*CS189+CT295*CT189+CU295*CU189</f>
        <v>0</v>
      </c>
      <c r="DG189" s="2840">
        <f>E296*E189+F296*F189+G296*G189+H296*H189+I296*I189+J296*J189+K296*K189+L296*L189+M296*M189+N296*N189+O296*O189+P296*P189+Q296*Q189+R296*R189+S296*S189+T296*T189+U296*U189+V296*V189+W296*W189+X296*X189+Y296*Y189+Z296*Z189+AA296*AA189+AB296*AB189+AC296*AC189+AD296*AD189+AE296*AE189+AF296*AF189+AG296*AG189+AH296*AH189+AI296*AI189+AJ296*AJ189+AK296*AK189+AL296*AL189+AM296*AM189+AN296*AN189+AO296*AO189+AP296*AP189+AQ296*AQ189+AR296*AR189+AS296*AS189+AT296*AT189+AU296*AU189+AV296*AV189+AW296*AW189+AX296*AX189+AY296*AY189+AZ296*AZ189+BA296*BA189+BB296*BB189+BC296*BC189+BD296*BD189+BE296*BE189+BF296*BF189+BG296*BG189+BH296*BH189+BI296*BI189+BJ296*BJ189+BK296*BK189+BL296*BL189+BM296*BM189+BN296*BN189+BO296*BO189+BP296*BP189+BQ296*BQ189+BR296*BR189+BS296*BS189+BT296*BT189+BU296*BU189+BV296*BV189+BW296*BW189+BX296*BX189+BY296*BY189+BZ296*BZ189+CA296*CA189+CB296*CB189+CC296*CC189+CD296*CD189+CE296*CE189+CF296*CF189+CG296*CG189+CH296*CH189+CI296*CI189+CJ296*CJ189+CK296*CK189+CL296*CL189+CM296*CM189+CN296*CN189+CO296*CO189+CP296*CP189+CQ296*CQ189+CR296*CR189+CS296*CS189+CT296*CT189+CU296*CU189</f>
        <v>0</v>
      </c>
      <c r="DH189" s="2840">
        <f>E297*E189+F297*F189+G297*G189+H297*H189+I297*I189+J297*J189+K297*K189+L297*L189+M297*M189+N297*N189+O297*O189+P297*P189+Q297*Q189+R297*R189+S297*S189+T297*T189+U297*U189+V297*V189+W297*W189+X297*X189+Y297*Y189+Z297*Z189+AA297*AA189+AB297*AB189+AC297*AC189+AD297*AD189+AE297*AE189+AF297*AF189+AG297*AG189+AH297*AH189+AI297*AI189+AJ297*AJ189+AK297*AK189+AL297*AL189+AM297*AM189+AN297*AN189+AO297*AO189+AP297*AP189+AQ297*AQ189+AR297*AR189+AS297*AS189+AT297*AT189+AU297*AU189+AV297*AV189+AW297*AW189+AX297*AX189+AY297*AY189+AZ297*AZ189+BA297*BA189+BB297*BB189+BC297*BC189+BD297*BD189+BE297*BE189+BF297*BF189+BG297*BG189+BH297*BH189+BI297*BI189+BJ297*BJ189+BK297*BK189+BL297*BL189+BM297*BM189+BN297*BN189+BO297*BO189+BP297*BP189+BQ297*BQ189+BR297*BR189+BS297*BS189+BT297*BT189+BU297*BU189+BV297*BV189+BW297*BW189+BX297*BX189+BY297*BY189+BZ297*BZ189+CA297*CA189+CB297*CB189+CC297*CC189+CD297*CD189+CE297*CE189+CF297*CF189+CG297*CG189+CH297*CH189+CI297*CI189+CJ297*CJ189+CK297*CK189+CL297*CL189+CM297*CM189+CN297*CN189+CO297*CO189+CP297*CP189+CQ297*CQ189+CR297*CR189+CS297*CS189+CT297*CT189+CU297*CU189</f>
        <v>0</v>
      </c>
      <c r="DI189" s="2840">
        <f>E298*E189+F298*F189+G298*G189+H298*H189+I298*I189+J298*J189+K298*K189+L298*L189+M298*M189+N298*N189+O298*O189+P298*P189+Q298*Q189+R298*R189+S298*S189+T298*T189+U298*U189+V298*V189+W298*W189+X298*X189+Y298*Y189+Z298*Z189+AA298*AA189+AB298*AB189+AC298*AC189+AD298*AD189+AE298*AE189+AF298*AF189+AG298*AG189+AH298*AH189+AI298*AI189+AJ298*AJ189+AK298*AK189+AL298*AL189+AM298*AM189+AN298*AN189+AO298*AO189+AP298*AP189+AQ298*AQ189+AR298*AR189+AS298*AS189+AT298*AT189+AU298*AU189+AV298*AV189+AW298*AW189+AX298*AX189+AY298*AY189+AZ298*AZ189+BA298*BA189+BB298*BB189+BC298*BC189+BD298*BD189+BE298*BE189+BF298*BF189+BG298*BG189+BH298*BH189+BI298*BI189+BJ298*BJ189+BK298*BK189+BL298*BL189+BM298*BM189+BN298*BN189+BO298*BO189+BP298*BP189+BQ298*BQ189+BR298*BR189+BS298*BS189+BT298*BT189+BU298*BU189+BV298*BV189+BW298*BW189+BX298*BX189+BY298*BY189+BZ298*BZ189+CA298*CA189+CB298*CB189+CC298*CC189+CD298*CD189+CE298*CE189+CF298*CF189+CG298*CG189+CH298*CH189+CI298*CI189+CJ298*CJ189+CK298*CK189+CL298*CL189+CM298*CM189+CN298*CN189+CO298*CO189+CP298*CP189+CQ298*CQ189+CR298*CR189+CS298*CS189+CT298*CT189+CU298*CU189</f>
        <v>0</v>
      </c>
    </row>
    <row r="190" spans="2:113" ht="18" x14ac:dyDescent="0.25">
      <c r="B190" s="2493">
        <v>37</v>
      </c>
      <c r="C190" s="2414" t="s">
        <v>296</v>
      </c>
      <c r="D190" s="2415" t="s">
        <v>2215</v>
      </c>
      <c r="E190" s="3113">
        <f>0</f>
        <v>0</v>
      </c>
      <c r="F190" s="3139">
        <f>0</f>
        <v>0</v>
      </c>
      <c r="G190" s="3139">
        <f>0</f>
        <v>0</v>
      </c>
      <c r="H190" s="3139">
        <f>0</f>
        <v>0</v>
      </c>
      <c r="I190" s="3139">
        <f>0</f>
        <v>0</v>
      </c>
      <c r="J190" s="3139">
        <f>0</f>
        <v>0</v>
      </c>
      <c r="K190" s="3139">
        <f>0</f>
        <v>0</v>
      </c>
      <c r="L190" s="3139">
        <f>0</f>
        <v>0</v>
      </c>
      <c r="M190" s="3139">
        <f>0</f>
        <v>0</v>
      </c>
      <c r="N190" s="3113">
        <f>0</f>
        <v>0</v>
      </c>
      <c r="O190" s="3113">
        <f>0</f>
        <v>0</v>
      </c>
      <c r="P190" s="3139">
        <f>0</f>
        <v>0</v>
      </c>
      <c r="Q190" s="3139">
        <f>0</f>
        <v>0</v>
      </c>
      <c r="R190" s="3139">
        <f>0</f>
        <v>0</v>
      </c>
      <c r="S190" s="3139">
        <f>0</f>
        <v>0</v>
      </c>
      <c r="T190" s="3139">
        <f>0</f>
        <v>0</v>
      </c>
      <c r="U190" s="3139">
        <f>1</f>
        <v>1</v>
      </c>
      <c r="V190" s="3139">
        <f>0</f>
        <v>0</v>
      </c>
      <c r="W190" s="3139">
        <f>0</f>
        <v>0</v>
      </c>
      <c r="X190" s="3139">
        <f>0</f>
        <v>0</v>
      </c>
      <c r="Y190" s="3139">
        <f>0</f>
        <v>0</v>
      </c>
      <c r="Z190" s="3139">
        <f>0</f>
        <v>0</v>
      </c>
      <c r="AA190" s="3139">
        <f>0</f>
        <v>0</v>
      </c>
      <c r="AB190" s="3139">
        <f>0</f>
        <v>0</v>
      </c>
      <c r="AC190" s="3139">
        <f>0</f>
        <v>0</v>
      </c>
      <c r="AD190" s="3139">
        <f>-1/Y_AOB-i_N_BIO</f>
        <v>-6.7366666666666672</v>
      </c>
      <c r="AE190" s="3113">
        <f>1/Y_AOB</f>
        <v>6.666666666666667</v>
      </c>
      <c r="AF190" s="3113">
        <f>0</f>
        <v>0</v>
      </c>
      <c r="AG190" s="3139">
        <f>0</f>
        <v>0</v>
      </c>
      <c r="AH190" s="3139">
        <f>0</f>
        <v>0</v>
      </c>
      <c r="AI190" s="3139">
        <f>0</f>
        <v>0</v>
      </c>
      <c r="AJ190" s="3139">
        <f>0</f>
        <v>0</v>
      </c>
      <c r="AK190" s="3139">
        <f>0</f>
        <v>0</v>
      </c>
      <c r="AL190" s="3113">
        <f>-i_P_BIO</f>
        <v>-0.02</v>
      </c>
      <c r="AM190" s="3113">
        <f>0</f>
        <v>0</v>
      </c>
      <c r="AN190" s="3139">
        <f>0</f>
        <v>0</v>
      </c>
      <c r="AO190" s="3139">
        <f>0</f>
        <v>0</v>
      </c>
      <c r="AP190" s="3139">
        <f>0</f>
        <v>0</v>
      </c>
      <c r="AQ190" s="3139">
        <f>0</f>
        <v>0</v>
      </c>
      <c r="AR190" s="3113">
        <f>-(E_EQNO2-Y_AOB)/Y_AOB</f>
        <v>-21.845352581264677</v>
      </c>
      <c r="AS190" s="3139">
        <f>0</f>
        <v>0</v>
      </c>
      <c r="AT190" s="3139">
        <f>0</f>
        <v>0</v>
      </c>
      <c r="AU190" s="3113">
        <f>-i_CIT_BIO</f>
        <v>-0.35199999999999998</v>
      </c>
      <c r="AV190" s="3113">
        <f>i_INORG</f>
        <v>0.11</v>
      </c>
      <c r="AW190" s="3113">
        <f>-i_INORG*(1-i_Ca_INORG*(A_MCa+2*A_MCl)/A_MCa-i_Mg_INORG*(A_MMg+2*A_MCl)/A_MMg)*f_Na</f>
        <v>-2.8804303582798466E-2</v>
      </c>
      <c r="AX190" s="3113">
        <f>-i_INORG*(i_Ca_INORG*(2*A_MCl)/A_MCa+i_Mg_INORG*(2*A_MCl)/A_MMg)-i_INORG*(1-i_Ca_INORG*(A_MCa+2*A_MCl)/A_MCa-i_Mg_INORG*(A_MMg+2*A_MCl)/A_MMg)*(1-f_Na)</f>
        <v>-7.0195696417201539E-2</v>
      </c>
      <c r="AY190" s="3113">
        <f>-i_INORG*i_Ca_INORG</f>
        <v>-5.5000000000000005E-3</v>
      </c>
      <c r="AZ190" s="3113">
        <f>-i_INORG*i_Mg_INORG</f>
        <v>-5.5000000000000005E-3</v>
      </c>
      <c r="BA190" s="3191">
        <f>0</f>
        <v>0</v>
      </c>
      <c r="BB190" s="3191">
        <f>0</f>
        <v>0</v>
      </c>
      <c r="BC190" s="3139">
        <f>-i_S_BIO</f>
        <v>-0.01</v>
      </c>
      <c r="BD190" s="3191">
        <f>0</f>
        <v>0</v>
      </c>
      <c r="BE190" s="3139">
        <f>0</f>
        <v>0</v>
      </c>
      <c r="BF190" s="3139">
        <f>0</f>
        <v>0</v>
      </c>
      <c r="BG190" s="3139">
        <f>0</f>
        <v>0</v>
      </c>
      <c r="BH190" s="3139">
        <f>0</f>
        <v>0</v>
      </c>
      <c r="BI190" s="3139">
        <f>0</f>
        <v>0</v>
      </c>
      <c r="BJ190" s="3139">
        <f>0</f>
        <v>0</v>
      </c>
      <c r="BK190" s="3139">
        <f>0</f>
        <v>0</v>
      </c>
      <c r="BL190" s="3139">
        <f>0</f>
        <v>0</v>
      </c>
      <c r="BM190" s="3139">
        <f>0</f>
        <v>0</v>
      </c>
      <c r="BN190" s="3139">
        <f>0</f>
        <v>0</v>
      </c>
      <c r="BO190" s="3139">
        <f>0</f>
        <v>0</v>
      </c>
      <c r="BP190" s="3139">
        <f>0</f>
        <v>0</v>
      </c>
      <c r="BQ190" s="3139">
        <f>0</f>
        <v>0</v>
      </c>
      <c r="BR190" s="3139">
        <f>0</f>
        <v>0</v>
      </c>
      <c r="BS190" s="3139">
        <f>0</f>
        <v>0</v>
      </c>
      <c r="BT190" s="3139">
        <f>0</f>
        <v>0</v>
      </c>
      <c r="BU190" s="3139">
        <f>0</f>
        <v>0</v>
      </c>
      <c r="BV190" s="3139">
        <f>0</f>
        <v>0</v>
      </c>
      <c r="BW190" s="3139">
        <f>0</f>
        <v>0</v>
      </c>
      <c r="BX190" s="3139">
        <f>0</f>
        <v>0</v>
      </c>
      <c r="BY190" s="3139">
        <f>0</f>
        <v>0</v>
      </c>
      <c r="BZ190" s="3177">
        <f>0</f>
        <v>0</v>
      </c>
      <c r="CA190" s="3177">
        <f>0</f>
        <v>0</v>
      </c>
      <c r="CB190" s="3177">
        <f>0</f>
        <v>0</v>
      </c>
      <c r="CC190" s="3177">
        <f>0</f>
        <v>0</v>
      </c>
      <c r="CD190" s="3139">
        <f>0</f>
        <v>0</v>
      </c>
      <c r="CE190" s="3139">
        <f>0</f>
        <v>0</v>
      </c>
      <c r="CF190" s="3139">
        <f>0</f>
        <v>0</v>
      </c>
      <c r="CG190" s="3139">
        <f>0</f>
        <v>0</v>
      </c>
      <c r="CH190" s="3139">
        <f>0</f>
        <v>0</v>
      </c>
      <c r="CI190" s="3139">
        <f>0</f>
        <v>0</v>
      </c>
      <c r="CJ190" s="3139">
        <f>0</f>
        <v>0</v>
      </c>
      <c r="CK190" s="3139">
        <f>0</f>
        <v>0</v>
      </c>
      <c r="CL190" s="3139">
        <f>0</f>
        <v>0</v>
      </c>
      <c r="CM190" s="3139">
        <f>0</f>
        <v>0</v>
      </c>
      <c r="CN190" s="3139">
        <f>0</f>
        <v>0</v>
      </c>
      <c r="CO190" s="3139">
        <f>0</f>
        <v>0</v>
      </c>
      <c r="CP190" s="3139">
        <f>0</f>
        <v>0</v>
      </c>
      <c r="CQ190" s="3139">
        <f>0</f>
        <v>0</v>
      </c>
      <c r="CR190" s="3139">
        <f>0</f>
        <v>0</v>
      </c>
      <c r="CS190" s="3139">
        <f>0</f>
        <v>0</v>
      </c>
      <c r="CT190" s="3139">
        <f>0</f>
        <v>0</v>
      </c>
      <c r="CU190" s="3139">
        <f>0</f>
        <v>0</v>
      </c>
      <c r="CV190" s="3191">
        <f>µ_AOB_T*X_AOB*M_satSNHx_KNHx_AOB*L_ogsatpHCO2_AOB*M_satSO2_KO2_AOB*M_satSPO4_KPO4_BIO*M_satSCAT_KCAT*M_satSAN_KAN*M_satSCa_KCa*M_satSMg_KMg*M_satSSO4_KSO4_BIO*M_inhpHHNO2_AOB*B_ellinhpH_AOB</f>
        <v>13.625064195536936</v>
      </c>
      <c r="CX190" s="2838">
        <f>E287*E190+F287*F190+G287*G190+H287*H190+I287*I190+J287*J190+K287*K190+L287*L190+M287*M190+N287*N190+O287*O190+P287*P190+Q287*Q190+R287*R190+S287*S190+T287*T190+U287*U190+V287*V190+W287*W190+X287*X190+Y287*Y190+Z287*Z190+AA287*AA190+AB287*AB190+AC287*AC190+AD287*AD190+AE287*AE190+AF287*AF190+AG287*AG190+AH287*AH190+AI287*AI190+AJ287*AJ190+AK287*AK190+AL287*AL190+AM287*AM190+AN287*AN190+AO287*AO190+AP287*AP190+AQ287*AQ190+AR287*AR190+AS287*AS190+AT287*AT190+AU287*AU190+AV287*AV190+AW287*AW190+AX287*AX190+AY287*AY190+AZ287*AZ190+BA287*BA190+BB287*BB190+BC287*BC190+BD287*BD190+BE287*BE190+BF287*BF190+BG287*BG190+BH287*BH190+BI287*BI190+BJ287*BJ190+BK287*BK190+BL287*BL190+BM287*BM190+BN287*BN190+BO287*BO190+BP287*BP190+BQ287*BQ190+BR287*BR190+BS287*BS190+BT287*BT190+BU287*BU190+BV287*BV190+BW287*BW190+BX287*BX190+BY287*BY190+BZ287*BZ190+CA287*CA190+CB287*CB190+CC287*CC190+CD287*CD190+CE287*CE190+CF287*CF190+CG287*CG190+CH287*CH190+CI287*CI190+CJ287*CJ190+CK287*CK190+CL287*CL190+CM287*CM190+CN287*CN190+CO287*CO190+CP287*CP190+CQ287*CQ190+CR287*CR190+CS287*CS190+CT287*CT190+CU287*CU190</f>
        <v>0</v>
      </c>
      <c r="CY190" s="2838">
        <f>E288*E190+F288*F190+G288*G190+H288*H190+I288*I190+J288*J190+K288*K190+L288*L190+M288*M190+N288*N190+O288*O190+P288*P190+Q288*Q190+R288*R190+S288*S190+T288*T190+U288*U190+V288*V190+W288*W190+X288*X190+Y288*Y190+Z288*Z190+AA288*AA190+AB288*AB190+AC288*AC190+AD288*AD190+AE288*AE190+AF288*AF190+AG288*AG190+AH288*AH190+AI288*AI190+AJ288*AJ190+AK288*AK190+AL288*AL190+AM288*AM190+AN288*AN190+AO288*AO190+AP288*AP190+AQ288*AQ190+AR288*AR190+AS288*AS190+AT288*AT190+AU288*AU190+AV288*AV190+AW288*AW190+AX288*AX190+AY288*AY190+AZ288*AZ190+BA288*BA190+BB288*BB190+BC288*BC190+BD288*BD190+BE288*BE190+BF288*BF190+BG288*BG190+BH288*BH190+BI288*BI190+BJ288*BJ190+BK288*BK190+BL288*BL190+BM288*BM190+BN288*BN190+BO288*BO190+BP288*BP190+BQ288*BQ190+BR288*BR190+BS288*BS190+BT288*BT190+BU288*BU190+BV288*BV190+BW288*BW190+BX288*BX190+BY288*BY190+BZ288*BZ190+CA288*CA190+CB288*CB190+CC288*CC190+CD288*CD190+CE288*CE190+CF288*CF190+CG288*CG190+CH288*CH190+CI288*CI190+CJ288*CJ190+CK288*CK190+CL288*CL190+CM288*CM190+CN288*CN190+CO288*CO190+CP288*CP190+CQ288*CQ190+CR288*CR190+CS288*CS190+CT288*CT190+CU288*CU190</f>
        <v>0</v>
      </c>
      <c r="CZ190" s="2839">
        <f>E289*E190+F289*F190+G289*G190+H289*H190+I289*I190+J289*J190+K289*K190+L289*L190+M289*M190+N289*N190+O289*O190+P289*P190+Q289*Q190+R289*R190+S289*S190+T289*T190+U289*U190+V289*V190+W289*W190+X289*X190+Y289*Y190+Z289*Z190+AA289*AA190+AB289*AB190+AC289*AC190+AD289*AD190+AE289*AE190+AF289*AF190+AG289*AG190+AH289*AH190+AI289*AI190+AJ289*AJ190+AK289*AK190+AL289*AL190+AM289*AM190+AN289*AN190+AO289*AO190+AP289*AP190+AQ289*AQ190+AR289*AR190+AS289*AS190+AT289*AT190+AU289*AU190+AV289*AV190+AW289*AW190+AX289*AX190+AY289*AY190+AZ289*AZ190+BA289*BA190+BB289*BB190+BC289*BC190+BD289*BD190+BE289*BE190+BF289*BF190+BG289*BG190+BH289*BH190+BI289*BI190+BJ289*BJ190+BK289*BK190+BL289*BL190+BM289*BM190+BN289*BN190+BO289*BO190+BP289*BP190+BQ289*BQ190+BR289*BR190+BS289*BS190+BT289*BT190+BU289*BU190+BV289*BV190+BW289*BW190+BX289*BX190+BY289*BY190+BZ289*BZ190+CA289*CA190+CB289*CB190+CC289*CC190+CD289*CD190+CE289*CE190+CF289*CF190+CG289*CG190+CH289*CH190+CI289*CI190+CJ289*CJ190+CK289*CK190+CL289*CL190+CM289*CM190+CN289*CN190+CO289*CO190+CP289*CP190+CQ289*CQ190+CR289*CR190+CS289*CS190+CT289*CT190+CU289*CU190</f>
        <v>0</v>
      </c>
      <c r="DA190" s="2840">
        <f>E290*E190+F290*F190+G290*G190+H290*H190+I290*I190+J290*J190+K290*K190+L290*L190+M290*M190+N290*N190+O290*O190+P290*P190+Q290*Q190+R290*R190+S290*S190+T290*T190+U290*U190+V290*V190+W290*W190+X290*X190+Y290*Y190+Z290*Z190+AA290*AA190+AB290*AB190+AC290*AC190+AD290*AD190+AE290*AE190+AF290*AF190+AG290*AG190+AH290*AH190+AI290*AI190+AJ290*AJ190+AK290*AK190+AL290*AL190+AM290*AM190+AN290*AN190+AO290*AO190+AP290*AP190+AQ290*AQ190+AR290*AR190+AS290*AS190+AT290*AT190+AU290*AU190+AV290*AV190+AW290*AW190+AX290*AX190+AY290*AY190+AZ290*AZ190+BA290*BA190+BB290*BB190+BC290*BC190+BD290*BD190+BE290*BE190+BF290*BF190+BG290*BG190+BH290*BH190+BI290*BI190+BJ290*BJ190+BK290*BK190+BL290*BL190+BM290*BM190+BN290*BN190+BO290*BO190+BP290*BP190+BQ290*BQ190+BR290*BR190+BS290*BS190+BT290*BT190+BU290*BU190+BV290*BV190+BW290*BW190+BX290*BX190+BY290*BY190+BZ290*BZ190+CA290*CA190+CB290*CB190+CC290*CC190+CD290*CD190+CE290*CE190+CF290*CF190+CG290*CG190+CH290*CH190+CI290*CI190+CJ290*CJ190+CK290*CK190+CL290*CL190+CM290*CM190+CN290*CN190+CO290*CO190+CP290*CP190+CQ290*CQ190+CR290*CR190+CS290*CS190+CT290*CT190+CU290*CU190</f>
        <v>0</v>
      </c>
      <c r="DB190" s="2840">
        <f>E291*E190+F291*F190+G291*G190+H291*H190+I291*I190+J291*J190+K291*K190+L291*L190+M291*M190+N291*N190+O291*O190+P291*P190+Q291*Q190+R291*R190+S291*S190+T291*T190+U291*U190+V291*V190+W291*W190+X291*X190+Y291*Y190+Z291*Z190+AA291*AA190+AB291*AB190+AC291*AC190+AD291*AD190+AE291*AE190+AF291*AF190+AG291*AG190+AH291*AH190+AI291*AI190+AJ291*AJ190+AK291*AK190+AL291*AL190+AM291*AM190+AN291*AN190+AO291*AO190+AP291*AP190+AQ291*AQ190+AR291*AR190+AS291*AS190+AT291*AT190+AU291*AU190+AV291*AV190+AW291*AW190+AX291*AX190+AY291*AY190+AZ291*AZ190+BA291*BA190+BB291*BB190+BC291*BC190+BD291*BD190+BE291*BE190+BF291*BF190+BG291*BG190+BH291*BH190+BI291*BI190+BJ291*BJ190+BK291*BK190+BL291*BL190+BM291*BM190+BN291*BN190+BO291*BO190+BP291*BP190+BQ291*BQ190+BR291*BR190+BS291*BS190+BT291*BT190+BU291*BU190+BV291*BV190+BW291*BW190+BX291*BX190+BY291*BY190+BZ291*BZ190+CA291*CA190+CB291*CB190+CC291*CC190+CD291*CD190+CE291*CE190+CF291*CF190+CG291*CG190+CH291*CH190+CI291*CI190+CJ291*CJ190+CK291*CK190+CL291*CL190+CM291*CM190+CN291*CN190+CO291*CO190+CP291*CP190+CQ291*CQ190+CR291*CR190+CS291*CS190+CT291*CT190+CU291*CU190</f>
        <v>0</v>
      </c>
      <c r="DC190" s="2840">
        <f>E292*E190+F292*F190+G292*G190+H292*H190+I292*I190+J292*J190+K292*K190+L292*L190+M292*M190+N292*N190+O292*O190+P292*P190+Q292*Q190+R292*R190+S292*S190+T292*T190+U292*U190+V292*V190+W292*W190+X292*X190+Y292*Y190+Z292*Z190+AA292*AA190+AB292*AB190+AC292*AC190+AD292*AD190+AE292*AE190+AF292*AF190+AG292*AG190+AH292*AH190+AI292*AI190+AJ292*AJ190+AK292*AK190+AL292*AL190+AM292*AM190+AN292*AN190+AO292*AO190+AP292*AP190+AQ292*AQ190+AR292*AR190+AS292*AS190+AT292*AT190+AU292*AU190+AV292*AV190+AW292*AW190+AX292*AX190+AY292*AY190+AZ292*AZ190+BA292*BA190+BB292*BB190+BC292*BC190+BD292*BD190+BE292*BE190+BF292*BF190+BG292*BG190+BH292*BH190+BI292*BI190+BJ292*BJ190+BK292*BK190+BL292*BL190+BM292*BM190+BN292*BN190+BO292*BO190+BP292*BP190+BQ292*BQ190+BR292*BR190+BS292*BS190+BT292*BT190+BU292*BU190+BV292*BV190+BW292*BW190+BX292*BX190+BY292*BY190+BZ292*BZ190+CA292*CA190+CB292*CB190+CC292*CC190+CD292*CD190+CE292*CE190+CF292*CF190+CG292*CG190+CH292*CH190+CI292*CI190+CJ292*CJ190+CK292*CK190+CL292*CL190+CM292*CM190+CN292*CN190+CO292*CO190+CP292*CP190+CQ292*CQ190+CR292*CR190+CS292*CS190+CT292*CT190+CU292*CU190</f>
        <v>0</v>
      </c>
      <c r="DD190" s="2840">
        <f>E293*E190+F293*F190+G293*G190+H293*H190+I293*I190+J293*J190+K293*K190+L293*L190+M293*M190+N293*N190+O293*O190+P293*P190+Q293*Q190+R293*R190+S293*S190+T293*T190+U293*U190+V293*V190+W293*W190+X293*X190+Y293*Y190+Z293*Z190+AA293*AA190+AB293*AB190+AC293*AC190+AD293*AD190+AE293*AE190+AF293*AF190+AG293*AG190+AH293*AH190+AI293*AI190+AJ293*AJ190+AK293*AK190+AL293*AL190+AM293*AM190+AN293*AN190+AO293*AO190+AP293*AP190+AQ293*AQ190+AR293*AR190+AS293*AS190+AT293*AT190+AU293*AU190+AV293*AV190+AW293*AW190+AX293*AX190+AY293*AY190+AZ293*AZ190+BA293*BA190+BB293*BB190+BC293*BC190+BD293*BD190+BE293*BE190+BF293*BF190+BG293*BG190+BH293*BH190+BI293*BI190+BJ293*BJ190+BK293*BK190+BL293*BL190+BM293*BM190+BN293*BN190+BO293*BO190+BP293*BP190+BQ293*BQ190+BR293*BR190+BS293*BS190+BT293*BT190+BU293*BU190+BV293*BV190+BW293*BW190+BX293*BX190+BY293*BY190+BZ293*BZ190+CA293*CA190+CB293*CB190+CC293*CC190+CD293*CD190+CE293*CE190+CF293*CF190+CG293*CG190+CH293*CH190+CI293*CI190+CJ293*CJ190+CK293*CK190+CL293*CL190+CM293*CM190+CN293*CN190+CO293*CO190+CP293*CP190+CQ293*CQ190+CR293*CR190+CS293*CS190+CT293*CT190+CU293*CU190</f>
        <v>0</v>
      </c>
      <c r="DE190" s="2840">
        <f>E294*E190+F294*F190+G294*G190+H294*H190+I294*I190+J294*J190+K294*K190+L294*L190+M294*M190+N294*N190+O294*O190+P294*P190+Q294*Q190+R294*R190+S294*S190+T294*T190+U294*U190+V294*V190+W294*W190+X294*X190+Y294*Y190+Z294*Z190+AA294*AA190+AB294*AB190+AC294*AC190+AD294*AD190+AE294*AE190+AF294*AF190+AG294*AG190+AH294*AH190+AI294*AI190+AJ294*AJ190+AK294*AK190+AL294*AL190+AM294*AM190+AN294*AN190+AO294*AO190+AP294*AP190+AQ294*AQ190+AR294*AR190+AS294*AS190+AT294*AT190+AU294*AU190+AV294*AV190+AW294*AW190+AX294*AX190+AY294*AY190+AZ294*AZ190+BA294*BA190+BB294*BB190+BC294*BC190+BD294*BD190+BE294*BE190+BF294*BF190+BG294*BG190+BH294*BH190+BI294*BI190+BJ294*BJ190+BK294*BK190+BL294*BL190+BM294*BM190+BN294*BN190+BO294*BO190+BP294*BP190+BQ294*BQ190+BR294*BR190+BS294*BS190+BT294*BT190+BU294*BU190+BV294*BV190+BW294*BW190+BX294*BX190+BY294*BY190+BZ294*BZ190+CA294*CA190+CB294*CB190+CC294*CC190+CD294*CD190+CE294*CE190+CF294*CF190+CG294*CG190+CH294*CH190+CI294*CI190+CJ294*CJ190+CK294*CK190+CL294*CL190+CM294*CM190+CN294*CN190+CO294*CO190+CP294*CP190+CQ294*CQ190+CR294*CR190+CS294*CS190+CT294*CT190+CU294*CU190</f>
        <v>0</v>
      </c>
      <c r="DF190" s="2840">
        <f>E295*E190+F295*F190+G295*G190+H295*H190+I295*I190+J295*J190+K295*K190+L295*L190+M295*M190+N295*N190+O295*O190+P295*P190+Q295*Q190+R295*R190+S295*S190+T295*T190+U295*U190+V295*V190+W295*W190+X295*X190+Y295*Y190+Z295*Z190+AA295*AA190+AB295*AB190+AC295*AC190+AD295*AD190+AE295*AE190+AF295*AF190+AG295*AG190+AH295*AH190+AI295*AI190+AJ295*AJ190+AK295*AK190+AL295*AL190+AM295*AM190+AN295*AN190+AO295*AO190+AP295*AP190+AQ295*AQ190+AR295*AR190+AS295*AS190+AT295*AT190+AU295*AU190+AV295*AV190+AW295*AW190+AX295*AX190+AY295*AY190+AZ295*AZ190+BA295*BA190+BB295*BB190+BC295*BC190+BD295*BD190+BE295*BE190+BF295*BF190+BG295*BG190+BH295*BH190+BI295*BI190+BJ295*BJ190+BK295*BK190+BL295*BL190+BM295*BM190+BN295*BN190+BO295*BO190+BP295*BP190+BQ295*BQ190+BR295*BR190+BS295*BS190+BT295*BT190+BU295*BU190+BV295*BV190+BW295*BW190+BX295*BX190+BY295*BY190+BZ295*BZ190+CA295*CA190+CB295*CB190+CC295*CC190+CD295*CD190+CE295*CE190+CF295*CF190+CG295*CG190+CH295*CH190+CI295*CI190+CJ295*CJ190+CK295*CK190+CL295*CL190+CM295*CM190+CN295*CN190+CO295*CO190+CP295*CP190+CQ295*CQ190+CR295*CR190+CS295*CS190+CT295*CT190+CU295*CU190</f>
        <v>0</v>
      </c>
      <c r="DG190" s="2840">
        <f>E296*E190+F296*F190+G296*G190+H296*H190+I296*I190+J296*J190+K296*K190+L296*L190+M296*M190+N296*N190+O296*O190+P296*P190+Q296*Q190+R296*R190+S296*S190+T296*T190+U296*U190+V296*V190+W296*W190+X296*X190+Y296*Y190+Z296*Z190+AA296*AA190+AB296*AB190+AC296*AC190+AD296*AD190+AE296*AE190+AF296*AF190+AG296*AG190+AH296*AH190+AI296*AI190+AJ296*AJ190+AK296*AK190+AL296*AL190+AM296*AM190+AN296*AN190+AO296*AO190+AP296*AP190+AQ296*AQ190+AR296*AR190+AS296*AS190+AT296*AT190+AU296*AU190+AV296*AV190+AW296*AW190+AX296*AX190+AY296*AY190+AZ296*AZ190+BA296*BA190+BB296*BB190+BC296*BC190+BD296*BD190+BE296*BE190+BF296*BF190+BG296*BG190+BH296*BH190+BI296*BI190+BJ296*BJ190+BK296*BK190+BL296*BL190+BM296*BM190+BN296*BN190+BO296*BO190+BP296*BP190+BQ296*BQ190+BR296*BR190+BS296*BS190+BT296*BT190+BU296*BU190+BV296*BV190+BW296*BW190+BX296*BX190+BY296*BY190+BZ296*BZ190+CA296*CA190+CB296*CB190+CC296*CC190+CD296*CD190+CE296*CE190+CF296*CF190+CG296*CG190+CH296*CH190+CI296*CI190+CJ296*CJ190+CK296*CK190+CL296*CL190+CM296*CM190+CN296*CN190+CO296*CO190+CP296*CP190+CQ296*CQ190+CR296*CR190+CS296*CS190+CT296*CT190+CU296*CU190</f>
        <v>0</v>
      </c>
      <c r="DH190" s="2840">
        <f>E297*E190+F297*F190+G297*G190+H297*H190+I297*I190+J297*J190+K297*K190+L297*L190+M297*M190+N297*N190+O297*O190+P297*P190+Q297*Q190+R297*R190+S297*S190+T297*T190+U297*U190+V297*V190+W297*W190+X297*X190+Y297*Y190+Z297*Z190+AA297*AA190+AB297*AB190+AC297*AC190+AD297*AD190+AE297*AE190+AF297*AF190+AG297*AG190+AH297*AH190+AI297*AI190+AJ297*AJ190+AK297*AK190+AL297*AL190+AM297*AM190+AN297*AN190+AO297*AO190+AP297*AP190+AQ297*AQ190+AR297*AR190+AS297*AS190+AT297*AT190+AU297*AU190+AV297*AV190+AW297*AW190+AX297*AX190+AY297*AY190+AZ297*AZ190+BA297*BA190+BB297*BB190+BC297*BC190+BD297*BD190+BE297*BE190+BF297*BF190+BG297*BG190+BH297*BH190+BI297*BI190+BJ297*BJ190+BK297*BK190+BL297*BL190+BM297*BM190+BN297*BN190+BO297*BO190+BP297*BP190+BQ297*BQ190+BR297*BR190+BS297*BS190+BT297*BT190+BU297*BU190+BV297*BV190+BW297*BW190+BX297*BX190+BY297*BY190+BZ297*BZ190+CA297*CA190+CB297*CB190+CC297*CC190+CD297*CD190+CE297*CE190+CF297*CF190+CG297*CG190+CH297*CH190+CI297*CI190+CJ297*CJ190+CK297*CK190+CL297*CL190+CM297*CM190+CN297*CN190+CO297*CO190+CP297*CP190+CQ297*CQ190+CR297*CR190+CS297*CS190+CT297*CT190+CU297*CU190</f>
        <v>0</v>
      </c>
      <c r="DI190" s="2840">
        <f>E298*E190+F298*F190+G298*G190+H298*H190+I298*I190+J298*J190+K298*K190+L298*L190+M298*M190+N298*N190+O298*O190+P298*P190+Q298*Q190+R298*R190+S298*S190+T298*T190+U298*U190+V298*V190+W298*W190+X298*X190+Y298*Y190+Z298*Z190+AA298*AA190+AB298*AB190+AC298*AC190+AD298*AD190+AE298*AE190+AF298*AF190+AG298*AG190+AH298*AH190+AI298*AI190+AJ298*AJ190+AK298*AK190+AL298*AL190+AM298*AM190+AN298*AN190+AO298*AO190+AP298*AP190+AQ298*AQ190+AR298*AR190+AS298*AS190+AT298*AT190+AU298*AU190+AV298*AV190+AW298*AW190+AX298*AX190+AY298*AY190+AZ298*AZ190+BA298*BA190+BB298*BB190+BC298*BC190+BD298*BD190+BE298*BE190+BF298*BF190+BG298*BG190+BH298*BH190+BI298*BI190+BJ298*BJ190+BK298*BK190+BL298*BL190+BM298*BM190+BN298*BN190+BO298*BO190+BP298*BP190+BQ298*BQ190+BR298*BR190+BS298*BS190+BT298*BT190+BU298*BU190+BV298*BV190+BW298*BW190+BX298*BX190+BY298*BY190+BZ298*BZ190+CA298*CA190+CB298*CB190+CC298*CC190+CD298*CD190+CE298*CE190+CF298*CF190+CG298*CG190+CH298*CH190+CI298*CI190+CJ298*CJ190+CK298*CK190+CL298*CL190+CM298*CM190+CN298*CN190+CO298*CO190+CP298*CP190+CQ298*CQ190+CR298*CR190+CS298*CS190+CT298*CT190+CU298*CU190</f>
        <v>0</v>
      </c>
    </row>
    <row r="191" spans="2:113" ht="18" x14ac:dyDescent="0.25">
      <c r="B191" s="2493">
        <v>38</v>
      </c>
      <c r="C191" s="2414" t="s">
        <v>4900</v>
      </c>
      <c r="D191" s="2415" t="s">
        <v>2216</v>
      </c>
      <c r="E191" s="3113">
        <f>0</f>
        <v>0</v>
      </c>
      <c r="F191" s="3139">
        <f>0</f>
        <v>0</v>
      </c>
      <c r="G191" s="3139">
        <f>0</f>
        <v>0</v>
      </c>
      <c r="H191" s="3139">
        <f>0</f>
        <v>0</v>
      </c>
      <c r="I191" s="3139">
        <f>0</f>
        <v>0</v>
      </c>
      <c r="J191" s="3139">
        <f>1-f_E</f>
        <v>0.92</v>
      </c>
      <c r="K191" s="3139">
        <f>0</f>
        <v>0</v>
      </c>
      <c r="L191" s="3139">
        <f>0</f>
        <v>0</v>
      </c>
      <c r="M191" s="3139">
        <f>0</f>
        <v>0</v>
      </c>
      <c r="N191" s="3113">
        <f>0</f>
        <v>0</v>
      </c>
      <c r="O191" s="3113">
        <f>0</f>
        <v>0</v>
      </c>
      <c r="P191" s="3139">
        <f>f_E</f>
        <v>0.08</v>
      </c>
      <c r="Q191" s="3139">
        <f>0</f>
        <v>0</v>
      </c>
      <c r="R191" s="3139">
        <f>0</f>
        <v>0</v>
      </c>
      <c r="S191" s="3139">
        <f>0</f>
        <v>0</v>
      </c>
      <c r="T191" s="3139">
        <f>0</f>
        <v>0</v>
      </c>
      <c r="U191" s="3139">
        <f>-1</f>
        <v>-1</v>
      </c>
      <c r="V191" s="3139">
        <f>0</f>
        <v>0</v>
      </c>
      <c r="W191" s="3139">
        <f>0</f>
        <v>0</v>
      </c>
      <c r="X191" s="3139">
        <f>0</f>
        <v>0</v>
      </c>
      <c r="Y191" s="3139">
        <f>0</f>
        <v>0</v>
      </c>
      <c r="Z191" s="3139">
        <f>0</f>
        <v>0</v>
      </c>
      <c r="AA191" s="3139">
        <f>0</f>
        <v>0</v>
      </c>
      <c r="AB191" s="3139">
        <f>0</f>
        <v>0</v>
      </c>
      <c r="AC191" s="3139">
        <f>0</f>
        <v>0</v>
      </c>
      <c r="AD191" s="3139">
        <f>-f_E*(i_N_XE-i_N_BIO)</f>
        <v>8.0000000000000069E-4</v>
      </c>
      <c r="AE191" s="3139">
        <f>0</f>
        <v>0</v>
      </c>
      <c r="AF191" s="3139">
        <f>0</f>
        <v>0</v>
      </c>
      <c r="AG191" s="3139">
        <f>0</f>
        <v>0</v>
      </c>
      <c r="AH191" s="3139">
        <f>0</f>
        <v>0</v>
      </c>
      <c r="AI191" s="3139">
        <f>0</f>
        <v>0</v>
      </c>
      <c r="AJ191" s="3139">
        <f>(1-f_E)*i_N_BIO</f>
        <v>6.4400000000000013E-2</v>
      </c>
      <c r="AK191" s="3139">
        <f>0</f>
        <v>0</v>
      </c>
      <c r="AL191" s="3139">
        <f>0</f>
        <v>0</v>
      </c>
      <c r="AM191" s="3113">
        <f>0</f>
        <v>0</v>
      </c>
      <c r="AN191" s="3139">
        <f>0</f>
        <v>0</v>
      </c>
      <c r="AO191" s="3139">
        <f>0</f>
        <v>0</v>
      </c>
      <c r="AP191" s="3139">
        <f>(1-f_E)*i_P_BIO</f>
        <v>1.84E-2</v>
      </c>
      <c r="AQ191" s="3139">
        <f>0</f>
        <v>0</v>
      </c>
      <c r="AR191" s="3139">
        <f>0</f>
        <v>0</v>
      </c>
      <c r="AS191" s="3139">
        <f>0</f>
        <v>0</v>
      </c>
      <c r="AT191" s="3139">
        <f>0</f>
        <v>0</v>
      </c>
      <c r="AU191" s="3177">
        <f>(1-f_E)*(i_CIT_BIO-i_CIT_XBe)</f>
        <v>6.0720000000000003E-2</v>
      </c>
      <c r="AV191" s="3183">
        <f>0</f>
        <v>0</v>
      </c>
      <c r="AW191" s="3183">
        <f>0</f>
        <v>0</v>
      </c>
      <c r="AX191" s="3183">
        <f>0</f>
        <v>0</v>
      </c>
      <c r="AY191" s="3183">
        <f>0</f>
        <v>0</v>
      </c>
      <c r="AZ191" s="3183">
        <f>0</f>
        <v>0</v>
      </c>
      <c r="BA191" s="3183">
        <f>0</f>
        <v>0</v>
      </c>
      <c r="BB191" s="3191">
        <f>0</f>
        <v>0</v>
      </c>
      <c r="BC191" s="3113">
        <f>(1-f_E)*i_S_BIO-(1-f_E)*i_S_XB</f>
        <v>7.8200000000000006E-3</v>
      </c>
      <c r="BD191" s="3191">
        <f>0</f>
        <v>0</v>
      </c>
      <c r="BE191" s="3139">
        <f>0</f>
        <v>0</v>
      </c>
      <c r="BF191" s="3139">
        <f>0</f>
        <v>0</v>
      </c>
      <c r="BG191" s="3139">
        <f>0</f>
        <v>0</v>
      </c>
      <c r="BH191" s="3139">
        <f>0</f>
        <v>0</v>
      </c>
      <c r="BI191" s="3139">
        <f>0</f>
        <v>0</v>
      </c>
      <c r="BJ191" s="3139">
        <f>0</f>
        <v>0</v>
      </c>
      <c r="BK191" s="3139">
        <f>0</f>
        <v>0</v>
      </c>
      <c r="BL191" s="3139">
        <f>0</f>
        <v>0</v>
      </c>
      <c r="BM191" s="3139">
        <f>0</f>
        <v>0</v>
      </c>
      <c r="BN191" s="3139">
        <f>0</f>
        <v>0</v>
      </c>
      <c r="BO191" s="3139">
        <f>0</f>
        <v>0</v>
      </c>
      <c r="BP191" s="3139">
        <f>0</f>
        <v>0</v>
      </c>
      <c r="BQ191" s="3139">
        <f>0</f>
        <v>0</v>
      </c>
      <c r="BR191" s="3139">
        <f>0</f>
        <v>0</v>
      </c>
      <c r="BS191" s="3139">
        <f>0</f>
        <v>0</v>
      </c>
      <c r="BT191" s="3139">
        <f>0</f>
        <v>0</v>
      </c>
      <c r="BU191" s="3139">
        <f>0</f>
        <v>0</v>
      </c>
      <c r="BV191" s="3139">
        <f>0</f>
        <v>0</v>
      </c>
      <c r="BW191" s="3139">
        <f>0</f>
        <v>0</v>
      </c>
      <c r="BX191" s="3139">
        <f>0</f>
        <v>0</v>
      </c>
      <c r="BY191" s="3139">
        <f>0</f>
        <v>0</v>
      </c>
      <c r="BZ191" s="3177">
        <f>0</f>
        <v>0</v>
      </c>
      <c r="CA191" s="3177">
        <f>0</f>
        <v>0</v>
      </c>
      <c r="CB191" s="3177">
        <f>0</f>
        <v>0</v>
      </c>
      <c r="CC191" s="3177">
        <f>0</f>
        <v>0</v>
      </c>
      <c r="CD191" s="3139">
        <f>0</f>
        <v>0</v>
      </c>
      <c r="CE191" s="3139">
        <f>0</f>
        <v>0</v>
      </c>
      <c r="CF191" s="3139">
        <f>0</f>
        <v>0</v>
      </c>
      <c r="CG191" s="3139">
        <f>0</f>
        <v>0</v>
      </c>
      <c r="CH191" s="3139">
        <f>0</f>
        <v>0</v>
      </c>
      <c r="CI191" s="3139">
        <f>0</f>
        <v>0</v>
      </c>
      <c r="CJ191" s="3139">
        <f>0</f>
        <v>0</v>
      </c>
      <c r="CK191" s="3139">
        <f>0</f>
        <v>0</v>
      </c>
      <c r="CL191" s="3139">
        <f>0</f>
        <v>0</v>
      </c>
      <c r="CM191" s="3139">
        <f>0</f>
        <v>0</v>
      </c>
      <c r="CN191" s="3139">
        <f>0</f>
        <v>0</v>
      </c>
      <c r="CO191" s="3139">
        <f>0</f>
        <v>0</v>
      </c>
      <c r="CP191" s="3139">
        <f>0</f>
        <v>0</v>
      </c>
      <c r="CQ191" s="3139">
        <f>0</f>
        <v>0</v>
      </c>
      <c r="CR191" s="3139">
        <f>0</f>
        <v>0</v>
      </c>
      <c r="CS191" s="3139">
        <f>0</f>
        <v>0</v>
      </c>
      <c r="CT191" s="3139">
        <f>0</f>
        <v>0</v>
      </c>
      <c r="CU191" s="3139">
        <f>0</f>
        <v>0</v>
      </c>
      <c r="CV191" s="3191">
        <f>b_AOB_T*X_AOB*(M_satSO2_KO2_AOB+η_b_anox*M_satSNOx_KNOx_AOB*M_inhSO2_KO2_AOB)</f>
        <v>5.045719298245614</v>
      </c>
      <c r="CX191" s="2838">
        <f>E287*E191+F287*F191+G287*G191+H287*H191+I287*I191+J287*J191+K287*K191+L287*L191+M287*M191+N287*N191+O287*O191+P287*P191+Q287*Q191+R287*R191+S287*S191+T287*T191+U287*U191+V287*V191+W287*W191+X287*X191+Y287*Y191+Z287*Z191+AA287*AA191+AB287*AB191+AC287*AC191+AD287*AD191+AE287*AE191+AF287*AF191+AG287*AG191+AH287*AH191+AI287*AI191+AJ287*AJ191+AK287*AK191+AL287*AL191+AM287*AM191+AN287*AN191+AO287*AO191+AP287*AP191+AQ287*AQ191+AR287*AR191+AS287*AS191+AT287*AT191+AU287*AU191+AV287*AV191+AW287*AW191+AX287*AX191+AY287*AY191+AZ287*AZ191+BA287*BA191+BB287*BB191+BC287*BC191+BD287*BD191+BE287*BE191+BF287*BF191+BG287*BG191+BH287*BH191+BI287*BI191+BJ287*BJ191+BK287*BK191+BL287*BL191+BM287*BM191+BN287*BN191+BO287*BO191+BP287*BP191+BQ287*BQ191+BR287*BR191+BS287*BS191+BT287*BT191+BU287*BU191+BV287*BV191+BW287*BW191+BX287*BX191+BY287*BY191+BZ287*BZ191+CA287*CA191+CB287*CB191+CC287*CC191+CD287*CD191+CE287*CE191+CF287*CF191+CG287*CG191+CH287*CH191+CI287*CI191+CJ287*CJ191+CK287*CK191+CL287*CL191+CM287*CM191+CN287*CN191+CO287*CO191+CP287*CP191+CQ287*CQ191+CR287*CR191+CS287*CS191+CT287*CT191+CU287*CU191</f>
        <v>0</v>
      </c>
      <c r="CY191" s="2838">
        <f>E288*E191+F288*F191+G288*G191+H288*H191+I288*I191+J288*J191+K288*K191+L288*L191+M288*M191+N288*N191+O288*O191+P288*P191+Q288*Q191+R288*R191+S288*S191+T288*T191+U288*U191+V288*V191+W288*W191+X288*X191+Y288*Y191+Z288*Z191+AA288*AA191+AB288*AB191+AC288*AC191+AD288*AD191+AE288*AE191+AF288*AF191+AG288*AG191+AH288*AH191+AI288*AI191+AJ288*AJ191+AK288*AK191+AL288*AL191+AM288*AM191+AN288*AN191+AO288*AO191+AP288*AP191+AQ288*AQ191+AR288*AR191+AS288*AS191+AT288*AT191+AU288*AU191+AV288*AV191+AW288*AW191+AX288*AX191+AY288*AY191+AZ288*AZ191+BA288*BA191+BB288*BB191+BC288*BC191+BD288*BD191+BE288*BE191+BF288*BF191+BG288*BG191+BH288*BH191+BI288*BI191+BJ288*BJ191+BK288*BK191+BL288*BL191+BM288*BM191+BN288*BN191+BO288*BO191+BP288*BP191+BQ288*BQ191+BR288*BR191+BS288*BS191+BT288*BT191+BU288*BU191+BV288*BV191+BW288*BW191+BX288*BX191+BY288*BY191+BZ288*BZ191+CA288*CA191+CB288*CB191+CC288*CC191+CD288*CD191+CE288*CE191+CF288*CF191+CG288*CG191+CH288*CH191+CI288*CI191+CJ288*CJ191+CK288*CK191+CL288*CL191+CM288*CM191+CN288*CN191+CO288*CO191+CP288*CP191+CQ288*CQ191+CR288*CR191+CS288*CS191+CT288*CT191+CU288*CU191</f>
        <v>6.9388939039072284E-18</v>
      </c>
      <c r="CZ191" s="2839">
        <f>E289*E191+F289*F191+G289*G191+H289*H191+I289*I191+J289*J191+K289*K191+L289*L191+M289*M191+N289*N191+O289*O191+P289*P191+Q289*Q191+R289*R191+S289*S191+T289*T191+U289*U191+V289*V191+W289*W191+X289*X191+Y289*Y191+Z289*Z191+AA289*AA191+AB289*AB191+AC289*AC191+AD289*AD191+AE289*AE191+AF289*AF191+AG289*AG191+AH289*AH191+AI289*AI191+AJ289*AJ191+AK289*AK191+AL289*AL191+AM289*AM191+AN289*AN191+AO289*AO191+AP289*AP191+AQ289*AQ191+AR289*AR191+AS289*AS191+AT289*AT191+AU289*AU191+AV289*AV191+AW289*AW191+AX289*AX191+AY289*AY191+AZ289*AZ191+BA289*BA191+BB289*BB191+BC289*BC191+BD289*BD191+BE289*BE191+BF289*BF191+BG289*BG191+BH289*BH191+BI289*BI191+BJ289*BJ191+BK289*BK191+BL289*BL191+BM289*BM191+BN289*BN191+BO289*BO191+BP289*BP191+BQ289*BQ191+BR289*BR191+BS289*BS191+BT289*BT191+BU289*BU191+BV289*BV191+BW289*BW191+BX289*BX191+BY289*BY191+BZ289*BZ191+CA289*CA191+CB289*CB191+CC289*CC191+CD289*CD191+CE289*CE191+CF289*CF191+CG289*CG191+CH289*CH191+CI289*CI191+CJ289*CJ191+CK289*CK191+CL289*CL191+CM289*CM191+CN289*CN191+CO289*CO191+CP289*CP191+CQ289*CQ191+CR289*CR191+CS289*CS191+CT289*CT191+CU289*CU191</f>
        <v>0</v>
      </c>
      <c r="DA191" s="2840">
        <f>E290*E191+F290*F191+G290*G191+H290*H191+I290*I191+J290*J191+K290*K191+L290*L191+M290*M191+N290*N191+O290*O191+P290*P191+Q290*Q191+R290*R191+S290*S191+T290*T191+U290*U191+V290*V191+W290*W191+X290*X191+Y290*Y191+Z290*Z191+AA290*AA191+AB290*AB191+AC290*AC191+AD290*AD191+AE290*AE191+AF290*AF191+AG290*AG191+AH290*AH191+AI290*AI191+AJ290*AJ191+AK290*AK191+AL290*AL191+AM290*AM191+AN290*AN191+AO290*AO191+AP290*AP191+AQ290*AQ191+AR290*AR191+AS290*AS191+AT290*AT191+AU290*AU191+AV290*AV191+AW290*AW191+AX290*AX191+AY290*AY191+AZ290*AZ191+BA290*BA191+BB290*BB191+BC290*BC191+BD290*BD191+BE290*BE191+BF290*BF191+BG290*BG191+BH290*BH191+BI290*BI191+BJ290*BJ191+BK290*BK191+BL290*BL191+BM290*BM191+BN290*BN191+BO290*BO191+BP290*BP191+BQ290*BQ191+BR290*BR191+BS290*BS191+BT290*BT191+BU290*BU191+BV290*BV191+BW290*BW191+BX290*BX191+BY290*BY191+BZ290*BZ191+CA290*CA191+CB290*CB191+CC290*CC191+CD290*CD191+CE290*CE191+CF290*CF191+CG290*CG191+CH290*CH191+CI290*CI191+CJ290*CJ191+CK290*CK191+CL290*CL191+CM290*CM191+CN290*CN191+CO290*CO191+CP290*CP191+CQ290*CQ191+CR290*CR191+CS290*CS191+CT290*CT191+CU290*CU191</f>
        <v>0</v>
      </c>
      <c r="DB191" s="2840">
        <f>E291*E191+F291*F191+G291*G191+H291*H191+I291*I191+J291*J191+K291*K191+L291*L191+M291*M191+N291*N191+O291*O191+P291*P191+Q291*Q191+R291*R191+S291*S191+T291*T191+U291*U191+V291*V191+W291*W191+X291*X191+Y291*Y191+Z291*Z191+AA291*AA191+AB291*AB191+AC291*AC191+AD291*AD191+AE291*AE191+AF291*AF191+AG291*AG191+AH291*AH191+AI291*AI191+AJ291*AJ191+AK291*AK191+AL291*AL191+AM291*AM191+AN291*AN191+AO291*AO191+AP291*AP191+AQ291*AQ191+AR291*AR191+AS291*AS191+AT291*AT191+AU291*AU191+AV291*AV191+AW291*AW191+AX291*AX191+AY291*AY191+AZ291*AZ191+BA291*BA191+BB291*BB191+BC291*BC191+BD291*BD191+BE291*BE191+BF291*BF191+BG291*BG191+BH291*BH191+BI291*BI191+BJ291*BJ191+BK291*BK191+BL291*BL191+BM291*BM191+BN291*BN191+BO291*BO191+BP291*BP191+BQ291*BQ191+BR291*BR191+BS291*BS191+BT291*BT191+BU291*BU191+BV291*BV191+BW291*BW191+BX291*BX191+BY291*BY191+BZ291*BZ191+CA291*CA191+CB291*CB191+CC291*CC191+CD291*CD191+CE291*CE191+CF291*CF191+CG291*CG191+CH291*CH191+CI291*CI191+CJ291*CJ191+CK291*CK191+CL291*CL191+CM291*CM191+CN291*CN191+CO291*CO191+CP291*CP191+CQ291*CQ191+CR291*CR191+CS291*CS191+CT291*CT191+CU291*CU191</f>
        <v>0</v>
      </c>
      <c r="DC191" s="2840">
        <f>E292*E191+F292*F191+G292*G191+H292*H191+I292*I191+J292*J191+K292*K191+L292*L191+M292*M191+N292*N191+O292*O191+P292*P191+Q292*Q191+R292*R191+S292*S191+T292*T191+U292*U191+V292*V191+W292*W191+X292*X191+Y292*Y191+Z292*Z191+AA292*AA191+AB292*AB191+AC292*AC191+AD292*AD191+AE292*AE191+AF292*AF191+AG292*AG191+AH292*AH191+AI292*AI191+AJ292*AJ191+AK292*AK191+AL292*AL191+AM292*AM191+AN292*AN191+AO292*AO191+AP292*AP191+AQ292*AQ191+AR292*AR191+AS292*AS191+AT292*AT191+AU292*AU191+AV292*AV191+AW292*AW191+AX292*AX191+AY292*AY191+AZ292*AZ191+BA292*BA191+BB292*BB191+BC292*BC191+BD292*BD191+BE292*BE191+BF292*BF191+BG292*BG191+BH292*BH191+BI292*BI191+BJ292*BJ191+BK292*BK191+BL292*BL191+BM292*BM191+BN292*BN191+BO292*BO191+BP292*BP191+BQ292*BQ191+BR292*BR191+BS292*BS191+BT292*BT191+BU292*BU191+BV292*BV191+BW292*BW191+BX292*BX191+BY292*BY191+BZ292*BZ191+CA292*CA191+CB292*CB191+CC292*CC191+CD292*CD191+CE292*CE191+CF292*CF191+CG292*CG191+CH292*CH191+CI292*CI191+CJ292*CJ191+CK292*CK191+CL292*CL191+CM292*CM191+CN292*CN191+CO292*CO191+CP292*CP191+CQ292*CQ191+CR292*CR191+CS292*CS191+CT292*CT191+CU292*CU191</f>
        <v>0</v>
      </c>
      <c r="DD191" s="2840">
        <f>E293*E191+F293*F191+G293*G191+H293*H191+I293*I191+J293*J191+K293*K191+L293*L191+M293*M191+N293*N191+O293*O191+P293*P191+Q293*Q191+R293*R191+S293*S191+T293*T191+U293*U191+V293*V191+W293*W191+X293*X191+Y293*Y191+Z293*Z191+AA293*AA191+AB293*AB191+AC293*AC191+AD293*AD191+AE293*AE191+AF293*AF191+AG293*AG191+AH293*AH191+AI293*AI191+AJ293*AJ191+AK293*AK191+AL293*AL191+AM293*AM191+AN293*AN191+AO293*AO191+AP293*AP191+AQ293*AQ191+AR293*AR191+AS293*AS191+AT293*AT191+AU293*AU191+AV293*AV191+AW293*AW191+AX293*AX191+AY293*AY191+AZ293*AZ191+BA293*BA191+BB293*BB191+BC293*BC191+BD293*BD191+BE293*BE191+BF293*BF191+BG293*BG191+BH293*BH191+BI293*BI191+BJ293*BJ191+BK293*BK191+BL293*BL191+BM293*BM191+BN293*BN191+BO293*BO191+BP293*BP191+BQ293*BQ191+BR293*BR191+BS293*BS191+BT293*BT191+BU293*BU191+BV293*BV191+BW293*BW191+BX293*BX191+BY293*BY191+BZ293*BZ191+CA293*CA191+CB293*CB191+CC293*CC191+CD293*CD191+CE293*CE191+CF293*CF191+CG293*CG191+CH293*CH191+CI293*CI191+CJ293*CJ191+CK293*CK191+CL293*CL191+CM293*CM191+CN293*CN191+CO293*CO191+CP293*CP191+CQ293*CQ191+CR293*CR191+CS293*CS191+CT293*CT191+CU293*CU191</f>
        <v>0</v>
      </c>
      <c r="DE191" s="2840">
        <f>E294*E191+F294*F191+G294*G191+H294*H191+I294*I191+J294*J191+K294*K191+L294*L191+M294*M191+N294*N191+O294*O191+P294*P191+Q294*Q191+R294*R191+S294*S191+T294*T191+U294*U191+V294*V191+W294*W191+X294*X191+Y294*Y191+Z294*Z191+AA294*AA191+AB294*AB191+AC294*AC191+AD294*AD191+AE294*AE191+AF294*AF191+AG294*AG191+AH294*AH191+AI294*AI191+AJ294*AJ191+AK294*AK191+AL294*AL191+AM294*AM191+AN294*AN191+AO294*AO191+AP294*AP191+AQ294*AQ191+AR294*AR191+AS294*AS191+AT294*AT191+AU294*AU191+AV294*AV191+AW294*AW191+AX294*AX191+AY294*AY191+AZ294*AZ191+BA294*BA191+BB294*BB191+BC294*BC191+BD294*BD191+BE294*BE191+BF294*BF191+BG294*BG191+BH294*BH191+BI294*BI191+BJ294*BJ191+BK294*BK191+BL294*BL191+BM294*BM191+BN294*BN191+BO294*BO191+BP294*BP191+BQ294*BQ191+BR294*BR191+BS294*BS191+BT294*BT191+BU294*BU191+BV294*BV191+BW294*BW191+BX294*BX191+BY294*BY191+BZ294*BZ191+CA294*CA191+CB294*CB191+CC294*CC191+CD294*CD191+CE294*CE191+CF294*CF191+CG294*CG191+CH294*CH191+CI294*CI191+CJ294*CJ191+CK294*CK191+CL294*CL191+CM294*CM191+CN294*CN191+CO294*CO191+CP294*CP191+CQ294*CQ191+CR294*CR191+CS294*CS191+CT294*CT191+CU294*CU191</f>
        <v>0</v>
      </c>
      <c r="DF191" s="2840">
        <f>E295*E191+F295*F191+G295*G191+H295*H191+I295*I191+J295*J191+K295*K191+L295*L191+M295*M191+N295*N191+O295*O191+P295*P191+Q295*Q191+R295*R191+S295*S191+T295*T191+U295*U191+V295*V191+W295*W191+X295*X191+Y295*Y191+Z295*Z191+AA295*AA191+AB295*AB191+AC295*AC191+AD295*AD191+AE295*AE191+AF295*AF191+AG295*AG191+AH295*AH191+AI295*AI191+AJ295*AJ191+AK295*AK191+AL295*AL191+AM295*AM191+AN295*AN191+AO295*AO191+AP295*AP191+AQ295*AQ191+AR295*AR191+AS295*AS191+AT295*AT191+AU295*AU191+AV295*AV191+AW295*AW191+AX295*AX191+AY295*AY191+AZ295*AZ191+BA295*BA191+BB295*BB191+BC295*BC191+BD295*BD191+BE295*BE191+BF295*BF191+BG295*BG191+BH295*BH191+BI295*BI191+BJ295*BJ191+BK295*BK191+BL295*BL191+BM295*BM191+BN295*BN191+BO295*BO191+BP295*BP191+BQ295*BQ191+BR295*BR191+BS295*BS191+BT295*BT191+BU295*BU191+BV295*BV191+BW295*BW191+BX295*BX191+BY295*BY191+BZ295*BZ191+CA295*CA191+CB295*CB191+CC295*CC191+CD295*CD191+CE295*CE191+CF295*CF191+CG295*CG191+CH295*CH191+CI295*CI191+CJ295*CJ191+CK295*CK191+CL295*CL191+CM295*CM191+CN295*CN191+CO295*CO191+CP295*CP191+CQ295*CQ191+CR295*CR191+CS295*CS191+CT295*CT191+CU295*CU191</f>
        <v>0</v>
      </c>
      <c r="DG191" s="2840">
        <f>E296*E191+F296*F191+G296*G191+H296*H191+I296*I191+J296*J191+K296*K191+L296*L191+M296*M191+N296*N191+O296*O191+P296*P191+Q296*Q191+R296*R191+S296*S191+T296*T191+U296*U191+V296*V191+W296*W191+X296*X191+Y296*Y191+Z296*Z191+AA296*AA191+AB296*AB191+AC296*AC191+AD296*AD191+AE296*AE191+AF296*AF191+AG296*AG191+AH296*AH191+AI296*AI191+AJ296*AJ191+AK296*AK191+AL296*AL191+AM296*AM191+AN296*AN191+AO296*AO191+AP296*AP191+AQ296*AQ191+AR296*AR191+AS296*AS191+AT296*AT191+AU296*AU191+AV296*AV191+AW296*AW191+AX296*AX191+AY296*AY191+AZ296*AZ191+BA296*BA191+BB296*BB191+BC296*BC191+BD296*BD191+BE296*BE191+BF296*BF191+BG296*BG191+BH296*BH191+BI296*BI191+BJ296*BJ191+BK296*BK191+BL296*BL191+BM296*BM191+BN296*BN191+BO296*BO191+BP296*BP191+BQ296*BQ191+BR296*BR191+BS296*BS191+BT296*BT191+BU296*BU191+BV296*BV191+BW296*BW191+BX296*BX191+BY296*BY191+BZ296*BZ191+CA296*CA191+CB296*CB191+CC296*CC191+CD296*CD191+CE296*CE191+CF296*CF191+CG296*CG191+CH296*CH191+CI296*CI191+CJ296*CJ191+CK296*CK191+CL296*CL191+CM296*CM191+CN296*CN191+CO296*CO191+CP296*CP191+CQ296*CQ191+CR296*CR191+CS296*CS191+CT296*CT191+CU296*CU191</f>
        <v>0</v>
      </c>
      <c r="DH191" s="2840">
        <f>E297*E191+F297*F191+G297*G191+H297*H191+I297*I191+J297*J191+K297*K191+L297*L191+M297*M191+N297*N191+O297*O191+P297*P191+Q297*Q191+R297*R191+S297*S191+T297*T191+U297*U191+V297*V191+W297*W191+X297*X191+Y297*Y191+Z297*Z191+AA297*AA191+AB297*AB191+AC297*AC191+AD297*AD191+AE297*AE191+AF297*AF191+AG297*AG191+AH297*AH191+AI297*AI191+AJ297*AJ191+AK297*AK191+AL297*AL191+AM297*AM191+AN297*AN191+AO297*AO191+AP297*AP191+AQ297*AQ191+AR297*AR191+AS297*AS191+AT297*AT191+AU297*AU191+AV297*AV191+AW297*AW191+AX297*AX191+AY297*AY191+AZ297*AZ191+BA297*BA191+BB297*BB191+BC297*BC191+BD297*BD191+BE297*BE191+BF297*BF191+BG297*BG191+BH297*BH191+BI297*BI191+BJ297*BJ191+BK297*BK191+BL297*BL191+BM297*BM191+BN297*BN191+BO297*BO191+BP297*BP191+BQ297*BQ191+BR297*BR191+BS297*BS191+BT297*BT191+BU297*BU191+BV297*BV191+BW297*BW191+BX297*BX191+BY297*BY191+BZ297*BZ191+CA297*CA191+CB297*CB191+CC297*CC191+CD297*CD191+CE297*CE191+CF297*CF191+CG297*CG191+CH297*CH191+CI297*CI191+CJ297*CJ191+CK297*CK191+CL297*CL191+CM297*CM191+CN297*CN191+CO297*CO191+CP297*CP191+CQ297*CQ191+CR297*CR191+CS297*CS191+CT297*CT191+CU297*CU191</f>
        <v>0</v>
      </c>
      <c r="DI191" s="2840">
        <f>E298*E191+F298*F191+G298*G191+H298*H191+I298*I191+J298*J191+K298*K191+L298*L191+M298*M191+N298*N191+O298*O191+P298*P191+Q298*Q191+R298*R191+S298*S191+T298*T191+U298*U191+V298*V191+W298*W191+X298*X191+Y298*Y191+Z298*Z191+AA298*AA191+AB298*AB191+AC298*AC191+AD298*AD191+AE298*AE191+AF298*AF191+AG298*AG191+AH298*AH191+AI298*AI191+AJ298*AJ191+AK298*AK191+AL298*AL191+AM298*AM191+AN298*AN191+AO298*AO191+AP298*AP191+AQ298*AQ191+AR298*AR191+AS298*AS191+AT298*AT191+AU298*AU191+AV298*AV191+AW298*AW191+AX298*AX191+AY298*AY191+AZ298*AZ191+BA298*BA191+BB298*BB191+BC298*BC191+BD298*BD191+BE298*BE191+BF298*BF191+BG298*BG191+BH298*BH191+BI298*BI191+BJ298*BJ191+BK298*BK191+BL298*BL191+BM298*BM191+BN298*BN191+BO298*BO191+BP298*BP191+BQ298*BQ191+BR298*BR191+BS298*BS191+BT298*BT191+BU298*BU191+BV298*BV191+BW298*BW191+BX298*BX191+BY298*BY191+BZ298*BZ191+CA298*CA191+CB298*CB191+CC298*CC191+CD298*CD191+CE298*CE191+CF298*CF191+CG298*CG191+CH298*CH191+CI298*CI191+CJ298*CJ191+CK298*CK191+CL298*CL191+CM298*CM191+CN298*CN191+CO298*CO191+CP298*CP191+CQ298*CQ191+CR298*CR191+CS298*CS191+CT298*CT191+CU298*CU191</f>
        <v>0</v>
      </c>
    </row>
    <row r="192" spans="2:113" ht="18" x14ac:dyDescent="0.25">
      <c r="B192" s="2493">
        <v>39</v>
      </c>
      <c r="C192" s="2414" t="s">
        <v>4901</v>
      </c>
      <c r="D192" s="2415" t="s">
        <v>2995</v>
      </c>
      <c r="E192" s="3113">
        <f>0</f>
        <v>0</v>
      </c>
      <c r="F192" s="3139">
        <f>0</f>
        <v>0</v>
      </c>
      <c r="G192" s="3139">
        <f>0</f>
        <v>0</v>
      </c>
      <c r="H192" s="3139">
        <f>0</f>
        <v>0</v>
      </c>
      <c r="I192" s="3139">
        <f>0</f>
        <v>0</v>
      </c>
      <c r="J192" s="3139">
        <f>1-f_E</f>
        <v>0.92</v>
      </c>
      <c r="K192" s="3139">
        <f>0</f>
        <v>0</v>
      </c>
      <c r="L192" s="3139">
        <f>0</f>
        <v>0</v>
      </c>
      <c r="M192" s="3139">
        <f>0</f>
        <v>0</v>
      </c>
      <c r="N192" s="3113">
        <f>0</f>
        <v>0</v>
      </c>
      <c r="O192" s="3113">
        <f>0</f>
        <v>0</v>
      </c>
      <c r="P192" s="3139">
        <f>0</f>
        <v>0</v>
      </c>
      <c r="Q192" s="3139">
        <f>f_E</f>
        <v>0.08</v>
      </c>
      <c r="R192" s="3139">
        <f>0</f>
        <v>0</v>
      </c>
      <c r="S192" s="3139">
        <f>0</f>
        <v>0</v>
      </c>
      <c r="T192" s="3139">
        <f>0</f>
        <v>0</v>
      </c>
      <c r="U192" s="3139">
        <f>-1</f>
        <v>-1</v>
      </c>
      <c r="V192" s="3139">
        <f>0</f>
        <v>0</v>
      </c>
      <c r="W192" s="3139">
        <f>0</f>
        <v>0</v>
      </c>
      <c r="X192" s="3139">
        <f>0</f>
        <v>0</v>
      </c>
      <c r="Y192" s="3139">
        <f>0</f>
        <v>0</v>
      </c>
      <c r="Z192" s="3139">
        <f>0</f>
        <v>0</v>
      </c>
      <c r="AA192" s="3139">
        <f>0</f>
        <v>0</v>
      </c>
      <c r="AB192" s="3139">
        <f>0</f>
        <v>0</v>
      </c>
      <c r="AC192" s="3139">
        <f>0</f>
        <v>0</v>
      </c>
      <c r="AD192" s="3139">
        <f>-f_E*(i_N_XE-i_N_BIO)</f>
        <v>8.0000000000000069E-4</v>
      </c>
      <c r="AE192" s="3139">
        <f>0</f>
        <v>0</v>
      </c>
      <c r="AF192" s="3139">
        <f>0</f>
        <v>0</v>
      </c>
      <c r="AG192" s="3139">
        <f>0</f>
        <v>0</v>
      </c>
      <c r="AH192" s="3139">
        <f>0</f>
        <v>0</v>
      </c>
      <c r="AI192" s="3139">
        <f>0</f>
        <v>0</v>
      </c>
      <c r="AJ192" s="3139">
        <f>(1-f_E)*i_N_BIO</f>
        <v>6.4400000000000013E-2</v>
      </c>
      <c r="AK192" s="3139">
        <f>0</f>
        <v>0</v>
      </c>
      <c r="AL192" s="3139">
        <f>0</f>
        <v>0</v>
      </c>
      <c r="AM192" s="3113">
        <f>0</f>
        <v>0</v>
      </c>
      <c r="AN192" s="3139">
        <f>0</f>
        <v>0</v>
      </c>
      <c r="AO192" s="3139">
        <f>0</f>
        <v>0</v>
      </c>
      <c r="AP192" s="3139">
        <f>(1-f_E)*i_P_BIO</f>
        <v>1.84E-2</v>
      </c>
      <c r="AQ192" s="3139">
        <f>0</f>
        <v>0</v>
      </c>
      <c r="AR192" s="3139">
        <f>0</f>
        <v>0</v>
      </c>
      <c r="AS192" s="3139">
        <f>0</f>
        <v>0</v>
      </c>
      <c r="AT192" s="3139">
        <f>0</f>
        <v>0</v>
      </c>
      <c r="AU192" s="3177">
        <f>(1-f_E)*(i_CIT_BIO-i_CIT_XBe)</f>
        <v>6.0720000000000003E-2</v>
      </c>
      <c r="AV192" s="3183">
        <f>0</f>
        <v>0</v>
      </c>
      <c r="AW192" s="3183">
        <f>0</f>
        <v>0</v>
      </c>
      <c r="AX192" s="3183">
        <f>0</f>
        <v>0</v>
      </c>
      <c r="AY192" s="3183">
        <f>0</f>
        <v>0</v>
      </c>
      <c r="AZ192" s="3183">
        <f>0</f>
        <v>0</v>
      </c>
      <c r="BA192" s="3183">
        <f>0</f>
        <v>0</v>
      </c>
      <c r="BB192" s="3191">
        <f>0</f>
        <v>0</v>
      </c>
      <c r="BC192" s="3113">
        <f>(1-f_E)*i_S_BIO-(1-f_E)*i_S_XB</f>
        <v>7.8200000000000006E-3</v>
      </c>
      <c r="BD192" s="3191">
        <f>0</f>
        <v>0</v>
      </c>
      <c r="BE192" s="3139">
        <f>0</f>
        <v>0</v>
      </c>
      <c r="BF192" s="3139">
        <f>0</f>
        <v>0</v>
      </c>
      <c r="BG192" s="3139">
        <f>0</f>
        <v>0</v>
      </c>
      <c r="BH192" s="3139">
        <f>0</f>
        <v>0</v>
      </c>
      <c r="BI192" s="3139">
        <f>0</f>
        <v>0</v>
      </c>
      <c r="BJ192" s="3139">
        <f>0</f>
        <v>0</v>
      </c>
      <c r="BK192" s="3139">
        <f>0</f>
        <v>0</v>
      </c>
      <c r="BL192" s="3139">
        <f>0</f>
        <v>0</v>
      </c>
      <c r="BM192" s="3139">
        <f>0</f>
        <v>0</v>
      </c>
      <c r="BN192" s="3139">
        <f>0</f>
        <v>0</v>
      </c>
      <c r="BO192" s="3139">
        <f>0</f>
        <v>0</v>
      </c>
      <c r="BP192" s="3139">
        <f>0</f>
        <v>0</v>
      </c>
      <c r="BQ192" s="3139">
        <f>0</f>
        <v>0</v>
      </c>
      <c r="BR192" s="3139">
        <f>0</f>
        <v>0</v>
      </c>
      <c r="BS192" s="3139">
        <f>0</f>
        <v>0</v>
      </c>
      <c r="BT192" s="3139">
        <f>0</f>
        <v>0</v>
      </c>
      <c r="BU192" s="3139">
        <f>0</f>
        <v>0</v>
      </c>
      <c r="BV192" s="3139">
        <f>0</f>
        <v>0</v>
      </c>
      <c r="BW192" s="3139">
        <f>0</f>
        <v>0</v>
      </c>
      <c r="BX192" s="3139">
        <f>0</f>
        <v>0</v>
      </c>
      <c r="BY192" s="3139">
        <f>0</f>
        <v>0</v>
      </c>
      <c r="BZ192" s="3177">
        <f>0</f>
        <v>0</v>
      </c>
      <c r="CA192" s="3177">
        <f>0</f>
        <v>0</v>
      </c>
      <c r="CB192" s="3177">
        <f>0</f>
        <v>0</v>
      </c>
      <c r="CC192" s="3177">
        <f>0</f>
        <v>0</v>
      </c>
      <c r="CD192" s="3139">
        <f>0</f>
        <v>0</v>
      </c>
      <c r="CE192" s="3139">
        <f>0</f>
        <v>0</v>
      </c>
      <c r="CF192" s="3139">
        <f>0</f>
        <v>0</v>
      </c>
      <c r="CG192" s="3139">
        <f>0</f>
        <v>0</v>
      </c>
      <c r="CH192" s="3139">
        <f>0</f>
        <v>0</v>
      </c>
      <c r="CI192" s="3139">
        <f>0</f>
        <v>0</v>
      </c>
      <c r="CJ192" s="3139">
        <f>0</f>
        <v>0</v>
      </c>
      <c r="CK192" s="3139">
        <f>0</f>
        <v>0</v>
      </c>
      <c r="CL192" s="3139">
        <f>0</f>
        <v>0</v>
      </c>
      <c r="CM192" s="3139">
        <f>0</f>
        <v>0</v>
      </c>
      <c r="CN192" s="3139">
        <f>0</f>
        <v>0</v>
      </c>
      <c r="CO192" s="3139">
        <f>0</f>
        <v>0</v>
      </c>
      <c r="CP192" s="3139">
        <f>0</f>
        <v>0</v>
      </c>
      <c r="CQ192" s="3139">
        <f>0</f>
        <v>0</v>
      </c>
      <c r="CR192" s="3139">
        <f>0</f>
        <v>0</v>
      </c>
      <c r="CS192" s="3139">
        <f>0</f>
        <v>0</v>
      </c>
      <c r="CT192" s="3139">
        <f>0</f>
        <v>0</v>
      </c>
      <c r="CU192" s="3139">
        <f>0</f>
        <v>0</v>
      </c>
      <c r="CV192" s="3191">
        <f>b_AOB_T*X_AOB*(η_b_ana*M_inhSNOx_KNOx_AOB*M_inhSO2_KO2_AOB+m_tox_ana)</f>
        <v>1.6403508771929826E-3</v>
      </c>
      <c r="CX192" s="2838">
        <f>E287*E192+F287*F192+G287*G192+H287*H192+I287*I192+J287*J192+K287*K192+L287*L192+M287*M192+N287*N192+O287*O192+P287*P192+Q287*Q192+R287*R192+S287*S192+T287*T192+U287*U192+V287*V192+W287*W192+X287*X192+Y287*Y192+Z287*Z192+AA287*AA192+AB287*AB192+AC287*AC192+AD287*AD192+AE287*AE192+AF287*AF192+AG287*AG192+AH287*AH192+AI287*AI192+AJ287*AJ192+AK287*AK192+AL287*AL192+AM287*AM192+AN287*AN192+AO287*AO192+AP287*AP192+AQ287*AQ192+AR287*AR192+AS287*AS192+AT287*AT192+AU287*AU192+AV287*AV192+AW287*AW192+AX287*AX192+AY287*AY192+AZ287*AZ192+BA287*BA192+BB287*BB192+BC287*BC192+BD287*BD192+BE287*BE192+BF287*BF192+BG287*BG192+BH287*BH192+BI287*BI192+BJ287*BJ192+BK287*BK192+BL287*BL192+BM287*BM192+BN287*BN192+BO287*BO192+BP287*BP192+BQ287*BQ192+BR287*BR192+BS287*BS192+BT287*BT192+BU287*BU192+BV287*BV192+BW287*BW192+BX287*BX192+BY287*BY192+BZ287*BZ192+CA287*CA192+CB287*CB192+CC287*CC192+CD287*CD192+CE287*CE192+CF287*CF192+CG287*CG192+CH287*CH192+CI287*CI192+CJ287*CJ192+CK287*CK192+CL287*CL192+CM287*CM192+CN287*CN192+CO287*CO192+CP287*CP192+CQ287*CQ192+CR287*CR192+CS287*CS192+CT287*CT192+CU287*CU192</f>
        <v>0</v>
      </c>
      <c r="CY192" s="2838">
        <f>E288*E192+F288*F192+G288*G192+H288*H192+I288*I192+J288*J192+K288*K192+L288*L192+M288*M192+N288*N192+O288*O192+P288*P192+Q288*Q192+R288*R192+S288*S192+T288*T192+U288*U192+V288*V192+W288*W192+X288*X192+Y288*Y192+Z288*Z192+AA288*AA192+AB288*AB192+AC288*AC192+AD288*AD192+AE288*AE192+AF288*AF192+AG288*AG192+AH288*AH192+AI288*AI192+AJ288*AJ192+AK288*AK192+AL288*AL192+AM288*AM192+AN288*AN192+AO288*AO192+AP288*AP192+AQ288*AQ192+AR288*AR192+AS288*AS192+AT288*AT192+AU288*AU192+AV288*AV192+AW288*AW192+AX288*AX192+AY288*AY192+AZ288*AZ192+BA288*BA192+BB288*BB192+BC288*BC192+BD288*BD192+BE288*BE192+BF288*BF192+BG288*BG192+BH288*BH192+BI288*BI192+BJ288*BJ192+BK288*BK192+BL288*BL192+BM288*BM192+BN288*BN192+BO288*BO192+BP288*BP192+BQ288*BQ192+BR288*BR192+BS288*BS192+BT288*BT192+BU288*BU192+BV288*BV192+BW288*BW192+BX288*BX192+BY288*BY192+BZ288*BZ192+CA288*CA192+CB288*CB192+CC288*CC192+CD288*CD192+CE288*CE192+CF288*CF192+CG288*CG192+CH288*CH192+CI288*CI192+CJ288*CJ192+CK288*CK192+CL288*CL192+CM288*CM192+CN288*CN192+CO288*CO192+CP288*CP192+CQ288*CQ192+CR288*CR192+CS288*CS192+CT288*CT192+CU288*CU192</f>
        <v>6.9388939039072284E-18</v>
      </c>
      <c r="CZ192" s="2839">
        <f>E289*E192+F289*F192+G289*G192+H289*H192+I289*I192+J289*J192+K289*K192+L289*L192+M289*M192+N289*N192+O289*O192+P289*P192+Q289*Q192+R289*R192+S289*S192+T289*T192+U289*U192+V289*V192+W289*W192+X289*X192+Y289*Y192+Z289*Z192+AA289*AA192+AB289*AB192+AC289*AC192+AD289*AD192+AE289*AE192+AF289*AF192+AG289*AG192+AH289*AH192+AI289*AI192+AJ289*AJ192+AK289*AK192+AL289*AL192+AM289*AM192+AN289*AN192+AO289*AO192+AP289*AP192+AQ289*AQ192+AR289*AR192+AS289*AS192+AT289*AT192+AU289*AU192+AV289*AV192+AW289*AW192+AX289*AX192+AY289*AY192+AZ289*AZ192+BA289*BA192+BB289*BB192+BC289*BC192+BD289*BD192+BE289*BE192+BF289*BF192+BG289*BG192+BH289*BH192+BI289*BI192+BJ289*BJ192+BK289*BK192+BL289*BL192+BM289*BM192+BN289*BN192+BO289*BO192+BP289*BP192+BQ289*BQ192+BR289*BR192+BS289*BS192+BT289*BT192+BU289*BU192+BV289*BV192+BW289*BW192+BX289*BX192+BY289*BY192+BZ289*BZ192+CA289*CA192+CB289*CB192+CC289*CC192+CD289*CD192+CE289*CE192+CF289*CF192+CG289*CG192+CH289*CH192+CI289*CI192+CJ289*CJ192+CK289*CK192+CL289*CL192+CM289*CM192+CN289*CN192+CO289*CO192+CP289*CP192+CQ289*CQ192+CR289*CR192+CS289*CS192+CT289*CT192+CU289*CU192</f>
        <v>0</v>
      </c>
      <c r="DA192" s="2840">
        <f>E290*E192+F290*F192+G290*G192+H290*H192+I290*I192+J290*J192+K290*K192+L290*L192+M290*M192+N290*N192+O290*O192+P290*P192+Q290*Q192+R290*R192+S290*S192+T290*T192+U290*U192+V290*V192+W290*W192+X290*X192+Y290*Y192+Z290*Z192+AA290*AA192+AB290*AB192+AC290*AC192+AD290*AD192+AE290*AE192+AF290*AF192+AG290*AG192+AH290*AH192+AI290*AI192+AJ290*AJ192+AK290*AK192+AL290*AL192+AM290*AM192+AN290*AN192+AO290*AO192+AP290*AP192+AQ290*AQ192+AR290*AR192+AS290*AS192+AT290*AT192+AU290*AU192+AV290*AV192+AW290*AW192+AX290*AX192+AY290*AY192+AZ290*AZ192+BA290*BA192+BB290*BB192+BC290*BC192+BD290*BD192+BE290*BE192+BF290*BF192+BG290*BG192+BH290*BH192+BI290*BI192+BJ290*BJ192+BK290*BK192+BL290*BL192+BM290*BM192+BN290*BN192+BO290*BO192+BP290*BP192+BQ290*BQ192+BR290*BR192+BS290*BS192+BT290*BT192+BU290*BU192+BV290*BV192+BW290*BW192+BX290*BX192+BY290*BY192+BZ290*BZ192+CA290*CA192+CB290*CB192+CC290*CC192+CD290*CD192+CE290*CE192+CF290*CF192+CG290*CG192+CH290*CH192+CI290*CI192+CJ290*CJ192+CK290*CK192+CL290*CL192+CM290*CM192+CN290*CN192+CO290*CO192+CP290*CP192+CQ290*CQ192+CR290*CR192+CS290*CS192+CT290*CT192+CU290*CU192</f>
        <v>0</v>
      </c>
      <c r="DB192" s="2840">
        <f>E291*E192+F291*F192+G291*G192+H291*H192+I291*I192+J291*J192+K291*K192+L291*L192+M291*M192+N291*N192+O291*O192+P291*P192+Q291*Q192+R291*R192+S291*S192+T291*T192+U291*U192+V291*V192+W291*W192+X291*X192+Y291*Y192+Z291*Z192+AA291*AA192+AB291*AB192+AC291*AC192+AD291*AD192+AE291*AE192+AF291*AF192+AG291*AG192+AH291*AH192+AI291*AI192+AJ291*AJ192+AK291*AK192+AL291*AL192+AM291*AM192+AN291*AN192+AO291*AO192+AP291*AP192+AQ291*AQ192+AR291*AR192+AS291*AS192+AT291*AT192+AU291*AU192+AV291*AV192+AW291*AW192+AX291*AX192+AY291*AY192+AZ291*AZ192+BA291*BA192+BB291*BB192+BC291*BC192+BD291*BD192+BE291*BE192+BF291*BF192+BG291*BG192+BH291*BH192+BI291*BI192+BJ291*BJ192+BK291*BK192+BL291*BL192+BM291*BM192+BN291*BN192+BO291*BO192+BP291*BP192+BQ291*BQ192+BR291*BR192+BS291*BS192+BT291*BT192+BU291*BU192+BV291*BV192+BW291*BW192+BX291*BX192+BY291*BY192+BZ291*BZ192+CA291*CA192+CB291*CB192+CC291*CC192+CD291*CD192+CE291*CE192+CF291*CF192+CG291*CG192+CH291*CH192+CI291*CI192+CJ291*CJ192+CK291*CK192+CL291*CL192+CM291*CM192+CN291*CN192+CO291*CO192+CP291*CP192+CQ291*CQ192+CR291*CR192+CS291*CS192+CT291*CT192+CU291*CU192</f>
        <v>0</v>
      </c>
      <c r="DC192" s="2840">
        <f>E292*E192+F292*F192+G292*G192+H292*H192+I292*I192+J292*J192+K292*K192+L292*L192+M292*M192+N292*N192+O292*O192+P292*P192+Q292*Q192+R292*R192+S292*S192+T292*T192+U292*U192+V292*V192+W292*W192+X292*X192+Y292*Y192+Z292*Z192+AA292*AA192+AB292*AB192+AC292*AC192+AD292*AD192+AE292*AE192+AF292*AF192+AG292*AG192+AH292*AH192+AI292*AI192+AJ292*AJ192+AK292*AK192+AL292*AL192+AM292*AM192+AN292*AN192+AO292*AO192+AP292*AP192+AQ292*AQ192+AR292*AR192+AS292*AS192+AT292*AT192+AU292*AU192+AV292*AV192+AW292*AW192+AX292*AX192+AY292*AY192+AZ292*AZ192+BA292*BA192+BB292*BB192+BC292*BC192+BD292*BD192+BE292*BE192+BF292*BF192+BG292*BG192+BH292*BH192+BI292*BI192+BJ292*BJ192+BK292*BK192+BL292*BL192+BM292*BM192+BN292*BN192+BO292*BO192+BP292*BP192+BQ292*BQ192+BR292*BR192+BS292*BS192+BT292*BT192+BU292*BU192+BV292*BV192+BW292*BW192+BX292*BX192+BY292*BY192+BZ292*BZ192+CA292*CA192+CB292*CB192+CC292*CC192+CD292*CD192+CE292*CE192+CF292*CF192+CG292*CG192+CH292*CH192+CI292*CI192+CJ292*CJ192+CK292*CK192+CL292*CL192+CM292*CM192+CN292*CN192+CO292*CO192+CP292*CP192+CQ292*CQ192+CR292*CR192+CS292*CS192+CT292*CT192+CU292*CU192</f>
        <v>0</v>
      </c>
      <c r="DD192" s="2840">
        <f>E293*E192+F293*F192+G293*G192+H293*H192+I293*I192+J293*J192+K293*K192+L293*L192+M293*M192+N293*N192+O293*O192+P293*P192+Q293*Q192+R293*R192+S293*S192+T293*T192+U293*U192+V293*V192+W293*W192+X293*X192+Y293*Y192+Z293*Z192+AA293*AA192+AB293*AB192+AC293*AC192+AD293*AD192+AE293*AE192+AF293*AF192+AG293*AG192+AH293*AH192+AI293*AI192+AJ293*AJ192+AK293*AK192+AL293*AL192+AM293*AM192+AN293*AN192+AO293*AO192+AP293*AP192+AQ293*AQ192+AR293*AR192+AS293*AS192+AT293*AT192+AU293*AU192+AV293*AV192+AW293*AW192+AX293*AX192+AY293*AY192+AZ293*AZ192+BA293*BA192+BB293*BB192+BC293*BC192+BD293*BD192+BE293*BE192+BF293*BF192+BG293*BG192+BH293*BH192+BI293*BI192+BJ293*BJ192+BK293*BK192+BL293*BL192+BM293*BM192+BN293*BN192+BO293*BO192+BP293*BP192+BQ293*BQ192+BR293*BR192+BS293*BS192+BT293*BT192+BU293*BU192+BV293*BV192+BW293*BW192+BX293*BX192+BY293*BY192+BZ293*BZ192+CA293*CA192+CB293*CB192+CC293*CC192+CD293*CD192+CE293*CE192+CF293*CF192+CG293*CG192+CH293*CH192+CI293*CI192+CJ293*CJ192+CK293*CK192+CL293*CL192+CM293*CM192+CN293*CN192+CO293*CO192+CP293*CP192+CQ293*CQ192+CR293*CR192+CS293*CS192+CT293*CT192+CU293*CU192</f>
        <v>0</v>
      </c>
      <c r="DE192" s="2840">
        <f>E294*E192+F294*F192+G294*G192+H294*H192+I294*I192+J294*J192+K294*K192+L294*L192+M294*M192+N294*N192+O294*O192+P294*P192+Q294*Q192+R294*R192+S294*S192+T294*T192+U294*U192+V294*V192+W294*W192+X294*X192+Y294*Y192+Z294*Z192+AA294*AA192+AB294*AB192+AC294*AC192+AD294*AD192+AE294*AE192+AF294*AF192+AG294*AG192+AH294*AH192+AI294*AI192+AJ294*AJ192+AK294*AK192+AL294*AL192+AM294*AM192+AN294*AN192+AO294*AO192+AP294*AP192+AQ294*AQ192+AR294*AR192+AS294*AS192+AT294*AT192+AU294*AU192+AV294*AV192+AW294*AW192+AX294*AX192+AY294*AY192+AZ294*AZ192+BA294*BA192+BB294*BB192+BC294*BC192+BD294*BD192+BE294*BE192+BF294*BF192+BG294*BG192+BH294*BH192+BI294*BI192+BJ294*BJ192+BK294*BK192+BL294*BL192+BM294*BM192+BN294*BN192+BO294*BO192+BP294*BP192+BQ294*BQ192+BR294*BR192+BS294*BS192+BT294*BT192+BU294*BU192+BV294*BV192+BW294*BW192+BX294*BX192+BY294*BY192+BZ294*BZ192+CA294*CA192+CB294*CB192+CC294*CC192+CD294*CD192+CE294*CE192+CF294*CF192+CG294*CG192+CH294*CH192+CI294*CI192+CJ294*CJ192+CK294*CK192+CL294*CL192+CM294*CM192+CN294*CN192+CO294*CO192+CP294*CP192+CQ294*CQ192+CR294*CR192+CS294*CS192+CT294*CT192+CU294*CU192</f>
        <v>0</v>
      </c>
      <c r="DF192" s="2840">
        <f>E295*E192+F295*F192+G295*G192+H295*H192+I295*I192+J295*J192+K295*K192+L295*L192+M295*M192+N295*N192+O295*O192+P295*P192+Q295*Q192+R295*R192+S295*S192+T295*T192+U295*U192+V295*V192+W295*W192+X295*X192+Y295*Y192+Z295*Z192+AA295*AA192+AB295*AB192+AC295*AC192+AD295*AD192+AE295*AE192+AF295*AF192+AG295*AG192+AH295*AH192+AI295*AI192+AJ295*AJ192+AK295*AK192+AL295*AL192+AM295*AM192+AN295*AN192+AO295*AO192+AP295*AP192+AQ295*AQ192+AR295*AR192+AS295*AS192+AT295*AT192+AU295*AU192+AV295*AV192+AW295*AW192+AX295*AX192+AY295*AY192+AZ295*AZ192+BA295*BA192+BB295*BB192+BC295*BC192+BD295*BD192+BE295*BE192+BF295*BF192+BG295*BG192+BH295*BH192+BI295*BI192+BJ295*BJ192+BK295*BK192+BL295*BL192+BM295*BM192+BN295*BN192+BO295*BO192+BP295*BP192+BQ295*BQ192+BR295*BR192+BS295*BS192+BT295*BT192+BU295*BU192+BV295*BV192+BW295*BW192+BX295*BX192+BY295*BY192+BZ295*BZ192+CA295*CA192+CB295*CB192+CC295*CC192+CD295*CD192+CE295*CE192+CF295*CF192+CG295*CG192+CH295*CH192+CI295*CI192+CJ295*CJ192+CK295*CK192+CL295*CL192+CM295*CM192+CN295*CN192+CO295*CO192+CP295*CP192+CQ295*CQ192+CR295*CR192+CS295*CS192+CT295*CT192+CU295*CU192</f>
        <v>0</v>
      </c>
      <c r="DG192" s="2840">
        <f>E296*E192+F296*F192+G296*G192+H296*H192+I296*I192+J296*J192+K296*K192+L296*L192+M296*M192+N296*N192+O296*O192+P296*P192+Q296*Q192+R296*R192+S296*S192+T296*T192+U296*U192+V296*V192+W296*W192+X296*X192+Y296*Y192+Z296*Z192+AA296*AA192+AB296*AB192+AC296*AC192+AD296*AD192+AE296*AE192+AF296*AF192+AG296*AG192+AH296*AH192+AI296*AI192+AJ296*AJ192+AK296*AK192+AL296*AL192+AM296*AM192+AN296*AN192+AO296*AO192+AP296*AP192+AQ296*AQ192+AR296*AR192+AS296*AS192+AT296*AT192+AU296*AU192+AV296*AV192+AW296*AW192+AX296*AX192+AY296*AY192+AZ296*AZ192+BA296*BA192+BB296*BB192+BC296*BC192+BD296*BD192+BE296*BE192+BF296*BF192+BG296*BG192+BH296*BH192+BI296*BI192+BJ296*BJ192+BK296*BK192+BL296*BL192+BM296*BM192+BN296*BN192+BO296*BO192+BP296*BP192+BQ296*BQ192+BR296*BR192+BS296*BS192+BT296*BT192+BU296*BU192+BV296*BV192+BW296*BW192+BX296*BX192+BY296*BY192+BZ296*BZ192+CA296*CA192+CB296*CB192+CC296*CC192+CD296*CD192+CE296*CE192+CF296*CF192+CG296*CG192+CH296*CH192+CI296*CI192+CJ296*CJ192+CK296*CK192+CL296*CL192+CM296*CM192+CN296*CN192+CO296*CO192+CP296*CP192+CQ296*CQ192+CR296*CR192+CS296*CS192+CT296*CT192+CU296*CU192</f>
        <v>0</v>
      </c>
      <c r="DH192" s="2840">
        <f>E297*E192+F297*F192+G297*G192+H297*H192+I297*I192+J297*J192+K297*K192+L297*L192+M297*M192+N297*N192+O297*O192+P297*P192+Q297*Q192+R297*R192+S297*S192+T297*T192+U297*U192+V297*V192+W297*W192+X297*X192+Y297*Y192+Z297*Z192+AA297*AA192+AB297*AB192+AC297*AC192+AD297*AD192+AE297*AE192+AF297*AF192+AG297*AG192+AH297*AH192+AI297*AI192+AJ297*AJ192+AK297*AK192+AL297*AL192+AM297*AM192+AN297*AN192+AO297*AO192+AP297*AP192+AQ297*AQ192+AR297*AR192+AS297*AS192+AT297*AT192+AU297*AU192+AV297*AV192+AW297*AW192+AX297*AX192+AY297*AY192+AZ297*AZ192+BA297*BA192+BB297*BB192+BC297*BC192+BD297*BD192+BE297*BE192+BF297*BF192+BG297*BG192+BH297*BH192+BI297*BI192+BJ297*BJ192+BK297*BK192+BL297*BL192+BM297*BM192+BN297*BN192+BO297*BO192+BP297*BP192+BQ297*BQ192+BR297*BR192+BS297*BS192+BT297*BT192+BU297*BU192+BV297*BV192+BW297*BW192+BX297*BX192+BY297*BY192+BZ297*BZ192+CA297*CA192+CB297*CB192+CC297*CC192+CD297*CD192+CE297*CE192+CF297*CF192+CG297*CG192+CH297*CH192+CI297*CI192+CJ297*CJ192+CK297*CK192+CL297*CL192+CM297*CM192+CN297*CN192+CO297*CO192+CP297*CP192+CQ297*CQ192+CR297*CR192+CS297*CS192+CT297*CT192+CU297*CU192</f>
        <v>0</v>
      </c>
      <c r="DI192" s="2840">
        <f>E298*E192+F298*F192+G298*G192+H298*H192+I298*I192+J298*J192+K298*K192+L298*L192+M298*M192+N298*N192+O298*O192+P298*P192+Q298*Q192+R298*R192+S298*S192+T298*T192+U298*U192+V298*V192+W298*W192+X298*X192+Y298*Y192+Z298*Z192+AA298*AA192+AB298*AB192+AC298*AC192+AD298*AD192+AE298*AE192+AF298*AF192+AG298*AG192+AH298*AH192+AI298*AI192+AJ298*AJ192+AK298*AK192+AL298*AL192+AM298*AM192+AN298*AN192+AO298*AO192+AP298*AP192+AQ298*AQ192+AR298*AR192+AS298*AS192+AT298*AT192+AU298*AU192+AV298*AV192+AW298*AW192+AX298*AX192+AY298*AY192+AZ298*AZ192+BA298*BA192+BB298*BB192+BC298*BC192+BD298*BD192+BE298*BE192+BF298*BF192+BG298*BG192+BH298*BH192+BI298*BI192+BJ298*BJ192+BK298*BK192+BL298*BL192+BM298*BM192+BN298*BN192+BO298*BO192+BP298*BP192+BQ298*BQ192+BR298*BR192+BS298*BS192+BT298*BT192+BU298*BU192+BV298*BV192+BW298*BW192+BX298*BX192+BY298*BY192+BZ298*BZ192+CA298*CA192+CB298*CB192+CC298*CC192+CD298*CD192+CE298*CE192+CF298*CF192+CG298*CG192+CH298*CH192+CI298*CI192+CJ298*CJ192+CK298*CK192+CL298*CL192+CM298*CM192+CN298*CN192+CO298*CO192+CP298*CP192+CQ298*CQ192+CR298*CR192+CS298*CS192+CT298*CT192+CU298*CU192</f>
        <v>0</v>
      </c>
    </row>
    <row r="193" spans="2:113" ht="18" x14ac:dyDescent="0.25">
      <c r="B193" s="2496">
        <v>40</v>
      </c>
      <c r="C193" s="2418" t="s">
        <v>4902</v>
      </c>
      <c r="D193" s="2419" t="s">
        <v>2217</v>
      </c>
      <c r="E193" s="3114">
        <f>0</f>
        <v>0</v>
      </c>
      <c r="F193" s="3114">
        <f>0</f>
        <v>0</v>
      </c>
      <c r="G193" s="3114">
        <f>0</f>
        <v>0</v>
      </c>
      <c r="H193" s="3114">
        <f>0</f>
        <v>0</v>
      </c>
      <c r="I193" s="3114">
        <f>0</f>
        <v>0</v>
      </c>
      <c r="J193" s="3114">
        <f>0</f>
        <v>0</v>
      </c>
      <c r="K193" s="3114">
        <f>0</f>
        <v>0</v>
      </c>
      <c r="L193" s="3114">
        <f>0</f>
        <v>0</v>
      </c>
      <c r="M193" s="3114">
        <f>0</f>
        <v>0</v>
      </c>
      <c r="N193" s="3114">
        <f>0</f>
        <v>0</v>
      </c>
      <c r="O193" s="3114">
        <f>0</f>
        <v>0</v>
      </c>
      <c r="P193" s="3114">
        <f>0</f>
        <v>0</v>
      </c>
      <c r="Q193" s="3114">
        <f>0</f>
        <v>0</v>
      </c>
      <c r="R193" s="3114">
        <f>0</f>
        <v>0</v>
      </c>
      <c r="S193" s="3114">
        <f>0</f>
        <v>0</v>
      </c>
      <c r="T193" s="3114">
        <f>0</f>
        <v>0</v>
      </c>
      <c r="U193" s="3114">
        <f>0</f>
        <v>0</v>
      </c>
      <c r="V193" s="3114">
        <f>1</f>
        <v>1</v>
      </c>
      <c r="W193" s="3114">
        <f>0</f>
        <v>0</v>
      </c>
      <c r="X193" s="3114">
        <f>0</f>
        <v>0</v>
      </c>
      <c r="Y193" s="3114">
        <f>0</f>
        <v>0</v>
      </c>
      <c r="Z193" s="3114">
        <f>0</f>
        <v>0</v>
      </c>
      <c r="AA193" s="3114">
        <f>0</f>
        <v>0</v>
      </c>
      <c r="AB193" s="3114">
        <f>0</f>
        <v>0</v>
      </c>
      <c r="AC193" s="3114">
        <f>0</f>
        <v>0</v>
      </c>
      <c r="AD193" s="3114">
        <f>-i_N_BIO</f>
        <v>-7.0000000000000007E-2</v>
      </c>
      <c r="AE193" s="3114">
        <f>-1/Y_NOB</f>
        <v>-11.111111111111111</v>
      </c>
      <c r="AF193" s="3114">
        <f>1/Y_NOB</f>
        <v>11.111111111111111</v>
      </c>
      <c r="AG193" s="3114">
        <f>0</f>
        <v>0</v>
      </c>
      <c r="AH193" s="3114">
        <f>0</f>
        <v>0</v>
      </c>
      <c r="AI193" s="3114">
        <f>0</f>
        <v>0</v>
      </c>
      <c r="AJ193" s="3114">
        <f>0</f>
        <v>0</v>
      </c>
      <c r="AK193" s="3114">
        <f>0</f>
        <v>0</v>
      </c>
      <c r="AL193" s="3114">
        <f>-i_P_BIO</f>
        <v>-0.02</v>
      </c>
      <c r="AM193" s="3114">
        <f>0</f>
        <v>0</v>
      </c>
      <c r="AN193" s="3114">
        <f>0</f>
        <v>0</v>
      </c>
      <c r="AO193" s="3114">
        <f>0</f>
        <v>0</v>
      </c>
      <c r="AP193" s="3114">
        <f>0</f>
        <v>0</v>
      </c>
      <c r="AQ193" s="3114">
        <f>0</f>
        <v>0</v>
      </c>
      <c r="AR193" s="3114">
        <f>-(E_EQNO2_NO3-Y_NOB)/Y_NOB</f>
        <v>-11.691862545147043</v>
      </c>
      <c r="AS193" s="3114">
        <f>0</f>
        <v>0</v>
      </c>
      <c r="AT193" s="3114">
        <f>0</f>
        <v>0</v>
      </c>
      <c r="AU193" s="3114">
        <f>-i_CIT_BIO</f>
        <v>-0.35199999999999998</v>
      </c>
      <c r="AV193" s="3114">
        <f>i_INORG</f>
        <v>0.11</v>
      </c>
      <c r="AW193" s="3114">
        <f>-i_INORG*(1-i_Ca_INORG*(A_MCa+2*A_MCl)/A_MCa-i_Mg_INORG*(A_MMg+2*A_MCl)/A_MMg)*f_Na</f>
        <v>-2.8804303582798466E-2</v>
      </c>
      <c r="AX193" s="3114">
        <f>-i_INORG*(i_Ca_INORG*(2*A_MCl)/A_MCa+i_Mg_INORG*(2*A_MCl)/A_MMg)-i_INORG*(1-i_Ca_INORG*(A_MCa+2*A_MCl)/A_MCa-i_Mg_INORG*(A_MMg+2*A_MCl)/A_MMg)*(1-f_Na)</f>
        <v>-7.0195696417201539E-2</v>
      </c>
      <c r="AY193" s="3114">
        <f>-i_INORG*i_Ca_INORG</f>
        <v>-5.5000000000000005E-3</v>
      </c>
      <c r="AZ193" s="3114">
        <f>-i_INORG*i_Mg_INORG</f>
        <v>-5.5000000000000005E-3</v>
      </c>
      <c r="BA193" s="3114">
        <f>0</f>
        <v>0</v>
      </c>
      <c r="BB193" s="3114">
        <f>0</f>
        <v>0</v>
      </c>
      <c r="BC193" s="3114">
        <f>-i_S_BIO</f>
        <v>-0.01</v>
      </c>
      <c r="BD193" s="3114">
        <f>0</f>
        <v>0</v>
      </c>
      <c r="BE193" s="3114">
        <f>0</f>
        <v>0</v>
      </c>
      <c r="BF193" s="3114">
        <f>0</f>
        <v>0</v>
      </c>
      <c r="BG193" s="3114">
        <f>0</f>
        <v>0</v>
      </c>
      <c r="BH193" s="3114">
        <f>0</f>
        <v>0</v>
      </c>
      <c r="BI193" s="3114">
        <f>0</f>
        <v>0</v>
      </c>
      <c r="BJ193" s="3114">
        <f>0</f>
        <v>0</v>
      </c>
      <c r="BK193" s="3114">
        <f>0</f>
        <v>0</v>
      </c>
      <c r="BL193" s="3114">
        <f>0</f>
        <v>0</v>
      </c>
      <c r="BM193" s="3114">
        <f>0</f>
        <v>0</v>
      </c>
      <c r="BN193" s="3114">
        <f>0</f>
        <v>0</v>
      </c>
      <c r="BO193" s="3114">
        <f>0</f>
        <v>0</v>
      </c>
      <c r="BP193" s="3114">
        <f>0</f>
        <v>0</v>
      </c>
      <c r="BQ193" s="3114">
        <f>0</f>
        <v>0</v>
      </c>
      <c r="BR193" s="3114">
        <f>0</f>
        <v>0</v>
      </c>
      <c r="BS193" s="3114">
        <f>0</f>
        <v>0</v>
      </c>
      <c r="BT193" s="3114">
        <f>0</f>
        <v>0</v>
      </c>
      <c r="BU193" s="3114">
        <f>0</f>
        <v>0</v>
      </c>
      <c r="BV193" s="3114">
        <f>0</f>
        <v>0</v>
      </c>
      <c r="BW193" s="3114">
        <f>0</f>
        <v>0</v>
      </c>
      <c r="BX193" s="3114">
        <f>0</f>
        <v>0</v>
      </c>
      <c r="BY193" s="3114">
        <f>0</f>
        <v>0</v>
      </c>
      <c r="BZ193" s="3178">
        <f>0</f>
        <v>0</v>
      </c>
      <c r="CA193" s="3178">
        <f>0</f>
        <v>0</v>
      </c>
      <c r="CB193" s="3178">
        <f>0</f>
        <v>0</v>
      </c>
      <c r="CC193" s="3178">
        <f>0</f>
        <v>0</v>
      </c>
      <c r="CD193" s="3114">
        <f>0</f>
        <v>0</v>
      </c>
      <c r="CE193" s="3114">
        <f>0</f>
        <v>0</v>
      </c>
      <c r="CF193" s="3114">
        <f>0</f>
        <v>0</v>
      </c>
      <c r="CG193" s="3114">
        <f>0</f>
        <v>0</v>
      </c>
      <c r="CH193" s="3114">
        <f>0</f>
        <v>0</v>
      </c>
      <c r="CI193" s="3114">
        <f>0</f>
        <v>0</v>
      </c>
      <c r="CJ193" s="3114">
        <f>0</f>
        <v>0</v>
      </c>
      <c r="CK193" s="3114">
        <f>0</f>
        <v>0</v>
      </c>
      <c r="CL193" s="3114">
        <f>0</f>
        <v>0</v>
      </c>
      <c r="CM193" s="3114">
        <f>0</f>
        <v>0</v>
      </c>
      <c r="CN193" s="3114">
        <f>0</f>
        <v>0</v>
      </c>
      <c r="CO193" s="3114">
        <f>0</f>
        <v>0</v>
      </c>
      <c r="CP193" s="3114">
        <f>0</f>
        <v>0</v>
      </c>
      <c r="CQ193" s="3114">
        <f>0</f>
        <v>0</v>
      </c>
      <c r="CR193" s="3114">
        <f>0</f>
        <v>0</v>
      </c>
      <c r="CS193" s="3114">
        <f>0</f>
        <v>0</v>
      </c>
      <c r="CT193" s="3114">
        <f>0</f>
        <v>0</v>
      </c>
      <c r="CU193" s="3114">
        <f>0</f>
        <v>0</v>
      </c>
      <c r="CV193" s="3217">
        <f>µ_NOB_T*X_NOB*M_satSNO2_KNO2_NOB*L_ogsatpHCO2_NOB*M_satSO2_KO2_NOB*M_satSNHx_KNHx_BIO*M_satSPO4_KPO4_BIO*M_satSCAT_KCAT*M_satSAN_KAN*M_satSCa_KCa*M_satSMg_KMg*M_satSSO4_KSO4_BIO*M_inhpHNH3_NOB*B_ellinhpH_NOB</f>
        <v>5.0440377023013365</v>
      </c>
      <c r="CX193" s="2838">
        <f>E287*E193+F287*F193+G287*G193+H287*H193+I287*I193+J287*J193+K287*K193+L287*L193+M287*M193+N287*N193+O287*O193+P287*P193+Q287*Q193+R287*R193+S287*S193+T287*T193+U287*U193+V287*V193+W287*W193+X287*X193+Y287*Y193+Z287*Z193+AA287*AA193+AB287*AB193+AC287*AC193+AD287*AD193+AE287*AE193+AF287*AF193+AG287*AG193+AH287*AH193+AI287*AI193+AJ287*AJ193+AK287*AK193+AL287*AL193+AM287*AM193+AN287*AN193+AO287*AO193+AP287*AP193+AQ287*AQ193+AR287*AR193+AS287*AS193+AT287*AT193+AU287*AU193+AV287*AV193+AW287*AW193+AX287*AX193+AY287*AY193+AZ287*AZ193+BA287*BA193+BB287*BB193+BC287*BC193+BD287*BD193+BE287*BE193+BF287*BF193+BG287*BG193+BH287*BH193+BI287*BI193+BJ287*BJ193+BK287*BK193+BL287*BL193+BM287*BM193+BN287*BN193+BO287*BO193+BP287*BP193+BQ287*BQ193+BR287*BR193+BS287*BS193+BT287*BT193+BU287*BU193+BV287*BV193+BW287*BW193+BX287*BX193+BY287*BY193+BZ287*BZ193+CA287*CA193+CB287*CB193+CC287*CC193+CD287*CD193+CE287*CE193+CF287*CF193+CG287*CG193+CH287*CH193+CI287*CI193+CJ287*CJ193+CK287*CK193+CL287*CL193+CM287*CM193+CN287*CN193+CO287*CO193+CP287*CP193+CQ287*CQ193+CR287*CR193+CS287*CS193+CT287*CT193+CU287*CU193</f>
        <v>-3.5527136788005009E-15</v>
      </c>
      <c r="CY193" s="2838">
        <f>E288*E193+F288*F193+G288*G193+H288*H193+I288*I193+J288*J193+K288*K193+L288*L193+M288*M193+N288*N193+O288*O193+P288*P193+Q288*Q193+R288*R193+S288*S193+T288*T193+U288*U193+V288*V193+W288*W193+X288*X193+Y288*Y193+Z288*Z193+AA288*AA193+AB288*AB193+AC288*AC193+AD288*AD193+AE288*AE193+AF288*AF193+AG288*AG193+AH288*AH193+AI288*AI193+AJ288*AJ193+AK288*AK193+AL288*AL193+AM288*AM193+AN288*AN193+AO288*AO193+AP288*AP193+AQ288*AQ193+AR288*AR193+AS288*AS193+AT288*AT193+AU288*AU193+AV288*AV193+AW288*AW193+AX288*AX193+AY288*AY193+AZ288*AZ193+BA288*BA193+BB288*BB193+BC288*BC193+BD288*BD193+BE288*BE193+BF288*BF193+BG288*BG193+BH288*BH193+BI288*BI193+BJ288*BJ193+BK288*BK193+BL288*BL193+BM288*BM193+BN288*BN193+BO288*BO193+BP288*BP193+BQ288*BQ193+BR288*BR193+BS288*BS193+BT288*BT193+BU288*BU193+BV288*BV193+BW288*BW193+BX288*BX193+BY288*BY193+BZ288*BZ193+CA288*CA193+CB288*CB193+CC288*CC193+CD288*CD193+CE288*CE193+CF288*CF193+CG288*CG193+CH288*CH193+CI288*CI193+CJ288*CJ193+CK288*CK193+CL288*CL193+CM288*CM193+CN288*CN193+CO288*CO193+CP288*CP193+CQ288*CQ193+CR288*CR193+CS288*CS193+CT288*CT193+CU288*CU193</f>
        <v>0</v>
      </c>
      <c r="CZ193" s="2839">
        <f>E289*E193+F289*F193+G289*G193+H289*H193+I289*I193+J289*J193+K289*K193+L289*L193+M289*M193+N289*N193+O289*O193+P289*P193+Q289*Q193+R289*R193+S289*S193+T289*T193+U289*U193+V289*V193+W289*W193+X289*X193+Y289*Y193+Z289*Z193+AA289*AA193+AB289*AB193+AC289*AC193+AD289*AD193+AE289*AE193+AF289*AF193+AG289*AG193+AH289*AH193+AI289*AI193+AJ289*AJ193+AK289*AK193+AL289*AL193+AM289*AM193+AN289*AN193+AO289*AO193+AP289*AP193+AQ289*AQ193+AR289*AR193+AS289*AS193+AT289*AT193+AU289*AU193+AV289*AV193+AW289*AW193+AX289*AX193+AY289*AY193+AZ289*AZ193+BA289*BA193+BB289*BB193+BC289*BC193+BD289*BD193+BE289*BE193+BF289*BF193+BG289*BG193+BH289*BH193+BI289*BI193+BJ289*BJ193+BK289*BK193+BL289*BL193+BM289*BM193+BN289*BN193+BO289*BO193+BP289*BP193+BQ289*BQ193+BR289*BR193+BS289*BS193+BT289*BT193+BU289*BU193+BV289*BV193+BW289*BW193+BX289*BX193+BY289*BY193+BZ289*BZ193+CA289*CA193+CB289*CB193+CC289*CC193+CD289*CD193+CE289*CE193+CF289*CF193+CG289*CG193+CH289*CH193+CI289*CI193+CJ289*CJ193+CK289*CK193+CL289*CL193+CM289*CM193+CN289*CN193+CO289*CO193+CP289*CP193+CQ289*CQ193+CR289*CR193+CS289*CS193+CT289*CT193+CU289*CU193</f>
        <v>0</v>
      </c>
      <c r="DA193" s="2840">
        <f>E290*E193+F290*F193+G290*G193+H290*H193+I290*I193+J290*J193+K290*K193+L290*L193+M290*M193+N290*N193+O290*O193+P290*P193+Q290*Q193+R290*R193+S290*S193+T290*T193+U290*U193+V290*V193+W290*W193+X290*X193+Y290*Y193+Z290*Z193+AA290*AA193+AB290*AB193+AC290*AC193+AD290*AD193+AE290*AE193+AF290*AF193+AG290*AG193+AH290*AH193+AI290*AI193+AJ290*AJ193+AK290*AK193+AL290*AL193+AM290*AM193+AN290*AN193+AO290*AO193+AP290*AP193+AQ290*AQ193+AR290*AR193+AS290*AS193+AT290*AT193+AU290*AU193+AV290*AV193+AW290*AW193+AX290*AX193+AY290*AY193+AZ290*AZ193+BA290*BA193+BB290*BB193+BC290*BC193+BD290*BD193+BE290*BE193+BF290*BF193+BG290*BG193+BH290*BH193+BI290*BI193+BJ290*BJ193+BK290*BK193+BL290*BL193+BM290*BM193+BN290*BN193+BO290*BO193+BP290*BP193+BQ290*BQ193+BR290*BR193+BS290*BS193+BT290*BT193+BU290*BU193+BV290*BV193+BW290*BW193+BX290*BX193+BY290*BY193+BZ290*BZ193+CA290*CA193+CB290*CB193+CC290*CC193+CD290*CD193+CE290*CE193+CF290*CF193+CG290*CG193+CH290*CH193+CI290*CI193+CJ290*CJ193+CK290*CK193+CL290*CL193+CM290*CM193+CN290*CN193+CO290*CO193+CP290*CP193+CQ290*CQ193+CR290*CR193+CS290*CS193+CT290*CT193+CU290*CU193</f>
        <v>0</v>
      </c>
      <c r="DB193" s="2840">
        <f>E291*E193+F291*F193+G291*G193+H291*H193+I291*I193+J291*J193+K291*K193+L291*L193+M291*M193+N291*N193+O291*O193+P291*P193+Q291*Q193+R291*R193+S291*S193+T291*T193+U291*U193+V291*V193+W291*W193+X291*X193+Y291*Y193+Z291*Z193+AA291*AA193+AB291*AB193+AC291*AC193+AD291*AD193+AE291*AE193+AF291*AF193+AG291*AG193+AH291*AH193+AI291*AI193+AJ291*AJ193+AK291*AK193+AL291*AL193+AM291*AM193+AN291*AN193+AO291*AO193+AP291*AP193+AQ291*AQ193+AR291*AR193+AS291*AS193+AT291*AT193+AU291*AU193+AV291*AV193+AW291*AW193+AX291*AX193+AY291*AY193+AZ291*AZ193+BA291*BA193+BB291*BB193+BC291*BC193+BD291*BD193+BE291*BE193+BF291*BF193+BG291*BG193+BH291*BH193+BI291*BI193+BJ291*BJ193+BK291*BK193+BL291*BL193+BM291*BM193+BN291*BN193+BO291*BO193+BP291*BP193+BQ291*BQ193+BR291*BR193+BS291*BS193+BT291*BT193+BU291*BU193+BV291*BV193+BW291*BW193+BX291*BX193+BY291*BY193+BZ291*BZ193+CA291*CA193+CB291*CB193+CC291*CC193+CD291*CD193+CE291*CE193+CF291*CF193+CG291*CG193+CH291*CH193+CI291*CI193+CJ291*CJ193+CK291*CK193+CL291*CL193+CM291*CM193+CN291*CN193+CO291*CO193+CP291*CP193+CQ291*CQ193+CR291*CR193+CS291*CS193+CT291*CT193+CU291*CU193</f>
        <v>0</v>
      </c>
      <c r="DC193" s="2840">
        <f>E292*E193+F292*F193+G292*G193+H292*H193+I292*I193+J292*J193+K292*K193+L292*L193+M292*M193+N292*N193+O292*O193+P292*P193+Q292*Q193+R292*R193+S292*S193+T292*T193+U292*U193+V292*V193+W292*W193+X292*X193+Y292*Y193+Z292*Z193+AA292*AA193+AB292*AB193+AC292*AC193+AD292*AD193+AE292*AE193+AF292*AF193+AG292*AG193+AH292*AH193+AI292*AI193+AJ292*AJ193+AK292*AK193+AL292*AL193+AM292*AM193+AN292*AN193+AO292*AO193+AP292*AP193+AQ292*AQ193+AR292*AR193+AS292*AS193+AT292*AT193+AU292*AU193+AV292*AV193+AW292*AW193+AX292*AX193+AY292*AY193+AZ292*AZ193+BA292*BA193+BB292*BB193+BC292*BC193+BD292*BD193+BE292*BE193+BF292*BF193+BG292*BG193+BH292*BH193+BI292*BI193+BJ292*BJ193+BK292*BK193+BL292*BL193+BM292*BM193+BN292*BN193+BO292*BO193+BP292*BP193+BQ292*BQ193+BR292*BR193+BS292*BS193+BT292*BT193+BU292*BU193+BV292*BV193+BW292*BW193+BX292*BX193+BY292*BY193+BZ292*BZ193+CA292*CA193+CB292*CB193+CC292*CC193+CD292*CD193+CE292*CE193+CF292*CF193+CG292*CG193+CH292*CH193+CI292*CI193+CJ292*CJ193+CK292*CK193+CL292*CL193+CM292*CM193+CN292*CN193+CO292*CO193+CP292*CP193+CQ292*CQ193+CR292*CR193+CS292*CS193+CT292*CT193+CU292*CU193</f>
        <v>0</v>
      </c>
      <c r="DD193" s="2840">
        <f>E293*E193+F293*F193+G293*G193+H293*H193+I293*I193+J293*J193+K293*K193+L293*L193+M293*M193+N293*N193+O293*O193+P293*P193+Q293*Q193+R293*R193+S293*S193+T293*T193+U293*U193+V293*V193+W293*W193+X293*X193+Y293*Y193+Z293*Z193+AA293*AA193+AB293*AB193+AC293*AC193+AD293*AD193+AE293*AE193+AF293*AF193+AG293*AG193+AH293*AH193+AI293*AI193+AJ293*AJ193+AK293*AK193+AL293*AL193+AM293*AM193+AN293*AN193+AO293*AO193+AP293*AP193+AQ293*AQ193+AR293*AR193+AS293*AS193+AT293*AT193+AU293*AU193+AV293*AV193+AW293*AW193+AX293*AX193+AY293*AY193+AZ293*AZ193+BA293*BA193+BB293*BB193+BC293*BC193+BD293*BD193+BE293*BE193+BF293*BF193+BG293*BG193+BH293*BH193+BI293*BI193+BJ293*BJ193+BK293*BK193+BL293*BL193+BM293*BM193+BN293*BN193+BO293*BO193+BP293*BP193+BQ293*BQ193+BR293*BR193+BS293*BS193+BT293*BT193+BU293*BU193+BV293*BV193+BW293*BW193+BX293*BX193+BY293*BY193+BZ293*BZ193+CA293*CA193+CB293*CB193+CC293*CC193+CD293*CD193+CE293*CE193+CF293*CF193+CG293*CG193+CH293*CH193+CI293*CI193+CJ293*CJ193+CK293*CK193+CL293*CL193+CM293*CM193+CN293*CN193+CO293*CO193+CP293*CP193+CQ293*CQ193+CR293*CR193+CS293*CS193+CT293*CT193+CU293*CU193</f>
        <v>0</v>
      </c>
      <c r="DE193" s="2840">
        <f>E294*E193+F294*F193+G294*G193+H294*H193+I294*I193+J294*J193+K294*K193+L294*L193+M294*M193+N294*N193+O294*O193+P294*P193+Q294*Q193+R294*R193+S294*S193+T294*T193+U294*U193+V294*V193+W294*W193+X294*X193+Y294*Y193+Z294*Z193+AA294*AA193+AB294*AB193+AC294*AC193+AD294*AD193+AE294*AE193+AF294*AF193+AG294*AG193+AH294*AH193+AI294*AI193+AJ294*AJ193+AK294*AK193+AL294*AL193+AM294*AM193+AN294*AN193+AO294*AO193+AP294*AP193+AQ294*AQ193+AR294*AR193+AS294*AS193+AT294*AT193+AU294*AU193+AV294*AV193+AW294*AW193+AX294*AX193+AY294*AY193+AZ294*AZ193+BA294*BA193+BB294*BB193+BC294*BC193+BD294*BD193+BE294*BE193+BF294*BF193+BG294*BG193+BH294*BH193+BI294*BI193+BJ294*BJ193+BK294*BK193+BL294*BL193+BM294*BM193+BN294*BN193+BO294*BO193+BP294*BP193+BQ294*BQ193+BR294*BR193+BS294*BS193+BT294*BT193+BU294*BU193+BV294*BV193+BW294*BW193+BX294*BX193+BY294*BY193+BZ294*BZ193+CA294*CA193+CB294*CB193+CC294*CC193+CD294*CD193+CE294*CE193+CF294*CF193+CG294*CG193+CH294*CH193+CI294*CI193+CJ294*CJ193+CK294*CK193+CL294*CL193+CM294*CM193+CN294*CN193+CO294*CO193+CP294*CP193+CQ294*CQ193+CR294*CR193+CS294*CS193+CT294*CT193+CU294*CU193</f>
        <v>0</v>
      </c>
      <c r="DF193" s="2840">
        <f>E295*E193+F295*F193+G295*G193+H295*H193+I295*I193+J295*J193+K295*K193+L295*L193+M295*M193+N295*N193+O295*O193+P295*P193+Q295*Q193+R295*R193+S295*S193+T295*T193+U295*U193+V295*V193+W295*W193+X295*X193+Y295*Y193+Z295*Z193+AA295*AA193+AB295*AB193+AC295*AC193+AD295*AD193+AE295*AE193+AF295*AF193+AG295*AG193+AH295*AH193+AI295*AI193+AJ295*AJ193+AK295*AK193+AL295*AL193+AM295*AM193+AN295*AN193+AO295*AO193+AP295*AP193+AQ295*AQ193+AR295*AR193+AS295*AS193+AT295*AT193+AU295*AU193+AV295*AV193+AW295*AW193+AX295*AX193+AY295*AY193+AZ295*AZ193+BA295*BA193+BB295*BB193+BC295*BC193+BD295*BD193+BE295*BE193+BF295*BF193+BG295*BG193+BH295*BH193+BI295*BI193+BJ295*BJ193+BK295*BK193+BL295*BL193+BM295*BM193+BN295*BN193+BO295*BO193+BP295*BP193+BQ295*BQ193+BR295*BR193+BS295*BS193+BT295*BT193+BU295*BU193+BV295*BV193+BW295*BW193+BX295*BX193+BY295*BY193+BZ295*BZ193+CA295*CA193+CB295*CB193+CC295*CC193+CD295*CD193+CE295*CE193+CF295*CF193+CG295*CG193+CH295*CH193+CI295*CI193+CJ295*CJ193+CK295*CK193+CL295*CL193+CM295*CM193+CN295*CN193+CO295*CO193+CP295*CP193+CQ295*CQ193+CR295*CR193+CS295*CS193+CT295*CT193+CU295*CU193</f>
        <v>0</v>
      </c>
      <c r="DG193" s="2840">
        <f>E296*E193+F296*F193+G296*G193+H296*H193+I296*I193+J296*J193+K296*K193+L296*L193+M296*M193+N296*N193+O296*O193+P296*P193+Q296*Q193+R296*R193+S296*S193+T296*T193+U296*U193+V296*V193+W296*W193+X296*X193+Y296*Y193+Z296*Z193+AA296*AA193+AB296*AB193+AC296*AC193+AD296*AD193+AE296*AE193+AF296*AF193+AG296*AG193+AH296*AH193+AI296*AI193+AJ296*AJ193+AK296*AK193+AL296*AL193+AM296*AM193+AN296*AN193+AO296*AO193+AP296*AP193+AQ296*AQ193+AR296*AR193+AS296*AS193+AT296*AT193+AU296*AU193+AV296*AV193+AW296*AW193+AX296*AX193+AY296*AY193+AZ296*AZ193+BA296*BA193+BB296*BB193+BC296*BC193+BD296*BD193+BE296*BE193+BF296*BF193+BG296*BG193+BH296*BH193+BI296*BI193+BJ296*BJ193+BK296*BK193+BL296*BL193+BM296*BM193+BN296*BN193+BO296*BO193+BP296*BP193+BQ296*BQ193+BR296*BR193+BS296*BS193+BT296*BT193+BU296*BU193+BV296*BV193+BW296*BW193+BX296*BX193+BY296*BY193+BZ296*BZ193+CA296*CA193+CB296*CB193+CC296*CC193+CD296*CD193+CE296*CE193+CF296*CF193+CG296*CG193+CH296*CH193+CI296*CI193+CJ296*CJ193+CK296*CK193+CL296*CL193+CM296*CM193+CN296*CN193+CO296*CO193+CP296*CP193+CQ296*CQ193+CR296*CR193+CS296*CS193+CT296*CT193+CU296*CU193</f>
        <v>0</v>
      </c>
      <c r="DH193" s="2840">
        <f>E297*E193+F297*F193+G297*G193+H297*H193+I297*I193+J297*J193+K297*K193+L297*L193+M297*M193+N297*N193+O297*O193+P297*P193+Q297*Q193+R297*R193+S297*S193+T297*T193+U297*U193+V297*V193+W297*W193+X297*X193+Y297*Y193+Z297*Z193+AA297*AA193+AB297*AB193+AC297*AC193+AD297*AD193+AE297*AE193+AF297*AF193+AG297*AG193+AH297*AH193+AI297*AI193+AJ297*AJ193+AK297*AK193+AL297*AL193+AM297*AM193+AN297*AN193+AO297*AO193+AP297*AP193+AQ297*AQ193+AR297*AR193+AS297*AS193+AT297*AT193+AU297*AU193+AV297*AV193+AW297*AW193+AX297*AX193+AY297*AY193+AZ297*AZ193+BA297*BA193+BB297*BB193+BC297*BC193+BD297*BD193+BE297*BE193+BF297*BF193+BG297*BG193+BH297*BH193+BI297*BI193+BJ297*BJ193+BK297*BK193+BL297*BL193+BM297*BM193+BN297*BN193+BO297*BO193+BP297*BP193+BQ297*BQ193+BR297*BR193+BS297*BS193+BT297*BT193+BU297*BU193+BV297*BV193+BW297*BW193+BX297*BX193+BY297*BY193+BZ297*BZ193+CA297*CA193+CB297*CB193+CC297*CC193+CD297*CD193+CE297*CE193+CF297*CF193+CG297*CG193+CH297*CH193+CI297*CI193+CJ297*CJ193+CK297*CK193+CL297*CL193+CM297*CM193+CN297*CN193+CO297*CO193+CP297*CP193+CQ297*CQ193+CR297*CR193+CS297*CS193+CT297*CT193+CU297*CU193</f>
        <v>0</v>
      </c>
      <c r="DI193" s="2840">
        <f>E298*E193+F298*F193+G298*G193+H298*H193+I298*I193+J298*J193+K298*K193+L298*L193+M298*M193+N298*N193+O298*O193+P298*P193+Q298*Q193+R298*R193+S298*S193+T298*T193+U298*U193+V298*V193+W298*W193+X298*X193+Y298*Y193+Z298*Z193+AA298*AA193+AB298*AB193+AC298*AC193+AD298*AD193+AE298*AE193+AF298*AF193+AG298*AG193+AH298*AH193+AI298*AI193+AJ298*AJ193+AK298*AK193+AL298*AL193+AM298*AM193+AN298*AN193+AO298*AO193+AP298*AP193+AQ298*AQ193+AR298*AR193+AS298*AS193+AT298*AT193+AU298*AU193+AV298*AV193+AW298*AW193+AX298*AX193+AY298*AY193+AZ298*AZ193+BA298*BA193+BB298*BB193+BC298*BC193+BD298*BD193+BE298*BE193+BF298*BF193+BG298*BG193+BH298*BH193+BI298*BI193+BJ298*BJ193+BK298*BK193+BL298*BL193+BM298*BM193+BN298*BN193+BO298*BO193+BP298*BP193+BQ298*BQ193+BR298*BR193+BS298*BS193+BT298*BT193+BU298*BU193+BV298*BV193+BW298*BW193+BX298*BX193+BY298*BY193+BZ298*BZ193+CA298*CA193+CB298*CB193+CC298*CC193+CD298*CD193+CE298*CE193+CF298*CF193+CG298*CG193+CH298*CH193+CI298*CI193+CJ298*CJ193+CK298*CK193+CL298*CL193+CM298*CM193+CN298*CN193+CO298*CO193+CP298*CP193+CQ298*CQ193+CR298*CR193+CS298*CS193+CT298*CT193+CU298*CU193</f>
        <v>0</v>
      </c>
    </row>
    <row r="194" spans="2:113" ht="18" x14ac:dyDescent="0.25">
      <c r="B194" s="2496">
        <v>41</v>
      </c>
      <c r="C194" s="2418" t="s">
        <v>352</v>
      </c>
      <c r="D194" s="2419" t="s">
        <v>2218</v>
      </c>
      <c r="E194" s="3114">
        <f>0</f>
        <v>0</v>
      </c>
      <c r="F194" s="3114">
        <f>0</f>
        <v>0</v>
      </c>
      <c r="G194" s="3114">
        <f>0</f>
        <v>0</v>
      </c>
      <c r="H194" s="3114">
        <f>0</f>
        <v>0</v>
      </c>
      <c r="I194" s="3114">
        <f>0</f>
        <v>0</v>
      </c>
      <c r="J194" s="3114">
        <f>1-f_E</f>
        <v>0.92</v>
      </c>
      <c r="K194" s="3114">
        <f>0</f>
        <v>0</v>
      </c>
      <c r="L194" s="3114">
        <f>0</f>
        <v>0</v>
      </c>
      <c r="M194" s="3114">
        <f>0</f>
        <v>0</v>
      </c>
      <c r="N194" s="3114">
        <f>0</f>
        <v>0</v>
      </c>
      <c r="O194" s="3114">
        <f>0</f>
        <v>0</v>
      </c>
      <c r="P194" s="3114">
        <f>f_E</f>
        <v>0.08</v>
      </c>
      <c r="Q194" s="3114">
        <f>0</f>
        <v>0</v>
      </c>
      <c r="R194" s="3114">
        <f>0</f>
        <v>0</v>
      </c>
      <c r="S194" s="3114">
        <f>0</f>
        <v>0</v>
      </c>
      <c r="T194" s="3114">
        <f>0</f>
        <v>0</v>
      </c>
      <c r="U194" s="3114">
        <f>0</f>
        <v>0</v>
      </c>
      <c r="V194" s="3114">
        <f>-1</f>
        <v>-1</v>
      </c>
      <c r="W194" s="3114">
        <f>0</f>
        <v>0</v>
      </c>
      <c r="X194" s="3114">
        <f>0</f>
        <v>0</v>
      </c>
      <c r="Y194" s="3114">
        <f>0</f>
        <v>0</v>
      </c>
      <c r="Z194" s="3114">
        <f>0</f>
        <v>0</v>
      </c>
      <c r="AA194" s="3114">
        <f>0</f>
        <v>0</v>
      </c>
      <c r="AB194" s="3114">
        <f>0</f>
        <v>0</v>
      </c>
      <c r="AC194" s="3114">
        <f>0</f>
        <v>0</v>
      </c>
      <c r="AD194" s="3114">
        <f>-f_E*(i_N_XE-i_N_BIO)</f>
        <v>8.0000000000000069E-4</v>
      </c>
      <c r="AE194" s="3114">
        <f>0</f>
        <v>0</v>
      </c>
      <c r="AF194" s="3114">
        <f>0</f>
        <v>0</v>
      </c>
      <c r="AG194" s="3114">
        <f>0</f>
        <v>0</v>
      </c>
      <c r="AH194" s="3114">
        <f>0</f>
        <v>0</v>
      </c>
      <c r="AI194" s="3114">
        <f>0</f>
        <v>0</v>
      </c>
      <c r="AJ194" s="3114">
        <f>(1-f_E)*i_N_BIO</f>
        <v>6.4400000000000013E-2</v>
      </c>
      <c r="AK194" s="3114">
        <f>0</f>
        <v>0</v>
      </c>
      <c r="AL194" s="3114">
        <f>0</f>
        <v>0</v>
      </c>
      <c r="AM194" s="3114">
        <f>0</f>
        <v>0</v>
      </c>
      <c r="AN194" s="3114">
        <f>0</f>
        <v>0</v>
      </c>
      <c r="AO194" s="3114">
        <f>0</f>
        <v>0</v>
      </c>
      <c r="AP194" s="3114">
        <f>(1-f_E)*i_P_BIO</f>
        <v>1.84E-2</v>
      </c>
      <c r="AQ194" s="3114">
        <f>0</f>
        <v>0</v>
      </c>
      <c r="AR194" s="3114">
        <f>0</f>
        <v>0</v>
      </c>
      <c r="AS194" s="3114">
        <f>0</f>
        <v>0</v>
      </c>
      <c r="AT194" s="3114">
        <f>0</f>
        <v>0</v>
      </c>
      <c r="AU194" s="3178">
        <f>(1-f_E)*(i_CIT_BIO-i_CIT_XBe)</f>
        <v>6.0720000000000003E-2</v>
      </c>
      <c r="AV194" s="3178">
        <f>0</f>
        <v>0</v>
      </c>
      <c r="AW194" s="3178">
        <f>0</f>
        <v>0</v>
      </c>
      <c r="AX194" s="3178">
        <f>0</f>
        <v>0</v>
      </c>
      <c r="AY194" s="3178">
        <f>0</f>
        <v>0</v>
      </c>
      <c r="AZ194" s="3178">
        <f>0</f>
        <v>0</v>
      </c>
      <c r="BA194" s="3178">
        <f>0</f>
        <v>0</v>
      </c>
      <c r="BB194" s="3114">
        <f>0</f>
        <v>0</v>
      </c>
      <c r="BC194" s="3114">
        <f>(1-f_E)*i_S_BIO-(1-f_E)*i_S_XB</f>
        <v>7.8200000000000006E-3</v>
      </c>
      <c r="BD194" s="3114">
        <f>0</f>
        <v>0</v>
      </c>
      <c r="BE194" s="3114">
        <f>0</f>
        <v>0</v>
      </c>
      <c r="BF194" s="3114">
        <f>0</f>
        <v>0</v>
      </c>
      <c r="BG194" s="3114">
        <f>0</f>
        <v>0</v>
      </c>
      <c r="BH194" s="3114">
        <f>0</f>
        <v>0</v>
      </c>
      <c r="BI194" s="3114">
        <f>0</f>
        <v>0</v>
      </c>
      <c r="BJ194" s="3114">
        <f>0</f>
        <v>0</v>
      </c>
      <c r="BK194" s="3114">
        <f>0</f>
        <v>0</v>
      </c>
      <c r="BL194" s="3114">
        <f>0</f>
        <v>0</v>
      </c>
      <c r="BM194" s="3114">
        <f>0</f>
        <v>0</v>
      </c>
      <c r="BN194" s="3114">
        <f>0</f>
        <v>0</v>
      </c>
      <c r="BO194" s="3114">
        <f>0</f>
        <v>0</v>
      </c>
      <c r="BP194" s="3114">
        <f>0</f>
        <v>0</v>
      </c>
      <c r="BQ194" s="3114">
        <f>0</f>
        <v>0</v>
      </c>
      <c r="BR194" s="3114">
        <f>0</f>
        <v>0</v>
      </c>
      <c r="BS194" s="3114">
        <f>0</f>
        <v>0</v>
      </c>
      <c r="BT194" s="3114">
        <f>0</f>
        <v>0</v>
      </c>
      <c r="BU194" s="3114">
        <f>0</f>
        <v>0</v>
      </c>
      <c r="BV194" s="3114">
        <f>0</f>
        <v>0</v>
      </c>
      <c r="BW194" s="3114">
        <f>0</f>
        <v>0</v>
      </c>
      <c r="BX194" s="3114">
        <f>0</f>
        <v>0</v>
      </c>
      <c r="BY194" s="3114">
        <f>0</f>
        <v>0</v>
      </c>
      <c r="BZ194" s="3178">
        <f>0</f>
        <v>0</v>
      </c>
      <c r="CA194" s="3178">
        <f>0</f>
        <v>0</v>
      </c>
      <c r="CB194" s="3178">
        <f>0</f>
        <v>0</v>
      </c>
      <c r="CC194" s="3178">
        <f>0</f>
        <v>0</v>
      </c>
      <c r="CD194" s="3114">
        <f>0</f>
        <v>0</v>
      </c>
      <c r="CE194" s="3114">
        <f>0</f>
        <v>0</v>
      </c>
      <c r="CF194" s="3114">
        <f>0</f>
        <v>0</v>
      </c>
      <c r="CG194" s="3114">
        <f>0</f>
        <v>0</v>
      </c>
      <c r="CH194" s="3114">
        <f>0</f>
        <v>0</v>
      </c>
      <c r="CI194" s="3114">
        <f>0</f>
        <v>0</v>
      </c>
      <c r="CJ194" s="3114">
        <f>0</f>
        <v>0</v>
      </c>
      <c r="CK194" s="3114">
        <f>0</f>
        <v>0</v>
      </c>
      <c r="CL194" s="3114">
        <f>0</f>
        <v>0</v>
      </c>
      <c r="CM194" s="3114">
        <f>0</f>
        <v>0</v>
      </c>
      <c r="CN194" s="3114">
        <f>0</f>
        <v>0</v>
      </c>
      <c r="CO194" s="3114">
        <f>0</f>
        <v>0</v>
      </c>
      <c r="CP194" s="3114">
        <f>0</f>
        <v>0</v>
      </c>
      <c r="CQ194" s="3114">
        <f>0</f>
        <v>0</v>
      </c>
      <c r="CR194" s="3114">
        <f>0</f>
        <v>0</v>
      </c>
      <c r="CS194" s="3114">
        <f>0</f>
        <v>0</v>
      </c>
      <c r="CT194" s="3114">
        <f>0</f>
        <v>0</v>
      </c>
      <c r="CU194" s="3114">
        <f>0</f>
        <v>0</v>
      </c>
      <c r="CV194" s="3217">
        <f>b_NOB_T*X_NOB*(M_satSO2_KO2_NOB+η_b_anox*M_satSNOx_KNOx_NOB*M_inhSO2_KO2_NOB)</f>
        <v>2.6982456140350877</v>
      </c>
      <c r="CX194" s="2838">
        <f>E287*E194+F287*F194+G287*G194+H287*H194+I287*I194+J287*J194+K287*K194+L287*L194+M287*M194+N287*N194+O287*O194+P287*P194+Q287*Q194+R287*R194+S287*S194+T287*T194+U287*U194+V287*V194+W287*W194+X287*X194+Y287*Y194+Z287*Z194+AA287*AA194+AB287*AB194+AC287*AC194+AD287*AD194+AE287*AE194+AF287*AF194+AG287*AG194+AH287*AH194+AI287*AI194+AJ287*AJ194+AK287*AK194+AL287*AL194+AM287*AM194+AN287*AN194+AO287*AO194+AP287*AP194+AQ287*AQ194+AR287*AR194+AS287*AS194+AT287*AT194+AU287*AU194+AV287*AV194+AW287*AW194+AX287*AX194+AY287*AY194+AZ287*AZ194+BA287*BA194+BB287*BB194+BC287*BC194+BD287*BD194+BE287*BE194+BF287*BF194+BG287*BG194+BH287*BH194+BI287*BI194+BJ287*BJ194+BK287*BK194+BL287*BL194+BM287*BM194+BN287*BN194+BO287*BO194+BP287*BP194+BQ287*BQ194+BR287*BR194+BS287*BS194+BT287*BT194+BU287*BU194+BV287*BV194+BW287*BW194+BX287*BX194+BY287*BY194+BZ287*BZ194+CA287*CA194+CB287*CB194+CC287*CC194+CD287*CD194+CE287*CE194+CF287*CF194+CG287*CG194+CH287*CH194+CI287*CI194+CJ287*CJ194+CK287*CK194+CL287*CL194+CM287*CM194+CN287*CN194+CO287*CO194+CP287*CP194+CQ287*CQ194+CR287*CR194+CS287*CS194+CT287*CT194+CU287*CU194</f>
        <v>0</v>
      </c>
      <c r="CY194" s="2838">
        <f>E288*E194+F288*F194+G288*G194+H288*H194+I288*I194+J288*J194+K288*K194+L288*L194+M288*M194+N288*N194+O288*O194+P288*P194+Q288*Q194+R288*R194+S288*S194+T288*T194+U288*U194+V288*V194+W288*W194+X288*X194+Y288*Y194+Z288*Z194+AA288*AA194+AB288*AB194+AC288*AC194+AD288*AD194+AE288*AE194+AF288*AF194+AG288*AG194+AH288*AH194+AI288*AI194+AJ288*AJ194+AK288*AK194+AL288*AL194+AM288*AM194+AN288*AN194+AO288*AO194+AP288*AP194+AQ288*AQ194+AR288*AR194+AS288*AS194+AT288*AT194+AU288*AU194+AV288*AV194+AW288*AW194+AX288*AX194+AY288*AY194+AZ288*AZ194+BA288*BA194+BB288*BB194+BC288*BC194+BD288*BD194+BE288*BE194+BF288*BF194+BG288*BG194+BH288*BH194+BI288*BI194+BJ288*BJ194+BK288*BK194+BL288*BL194+BM288*BM194+BN288*BN194+BO288*BO194+BP288*BP194+BQ288*BQ194+BR288*BR194+BS288*BS194+BT288*BT194+BU288*BU194+BV288*BV194+BW288*BW194+BX288*BX194+BY288*BY194+BZ288*BZ194+CA288*CA194+CB288*CB194+CC288*CC194+CD288*CD194+CE288*CE194+CF288*CF194+CG288*CG194+CH288*CH194+CI288*CI194+CJ288*CJ194+CK288*CK194+CL288*CL194+CM288*CM194+CN288*CN194+CO288*CO194+CP288*CP194+CQ288*CQ194+CR288*CR194+CS288*CS194+CT288*CT194+CU288*CU194</f>
        <v>6.9388939039072284E-18</v>
      </c>
      <c r="CZ194" s="2839">
        <f>E289*E194+F289*F194+G289*G194+H289*H194+I289*I194+J289*J194+K289*K194+L289*L194+M289*M194+N289*N194+O289*O194+P289*P194+Q289*Q194+R289*R194+S289*S194+T289*T194+U289*U194+V289*V194+W289*W194+X289*X194+Y289*Y194+Z289*Z194+AA289*AA194+AB289*AB194+AC289*AC194+AD289*AD194+AE289*AE194+AF289*AF194+AG289*AG194+AH289*AH194+AI289*AI194+AJ289*AJ194+AK289*AK194+AL289*AL194+AM289*AM194+AN289*AN194+AO289*AO194+AP289*AP194+AQ289*AQ194+AR289*AR194+AS289*AS194+AT289*AT194+AU289*AU194+AV289*AV194+AW289*AW194+AX289*AX194+AY289*AY194+AZ289*AZ194+BA289*BA194+BB289*BB194+BC289*BC194+BD289*BD194+BE289*BE194+BF289*BF194+BG289*BG194+BH289*BH194+BI289*BI194+BJ289*BJ194+BK289*BK194+BL289*BL194+BM289*BM194+BN289*BN194+BO289*BO194+BP289*BP194+BQ289*BQ194+BR289*BR194+BS289*BS194+BT289*BT194+BU289*BU194+BV289*BV194+BW289*BW194+BX289*BX194+BY289*BY194+BZ289*BZ194+CA289*CA194+CB289*CB194+CC289*CC194+CD289*CD194+CE289*CE194+CF289*CF194+CG289*CG194+CH289*CH194+CI289*CI194+CJ289*CJ194+CK289*CK194+CL289*CL194+CM289*CM194+CN289*CN194+CO289*CO194+CP289*CP194+CQ289*CQ194+CR289*CR194+CS289*CS194+CT289*CT194+CU289*CU194</f>
        <v>0</v>
      </c>
      <c r="DA194" s="2840">
        <f>E290*E194+F290*F194+G290*G194+H290*H194+I290*I194+J290*J194+K290*K194+L290*L194+M290*M194+N290*N194+O290*O194+P290*P194+Q290*Q194+R290*R194+S290*S194+T290*T194+U290*U194+V290*V194+W290*W194+X290*X194+Y290*Y194+Z290*Z194+AA290*AA194+AB290*AB194+AC290*AC194+AD290*AD194+AE290*AE194+AF290*AF194+AG290*AG194+AH290*AH194+AI290*AI194+AJ290*AJ194+AK290*AK194+AL290*AL194+AM290*AM194+AN290*AN194+AO290*AO194+AP290*AP194+AQ290*AQ194+AR290*AR194+AS290*AS194+AT290*AT194+AU290*AU194+AV290*AV194+AW290*AW194+AX290*AX194+AY290*AY194+AZ290*AZ194+BA290*BA194+BB290*BB194+BC290*BC194+BD290*BD194+BE290*BE194+BF290*BF194+BG290*BG194+BH290*BH194+BI290*BI194+BJ290*BJ194+BK290*BK194+BL290*BL194+BM290*BM194+BN290*BN194+BO290*BO194+BP290*BP194+BQ290*BQ194+BR290*BR194+BS290*BS194+BT290*BT194+BU290*BU194+BV290*BV194+BW290*BW194+BX290*BX194+BY290*BY194+BZ290*BZ194+CA290*CA194+CB290*CB194+CC290*CC194+CD290*CD194+CE290*CE194+CF290*CF194+CG290*CG194+CH290*CH194+CI290*CI194+CJ290*CJ194+CK290*CK194+CL290*CL194+CM290*CM194+CN290*CN194+CO290*CO194+CP290*CP194+CQ290*CQ194+CR290*CR194+CS290*CS194+CT290*CT194+CU290*CU194</f>
        <v>0</v>
      </c>
      <c r="DB194" s="2840">
        <f>E291*E194+F291*F194+G291*G194+H291*H194+I291*I194+J291*J194+K291*K194+L291*L194+M291*M194+N291*N194+O291*O194+P291*P194+Q291*Q194+R291*R194+S291*S194+T291*T194+U291*U194+V291*V194+W291*W194+X291*X194+Y291*Y194+Z291*Z194+AA291*AA194+AB291*AB194+AC291*AC194+AD291*AD194+AE291*AE194+AF291*AF194+AG291*AG194+AH291*AH194+AI291*AI194+AJ291*AJ194+AK291*AK194+AL291*AL194+AM291*AM194+AN291*AN194+AO291*AO194+AP291*AP194+AQ291*AQ194+AR291*AR194+AS291*AS194+AT291*AT194+AU291*AU194+AV291*AV194+AW291*AW194+AX291*AX194+AY291*AY194+AZ291*AZ194+BA291*BA194+BB291*BB194+BC291*BC194+BD291*BD194+BE291*BE194+BF291*BF194+BG291*BG194+BH291*BH194+BI291*BI194+BJ291*BJ194+BK291*BK194+BL291*BL194+BM291*BM194+BN291*BN194+BO291*BO194+BP291*BP194+BQ291*BQ194+BR291*BR194+BS291*BS194+BT291*BT194+BU291*BU194+BV291*BV194+BW291*BW194+BX291*BX194+BY291*BY194+BZ291*BZ194+CA291*CA194+CB291*CB194+CC291*CC194+CD291*CD194+CE291*CE194+CF291*CF194+CG291*CG194+CH291*CH194+CI291*CI194+CJ291*CJ194+CK291*CK194+CL291*CL194+CM291*CM194+CN291*CN194+CO291*CO194+CP291*CP194+CQ291*CQ194+CR291*CR194+CS291*CS194+CT291*CT194+CU291*CU194</f>
        <v>0</v>
      </c>
      <c r="DC194" s="2840">
        <f>E292*E194+F292*F194+G292*G194+H292*H194+I292*I194+J292*J194+K292*K194+L292*L194+M292*M194+N292*N194+O292*O194+P292*P194+Q292*Q194+R292*R194+S292*S194+T292*T194+U292*U194+V292*V194+W292*W194+X292*X194+Y292*Y194+Z292*Z194+AA292*AA194+AB292*AB194+AC292*AC194+AD292*AD194+AE292*AE194+AF292*AF194+AG292*AG194+AH292*AH194+AI292*AI194+AJ292*AJ194+AK292*AK194+AL292*AL194+AM292*AM194+AN292*AN194+AO292*AO194+AP292*AP194+AQ292*AQ194+AR292*AR194+AS292*AS194+AT292*AT194+AU292*AU194+AV292*AV194+AW292*AW194+AX292*AX194+AY292*AY194+AZ292*AZ194+BA292*BA194+BB292*BB194+BC292*BC194+BD292*BD194+BE292*BE194+BF292*BF194+BG292*BG194+BH292*BH194+BI292*BI194+BJ292*BJ194+BK292*BK194+BL292*BL194+BM292*BM194+BN292*BN194+BO292*BO194+BP292*BP194+BQ292*BQ194+BR292*BR194+BS292*BS194+BT292*BT194+BU292*BU194+BV292*BV194+BW292*BW194+BX292*BX194+BY292*BY194+BZ292*BZ194+CA292*CA194+CB292*CB194+CC292*CC194+CD292*CD194+CE292*CE194+CF292*CF194+CG292*CG194+CH292*CH194+CI292*CI194+CJ292*CJ194+CK292*CK194+CL292*CL194+CM292*CM194+CN292*CN194+CO292*CO194+CP292*CP194+CQ292*CQ194+CR292*CR194+CS292*CS194+CT292*CT194+CU292*CU194</f>
        <v>0</v>
      </c>
      <c r="DD194" s="2840">
        <f>E293*E194+F293*F194+G293*G194+H293*H194+I293*I194+J293*J194+K293*K194+L293*L194+M293*M194+N293*N194+O293*O194+P293*P194+Q293*Q194+R293*R194+S293*S194+T293*T194+U293*U194+V293*V194+W293*W194+X293*X194+Y293*Y194+Z293*Z194+AA293*AA194+AB293*AB194+AC293*AC194+AD293*AD194+AE293*AE194+AF293*AF194+AG293*AG194+AH293*AH194+AI293*AI194+AJ293*AJ194+AK293*AK194+AL293*AL194+AM293*AM194+AN293*AN194+AO293*AO194+AP293*AP194+AQ293*AQ194+AR293*AR194+AS293*AS194+AT293*AT194+AU293*AU194+AV293*AV194+AW293*AW194+AX293*AX194+AY293*AY194+AZ293*AZ194+BA293*BA194+BB293*BB194+BC293*BC194+BD293*BD194+BE293*BE194+BF293*BF194+BG293*BG194+BH293*BH194+BI293*BI194+BJ293*BJ194+BK293*BK194+BL293*BL194+BM293*BM194+BN293*BN194+BO293*BO194+BP293*BP194+BQ293*BQ194+BR293*BR194+BS293*BS194+BT293*BT194+BU293*BU194+BV293*BV194+BW293*BW194+BX293*BX194+BY293*BY194+BZ293*BZ194+CA293*CA194+CB293*CB194+CC293*CC194+CD293*CD194+CE293*CE194+CF293*CF194+CG293*CG194+CH293*CH194+CI293*CI194+CJ293*CJ194+CK293*CK194+CL293*CL194+CM293*CM194+CN293*CN194+CO293*CO194+CP293*CP194+CQ293*CQ194+CR293*CR194+CS293*CS194+CT293*CT194+CU293*CU194</f>
        <v>0</v>
      </c>
      <c r="DE194" s="2840">
        <f>E294*E194+F294*F194+G294*G194+H294*H194+I294*I194+J294*J194+K294*K194+L294*L194+M294*M194+N294*N194+O294*O194+P294*P194+Q294*Q194+R294*R194+S294*S194+T294*T194+U294*U194+V294*V194+W294*W194+X294*X194+Y294*Y194+Z294*Z194+AA294*AA194+AB294*AB194+AC294*AC194+AD294*AD194+AE294*AE194+AF294*AF194+AG294*AG194+AH294*AH194+AI294*AI194+AJ294*AJ194+AK294*AK194+AL294*AL194+AM294*AM194+AN294*AN194+AO294*AO194+AP294*AP194+AQ294*AQ194+AR294*AR194+AS294*AS194+AT294*AT194+AU294*AU194+AV294*AV194+AW294*AW194+AX294*AX194+AY294*AY194+AZ294*AZ194+BA294*BA194+BB294*BB194+BC294*BC194+BD294*BD194+BE294*BE194+BF294*BF194+BG294*BG194+BH294*BH194+BI294*BI194+BJ294*BJ194+BK294*BK194+BL294*BL194+BM294*BM194+BN294*BN194+BO294*BO194+BP294*BP194+BQ294*BQ194+BR294*BR194+BS294*BS194+BT294*BT194+BU294*BU194+BV294*BV194+BW294*BW194+BX294*BX194+BY294*BY194+BZ294*BZ194+CA294*CA194+CB294*CB194+CC294*CC194+CD294*CD194+CE294*CE194+CF294*CF194+CG294*CG194+CH294*CH194+CI294*CI194+CJ294*CJ194+CK294*CK194+CL294*CL194+CM294*CM194+CN294*CN194+CO294*CO194+CP294*CP194+CQ294*CQ194+CR294*CR194+CS294*CS194+CT294*CT194+CU294*CU194</f>
        <v>0</v>
      </c>
      <c r="DF194" s="2840">
        <f>E295*E194+F295*F194+G295*G194+H295*H194+I295*I194+J295*J194+K295*K194+L295*L194+M295*M194+N295*N194+O295*O194+P295*P194+Q295*Q194+R295*R194+S295*S194+T295*T194+U295*U194+V295*V194+W295*W194+X295*X194+Y295*Y194+Z295*Z194+AA295*AA194+AB295*AB194+AC295*AC194+AD295*AD194+AE295*AE194+AF295*AF194+AG295*AG194+AH295*AH194+AI295*AI194+AJ295*AJ194+AK295*AK194+AL295*AL194+AM295*AM194+AN295*AN194+AO295*AO194+AP295*AP194+AQ295*AQ194+AR295*AR194+AS295*AS194+AT295*AT194+AU295*AU194+AV295*AV194+AW295*AW194+AX295*AX194+AY295*AY194+AZ295*AZ194+BA295*BA194+BB295*BB194+BC295*BC194+BD295*BD194+BE295*BE194+BF295*BF194+BG295*BG194+BH295*BH194+BI295*BI194+BJ295*BJ194+BK295*BK194+BL295*BL194+BM295*BM194+BN295*BN194+BO295*BO194+BP295*BP194+BQ295*BQ194+BR295*BR194+BS295*BS194+BT295*BT194+BU295*BU194+BV295*BV194+BW295*BW194+BX295*BX194+BY295*BY194+BZ295*BZ194+CA295*CA194+CB295*CB194+CC295*CC194+CD295*CD194+CE295*CE194+CF295*CF194+CG295*CG194+CH295*CH194+CI295*CI194+CJ295*CJ194+CK295*CK194+CL295*CL194+CM295*CM194+CN295*CN194+CO295*CO194+CP295*CP194+CQ295*CQ194+CR295*CR194+CS295*CS194+CT295*CT194+CU295*CU194</f>
        <v>0</v>
      </c>
      <c r="DG194" s="2840">
        <f>E296*E194+F296*F194+G296*G194+H296*H194+I296*I194+J296*J194+K296*K194+L296*L194+M296*M194+N296*N194+O296*O194+P296*P194+Q296*Q194+R296*R194+S296*S194+T296*T194+U296*U194+V296*V194+W296*W194+X296*X194+Y296*Y194+Z296*Z194+AA296*AA194+AB296*AB194+AC296*AC194+AD296*AD194+AE296*AE194+AF296*AF194+AG296*AG194+AH296*AH194+AI296*AI194+AJ296*AJ194+AK296*AK194+AL296*AL194+AM296*AM194+AN296*AN194+AO296*AO194+AP296*AP194+AQ296*AQ194+AR296*AR194+AS296*AS194+AT296*AT194+AU296*AU194+AV296*AV194+AW296*AW194+AX296*AX194+AY296*AY194+AZ296*AZ194+BA296*BA194+BB296*BB194+BC296*BC194+BD296*BD194+BE296*BE194+BF296*BF194+BG296*BG194+BH296*BH194+BI296*BI194+BJ296*BJ194+BK296*BK194+BL296*BL194+BM296*BM194+BN296*BN194+BO296*BO194+BP296*BP194+BQ296*BQ194+BR296*BR194+BS296*BS194+BT296*BT194+BU296*BU194+BV296*BV194+BW296*BW194+BX296*BX194+BY296*BY194+BZ296*BZ194+CA296*CA194+CB296*CB194+CC296*CC194+CD296*CD194+CE296*CE194+CF296*CF194+CG296*CG194+CH296*CH194+CI296*CI194+CJ296*CJ194+CK296*CK194+CL296*CL194+CM296*CM194+CN296*CN194+CO296*CO194+CP296*CP194+CQ296*CQ194+CR296*CR194+CS296*CS194+CT296*CT194+CU296*CU194</f>
        <v>0</v>
      </c>
      <c r="DH194" s="2840">
        <f>E297*E194+F297*F194+G297*G194+H297*H194+I297*I194+J297*J194+K297*K194+L297*L194+M297*M194+N297*N194+O297*O194+P297*P194+Q297*Q194+R297*R194+S297*S194+T297*T194+U297*U194+V297*V194+W297*W194+X297*X194+Y297*Y194+Z297*Z194+AA297*AA194+AB297*AB194+AC297*AC194+AD297*AD194+AE297*AE194+AF297*AF194+AG297*AG194+AH297*AH194+AI297*AI194+AJ297*AJ194+AK297*AK194+AL297*AL194+AM297*AM194+AN297*AN194+AO297*AO194+AP297*AP194+AQ297*AQ194+AR297*AR194+AS297*AS194+AT297*AT194+AU297*AU194+AV297*AV194+AW297*AW194+AX297*AX194+AY297*AY194+AZ297*AZ194+BA297*BA194+BB297*BB194+BC297*BC194+BD297*BD194+BE297*BE194+BF297*BF194+BG297*BG194+BH297*BH194+BI297*BI194+BJ297*BJ194+BK297*BK194+BL297*BL194+BM297*BM194+BN297*BN194+BO297*BO194+BP297*BP194+BQ297*BQ194+BR297*BR194+BS297*BS194+BT297*BT194+BU297*BU194+BV297*BV194+BW297*BW194+BX297*BX194+BY297*BY194+BZ297*BZ194+CA297*CA194+CB297*CB194+CC297*CC194+CD297*CD194+CE297*CE194+CF297*CF194+CG297*CG194+CH297*CH194+CI297*CI194+CJ297*CJ194+CK297*CK194+CL297*CL194+CM297*CM194+CN297*CN194+CO297*CO194+CP297*CP194+CQ297*CQ194+CR297*CR194+CS297*CS194+CT297*CT194+CU297*CU194</f>
        <v>0</v>
      </c>
      <c r="DI194" s="2840">
        <f>E298*E194+F298*F194+G298*G194+H298*H194+I298*I194+J298*J194+K298*K194+L298*L194+M298*M194+N298*N194+O298*O194+P298*P194+Q298*Q194+R298*R194+S298*S194+T298*T194+U298*U194+V298*V194+W298*W194+X298*X194+Y298*Y194+Z298*Z194+AA298*AA194+AB298*AB194+AC298*AC194+AD298*AD194+AE298*AE194+AF298*AF194+AG298*AG194+AH298*AH194+AI298*AI194+AJ298*AJ194+AK298*AK194+AL298*AL194+AM298*AM194+AN298*AN194+AO298*AO194+AP298*AP194+AQ298*AQ194+AR298*AR194+AS298*AS194+AT298*AT194+AU298*AU194+AV298*AV194+AW298*AW194+AX298*AX194+AY298*AY194+AZ298*AZ194+BA298*BA194+BB298*BB194+BC298*BC194+BD298*BD194+BE298*BE194+BF298*BF194+BG298*BG194+BH298*BH194+BI298*BI194+BJ298*BJ194+BK298*BK194+BL298*BL194+BM298*BM194+BN298*BN194+BO298*BO194+BP298*BP194+BQ298*BQ194+BR298*BR194+BS298*BS194+BT298*BT194+BU298*BU194+BV298*BV194+BW298*BW194+BX298*BX194+BY298*BY194+BZ298*BZ194+CA298*CA194+CB298*CB194+CC298*CC194+CD298*CD194+CE298*CE194+CF298*CF194+CG298*CG194+CH298*CH194+CI298*CI194+CJ298*CJ194+CK298*CK194+CL298*CL194+CM298*CM194+CN298*CN194+CO298*CO194+CP298*CP194+CQ298*CQ194+CR298*CR194+CS298*CS194+CT298*CT194+CU298*CU194</f>
        <v>0</v>
      </c>
    </row>
    <row r="195" spans="2:113" ht="18" x14ac:dyDescent="0.25">
      <c r="B195" s="2496">
        <v>42</v>
      </c>
      <c r="C195" s="2418" t="s">
        <v>4903</v>
      </c>
      <c r="D195" s="2419" t="s">
        <v>2996</v>
      </c>
      <c r="E195" s="3114">
        <f>0</f>
        <v>0</v>
      </c>
      <c r="F195" s="3114">
        <f>0</f>
        <v>0</v>
      </c>
      <c r="G195" s="3114">
        <f>0</f>
        <v>0</v>
      </c>
      <c r="H195" s="3114">
        <f>0</f>
        <v>0</v>
      </c>
      <c r="I195" s="3114">
        <f>0</f>
        <v>0</v>
      </c>
      <c r="J195" s="3114">
        <f>1-f_E</f>
        <v>0.92</v>
      </c>
      <c r="K195" s="3114">
        <f>0</f>
        <v>0</v>
      </c>
      <c r="L195" s="3114">
        <f>0</f>
        <v>0</v>
      </c>
      <c r="M195" s="3114">
        <f>0</f>
        <v>0</v>
      </c>
      <c r="N195" s="3114">
        <f>0</f>
        <v>0</v>
      </c>
      <c r="O195" s="3114">
        <f>0</f>
        <v>0</v>
      </c>
      <c r="P195" s="3114">
        <f>0</f>
        <v>0</v>
      </c>
      <c r="Q195" s="3114">
        <f>f_E</f>
        <v>0.08</v>
      </c>
      <c r="R195" s="3114">
        <f>0</f>
        <v>0</v>
      </c>
      <c r="S195" s="3114">
        <f>0</f>
        <v>0</v>
      </c>
      <c r="T195" s="3114">
        <f>0</f>
        <v>0</v>
      </c>
      <c r="U195" s="3114">
        <f>0</f>
        <v>0</v>
      </c>
      <c r="V195" s="3114">
        <f>-1</f>
        <v>-1</v>
      </c>
      <c r="W195" s="3114">
        <f>0</f>
        <v>0</v>
      </c>
      <c r="X195" s="3114">
        <f>0</f>
        <v>0</v>
      </c>
      <c r="Y195" s="3114">
        <f>0</f>
        <v>0</v>
      </c>
      <c r="Z195" s="3114">
        <f>0</f>
        <v>0</v>
      </c>
      <c r="AA195" s="3114">
        <f>0</f>
        <v>0</v>
      </c>
      <c r="AB195" s="3114">
        <f>0</f>
        <v>0</v>
      </c>
      <c r="AC195" s="3114">
        <f>0</f>
        <v>0</v>
      </c>
      <c r="AD195" s="3114">
        <f>-f_E*(i_N_XE-i_N_BIO)</f>
        <v>8.0000000000000069E-4</v>
      </c>
      <c r="AE195" s="3114">
        <f>0</f>
        <v>0</v>
      </c>
      <c r="AF195" s="3114">
        <f>0</f>
        <v>0</v>
      </c>
      <c r="AG195" s="3114">
        <f>0</f>
        <v>0</v>
      </c>
      <c r="AH195" s="3114">
        <f>0</f>
        <v>0</v>
      </c>
      <c r="AI195" s="3114">
        <f>0</f>
        <v>0</v>
      </c>
      <c r="AJ195" s="3114">
        <f>(1-f_E)*i_N_BIO</f>
        <v>6.4400000000000013E-2</v>
      </c>
      <c r="AK195" s="3114">
        <f>0</f>
        <v>0</v>
      </c>
      <c r="AL195" s="3114">
        <f>0</f>
        <v>0</v>
      </c>
      <c r="AM195" s="3114">
        <f>0</f>
        <v>0</v>
      </c>
      <c r="AN195" s="3114">
        <f>0</f>
        <v>0</v>
      </c>
      <c r="AO195" s="3114">
        <f>0</f>
        <v>0</v>
      </c>
      <c r="AP195" s="3114">
        <f>(1-f_E)*i_P_BIO</f>
        <v>1.84E-2</v>
      </c>
      <c r="AQ195" s="3114">
        <f>0</f>
        <v>0</v>
      </c>
      <c r="AR195" s="3114">
        <f>0</f>
        <v>0</v>
      </c>
      <c r="AS195" s="3114">
        <f>0</f>
        <v>0</v>
      </c>
      <c r="AT195" s="3114">
        <f>0</f>
        <v>0</v>
      </c>
      <c r="AU195" s="3178">
        <f>(1-f_E)*(i_CIT_BIO-i_CIT_XBe)</f>
        <v>6.0720000000000003E-2</v>
      </c>
      <c r="AV195" s="3178">
        <f>0</f>
        <v>0</v>
      </c>
      <c r="AW195" s="3178">
        <f>0</f>
        <v>0</v>
      </c>
      <c r="AX195" s="3178">
        <f>0</f>
        <v>0</v>
      </c>
      <c r="AY195" s="3178">
        <f>0</f>
        <v>0</v>
      </c>
      <c r="AZ195" s="3178">
        <f>0</f>
        <v>0</v>
      </c>
      <c r="BA195" s="3178">
        <f>0</f>
        <v>0</v>
      </c>
      <c r="BB195" s="3114">
        <f>0</f>
        <v>0</v>
      </c>
      <c r="BC195" s="3114">
        <f>(1-f_E)*i_S_BIO-(1-f_E)*i_S_XB</f>
        <v>7.8200000000000006E-3</v>
      </c>
      <c r="BD195" s="3114">
        <f>0</f>
        <v>0</v>
      </c>
      <c r="BE195" s="3114">
        <f>0</f>
        <v>0</v>
      </c>
      <c r="BF195" s="3114">
        <f>0</f>
        <v>0</v>
      </c>
      <c r="BG195" s="3114">
        <f>0</f>
        <v>0</v>
      </c>
      <c r="BH195" s="3114">
        <f>0</f>
        <v>0</v>
      </c>
      <c r="BI195" s="3114">
        <f>0</f>
        <v>0</v>
      </c>
      <c r="BJ195" s="3114">
        <f>0</f>
        <v>0</v>
      </c>
      <c r="BK195" s="3114">
        <f>0</f>
        <v>0</v>
      </c>
      <c r="BL195" s="3114">
        <f>0</f>
        <v>0</v>
      </c>
      <c r="BM195" s="3114">
        <f>0</f>
        <v>0</v>
      </c>
      <c r="BN195" s="3114">
        <f>0</f>
        <v>0</v>
      </c>
      <c r="BO195" s="3114">
        <f>0</f>
        <v>0</v>
      </c>
      <c r="BP195" s="3114">
        <f>0</f>
        <v>0</v>
      </c>
      <c r="BQ195" s="3114">
        <f>0</f>
        <v>0</v>
      </c>
      <c r="BR195" s="3114">
        <f>0</f>
        <v>0</v>
      </c>
      <c r="BS195" s="3114">
        <f>0</f>
        <v>0</v>
      </c>
      <c r="BT195" s="3114">
        <f>0</f>
        <v>0</v>
      </c>
      <c r="BU195" s="3114">
        <f>0</f>
        <v>0</v>
      </c>
      <c r="BV195" s="3114">
        <f>0</f>
        <v>0</v>
      </c>
      <c r="BW195" s="3114">
        <f>0</f>
        <v>0</v>
      </c>
      <c r="BX195" s="3114">
        <f>0</f>
        <v>0</v>
      </c>
      <c r="BY195" s="3114">
        <f>0</f>
        <v>0</v>
      </c>
      <c r="BZ195" s="3178">
        <f>0</f>
        <v>0</v>
      </c>
      <c r="CA195" s="3178">
        <f>0</f>
        <v>0</v>
      </c>
      <c r="CB195" s="3178">
        <f>0</f>
        <v>0</v>
      </c>
      <c r="CC195" s="3178">
        <f>0</f>
        <v>0</v>
      </c>
      <c r="CD195" s="3114">
        <f>0</f>
        <v>0</v>
      </c>
      <c r="CE195" s="3114">
        <f>0</f>
        <v>0</v>
      </c>
      <c r="CF195" s="3114">
        <f>0</f>
        <v>0</v>
      </c>
      <c r="CG195" s="3114">
        <f>0</f>
        <v>0</v>
      </c>
      <c r="CH195" s="3114">
        <f>0</f>
        <v>0</v>
      </c>
      <c r="CI195" s="3114">
        <f>0</f>
        <v>0</v>
      </c>
      <c r="CJ195" s="3114">
        <f>0</f>
        <v>0</v>
      </c>
      <c r="CK195" s="3114">
        <f>0</f>
        <v>0</v>
      </c>
      <c r="CL195" s="3114">
        <f>0</f>
        <v>0</v>
      </c>
      <c r="CM195" s="3114">
        <f>0</f>
        <v>0</v>
      </c>
      <c r="CN195" s="3114">
        <f>0</f>
        <v>0</v>
      </c>
      <c r="CO195" s="3114">
        <f>0</f>
        <v>0</v>
      </c>
      <c r="CP195" s="3114">
        <f>0</f>
        <v>0</v>
      </c>
      <c r="CQ195" s="3114">
        <f>0</f>
        <v>0</v>
      </c>
      <c r="CR195" s="3114">
        <f>0</f>
        <v>0</v>
      </c>
      <c r="CS195" s="3114">
        <f>0</f>
        <v>0</v>
      </c>
      <c r="CT195" s="3114">
        <f>0</f>
        <v>0</v>
      </c>
      <c r="CU195" s="3114">
        <f>0</f>
        <v>0</v>
      </c>
      <c r="CV195" s="3217">
        <f>b_NOB_T*X_NOB*(η_b_ana*M_inhSNOx_KNOx_NOB*M_inhSO2_KO2_NOB+m_tox_ana)</f>
        <v>8.7719298245614037E-4</v>
      </c>
      <c r="CX195" s="2838">
        <f>E287*E195+F287*F195+G287*G195+H287*H195+I287*I195+J287*J195+K287*K195+L287*L195+M287*M195+N287*N195+O287*O195+P287*P195+Q287*Q195+R287*R195+S287*S195+T287*T195+U287*U195+V287*V195+W287*W195+X287*X195+Y287*Y195+Z287*Z195+AA287*AA195+AB287*AB195+AC287*AC195+AD287*AD195+AE287*AE195+AF287*AF195+AG287*AG195+AH287*AH195+AI287*AI195+AJ287*AJ195+AK287*AK195+AL287*AL195+AM287*AM195+AN287*AN195+AO287*AO195+AP287*AP195+AQ287*AQ195+AR287*AR195+AS287*AS195+AT287*AT195+AU287*AU195+AV287*AV195+AW287*AW195+AX287*AX195+AY287*AY195+AZ287*AZ195+BA287*BA195+BB287*BB195+BC287*BC195+BD287*BD195+BE287*BE195+BF287*BF195+BG287*BG195+BH287*BH195+BI287*BI195+BJ287*BJ195+BK287*BK195+BL287*BL195+BM287*BM195+BN287*BN195+BO287*BO195+BP287*BP195+BQ287*BQ195+BR287*BR195+BS287*BS195+BT287*BT195+BU287*BU195+BV287*BV195+BW287*BW195+BX287*BX195+BY287*BY195+BZ287*BZ195+CA287*CA195+CB287*CB195+CC287*CC195+CD287*CD195+CE287*CE195+CF287*CF195+CG287*CG195+CH287*CH195+CI287*CI195+CJ287*CJ195+CK287*CK195+CL287*CL195+CM287*CM195+CN287*CN195+CO287*CO195+CP287*CP195+CQ287*CQ195+CR287*CR195+CS287*CS195+CT287*CT195+CU287*CU195</f>
        <v>0</v>
      </c>
      <c r="CY195" s="2838">
        <f>E288*E195+F288*F195+G288*G195+H288*H195+I288*I195+J288*J195+K288*K195+L288*L195+M288*M195+N288*N195+O288*O195+P288*P195+Q288*Q195+R288*R195+S288*S195+T288*T195+U288*U195+V288*V195+W288*W195+X288*X195+Y288*Y195+Z288*Z195+AA288*AA195+AB288*AB195+AC288*AC195+AD288*AD195+AE288*AE195+AF288*AF195+AG288*AG195+AH288*AH195+AI288*AI195+AJ288*AJ195+AK288*AK195+AL288*AL195+AM288*AM195+AN288*AN195+AO288*AO195+AP288*AP195+AQ288*AQ195+AR288*AR195+AS288*AS195+AT288*AT195+AU288*AU195+AV288*AV195+AW288*AW195+AX288*AX195+AY288*AY195+AZ288*AZ195+BA288*BA195+BB288*BB195+BC288*BC195+BD288*BD195+BE288*BE195+BF288*BF195+BG288*BG195+BH288*BH195+BI288*BI195+BJ288*BJ195+BK288*BK195+BL288*BL195+BM288*BM195+BN288*BN195+BO288*BO195+BP288*BP195+BQ288*BQ195+BR288*BR195+BS288*BS195+BT288*BT195+BU288*BU195+BV288*BV195+BW288*BW195+BX288*BX195+BY288*BY195+BZ288*BZ195+CA288*CA195+CB288*CB195+CC288*CC195+CD288*CD195+CE288*CE195+CF288*CF195+CG288*CG195+CH288*CH195+CI288*CI195+CJ288*CJ195+CK288*CK195+CL288*CL195+CM288*CM195+CN288*CN195+CO288*CO195+CP288*CP195+CQ288*CQ195+CR288*CR195+CS288*CS195+CT288*CT195+CU288*CU195</f>
        <v>6.9388939039072284E-18</v>
      </c>
      <c r="CZ195" s="2839">
        <f>E289*E195+F289*F195+G289*G195+H289*H195+I289*I195+J289*J195+K289*K195+L289*L195+M289*M195+N289*N195+O289*O195+P289*P195+Q289*Q195+R289*R195+S289*S195+T289*T195+U289*U195+V289*V195+W289*W195+X289*X195+Y289*Y195+Z289*Z195+AA289*AA195+AB289*AB195+AC289*AC195+AD289*AD195+AE289*AE195+AF289*AF195+AG289*AG195+AH289*AH195+AI289*AI195+AJ289*AJ195+AK289*AK195+AL289*AL195+AM289*AM195+AN289*AN195+AO289*AO195+AP289*AP195+AQ289*AQ195+AR289*AR195+AS289*AS195+AT289*AT195+AU289*AU195+AV289*AV195+AW289*AW195+AX289*AX195+AY289*AY195+AZ289*AZ195+BA289*BA195+BB289*BB195+BC289*BC195+BD289*BD195+BE289*BE195+BF289*BF195+BG289*BG195+BH289*BH195+BI289*BI195+BJ289*BJ195+BK289*BK195+BL289*BL195+BM289*BM195+BN289*BN195+BO289*BO195+BP289*BP195+BQ289*BQ195+BR289*BR195+BS289*BS195+BT289*BT195+BU289*BU195+BV289*BV195+BW289*BW195+BX289*BX195+BY289*BY195+BZ289*BZ195+CA289*CA195+CB289*CB195+CC289*CC195+CD289*CD195+CE289*CE195+CF289*CF195+CG289*CG195+CH289*CH195+CI289*CI195+CJ289*CJ195+CK289*CK195+CL289*CL195+CM289*CM195+CN289*CN195+CO289*CO195+CP289*CP195+CQ289*CQ195+CR289*CR195+CS289*CS195+CT289*CT195+CU289*CU195</f>
        <v>0</v>
      </c>
      <c r="DA195" s="2840">
        <f>E290*E195+F290*F195+G290*G195+H290*H195+I290*I195+J290*J195+K290*K195+L290*L195+M290*M195+N290*N195+O290*O195+P290*P195+Q290*Q195+R290*R195+S290*S195+T290*T195+U290*U195+V290*V195+W290*W195+X290*X195+Y290*Y195+Z290*Z195+AA290*AA195+AB290*AB195+AC290*AC195+AD290*AD195+AE290*AE195+AF290*AF195+AG290*AG195+AH290*AH195+AI290*AI195+AJ290*AJ195+AK290*AK195+AL290*AL195+AM290*AM195+AN290*AN195+AO290*AO195+AP290*AP195+AQ290*AQ195+AR290*AR195+AS290*AS195+AT290*AT195+AU290*AU195+AV290*AV195+AW290*AW195+AX290*AX195+AY290*AY195+AZ290*AZ195+BA290*BA195+BB290*BB195+BC290*BC195+BD290*BD195+BE290*BE195+BF290*BF195+BG290*BG195+BH290*BH195+BI290*BI195+BJ290*BJ195+BK290*BK195+BL290*BL195+BM290*BM195+BN290*BN195+BO290*BO195+BP290*BP195+BQ290*BQ195+BR290*BR195+BS290*BS195+BT290*BT195+BU290*BU195+BV290*BV195+BW290*BW195+BX290*BX195+BY290*BY195+BZ290*BZ195+CA290*CA195+CB290*CB195+CC290*CC195+CD290*CD195+CE290*CE195+CF290*CF195+CG290*CG195+CH290*CH195+CI290*CI195+CJ290*CJ195+CK290*CK195+CL290*CL195+CM290*CM195+CN290*CN195+CO290*CO195+CP290*CP195+CQ290*CQ195+CR290*CR195+CS290*CS195+CT290*CT195+CU290*CU195</f>
        <v>0</v>
      </c>
      <c r="DB195" s="2840">
        <f>E291*E195+F291*F195+G291*G195+H291*H195+I291*I195+J291*J195+K291*K195+L291*L195+M291*M195+N291*N195+O291*O195+P291*P195+Q291*Q195+R291*R195+S291*S195+T291*T195+U291*U195+V291*V195+W291*W195+X291*X195+Y291*Y195+Z291*Z195+AA291*AA195+AB291*AB195+AC291*AC195+AD291*AD195+AE291*AE195+AF291*AF195+AG291*AG195+AH291*AH195+AI291*AI195+AJ291*AJ195+AK291*AK195+AL291*AL195+AM291*AM195+AN291*AN195+AO291*AO195+AP291*AP195+AQ291*AQ195+AR291*AR195+AS291*AS195+AT291*AT195+AU291*AU195+AV291*AV195+AW291*AW195+AX291*AX195+AY291*AY195+AZ291*AZ195+BA291*BA195+BB291*BB195+BC291*BC195+BD291*BD195+BE291*BE195+BF291*BF195+BG291*BG195+BH291*BH195+BI291*BI195+BJ291*BJ195+BK291*BK195+BL291*BL195+BM291*BM195+BN291*BN195+BO291*BO195+BP291*BP195+BQ291*BQ195+BR291*BR195+BS291*BS195+BT291*BT195+BU291*BU195+BV291*BV195+BW291*BW195+BX291*BX195+BY291*BY195+BZ291*BZ195+CA291*CA195+CB291*CB195+CC291*CC195+CD291*CD195+CE291*CE195+CF291*CF195+CG291*CG195+CH291*CH195+CI291*CI195+CJ291*CJ195+CK291*CK195+CL291*CL195+CM291*CM195+CN291*CN195+CO291*CO195+CP291*CP195+CQ291*CQ195+CR291*CR195+CS291*CS195+CT291*CT195+CU291*CU195</f>
        <v>0</v>
      </c>
      <c r="DC195" s="2840">
        <f>E292*E195+F292*F195+G292*G195+H292*H195+I292*I195+J292*J195+K292*K195+L292*L195+M292*M195+N292*N195+O292*O195+P292*P195+Q292*Q195+R292*R195+S292*S195+T292*T195+U292*U195+V292*V195+W292*W195+X292*X195+Y292*Y195+Z292*Z195+AA292*AA195+AB292*AB195+AC292*AC195+AD292*AD195+AE292*AE195+AF292*AF195+AG292*AG195+AH292*AH195+AI292*AI195+AJ292*AJ195+AK292*AK195+AL292*AL195+AM292*AM195+AN292*AN195+AO292*AO195+AP292*AP195+AQ292*AQ195+AR292*AR195+AS292*AS195+AT292*AT195+AU292*AU195+AV292*AV195+AW292*AW195+AX292*AX195+AY292*AY195+AZ292*AZ195+BA292*BA195+BB292*BB195+BC292*BC195+BD292*BD195+BE292*BE195+BF292*BF195+BG292*BG195+BH292*BH195+BI292*BI195+BJ292*BJ195+BK292*BK195+BL292*BL195+BM292*BM195+BN292*BN195+BO292*BO195+BP292*BP195+BQ292*BQ195+BR292*BR195+BS292*BS195+BT292*BT195+BU292*BU195+BV292*BV195+BW292*BW195+BX292*BX195+BY292*BY195+BZ292*BZ195+CA292*CA195+CB292*CB195+CC292*CC195+CD292*CD195+CE292*CE195+CF292*CF195+CG292*CG195+CH292*CH195+CI292*CI195+CJ292*CJ195+CK292*CK195+CL292*CL195+CM292*CM195+CN292*CN195+CO292*CO195+CP292*CP195+CQ292*CQ195+CR292*CR195+CS292*CS195+CT292*CT195+CU292*CU195</f>
        <v>0</v>
      </c>
      <c r="DD195" s="2840">
        <f>E293*E195+F293*F195+G293*G195+H293*H195+I293*I195+J293*J195+K293*K195+L293*L195+M293*M195+N293*N195+O293*O195+P293*P195+Q293*Q195+R293*R195+S293*S195+T293*T195+U293*U195+V293*V195+W293*W195+X293*X195+Y293*Y195+Z293*Z195+AA293*AA195+AB293*AB195+AC293*AC195+AD293*AD195+AE293*AE195+AF293*AF195+AG293*AG195+AH293*AH195+AI293*AI195+AJ293*AJ195+AK293*AK195+AL293*AL195+AM293*AM195+AN293*AN195+AO293*AO195+AP293*AP195+AQ293*AQ195+AR293*AR195+AS293*AS195+AT293*AT195+AU293*AU195+AV293*AV195+AW293*AW195+AX293*AX195+AY293*AY195+AZ293*AZ195+BA293*BA195+BB293*BB195+BC293*BC195+BD293*BD195+BE293*BE195+BF293*BF195+BG293*BG195+BH293*BH195+BI293*BI195+BJ293*BJ195+BK293*BK195+BL293*BL195+BM293*BM195+BN293*BN195+BO293*BO195+BP293*BP195+BQ293*BQ195+BR293*BR195+BS293*BS195+BT293*BT195+BU293*BU195+BV293*BV195+BW293*BW195+BX293*BX195+BY293*BY195+BZ293*BZ195+CA293*CA195+CB293*CB195+CC293*CC195+CD293*CD195+CE293*CE195+CF293*CF195+CG293*CG195+CH293*CH195+CI293*CI195+CJ293*CJ195+CK293*CK195+CL293*CL195+CM293*CM195+CN293*CN195+CO293*CO195+CP293*CP195+CQ293*CQ195+CR293*CR195+CS293*CS195+CT293*CT195+CU293*CU195</f>
        <v>0</v>
      </c>
      <c r="DE195" s="2840">
        <f>E294*E195+F294*F195+G294*G195+H294*H195+I294*I195+J294*J195+K294*K195+L294*L195+M294*M195+N294*N195+O294*O195+P294*P195+Q294*Q195+R294*R195+S294*S195+T294*T195+U294*U195+V294*V195+W294*W195+X294*X195+Y294*Y195+Z294*Z195+AA294*AA195+AB294*AB195+AC294*AC195+AD294*AD195+AE294*AE195+AF294*AF195+AG294*AG195+AH294*AH195+AI294*AI195+AJ294*AJ195+AK294*AK195+AL294*AL195+AM294*AM195+AN294*AN195+AO294*AO195+AP294*AP195+AQ294*AQ195+AR294*AR195+AS294*AS195+AT294*AT195+AU294*AU195+AV294*AV195+AW294*AW195+AX294*AX195+AY294*AY195+AZ294*AZ195+BA294*BA195+BB294*BB195+BC294*BC195+BD294*BD195+BE294*BE195+BF294*BF195+BG294*BG195+BH294*BH195+BI294*BI195+BJ294*BJ195+BK294*BK195+BL294*BL195+BM294*BM195+BN294*BN195+BO294*BO195+BP294*BP195+BQ294*BQ195+BR294*BR195+BS294*BS195+BT294*BT195+BU294*BU195+BV294*BV195+BW294*BW195+BX294*BX195+BY294*BY195+BZ294*BZ195+CA294*CA195+CB294*CB195+CC294*CC195+CD294*CD195+CE294*CE195+CF294*CF195+CG294*CG195+CH294*CH195+CI294*CI195+CJ294*CJ195+CK294*CK195+CL294*CL195+CM294*CM195+CN294*CN195+CO294*CO195+CP294*CP195+CQ294*CQ195+CR294*CR195+CS294*CS195+CT294*CT195+CU294*CU195</f>
        <v>0</v>
      </c>
      <c r="DF195" s="2840">
        <f>E295*E195+F295*F195+G295*G195+H295*H195+I295*I195+J295*J195+K295*K195+L295*L195+M295*M195+N295*N195+O295*O195+P295*P195+Q295*Q195+R295*R195+S295*S195+T295*T195+U295*U195+V295*V195+W295*W195+X295*X195+Y295*Y195+Z295*Z195+AA295*AA195+AB295*AB195+AC295*AC195+AD295*AD195+AE295*AE195+AF295*AF195+AG295*AG195+AH295*AH195+AI295*AI195+AJ295*AJ195+AK295*AK195+AL295*AL195+AM295*AM195+AN295*AN195+AO295*AO195+AP295*AP195+AQ295*AQ195+AR295*AR195+AS295*AS195+AT295*AT195+AU295*AU195+AV295*AV195+AW295*AW195+AX295*AX195+AY295*AY195+AZ295*AZ195+BA295*BA195+BB295*BB195+BC295*BC195+BD295*BD195+BE295*BE195+BF295*BF195+BG295*BG195+BH295*BH195+BI295*BI195+BJ295*BJ195+BK295*BK195+BL295*BL195+BM295*BM195+BN295*BN195+BO295*BO195+BP295*BP195+BQ295*BQ195+BR295*BR195+BS295*BS195+BT295*BT195+BU295*BU195+BV295*BV195+BW295*BW195+BX295*BX195+BY295*BY195+BZ295*BZ195+CA295*CA195+CB295*CB195+CC295*CC195+CD295*CD195+CE295*CE195+CF295*CF195+CG295*CG195+CH295*CH195+CI295*CI195+CJ295*CJ195+CK295*CK195+CL295*CL195+CM295*CM195+CN295*CN195+CO295*CO195+CP295*CP195+CQ295*CQ195+CR295*CR195+CS295*CS195+CT295*CT195+CU295*CU195</f>
        <v>0</v>
      </c>
      <c r="DG195" s="2840">
        <f>E296*E195+F296*F195+G296*G195+H296*H195+I296*I195+J296*J195+K296*K195+L296*L195+M296*M195+N296*N195+O296*O195+P296*P195+Q296*Q195+R296*R195+S296*S195+T296*T195+U296*U195+V296*V195+W296*W195+X296*X195+Y296*Y195+Z296*Z195+AA296*AA195+AB296*AB195+AC296*AC195+AD296*AD195+AE296*AE195+AF296*AF195+AG296*AG195+AH296*AH195+AI296*AI195+AJ296*AJ195+AK296*AK195+AL296*AL195+AM296*AM195+AN296*AN195+AO296*AO195+AP296*AP195+AQ296*AQ195+AR296*AR195+AS296*AS195+AT296*AT195+AU296*AU195+AV296*AV195+AW296*AW195+AX296*AX195+AY296*AY195+AZ296*AZ195+BA296*BA195+BB296*BB195+BC296*BC195+BD296*BD195+BE296*BE195+BF296*BF195+BG296*BG195+BH296*BH195+BI296*BI195+BJ296*BJ195+BK296*BK195+BL296*BL195+BM296*BM195+BN296*BN195+BO296*BO195+BP296*BP195+BQ296*BQ195+BR296*BR195+BS296*BS195+BT296*BT195+BU296*BU195+BV296*BV195+BW296*BW195+BX296*BX195+BY296*BY195+BZ296*BZ195+CA296*CA195+CB296*CB195+CC296*CC195+CD296*CD195+CE296*CE195+CF296*CF195+CG296*CG195+CH296*CH195+CI296*CI195+CJ296*CJ195+CK296*CK195+CL296*CL195+CM296*CM195+CN296*CN195+CO296*CO195+CP296*CP195+CQ296*CQ195+CR296*CR195+CS296*CS195+CT296*CT195+CU296*CU195</f>
        <v>0</v>
      </c>
      <c r="DH195" s="2840">
        <f>E297*E195+F297*F195+G297*G195+H297*H195+I297*I195+J297*J195+K297*K195+L297*L195+M297*M195+N297*N195+O297*O195+P297*P195+Q297*Q195+R297*R195+S297*S195+T297*T195+U297*U195+V297*V195+W297*W195+X297*X195+Y297*Y195+Z297*Z195+AA297*AA195+AB297*AB195+AC297*AC195+AD297*AD195+AE297*AE195+AF297*AF195+AG297*AG195+AH297*AH195+AI297*AI195+AJ297*AJ195+AK297*AK195+AL297*AL195+AM297*AM195+AN297*AN195+AO297*AO195+AP297*AP195+AQ297*AQ195+AR297*AR195+AS297*AS195+AT297*AT195+AU297*AU195+AV297*AV195+AW297*AW195+AX297*AX195+AY297*AY195+AZ297*AZ195+BA297*BA195+BB297*BB195+BC297*BC195+BD297*BD195+BE297*BE195+BF297*BF195+BG297*BG195+BH297*BH195+BI297*BI195+BJ297*BJ195+BK297*BK195+BL297*BL195+BM297*BM195+BN297*BN195+BO297*BO195+BP297*BP195+BQ297*BQ195+BR297*BR195+BS297*BS195+BT297*BT195+BU297*BU195+BV297*BV195+BW297*BW195+BX297*BX195+BY297*BY195+BZ297*BZ195+CA297*CA195+CB297*CB195+CC297*CC195+CD297*CD195+CE297*CE195+CF297*CF195+CG297*CG195+CH297*CH195+CI297*CI195+CJ297*CJ195+CK297*CK195+CL297*CL195+CM297*CM195+CN297*CN195+CO297*CO195+CP297*CP195+CQ297*CQ195+CR297*CR195+CS297*CS195+CT297*CT195+CU297*CU195</f>
        <v>0</v>
      </c>
      <c r="DI195" s="2840">
        <f>E298*E195+F298*F195+G298*G195+H298*H195+I298*I195+J298*J195+K298*K195+L298*L195+M298*M195+N298*N195+O298*O195+P298*P195+Q298*Q195+R298*R195+S298*S195+T298*T195+U298*U195+V298*V195+W298*W195+X298*X195+Y298*Y195+Z298*Z195+AA298*AA195+AB298*AB195+AC298*AC195+AD298*AD195+AE298*AE195+AF298*AF195+AG298*AG195+AH298*AH195+AI298*AI195+AJ298*AJ195+AK298*AK195+AL298*AL195+AM298*AM195+AN298*AN195+AO298*AO195+AP298*AP195+AQ298*AQ195+AR298*AR195+AS298*AS195+AT298*AT195+AU298*AU195+AV298*AV195+AW298*AW195+AX298*AX195+AY298*AY195+AZ298*AZ195+BA298*BA195+BB298*BB195+BC298*BC195+BD298*BD195+BE298*BE195+BF298*BF195+BG298*BG195+BH298*BH195+BI298*BI195+BJ298*BJ195+BK298*BK195+BL298*BL195+BM298*BM195+BN298*BN195+BO298*BO195+BP298*BP195+BQ298*BQ195+BR298*BR195+BS298*BS195+BT298*BT195+BU298*BU195+BV298*BV195+BW298*BW195+BX298*BX195+BY298*BY195+BZ298*BZ195+CA298*CA195+CB298*CB195+CC298*CC195+CD298*CD195+CE298*CE195+CF298*CF195+CG298*CG195+CH298*CH195+CI298*CI195+CJ298*CJ195+CK298*CK195+CL298*CL195+CM298*CM195+CN298*CN195+CO298*CO195+CP298*CP195+CQ298*CQ195+CR298*CR195+CS298*CS195+CT298*CT195+CU298*CU195</f>
        <v>0</v>
      </c>
    </row>
    <row r="196" spans="2:113" ht="18" x14ac:dyDescent="0.25">
      <c r="B196" s="2498">
        <v>43</v>
      </c>
      <c r="C196" s="2420" t="s">
        <v>4904</v>
      </c>
      <c r="D196" s="2421" t="s">
        <v>2219</v>
      </c>
      <c r="E196" s="3115">
        <f>0</f>
        <v>0</v>
      </c>
      <c r="F196" s="3115">
        <f>0</f>
        <v>0</v>
      </c>
      <c r="G196" s="3115">
        <f>0</f>
        <v>0</v>
      </c>
      <c r="H196" s="3115">
        <f>0</f>
        <v>0</v>
      </c>
      <c r="I196" s="3115">
        <f>0</f>
        <v>0</v>
      </c>
      <c r="J196" s="3115">
        <f>0</f>
        <v>0</v>
      </c>
      <c r="K196" s="3115">
        <f>0</f>
        <v>0</v>
      </c>
      <c r="L196" s="3115">
        <f>0</f>
        <v>0</v>
      </c>
      <c r="M196" s="3115">
        <f>0</f>
        <v>0</v>
      </c>
      <c r="N196" s="3115">
        <f>0</f>
        <v>0</v>
      </c>
      <c r="O196" s="3115">
        <f>0</f>
        <v>0</v>
      </c>
      <c r="P196" s="3115">
        <f>0</f>
        <v>0</v>
      </c>
      <c r="Q196" s="3115">
        <f>0</f>
        <v>0</v>
      </c>
      <c r="R196" s="3115">
        <f>0</f>
        <v>0</v>
      </c>
      <c r="S196" s="3115">
        <f>0</f>
        <v>0</v>
      </c>
      <c r="T196" s="3115">
        <f>0</f>
        <v>0</v>
      </c>
      <c r="U196" s="3115">
        <f>0</f>
        <v>0</v>
      </c>
      <c r="V196" s="3115">
        <f>0</f>
        <v>0</v>
      </c>
      <c r="W196" s="3115">
        <f>1</f>
        <v>1</v>
      </c>
      <c r="X196" s="3115">
        <f>0</f>
        <v>0</v>
      </c>
      <c r="Y196" s="3115">
        <f>0</f>
        <v>0</v>
      </c>
      <c r="Z196" s="3115">
        <f>0</f>
        <v>0</v>
      </c>
      <c r="AA196" s="3115">
        <f>0</f>
        <v>0</v>
      </c>
      <c r="AB196" s="3115">
        <f>0</f>
        <v>0</v>
      </c>
      <c r="AC196" s="3115">
        <f>0</f>
        <v>0</v>
      </c>
      <c r="AD196" s="3115">
        <f>-(3*i_N_BIO*A_MO+2*A_MN)/(5*Y_AMX_NO3+3-3*Y_AMX_NO2)/A_MO</f>
        <v>-5.7673622319660547</v>
      </c>
      <c r="AE196" s="3115">
        <f>-Y_AMX_NO2/(5*Y_AMX_NO3+3-3*Y_AMX_NO2)*(3*i_N_BIO*A_MO+2*A_MN)/A_MO</f>
        <v>-7.6129181461951925</v>
      </c>
      <c r="AF196" s="3115">
        <f>Y_AMX_NO3/(5*Y_AMX_NO3+3-3*Y_AMX_NO2)*(3*i_N_BIO*A_MO+2*A_MN)/A_MO</f>
        <v>1.4995141803111742</v>
      </c>
      <c r="AG196" s="3115">
        <f>2*(Y_AMX_NO3*A_MN-1*A_MN-1*Y_AMX_NO2*A_MN+4*Y_AMX_NO3*i_N_BIO*A_MO-3*Y_AMX_NO2*i_N_BIO*A_MO)/A_MO/(3*Y_AMX_NO2-5*Y_AMX_NO3-3)</f>
        <v>11.810766197850072</v>
      </c>
      <c r="AH196" s="3115">
        <f>0</f>
        <v>0</v>
      </c>
      <c r="AI196" s="3115">
        <f>0</f>
        <v>0</v>
      </c>
      <c r="AJ196" s="3115">
        <f>0</f>
        <v>0</v>
      </c>
      <c r="AK196" s="3115">
        <f>0</f>
        <v>0</v>
      </c>
      <c r="AL196" s="3115">
        <f>-i_P_BIO</f>
        <v>-0.02</v>
      </c>
      <c r="AM196" s="3115">
        <f>0</f>
        <v>0</v>
      </c>
      <c r="AN196" s="3115">
        <f>0</f>
        <v>0</v>
      </c>
      <c r="AO196" s="3115">
        <f>0</f>
        <v>0</v>
      </c>
      <c r="AP196" s="3115">
        <f>0</f>
        <v>0</v>
      </c>
      <c r="AQ196" s="3115">
        <f>0</f>
        <v>0</v>
      </c>
      <c r="AR196" s="3115">
        <f>0</f>
        <v>0</v>
      </c>
      <c r="AS196" s="3115">
        <f>0</f>
        <v>0</v>
      </c>
      <c r="AT196" s="3115">
        <f>0</f>
        <v>0</v>
      </c>
      <c r="AU196" s="3115">
        <f>-i_CIT_BIO</f>
        <v>-0.35199999999999998</v>
      </c>
      <c r="AV196" s="3115">
        <f>i_INORG</f>
        <v>0.11</v>
      </c>
      <c r="AW196" s="3115">
        <f>-i_INORG*(1-i_Ca_INORG*(A_MCa+2*A_MCl)/A_MCa-i_Mg_INORG*(A_MMg+2*A_MCl)/A_MMg)*f_Na</f>
        <v>-2.8804303582798466E-2</v>
      </c>
      <c r="AX196" s="3115">
        <f>-i_INORG*(i_Ca_INORG*(2*A_MCl)/A_MCa+i_Mg_INORG*(2*A_MCl)/A_MMg)-i_INORG*(1-i_Ca_INORG*(A_MCa+2*A_MCl)/A_MCa-i_Mg_INORG*(A_MMg+2*A_MCl)/A_MMg)*(1-f_Na)</f>
        <v>-7.0195696417201539E-2</v>
      </c>
      <c r="AY196" s="3115">
        <f>-i_INORG*i_Ca_INORG</f>
        <v>-5.5000000000000005E-3</v>
      </c>
      <c r="AZ196" s="3115">
        <f>-i_INORG*i_Mg_INORG</f>
        <v>-5.5000000000000005E-3</v>
      </c>
      <c r="BA196" s="3115">
        <f>0</f>
        <v>0</v>
      </c>
      <c r="BB196" s="3115">
        <f>0</f>
        <v>0</v>
      </c>
      <c r="BC196" s="3115">
        <f>-i_S_BIO</f>
        <v>-0.01</v>
      </c>
      <c r="BD196" s="3115">
        <f>0</f>
        <v>0</v>
      </c>
      <c r="BE196" s="3115">
        <f>0</f>
        <v>0</v>
      </c>
      <c r="BF196" s="3115">
        <f>0</f>
        <v>0</v>
      </c>
      <c r="BG196" s="3115">
        <f>0</f>
        <v>0</v>
      </c>
      <c r="BH196" s="3115">
        <f>0</f>
        <v>0</v>
      </c>
      <c r="BI196" s="3115">
        <f>0</f>
        <v>0</v>
      </c>
      <c r="BJ196" s="3115">
        <f>0</f>
        <v>0</v>
      </c>
      <c r="BK196" s="3115">
        <f>0</f>
        <v>0</v>
      </c>
      <c r="BL196" s="3115">
        <f>0</f>
        <v>0</v>
      </c>
      <c r="BM196" s="3115">
        <f>0</f>
        <v>0</v>
      </c>
      <c r="BN196" s="3115">
        <f>0</f>
        <v>0</v>
      </c>
      <c r="BO196" s="3115">
        <f>0</f>
        <v>0</v>
      </c>
      <c r="BP196" s="3115">
        <f>0</f>
        <v>0</v>
      </c>
      <c r="BQ196" s="3115">
        <f>0</f>
        <v>0</v>
      </c>
      <c r="BR196" s="3115">
        <f>0</f>
        <v>0</v>
      </c>
      <c r="BS196" s="3115">
        <f>0</f>
        <v>0</v>
      </c>
      <c r="BT196" s="3115">
        <f>0</f>
        <v>0</v>
      </c>
      <c r="BU196" s="3115">
        <f>0</f>
        <v>0</v>
      </c>
      <c r="BV196" s="3115">
        <f>0</f>
        <v>0</v>
      </c>
      <c r="BW196" s="3115">
        <f>0</f>
        <v>0</v>
      </c>
      <c r="BX196" s="3115">
        <f>0</f>
        <v>0</v>
      </c>
      <c r="BY196" s="3115">
        <f>0</f>
        <v>0</v>
      </c>
      <c r="BZ196" s="3179">
        <f>0</f>
        <v>0</v>
      </c>
      <c r="CA196" s="3179">
        <f>0</f>
        <v>0</v>
      </c>
      <c r="CB196" s="3179">
        <f>0</f>
        <v>0</v>
      </c>
      <c r="CC196" s="3179">
        <f>0</f>
        <v>0</v>
      </c>
      <c r="CD196" s="3115">
        <f>0</f>
        <v>0</v>
      </c>
      <c r="CE196" s="3115">
        <f>0</f>
        <v>0</v>
      </c>
      <c r="CF196" s="3115">
        <f>0</f>
        <v>0</v>
      </c>
      <c r="CG196" s="3115">
        <f>0</f>
        <v>0</v>
      </c>
      <c r="CH196" s="3115">
        <f>0</f>
        <v>0</v>
      </c>
      <c r="CI196" s="3115">
        <f>0</f>
        <v>0</v>
      </c>
      <c r="CJ196" s="3115">
        <f>0</f>
        <v>0</v>
      </c>
      <c r="CK196" s="3115">
        <f>0</f>
        <v>0</v>
      </c>
      <c r="CL196" s="3115">
        <f>0</f>
        <v>0</v>
      </c>
      <c r="CM196" s="3115">
        <f>0</f>
        <v>0</v>
      </c>
      <c r="CN196" s="3115">
        <f>0</f>
        <v>0</v>
      </c>
      <c r="CO196" s="3115">
        <f>0</f>
        <v>0</v>
      </c>
      <c r="CP196" s="3115">
        <f>0</f>
        <v>0</v>
      </c>
      <c r="CQ196" s="3115">
        <f>0</f>
        <v>0</v>
      </c>
      <c r="CR196" s="3115">
        <f>0</f>
        <v>0</v>
      </c>
      <c r="CS196" s="3115">
        <f>0</f>
        <v>0</v>
      </c>
      <c r="CT196" s="3115">
        <f>0</f>
        <v>0</v>
      </c>
      <c r="CU196" s="3115">
        <f>0</f>
        <v>0</v>
      </c>
      <c r="CV196" s="3224">
        <f>µ_AMX_T*X_AMX*M_satSNHx_KNHx_AMX*M_satSNO2_KNO2_AMX*M_inhSO2_KiO2_AMX*L_ogsatpHCO2_AMX*M_satSPO4_KPO4_BIO*M_satSCAT_KCAT*M_satSAN_KAN*M_satSCa_KCa*M_satSMg_KMg*M_satSSO4_KSO4_BIO*B_ellinhpH*M_inhpHHNO2_AMX</f>
        <v>5.0119755497400598E-4</v>
      </c>
      <c r="CX196" s="2838">
        <f>E287*E196+F287*F196+G287*G196+H287*H196+I287*I196+J287*J196+K287*K196+L287*L196+M287*M196+N287*N196+O287*O196+P287*P196+Q287*Q196+R287*R196+S287*S196+T287*T196+U287*U196+V287*V196+W287*W196+X287*X196+Y287*Y196+Z287*Z196+AA287*AA196+AB287*AB196+AC287*AC196+AD287*AD196+AE287*AE196+AF287*AF196+AG287*AG196+AH287*AH196+AI287*AI196+AJ287*AJ196+AK287*AK196+AL287*AL196+AM287*AM196+AN287*AN196+AO287*AO196+AP287*AP196+AQ287*AQ196+AR287*AR196+AS287*AS196+AT287*AT196+AU287*AU196+AV287*AV196+AW287*AW196+AX287*AX196+AY287*AY196+AZ287*AZ196+BA287*BA196+BB287*BB196+BC287*BC196+BD287*BD196+BE287*BE196+BF287*BF196+BG287*BG196+BH287*BH196+BI287*BI196+BJ287*BJ196+BK287*BK196+BL287*BL196+BM287*BM196+BN287*BN196+BO287*BO196+BP287*BP196+BQ287*BQ196+BR287*BR196+BS287*BS196+BT287*BT196+BU287*BU196+BV287*BV196+BW287*BW196+BX287*BX196+BY287*BY196+BZ287*BZ196+CA287*CA196+CB287*CB196+CC287*CC196+CD287*CD196+CE287*CE196+CF287*CF196+CG287*CG196+CH287*CH196+CI287*CI196+CJ287*CJ196+CK287*CK196+CL287*CL196+CM287*CM196+CN287*CN196+CO287*CO196+CP287*CP196+CQ287*CQ196+CR287*CR196+CS287*CS196+CT287*CT196+CU287*CU196</f>
        <v>3.5527136788005009E-15</v>
      </c>
      <c r="CY196" s="2838">
        <f>E288*E196+F288*F196+G288*G196+H288*H196+I288*I196+J288*J196+K288*K196+L288*L196+M288*M196+N288*N196+O288*O196+P288*P196+Q288*Q196+R288*R196+S288*S196+T288*T196+U288*U196+V288*V196+W288*W196+X288*X196+Y288*Y196+Z288*Z196+AA288*AA196+AB288*AB196+AC288*AC196+AD288*AD196+AE288*AE196+AF288*AF196+AG288*AG196+AH288*AH196+AI288*AI196+AJ288*AJ196+AK288*AK196+AL288*AL196+AM288*AM196+AN288*AN196+AO288*AO196+AP288*AP196+AQ288*AQ196+AR288*AR196+AS288*AS196+AT288*AT196+AU288*AU196+AV288*AV196+AW288*AW196+AX288*AX196+AY288*AY196+AZ288*AZ196+BA288*BA196+BB288*BB196+BC288*BC196+BD288*BD196+BE288*BE196+BF288*BF196+BG288*BG196+BH288*BH196+BI288*BI196+BJ288*BJ196+BK288*BK196+BL288*BL196+BM288*BM196+BN288*BN196+BO288*BO196+BP288*BP196+BQ288*BQ196+BR288*BR196+BS288*BS196+BT288*BT196+BU288*BU196+BV288*BV196+BW288*BW196+BX288*BX196+BY288*BY196+BZ288*BZ196+CA288*CA196+CB288*CB196+CC288*CC196+CD288*CD196+CE288*CE196+CF288*CF196+CG288*CG196+CH288*CH196+CI288*CI196+CJ288*CJ196+CK288*CK196+CL288*CL196+CM288*CM196+CN288*CN196+CO288*CO196+CP288*CP196+CQ288*CQ196+CR288*CR196+CS288*CS196+CT288*CT196+CU288*CU196</f>
        <v>0</v>
      </c>
      <c r="CZ196" s="2839">
        <f>E289*E196+F289*F196+G289*G196+H289*H196+I289*I196+J289*J196+K289*K196+L289*L196+M289*M196+N289*N196+O289*O196+P289*P196+Q289*Q196+R289*R196+S289*S196+T289*T196+U289*U196+V289*V196+W289*W196+X289*X196+Y289*Y196+Z289*Z196+AA289*AA196+AB289*AB196+AC289*AC196+AD289*AD196+AE289*AE196+AF289*AF196+AG289*AG196+AH289*AH196+AI289*AI196+AJ289*AJ196+AK289*AK196+AL289*AL196+AM289*AM196+AN289*AN196+AO289*AO196+AP289*AP196+AQ289*AQ196+AR289*AR196+AS289*AS196+AT289*AT196+AU289*AU196+AV289*AV196+AW289*AW196+AX289*AX196+AY289*AY196+AZ289*AZ196+BA289*BA196+BB289*BB196+BC289*BC196+BD289*BD196+BE289*BE196+BF289*BF196+BG289*BG196+BH289*BH196+BI289*BI196+BJ289*BJ196+BK289*BK196+BL289*BL196+BM289*BM196+BN289*BN196+BO289*BO196+BP289*BP196+BQ289*BQ196+BR289*BR196+BS289*BS196+BT289*BT196+BU289*BU196+BV289*BV196+BW289*BW196+BX289*BX196+BY289*BY196+BZ289*BZ196+CA289*CA196+CB289*CB196+CC289*CC196+CD289*CD196+CE289*CE196+CF289*CF196+CG289*CG196+CH289*CH196+CI289*CI196+CJ289*CJ196+CK289*CK196+CL289*CL196+CM289*CM196+CN289*CN196+CO289*CO196+CP289*CP196+CQ289*CQ196+CR289*CR196+CS289*CS196+CT289*CT196+CU289*CU196</f>
        <v>-1.7763568394002505E-15</v>
      </c>
      <c r="DA196" s="2840">
        <f>E290*E196+F290*F196+G290*G196+H290*H196+I290*I196+J290*J196+K290*K196+L290*L196+M290*M196+N290*N196+O290*O196+P290*P196+Q290*Q196+R290*R196+S290*S196+T290*T196+U290*U196+V290*V196+W290*W196+X290*X196+Y290*Y196+Z290*Z196+AA290*AA196+AB290*AB196+AC290*AC196+AD290*AD196+AE290*AE196+AF290*AF196+AG290*AG196+AH290*AH196+AI290*AI196+AJ290*AJ196+AK290*AK196+AL290*AL196+AM290*AM196+AN290*AN196+AO290*AO196+AP290*AP196+AQ290*AQ196+AR290*AR196+AS290*AS196+AT290*AT196+AU290*AU196+AV290*AV196+AW290*AW196+AX290*AX196+AY290*AY196+AZ290*AZ196+BA290*BA196+BB290*BB196+BC290*BC196+BD290*BD196+BE290*BE196+BF290*BF196+BG290*BG196+BH290*BH196+BI290*BI196+BJ290*BJ196+BK290*BK196+BL290*BL196+BM290*BM196+BN290*BN196+BO290*BO196+BP290*BP196+BQ290*BQ196+BR290*BR196+BS290*BS196+BT290*BT196+BU290*BU196+BV290*BV196+BW290*BW196+BX290*BX196+BY290*BY196+BZ290*BZ196+CA290*CA196+CB290*CB196+CC290*CC196+CD290*CD196+CE290*CE196+CF290*CF196+CG290*CG196+CH290*CH196+CI290*CI196+CJ290*CJ196+CK290*CK196+CL290*CL196+CM290*CM196+CN290*CN196+CO290*CO196+CP290*CP196+CQ290*CQ196+CR290*CR196+CS290*CS196+CT290*CT196+CU290*CU196</f>
        <v>0</v>
      </c>
      <c r="DB196" s="2840">
        <f>E291*E196+F291*F196+G291*G196+H291*H196+I291*I196+J291*J196+K291*K196+L291*L196+M291*M196+N291*N196+O291*O196+P291*P196+Q291*Q196+R291*R196+S291*S196+T291*T196+U291*U196+V291*V196+W291*W196+X291*X196+Y291*Y196+Z291*Z196+AA291*AA196+AB291*AB196+AC291*AC196+AD291*AD196+AE291*AE196+AF291*AF196+AG291*AG196+AH291*AH196+AI291*AI196+AJ291*AJ196+AK291*AK196+AL291*AL196+AM291*AM196+AN291*AN196+AO291*AO196+AP291*AP196+AQ291*AQ196+AR291*AR196+AS291*AS196+AT291*AT196+AU291*AU196+AV291*AV196+AW291*AW196+AX291*AX196+AY291*AY196+AZ291*AZ196+BA291*BA196+BB291*BB196+BC291*BC196+BD291*BD196+BE291*BE196+BF291*BF196+BG291*BG196+BH291*BH196+BI291*BI196+BJ291*BJ196+BK291*BK196+BL291*BL196+BM291*BM196+BN291*BN196+BO291*BO196+BP291*BP196+BQ291*BQ196+BR291*BR196+BS291*BS196+BT291*BT196+BU291*BU196+BV291*BV196+BW291*BW196+BX291*BX196+BY291*BY196+BZ291*BZ196+CA291*CA196+CB291*CB196+CC291*CC196+CD291*CD196+CE291*CE196+CF291*CF196+CG291*CG196+CH291*CH196+CI291*CI196+CJ291*CJ196+CK291*CK196+CL291*CL196+CM291*CM196+CN291*CN196+CO291*CO196+CP291*CP196+CQ291*CQ196+CR291*CR196+CS291*CS196+CT291*CT196+CU291*CU196</f>
        <v>0</v>
      </c>
      <c r="DC196" s="2840">
        <f>E292*E196+F292*F196+G292*G196+H292*H196+I292*I196+J292*J196+K292*K196+L292*L196+M292*M196+N292*N196+O292*O196+P292*P196+Q292*Q196+R292*R196+S292*S196+T292*T196+U292*U196+V292*V196+W292*W196+X292*X196+Y292*Y196+Z292*Z196+AA292*AA196+AB292*AB196+AC292*AC196+AD292*AD196+AE292*AE196+AF292*AF196+AG292*AG196+AH292*AH196+AI292*AI196+AJ292*AJ196+AK292*AK196+AL292*AL196+AM292*AM196+AN292*AN196+AO292*AO196+AP292*AP196+AQ292*AQ196+AR292*AR196+AS292*AS196+AT292*AT196+AU292*AU196+AV292*AV196+AW292*AW196+AX292*AX196+AY292*AY196+AZ292*AZ196+BA292*BA196+BB292*BB196+BC292*BC196+BD292*BD196+BE292*BE196+BF292*BF196+BG292*BG196+BH292*BH196+BI292*BI196+BJ292*BJ196+BK292*BK196+BL292*BL196+BM292*BM196+BN292*BN196+BO292*BO196+BP292*BP196+BQ292*BQ196+BR292*BR196+BS292*BS196+BT292*BT196+BU292*BU196+BV292*BV196+BW292*BW196+BX292*BX196+BY292*BY196+BZ292*BZ196+CA292*CA196+CB292*CB196+CC292*CC196+CD292*CD196+CE292*CE196+CF292*CF196+CG292*CG196+CH292*CH196+CI292*CI196+CJ292*CJ196+CK292*CK196+CL292*CL196+CM292*CM196+CN292*CN196+CO292*CO196+CP292*CP196+CQ292*CQ196+CR292*CR196+CS292*CS196+CT292*CT196+CU292*CU196</f>
        <v>0</v>
      </c>
      <c r="DD196" s="2840">
        <f>E293*E196+F293*F196+G293*G196+H293*H196+I293*I196+J293*J196+K293*K196+L293*L196+M293*M196+N293*N196+O293*O196+P293*P196+Q293*Q196+R293*R196+S293*S196+T293*T196+U293*U196+V293*V196+W293*W196+X293*X196+Y293*Y196+Z293*Z196+AA293*AA196+AB293*AB196+AC293*AC196+AD293*AD196+AE293*AE196+AF293*AF196+AG293*AG196+AH293*AH196+AI293*AI196+AJ293*AJ196+AK293*AK196+AL293*AL196+AM293*AM196+AN293*AN196+AO293*AO196+AP293*AP196+AQ293*AQ196+AR293*AR196+AS293*AS196+AT293*AT196+AU293*AU196+AV293*AV196+AW293*AW196+AX293*AX196+AY293*AY196+AZ293*AZ196+BA293*BA196+BB293*BB196+BC293*BC196+BD293*BD196+BE293*BE196+BF293*BF196+BG293*BG196+BH293*BH196+BI293*BI196+BJ293*BJ196+BK293*BK196+BL293*BL196+BM293*BM196+BN293*BN196+BO293*BO196+BP293*BP196+BQ293*BQ196+BR293*BR196+BS293*BS196+BT293*BT196+BU293*BU196+BV293*BV196+BW293*BW196+BX293*BX196+BY293*BY196+BZ293*BZ196+CA293*CA196+CB293*CB196+CC293*CC196+CD293*CD196+CE293*CE196+CF293*CF196+CG293*CG196+CH293*CH196+CI293*CI196+CJ293*CJ196+CK293*CK196+CL293*CL196+CM293*CM196+CN293*CN196+CO293*CO196+CP293*CP196+CQ293*CQ196+CR293*CR196+CS293*CS196+CT293*CT196+CU293*CU196</f>
        <v>0</v>
      </c>
      <c r="DE196" s="2840">
        <f>E294*E196+F294*F196+G294*G196+H294*H196+I294*I196+J294*J196+K294*K196+L294*L196+M294*M196+N294*N196+O294*O196+P294*P196+Q294*Q196+R294*R196+S294*S196+T294*T196+U294*U196+V294*V196+W294*W196+X294*X196+Y294*Y196+Z294*Z196+AA294*AA196+AB294*AB196+AC294*AC196+AD294*AD196+AE294*AE196+AF294*AF196+AG294*AG196+AH294*AH196+AI294*AI196+AJ294*AJ196+AK294*AK196+AL294*AL196+AM294*AM196+AN294*AN196+AO294*AO196+AP294*AP196+AQ294*AQ196+AR294*AR196+AS294*AS196+AT294*AT196+AU294*AU196+AV294*AV196+AW294*AW196+AX294*AX196+AY294*AY196+AZ294*AZ196+BA294*BA196+BB294*BB196+BC294*BC196+BD294*BD196+BE294*BE196+BF294*BF196+BG294*BG196+BH294*BH196+BI294*BI196+BJ294*BJ196+BK294*BK196+BL294*BL196+BM294*BM196+BN294*BN196+BO294*BO196+BP294*BP196+BQ294*BQ196+BR294*BR196+BS294*BS196+BT294*BT196+BU294*BU196+BV294*BV196+BW294*BW196+BX294*BX196+BY294*BY196+BZ294*BZ196+CA294*CA196+CB294*CB196+CC294*CC196+CD294*CD196+CE294*CE196+CF294*CF196+CG294*CG196+CH294*CH196+CI294*CI196+CJ294*CJ196+CK294*CK196+CL294*CL196+CM294*CM196+CN294*CN196+CO294*CO196+CP294*CP196+CQ294*CQ196+CR294*CR196+CS294*CS196+CT294*CT196+CU294*CU196</f>
        <v>0</v>
      </c>
      <c r="DF196" s="2840">
        <f>E295*E196+F295*F196+G295*G196+H295*H196+I295*I196+J295*J196+K295*K196+L295*L196+M295*M196+N295*N196+O295*O196+P295*P196+Q295*Q196+R295*R196+S295*S196+T295*T196+U295*U196+V295*V196+W295*W196+X295*X196+Y295*Y196+Z295*Z196+AA295*AA196+AB295*AB196+AC295*AC196+AD295*AD196+AE295*AE196+AF295*AF196+AG295*AG196+AH295*AH196+AI295*AI196+AJ295*AJ196+AK295*AK196+AL295*AL196+AM295*AM196+AN295*AN196+AO295*AO196+AP295*AP196+AQ295*AQ196+AR295*AR196+AS295*AS196+AT295*AT196+AU295*AU196+AV295*AV196+AW295*AW196+AX295*AX196+AY295*AY196+AZ295*AZ196+BA295*BA196+BB295*BB196+BC295*BC196+BD295*BD196+BE295*BE196+BF295*BF196+BG295*BG196+BH295*BH196+BI295*BI196+BJ295*BJ196+BK295*BK196+BL295*BL196+BM295*BM196+BN295*BN196+BO295*BO196+BP295*BP196+BQ295*BQ196+BR295*BR196+BS295*BS196+BT295*BT196+BU295*BU196+BV295*BV196+BW295*BW196+BX295*BX196+BY295*BY196+BZ295*BZ196+CA295*CA196+CB295*CB196+CC295*CC196+CD295*CD196+CE295*CE196+CF295*CF196+CG295*CG196+CH295*CH196+CI295*CI196+CJ295*CJ196+CK295*CK196+CL295*CL196+CM295*CM196+CN295*CN196+CO295*CO196+CP295*CP196+CQ295*CQ196+CR295*CR196+CS295*CS196+CT295*CT196+CU295*CU196</f>
        <v>0</v>
      </c>
      <c r="DG196" s="2840">
        <f>E296*E196+F296*F196+G296*G196+H296*H196+I296*I196+J296*J196+K296*K196+L296*L196+M296*M196+N296*N196+O296*O196+P296*P196+Q296*Q196+R296*R196+S296*S196+T296*T196+U296*U196+V296*V196+W296*W196+X296*X196+Y296*Y196+Z296*Z196+AA296*AA196+AB296*AB196+AC296*AC196+AD296*AD196+AE296*AE196+AF296*AF196+AG296*AG196+AH296*AH196+AI296*AI196+AJ296*AJ196+AK296*AK196+AL296*AL196+AM296*AM196+AN296*AN196+AO296*AO196+AP296*AP196+AQ296*AQ196+AR296*AR196+AS296*AS196+AT296*AT196+AU296*AU196+AV296*AV196+AW296*AW196+AX296*AX196+AY296*AY196+AZ296*AZ196+BA296*BA196+BB296*BB196+BC296*BC196+BD296*BD196+BE296*BE196+BF296*BF196+BG296*BG196+BH296*BH196+BI296*BI196+BJ296*BJ196+BK296*BK196+BL296*BL196+BM296*BM196+BN296*BN196+BO296*BO196+BP296*BP196+BQ296*BQ196+BR296*BR196+BS296*BS196+BT296*BT196+BU296*BU196+BV296*BV196+BW296*BW196+BX296*BX196+BY296*BY196+BZ296*BZ196+CA296*CA196+CB296*CB196+CC296*CC196+CD296*CD196+CE296*CE196+CF296*CF196+CG296*CG196+CH296*CH196+CI296*CI196+CJ296*CJ196+CK296*CK196+CL296*CL196+CM296*CM196+CN296*CN196+CO296*CO196+CP296*CP196+CQ296*CQ196+CR296*CR196+CS296*CS196+CT296*CT196+CU296*CU196</f>
        <v>0</v>
      </c>
      <c r="DH196" s="2840">
        <f>E297*E196+F297*F196+G297*G196+H297*H196+I297*I196+J297*J196+K297*K196+L297*L196+M297*M196+N297*N196+O297*O196+P297*P196+Q297*Q196+R297*R196+S297*S196+T297*T196+U297*U196+V297*V196+W297*W196+X297*X196+Y297*Y196+Z297*Z196+AA297*AA196+AB297*AB196+AC297*AC196+AD297*AD196+AE297*AE196+AF297*AF196+AG297*AG196+AH297*AH196+AI297*AI196+AJ297*AJ196+AK297*AK196+AL297*AL196+AM297*AM196+AN297*AN196+AO297*AO196+AP297*AP196+AQ297*AQ196+AR297*AR196+AS297*AS196+AT297*AT196+AU297*AU196+AV297*AV196+AW297*AW196+AX297*AX196+AY297*AY196+AZ297*AZ196+BA297*BA196+BB297*BB196+BC297*BC196+BD297*BD196+BE297*BE196+BF297*BF196+BG297*BG196+BH297*BH196+BI297*BI196+BJ297*BJ196+BK297*BK196+BL297*BL196+BM297*BM196+BN297*BN196+BO297*BO196+BP297*BP196+BQ297*BQ196+BR297*BR196+BS297*BS196+BT297*BT196+BU297*BU196+BV297*BV196+BW297*BW196+BX297*BX196+BY297*BY196+BZ297*BZ196+CA297*CA196+CB297*CB196+CC297*CC196+CD297*CD196+CE297*CE196+CF297*CF196+CG297*CG196+CH297*CH196+CI297*CI196+CJ297*CJ196+CK297*CK196+CL297*CL196+CM297*CM196+CN297*CN196+CO297*CO196+CP297*CP196+CQ297*CQ196+CR297*CR196+CS297*CS196+CT297*CT196+CU297*CU196</f>
        <v>0</v>
      </c>
      <c r="DI196" s="2840">
        <f>E298*E196+F298*F196+G298*G196+H298*H196+I298*I196+J298*J196+K298*K196+L298*L196+M298*M196+N298*N196+O298*O196+P298*P196+Q298*Q196+R298*R196+S298*S196+T298*T196+U298*U196+V298*V196+W298*W196+X298*X196+Y298*Y196+Z298*Z196+AA298*AA196+AB298*AB196+AC298*AC196+AD298*AD196+AE298*AE196+AF298*AF196+AG298*AG196+AH298*AH196+AI298*AI196+AJ298*AJ196+AK298*AK196+AL298*AL196+AM298*AM196+AN298*AN196+AO298*AO196+AP298*AP196+AQ298*AQ196+AR298*AR196+AS298*AS196+AT298*AT196+AU298*AU196+AV298*AV196+AW298*AW196+AX298*AX196+AY298*AY196+AZ298*AZ196+BA298*BA196+BB298*BB196+BC298*BC196+BD298*BD196+BE298*BE196+BF298*BF196+BG298*BG196+BH298*BH196+BI298*BI196+BJ298*BJ196+BK298*BK196+BL298*BL196+BM298*BM196+BN298*BN196+BO298*BO196+BP298*BP196+BQ298*BQ196+BR298*BR196+BS298*BS196+BT298*BT196+BU298*BU196+BV298*BV196+BW298*BW196+BX298*BX196+BY298*BY196+BZ298*BZ196+CA298*CA196+CB298*CB196+CC298*CC196+CD298*CD196+CE298*CE196+CF298*CF196+CG298*CG196+CH298*CH196+CI298*CI196+CJ298*CJ196+CK298*CK196+CL298*CL196+CM298*CM196+CN298*CN196+CO298*CO196+CP298*CP196+CQ298*CQ196+CR298*CR196+CS298*CS196+CT298*CT196+CU298*CU196</f>
        <v>0</v>
      </c>
    </row>
    <row r="197" spans="2:113" ht="18" x14ac:dyDescent="0.25">
      <c r="B197" s="2498">
        <v>44</v>
      </c>
      <c r="C197" s="2420" t="s">
        <v>846</v>
      </c>
      <c r="D197" s="2421" t="s">
        <v>2220</v>
      </c>
      <c r="E197" s="3116">
        <f>0</f>
        <v>0</v>
      </c>
      <c r="F197" s="3116">
        <f>0</f>
        <v>0</v>
      </c>
      <c r="G197" s="3116">
        <f>0</f>
        <v>0</v>
      </c>
      <c r="H197" s="3116">
        <f>0</f>
        <v>0</v>
      </c>
      <c r="I197" s="3116">
        <f>0</f>
        <v>0</v>
      </c>
      <c r="J197" s="3116">
        <f>1-f_E</f>
        <v>0.92</v>
      </c>
      <c r="K197" s="3116">
        <f>0</f>
        <v>0</v>
      </c>
      <c r="L197" s="3116">
        <f>0</f>
        <v>0</v>
      </c>
      <c r="M197" s="3116">
        <f>0</f>
        <v>0</v>
      </c>
      <c r="N197" s="3116">
        <f>0</f>
        <v>0</v>
      </c>
      <c r="O197" s="3116">
        <f>0</f>
        <v>0</v>
      </c>
      <c r="P197" s="3116">
        <f>f_E</f>
        <v>0.08</v>
      </c>
      <c r="Q197" s="3116">
        <f>0</f>
        <v>0</v>
      </c>
      <c r="R197" s="3116">
        <f>0</f>
        <v>0</v>
      </c>
      <c r="S197" s="3116">
        <f>0</f>
        <v>0</v>
      </c>
      <c r="T197" s="3116">
        <f>0</f>
        <v>0</v>
      </c>
      <c r="U197" s="3116">
        <f>0</f>
        <v>0</v>
      </c>
      <c r="V197" s="3116">
        <f>0</f>
        <v>0</v>
      </c>
      <c r="W197" s="3116">
        <f>-1</f>
        <v>-1</v>
      </c>
      <c r="X197" s="3116">
        <f>0</f>
        <v>0</v>
      </c>
      <c r="Y197" s="3116">
        <f>0</f>
        <v>0</v>
      </c>
      <c r="Z197" s="3116">
        <f>0</f>
        <v>0</v>
      </c>
      <c r="AA197" s="3116">
        <f>0</f>
        <v>0</v>
      </c>
      <c r="AB197" s="3116">
        <f>0</f>
        <v>0</v>
      </c>
      <c r="AC197" s="3116">
        <f>0</f>
        <v>0</v>
      </c>
      <c r="AD197" s="3116">
        <f>-f_E*(i_N_XE-i_N_BIO)</f>
        <v>8.0000000000000069E-4</v>
      </c>
      <c r="AE197" s="3116">
        <f>0</f>
        <v>0</v>
      </c>
      <c r="AF197" s="3116">
        <f>0</f>
        <v>0</v>
      </c>
      <c r="AG197" s="3116">
        <f>0</f>
        <v>0</v>
      </c>
      <c r="AH197" s="3116">
        <f>0</f>
        <v>0</v>
      </c>
      <c r="AI197" s="3116">
        <f>0</f>
        <v>0</v>
      </c>
      <c r="AJ197" s="3116">
        <f>(1-f_E)*i_N_BIO</f>
        <v>6.4400000000000013E-2</v>
      </c>
      <c r="AK197" s="3116">
        <f>0</f>
        <v>0</v>
      </c>
      <c r="AL197" s="3116">
        <f>0</f>
        <v>0</v>
      </c>
      <c r="AM197" s="3116">
        <f>0</f>
        <v>0</v>
      </c>
      <c r="AN197" s="3116">
        <f>0</f>
        <v>0</v>
      </c>
      <c r="AO197" s="3116">
        <f>0</f>
        <v>0</v>
      </c>
      <c r="AP197" s="3116">
        <f>(1-f_E)*i_P_BIO</f>
        <v>1.84E-2</v>
      </c>
      <c r="AQ197" s="3116">
        <f>0</f>
        <v>0</v>
      </c>
      <c r="AR197" s="3116">
        <f>0</f>
        <v>0</v>
      </c>
      <c r="AS197" s="3116">
        <f>0</f>
        <v>0</v>
      </c>
      <c r="AT197" s="3116">
        <f>0</f>
        <v>0</v>
      </c>
      <c r="AU197" s="3179">
        <f>(1-f_E)*(i_CIT_BIO-i_CIT_XBe)</f>
        <v>6.0720000000000003E-2</v>
      </c>
      <c r="AV197" s="3184">
        <f>0</f>
        <v>0</v>
      </c>
      <c r="AW197" s="3184">
        <f>0</f>
        <v>0</v>
      </c>
      <c r="AX197" s="3184">
        <f>0</f>
        <v>0</v>
      </c>
      <c r="AY197" s="3184">
        <f>0</f>
        <v>0</v>
      </c>
      <c r="AZ197" s="3184">
        <f>0</f>
        <v>0</v>
      </c>
      <c r="BA197" s="3184">
        <f>0</f>
        <v>0</v>
      </c>
      <c r="BB197" s="3116">
        <f>0</f>
        <v>0</v>
      </c>
      <c r="BC197" s="3116">
        <f>(1-f_E)*i_S_BIO-(1-f_E)*i_S_XB</f>
        <v>7.8200000000000006E-3</v>
      </c>
      <c r="BD197" s="3116">
        <f>0</f>
        <v>0</v>
      </c>
      <c r="BE197" s="3116">
        <f>0</f>
        <v>0</v>
      </c>
      <c r="BF197" s="3116">
        <f>0</f>
        <v>0</v>
      </c>
      <c r="BG197" s="3116">
        <f>0</f>
        <v>0</v>
      </c>
      <c r="BH197" s="3116">
        <f>0</f>
        <v>0</v>
      </c>
      <c r="BI197" s="3116">
        <f>0</f>
        <v>0</v>
      </c>
      <c r="BJ197" s="3116">
        <f>0</f>
        <v>0</v>
      </c>
      <c r="BK197" s="3116">
        <f>0</f>
        <v>0</v>
      </c>
      <c r="BL197" s="3116">
        <f>0</f>
        <v>0</v>
      </c>
      <c r="BM197" s="3116">
        <f>0</f>
        <v>0</v>
      </c>
      <c r="BN197" s="3116">
        <f>0</f>
        <v>0</v>
      </c>
      <c r="BO197" s="3116">
        <f>0</f>
        <v>0</v>
      </c>
      <c r="BP197" s="3116">
        <f>0</f>
        <v>0</v>
      </c>
      <c r="BQ197" s="3116">
        <f>0</f>
        <v>0</v>
      </c>
      <c r="BR197" s="3116">
        <f>0</f>
        <v>0</v>
      </c>
      <c r="BS197" s="3116">
        <f>0</f>
        <v>0</v>
      </c>
      <c r="BT197" s="3116">
        <f>0</f>
        <v>0</v>
      </c>
      <c r="BU197" s="3116">
        <f>0</f>
        <v>0</v>
      </c>
      <c r="BV197" s="3116">
        <f>0</f>
        <v>0</v>
      </c>
      <c r="BW197" s="3116">
        <f>0</f>
        <v>0</v>
      </c>
      <c r="BX197" s="3116">
        <f>0</f>
        <v>0</v>
      </c>
      <c r="BY197" s="3116">
        <f>0</f>
        <v>0</v>
      </c>
      <c r="BZ197" s="3184">
        <f>0</f>
        <v>0</v>
      </c>
      <c r="CA197" s="3184">
        <f>0</f>
        <v>0</v>
      </c>
      <c r="CB197" s="3184">
        <f>0</f>
        <v>0</v>
      </c>
      <c r="CC197" s="3184">
        <f>0</f>
        <v>0</v>
      </c>
      <c r="CD197" s="3116">
        <f>0</f>
        <v>0</v>
      </c>
      <c r="CE197" s="3116">
        <f>0</f>
        <v>0</v>
      </c>
      <c r="CF197" s="3116">
        <f>0</f>
        <v>0</v>
      </c>
      <c r="CG197" s="3116">
        <f>0</f>
        <v>0</v>
      </c>
      <c r="CH197" s="3116">
        <f>0</f>
        <v>0</v>
      </c>
      <c r="CI197" s="3116">
        <f>0</f>
        <v>0</v>
      </c>
      <c r="CJ197" s="3116">
        <f>0</f>
        <v>0</v>
      </c>
      <c r="CK197" s="3116">
        <f>0</f>
        <v>0</v>
      </c>
      <c r="CL197" s="3116">
        <f>0</f>
        <v>0</v>
      </c>
      <c r="CM197" s="3116">
        <f>0</f>
        <v>0</v>
      </c>
      <c r="CN197" s="3116">
        <f>0</f>
        <v>0</v>
      </c>
      <c r="CO197" s="3116">
        <f>0</f>
        <v>0</v>
      </c>
      <c r="CP197" s="3116">
        <f>0</f>
        <v>0</v>
      </c>
      <c r="CQ197" s="3116">
        <f>0</f>
        <v>0</v>
      </c>
      <c r="CR197" s="3116">
        <f>0</f>
        <v>0</v>
      </c>
      <c r="CS197" s="3116">
        <f>0</f>
        <v>0</v>
      </c>
      <c r="CT197" s="3116">
        <f>0</f>
        <v>0</v>
      </c>
      <c r="CU197" s="3116">
        <f>0</f>
        <v>0</v>
      </c>
      <c r="CV197" s="3224">
        <f>b_AMX_T*X_AMX*(M_satSO2_KiO2_AMX+η_b_anox*M_satSNOx_KNOx_AMX*M_inhSO2_KiO2_AMX)</f>
        <v>1.738621794871795E-2</v>
      </c>
      <c r="CX197" s="2838">
        <f>E287*E197+F287*F197+G287*G197+H287*H197+I287*I197+J287*J197+K287*K197+L287*L197+M287*M197+N287*N197+O287*O197+P287*P197+Q287*Q197+R287*R197+S287*S197+T287*T197+U287*U197+V287*V197+W287*W197+X287*X197+Y287*Y197+Z287*Z197+AA287*AA197+AB287*AB197+AC287*AC197+AD287*AD197+AE287*AE197+AF287*AF197+AG287*AG197+AH287*AH197+AI287*AI197+AJ287*AJ197+AK287*AK197+AL287*AL197+AM287*AM197+AN287*AN197+AO287*AO197+AP287*AP197+AQ287*AQ197+AR287*AR197+AS287*AS197+AT287*AT197+AU287*AU197+AV287*AV197+AW287*AW197+AX287*AX197+AY287*AY197+AZ287*AZ197+BA287*BA197+BB287*BB197+BC287*BC197+BD287*BD197+BE287*BE197+BF287*BF197+BG287*BG197+BH287*BH197+BI287*BI197+BJ287*BJ197+BK287*BK197+BL287*BL197+BM287*BM197+BN287*BN197+BO287*BO197+BP287*BP197+BQ287*BQ197+BR287*BR197+BS287*BS197+BT287*BT197+BU287*BU197+BV287*BV197+BW287*BW197+BX287*BX197+BY287*BY197+BZ287*BZ197+CA287*CA197+CB287*CB197+CC287*CC197+CD287*CD197+CE287*CE197+CF287*CF197+CG287*CG197+CH287*CH197+CI287*CI197+CJ287*CJ197+CK287*CK197+CL287*CL197+CM287*CM197+CN287*CN197+CO287*CO197+CP287*CP197+CQ287*CQ197+CR287*CR197+CS287*CS197+CT287*CT197+CU287*CU197</f>
        <v>0</v>
      </c>
      <c r="CY197" s="2838">
        <f>E288*E197+F288*F197+G288*G197+H288*H197+I288*I197+J288*J197+K288*K197+L288*L197+M288*M197+N288*N197+O288*O197+P288*P197+Q288*Q197+R288*R197+S288*S197+T288*T197+U288*U197+V288*V197+W288*W197+X288*X197+Y288*Y197+Z288*Z197+AA288*AA197+AB288*AB197+AC288*AC197+AD288*AD197+AE288*AE197+AF288*AF197+AG288*AG197+AH288*AH197+AI288*AI197+AJ288*AJ197+AK288*AK197+AL288*AL197+AM288*AM197+AN288*AN197+AO288*AO197+AP288*AP197+AQ288*AQ197+AR288*AR197+AS288*AS197+AT288*AT197+AU288*AU197+AV288*AV197+AW288*AW197+AX288*AX197+AY288*AY197+AZ288*AZ197+BA288*BA197+BB288*BB197+BC288*BC197+BD288*BD197+BE288*BE197+BF288*BF197+BG288*BG197+BH288*BH197+BI288*BI197+BJ288*BJ197+BK288*BK197+BL288*BL197+BM288*BM197+BN288*BN197+BO288*BO197+BP288*BP197+BQ288*BQ197+BR288*BR197+BS288*BS197+BT288*BT197+BU288*BU197+BV288*BV197+BW288*BW197+BX288*BX197+BY288*BY197+BZ288*BZ197+CA288*CA197+CB288*CB197+CC288*CC197+CD288*CD197+CE288*CE197+CF288*CF197+CG288*CG197+CH288*CH197+CI288*CI197+CJ288*CJ197+CK288*CK197+CL288*CL197+CM288*CM197+CN288*CN197+CO288*CO197+CP288*CP197+CQ288*CQ197+CR288*CR197+CS288*CS197+CT288*CT197+CU288*CU197</f>
        <v>6.9388939039072284E-18</v>
      </c>
      <c r="CZ197" s="2839">
        <f>E289*E197+F289*F197+G289*G197+H289*H197+I289*I197+J289*J197+K289*K197+L289*L197+M289*M197+N289*N197+O289*O197+P289*P197+Q289*Q197+R289*R197+S289*S197+T289*T197+U289*U197+V289*V197+W289*W197+X289*X197+Y289*Y197+Z289*Z197+AA289*AA197+AB289*AB197+AC289*AC197+AD289*AD197+AE289*AE197+AF289*AF197+AG289*AG197+AH289*AH197+AI289*AI197+AJ289*AJ197+AK289*AK197+AL289*AL197+AM289*AM197+AN289*AN197+AO289*AO197+AP289*AP197+AQ289*AQ197+AR289*AR197+AS289*AS197+AT289*AT197+AU289*AU197+AV289*AV197+AW289*AW197+AX289*AX197+AY289*AY197+AZ289*AZ197+BA289*BA197+BB289*BB197+BC289*BC197+BD289*BD197+BE289*BE197+BF289*BF197+BG289*BG197+BH289*BH197+BI289*BI197+BJ289*BJ197+BK289*BK197+BL289*BL197+BM289*BM197+BN289*BN197+BO289*BO197+BP289*BP197+BQ289*BQ197+BR289*BR197+BS289*BS197+BT289*BT197+BU289*BU197+BV289*BV197+BW289*BW197+BX289*BX197+BY289*BY197+BZ289*BZ197+CA289*CA197+CB289*CB197+CC289*CC197+CD289*CD197+CE289*CE197+CF289*CF197+CG289*CG197+CH289*CH197+CI289*CI197+CJ289*CJ197+CK289*CK197+CL289*CL197+CM289*CM197+CN289*CN197+CO289*CO197+CP289*CP197+CQ289*CQ197+CR289*CR197+CS289*CS197+CT289*CT197+CU289*CU197</f>
        <v>0</v>
      </c>
      <c r="DA197" s="2840">
        <f>E290*E197+F290*F197+G290*G197+H290*H197+I290*I197+J290*J197+K290*K197+L290*L197+M290*M197+N290*N197+O290*O197+P290*P197+Q290*Q197+R290*R197+S290*S197+T290*T197+U290*U197+V290*V197+W290*W197+X290*X197+Y290*Y197+Z290*Z197+AA290*AA197+AB290*AB197+AC290*AC197+AD290*AD197+AE290*AE197+AF290*AF197+AG290*AG197+AH290*AH197+AI290*AI197+AJ290*AJ197+AK290*AK197+AL290*AL197+AM290*AM197+AN290*AN197+AO290*AO197+AP290*AP197+AQ290*AQ197+AR290*AR197+AS290*AS197+AT290*AT197+AU290*AU197+AV290*AV197+AW290*AW197+AX290*AX197+AY290*AY197+AZ290*AZ197+BA290*BA197+BB290*BB197+BC290*BC197+BD290*BD197+BE290*BE197+BF290*BF197+BG290*BG197+BH290*BH197+BI290*BI197+BJ290*BJ197+BK290*BK197+BL290*BL197+BM290*BM197+BN290*BN197+BO290*BO197+BP290*BP197+BQ290*BQ197+BR290*BR197+BS290*BS197+BT290*BT197+BU290*BU197+BV290*BV197+BW290*BW197+BX290*BX197+BY290*BY197+BZ290*BZ197+CA290*CA197+CB290*CB197+CC290*CC197+CD290*CD197+CE290*CE197+CF290*CF197+CG290*CG197+CH290*CH197+CI290*CI197+CJ290*CJ197+CK290*CK197+CL290*CL197+CM290*CM197+CN290*CN197+CO290*CO197+CP290*CP197+CQ290*CQ197+CR290*CR197+CS290*CS197+CT290*CT197+CU290*CU197</f>
        <v>0</v>
      </c>
      <c r="DB197" s="2840">
        <f>E291*E197+F291*F197+G291*G197+H291*H197+I291*I197+J291*J197+K291*K197+L291*L197+M291*M197+N291*N197+O291*O197+P291*P197+Q291*Q197+R291*R197+S291*S197+T291*T197+U291*U197+V291*V197+W291*W197+X291*X197+Y291*Y197+Z291*Z197+AA291*AA197+AB291*AB197+AC291*AC197+AD291*AD197+AE291*AE197+AF291*AF197+AG291*AG197+AH291*AH197+AI291*AI197+AJ291*AJ197+AK291*AK197+AL291*AL197+AM291*AM197+AN291*AN197+AO291*AO197+AP291*AP197+AQ291*AQ197+AR291*AR197+AS291*AS197+AT291*AT197+AU291*AU197+AV291*AV197+AW291*AW197+AX291*AX197+AY291*AY197+AZ291*AZ197+BA291*BA197+BB291*BB197+BC291*BC197+BD291*BD197+BE291*BE197+BF291*BF197+BG291*BG197+BH291*BH197+BI291*BI197+BJ291*BJ197+BK291*BK197+BL291*BL197+BM291*BM197+BN291*BN197+BO291*BO197+BP291*BP197+BQ291*BQ197+BR291*BR197+BS291*BS197+BT291*BT197+BU291*BU197+BV291*BV197+BW291*BW197+BX291*BX197+BY291*BY197+BZ291*BZ197+CA291*CA197+CB291*CB197+CC291*CC197+CD291*CD197+CE291*CE197+CF291*CF197+CG291*CG197+CH291*CH197+CI291*CI197+CJ291*CJ197+CK291*CK197+CL291*CL197+CM291*CM197+CN291*CN197+CO291*CO197+CP291*CP197+CQ291*CQ197+CR291*CR197+CS291*CS197+CT291*CT197+CU291*CU197</f>
        <v>0</v>
      </c>
      <c r="DC197" s="2840">
        <f>E292*E197+F292*F197+G292*G197+H292*H197+I292*I197+J292*J197+K292*K197+L292*L197+M292*M197+N292*N197+O292*O197+P292*P197+Q292*Q197+R292*R197+S292*S197+T292*T197+U292*U197+V292*V197+W292*W197+X292*X197+Y292*Y197+Z292*Z197+AA292*AA197+AB292*AB197+AC292*AC197+AD292*AD197+AE292*AE197+AF292*AF197+AG292*AG197+AH292*AH197+AI292*AI197+AJ292*AJ197+AK292*AK197+AL292*AL197+AM292*AM197+AN292*AN197+AO292*AO197+AP292*AP197+AQ292*AQ197+AR292*AR197+AS292*AS197+AT292*AT197+AU292*AU197+AV292*AV197+AW292*AW197+AX292*AX197+AY292*AY197+AZ292*AZ197+BA292*BA197+BB292*BB197+BC292*BC197+BD292*BD197+BE292*BE197+BF292*BF197+BG292*BG197+BH292*BH197+BI292*BI197+BJ292*BJ197+BK292*BK197+BL292*BL197+BM292*BM197+BN292*BN197+BO292*BO197+BP292*BP197+BQ292*BQ197+BR292*BR197+BS292*BS197+BT292*BT197+BU292*BU197+BV292*BV197+BW292*BW197+BX292*BX197+BY292*BY197+BZ292*BZ197+CA292*CA197+CB292*CB197+CC292*CC197+CD292*CD197+CE292*CE197+CF292*CF197+CG292*CG197+CH292*CH197+CI292*CI197+CJ292*CJ197+CK292*CK197+CL292*CL197+CM292*CM197+CN292*CN197+CO292*CO197+CP292*CP197+CQ292*CQ197+CR292*CR197+CS292*CS197+CT292*CT197+CU292*CU197</f>
        <v>0</v>
      </c>
      <c r="DD197" s="2840">
        <f>E293*E197+F293*F197+G293*G197+H293*H197+I293*I197+J293*J197+K293*K197+L293*L197+M293*M197+N293*N197+O293*O197+P293*P197+Q293*Q197+R293*R197+S293*S197+T293*T197+U293*U197+V293*V197+W293*W197+X293*X197+Y293*Y197+Z293*Z197+AA293*AA197+AB293*AB197+AC293*AC197+AD293*AD197+AE293*AE197+AF293*AF197+AG293*AG197+AH293*AH197+AI293*AI197+AJ293*AJ197+AK293*AK197+AL293*AL197+AM293*AM197+AN293*AN197+AO293*AO197+AP293*AP197+AQ293*AQ197+AR293*AR197+AS293*AS197+AT293*AT197+AU293*AU197+AV293*AV197+AW293*AW197+AX293*AX197+AY293*AY197+AZ293*AZ197+BA293*BA197+BB293*BB197+BC293*BC197+BD293*BD197+BE293*BE197+BF293*BF197+BG293*BG197+BH293*BH197+BI293*BI197+BJ293*BJ197+BK293*BK197+BL293*BL197+BM293*BM197+BN293*BN197+BO293*BO197+BP293*BP197+BQ293*BQ197+BR293*BR197+BS293*BS197+BT293*BT197+BU293*BU197+BV293*BV197+BW293*BW197+BX293*BX197+BY293*BY197+BZ293*BZ197+CA293*CA197+CB293*CB197+CC293*CC197+CD293*CD197+CE293*CE197+CF293*CF197+CG293*CG197+CH293*CH197+CI293*CI197+CJ293*CJ197+CK293*CK197+CL293*CL197+CM293*CM197+CN293*CN197+CO293*CO197+CP293*CP197+CQ293*CQ197+CR293*CR197+CS293*CS197+CT293*CT197+CU293*CU197</f>
        <v>0</v>
      </c>
      <c r="DE197" s="2840">
        <f>E294*E197+F294*F197+G294*G197+H294*H197+I294*I197+J294*J197+K294*K197+L294*L197+M294*M197+N294*N197+O294*O197+P294*P197+Q294*Q197+R294*R197+S294*S197+T294*T197+U294*U197+V294*V197+W294*W197+X294*X197+Y294*Y197+Z294*Z197+AA294*AA197+AB294*AB197+AC294*AC197+AD294*AD197+AE294*AE197+AF294*AF197+AG294*AG197+AH294*AH197+AI294*AI197+AJ294*AJ197+AK294*AK197+AL294*AL197+AM294*AM197+AN294*AN197+AO294*AO197+AP294*AP197+AQ294*AQ197+AR294*AR197+AS294*AS197+AT294*AT197+AU294*AU197+AV294*AV197+AW294*AW197+AX294*AX197+AY294*AY197+AZ294*AZ197+BA294*BA197+BB294*BB197+BC294*BC197+BD294*BD197+BE294*BE197+BF294*BF197+BG294*BG197+BH294*BH197+BI294*BI197+BJ294*BJ197+BK294*BK197+BL294*BL197+BM294*BM197+BN294*BN197+BO294*BO197+BP294*BP197+BQ294*BQ197+BR294*BR197+BS294*BS197+BT294*BT197+BU294*BU197+BV294*BV197+BW294*BW197+BX294*BX197+BY294*BY197+BZ294*BZ197+CA294*CA197+CB294*CB197+CC294*CC197+CD294*CD197+CE294*CE197+CF294*CF197+CG294*CG197+CH294*CH197+CI294*CI197+CJ294*CJ197+CK294*CK197+CL294*CL197+CM294*CM197+CN294*CN197+CO294*CO197+CP294*CP197+CQ294*CQ197+CR294*CR197+CS294*CS197+CT294*CT197+CU294*CU197</f>
        <v>0</v>
      </c>
      <c r="DF197" s="2840">
        <f>E295*E197+F295*F197+G295*G197+H295*H197+I295*I197+J295*J197+K295*K197+L295*L197+M295*M197+N295*N197+O295*O197+P295*P197+Q295*Q197+R295*R197+S295*S197+T295*T197+U295*U197+V295*V197+W295*W197+X295*X197+Y295*Y197+Z295*Z197+AA295*AA197+AB295*AB197+AC295*AC197+AD295*AD197+AE295*AE197+AF295*AF197+AG295*AG197+AH295*AH197+AI295*AI197+AJ295*AJ197+AK295*AK197+AL295*AL197+AM295*AM197+AN295*AN197+AO295*AO197+AP295*AP197+AQ295*AQ197+AR295*AR197+AS295*AS197+AT295*AT197+AU295*AU197+AV295*AV197+AW295*AW197+AX295*AX197+AY295*AY197+AZ295*AZ197+BA295*BA197+BB295*BB197+BC295*BC197+BD295*BD197+BE295*BE197+BF295*BF197+BG295*BG197+BH295*BH197+BI295*BI197+BJ295*BJ197+BK295*BK197+BL295*BL197+BM295*BM197+BN295*BN197+BO295*BO197+BP295*BP197+BQ295*BQ197+BR295*BR197+BS295*BS197+BT295*BT197+BU295*BU197+BV295*BV197+BW295*BW197+BX295*BX197+BY295*BY197+BZ295*BZ197+CA295*CA197+CB295*CB197+CC295*CC197+CD295*CD197+CE295*CE197+CF295*CF197+CG295*CG197+CH295*CH197+CI295*CI197+CJ295*CJ197+CK295*CK197+CL295*CL197+CM295*CM197+CN295*CN197+CO295*CO197+CP295*CP197+CQ295*CQ197+CR295*CR197+CS295*CS197+CT295*CT197+CU295*CU197</f>
        <v>0</v>
      </c>
      <c r="DG197" s="2840">
        <f>E296*E197+F296*F197+G296*G197+H296*H197+I296*I197+J296*J197+K296*K197+L296*L197+M296*M197+N296*N197+O296*O197+P296*P197+Q296*Q197+R296*R197+S296*S197+T296*T197+U296*U197+V296*V197+W296*W197+X296*X197+Y296*Y197+Z296*Z197+AA296*AA197+AB296*AB197+AC296*AC197+AD296*AD197+AE296*AE197+AF296*AF197+AG296*AG197+AH296*AH197+AI296*AI197+AJ296*AJ197+AK296*AK197+AL296*AL197+AM296*AM197+AN296*AN197+AO296*AO197+AP296*AP197+AQ296*AQ197+AR296*AR197+AS296*AS197+AT296*AT197+AU296*AU197+AV296*AV197+AW296*AW197+AX296*AX197+AY296*AY197+AZ296*AZ197+BA296*BA197+BB296*BB197+BC296*BC197+BD296*BD197+BE296*BE197+BF296*BF197+BG296*BG197+BH296*BH197+BI296*BI197+BJ296*BJ197+BK296*BK197+BL296*BL197+BM296*BM197+BN296*BN197+BO296*BO197+BP296*BP197+BQ296*BQ197+BR296*BR197+BS296*BS197+BT296*BT197+BU296*BU197+BV296*BV197+BW296*BW197+BX296*BX197+BY296*BY197+BZ296*BZ197+CA296*CA197+CB296*CB197+CC296*CC197+CD296*CD197+CE296*CE197+CF296*CF197+CG296*CG197+CH296*CH197+CI296*CI197+CJ296*CJ197+CK296*CK197+CL296*CL197+CM296*CM197+CN296*CN197+CO296*CO197+CP296*CP197+CQ296*CQ197+CR296*CR197+CS296*CS197+CT296*CT197+CU296*CU197</f>
        <v>0</v>
      </c>
      <c r="DH197" s="2840">
        <f>E297*E197+F297*F197+G297*G197+H297*H197+I297*I197+J297*J197+K297*K197+L297*L197+M297*M197+N297*N197+O297*O197+P297*P197+Q297*Q197+R297*R197+S297*S197+T297*T197+U297*U197+V297*V197+W297*W197+X297*X197+Y297*Y197+Z297*Z197+AA297*AA197+AB297*AB197+AC297*AC197+AD297*AD197+AE297*AE197+AF297*AF197+AG297*AG197+AH297*AH197+AI297*AI197+AJ297*AJ197+AK297*AK197+AL297*AL197+AM297*AM197+AN297*AN197+AO297*AO197+AP297*AP197+AQ297*AQ197+AR297*AR197+AS297*AS197+AT297*AT197+AU297*AU197+AV297*AV197+AW297*AW197+AX297*AX197+AY297*AY197+AZ297*AZ197+BA297*BA197+BB297*BB197+BC297*BC197+BD297*BD197+BE297*BE197+BF297*BF197+BG297*BG197+BH297*BH197+BI297*BI197+BJ297*BJ197+BK297*BK197+BL297*BL197+BM297*BM197+BN297*BN197+BO297*BO197+BP297*BP197+BQ297*BQ197+BR297*BR197+BS297*BS197+BT297*BT197+BU297*BU197+BV297*BV197+BW297*BW197+BX297*BX197+BY297*BY197+BZ297*BZ197+CA297*CA197+CB297*CB197+CC297*CC197+CD297*CD197+CE297*CE197+CF297*CF197+CG297*CG197+CH297*CH197+CI297*CI197+CJ297*CJ197+CK297*CK197+CL297*CL197+CM297*CM197+CN297*CN197+CO297*CO197+CP297*CP197+CQ297*CQ197+CR297*CR197+CS297*CS197+CT297*CT197+CU297*CU197</f>
        <v>0</v>
      </c>
      <c r="DI197" s="2840">
        <f>E298*E197+F298*F197+G298*G197+H298*H197+I298*I197+J298*J197+K298*K197+L298*L197+M298*M197+N298*N197+O298*O197+P298*P197+Q298*Q197+R298*R197+S298*S197+T298*T197+U298*U197+V298*V197+W298*W197+X298*X197+Y298*Y197+Z298*Z197+AA298*AA197+AB298*AB197+AC298*AC197+AD298*AD197+AE298*AE197+AF298*AF197+AG298*AG197+AH298*AH197+AI298*AI197+AJ298*AJ197+AK298*AK197+AL298*AL197+AM298*AM197+AN298*AN197+AO298*AO197+AP298*AP197+AQ298*AQ197+AR298*AR197+AS298*AS197+AT298*AT197+AU298*AU197+AV298*AV197+AW298*AW197+AX298*AX197+AY298*AY197+AZ298*AZ197+BA298*BA197+BB298*BB197+BC298*BC197+BD298*BD197+BE298*BE197+BF298*BF197+BG298*BG197+BH298*BH197+BI298*BI197+BJ298*BJ197+BK298*BK197+BL298*BL197+BM298*BM197+BN298*BN197+BO298*BO197+BP298*BP197+BQ298*BQ197+BR298*BR197+BS298*BS197+BT298*BT197+BU298*BU197+BV298*BV197+BW298*BW197+BX298*BX197+BY298*BY197+BZ298*BZ197+CA298*CA197+CB298*CB197+CC298*CC197+CD298*CD197+CE298*CE197+CF298*CF197+CG298*CG197+CH298*CH197+CI298*CI197+CJ298*CJ197+CK298*CK197+CL298*CL197+CM298*CM197+CN298*CN197+CO298*CO197+CP298*CP197+CQ298*CQ197+CR298*CR197+CS298*CS197+CT298*CT197+CU298*CU197</f>
        <v>0</v>
      </c>
    </row>
    <row r="198" spans="2:113" ht="18" x14ac:dyDescent="0.25">
      <c r="B198" s="2498">
        <v>45</v>
      </c>
      <c r="C198" s="2420" t="s">
        <v>440</v>
      </c>
      <c r="D198" s="2421" t="s">
        <v>2997</v>
      </c>
      <c r="E198" s="3116">
        <f>0</f>
        <v>0</v>
      </c>
      <c r="F198" s="3116">
        <f>0</f>
        <v>0</v>
      </c>
      <c r="G198" s="3116">
        <f>0</f>
        <v>0</v>
      </c>
      <c r="H198" s="3116">
        <f>0</f>
        <v>0</v>
      </c>
      <c r="I198" s="3116">
        <f>0</f>
        <v>0</v>
      </c>
      <c r="J198" s="3116">
        <f>1-f_E</f>
        <v>0.92</v>
      </c>
      <c r="K198" s="3116">
        <f>0</f>
        <v>0</v>
      </c>
      <c r="L198" s="3116">
        <f>0</f>
        <v>0</v>
      </c>
      <c r="M198" s="3116">
        <f>0</f>
        <v>0</v>
      </c>
      <c r="N198" s="3116">
        <f>0</f>
        <v>0</v>
      </c>
      <c r="O198" s="3116">
        <f>0</f>
        <v>0</v>
      </c>
      <c r="P198" s="3116">
        <f>0</f>
        <v>0</v>
      </c>
      <c r="Q198" s="3116">
        <f>f_E</f>
        <v>0.08</v>
      </c>
      <c r="R198" s="3116">
        <f>0</f>
        <v>0</v>
      </c>
      <c r="S198" s="3116">
        <f>0</f>
        <v>0</v>
      </c>
      <c r="T198" s="3116">
        <f>0</f>
        <v>0</v>
      </c>
      <c r="U198" s="3116">
        <f>0</f>
        <v>0</v>
      </c>
      <c r="V198" s="3116">
        <f>0</f>
        <v>0</v>
      </c>
      <c r="W198" s="3116">
        <f>-1</f>
        <v>-1</v>
      </c>
      <c r="X198" s="3116">
        <f>0</f>
        <v>0</v>
      </c>
      <c r="Y198" s="3116">
        <f>0</f>
        <v>0</v>
      </c>
      <c r="Z198" s="3116">
        <f>0</f>
        <v>0</v>
      </c>
      <c r="AA198" s="3116">
        <f>0</f>
        <v>0</v>
      </c>
      <c r="AB198" s="3116">
        <f>0</f>
        <v>0</v>
      </c>
      <c r="AC198" s="3116">
        <f>0</f>
        <v>0</v>
      </c>
      <c r="AD198" s="3116">
        <f>-f_E*(i_N_XE-i_N_BIO)</f>
        <v>8.0000000000000069E-4</v>
      </c>
      <c r="AE198" s="3116">
        <f>0</f>
        <v>0</v>
      </c>
      <c r="AF198" s="3116">
        <f>0</f>
        <v>0</v>
      </c>
      <c r="AG198" s="3116">
        <f>0</f>
        <v>0</v>
      </c>
      <c r="AH198" s="3116">
        <f>0</f>
        <v>0</v>
      </c>
      <c r="AI198" s="3116">
        <f>0</f>
        <v>0</v>
      </c>
      <c r="AJ198" s="3116">
        <f>(1-f_E)*i_N_BIO</f>
        <v>6.4400000000000013E-2</v>
      </c>
      <c r="AK198" s="3116">
        <f>0</f>
        <v>0</v>
      </c>
      <c r="AL198" s="3116">
        <f>0</f>
        <v>0</v>
      </c>
      <c r="AM198" s="3116">
        <f>0</f>
        <v>0</v>
      </c>
      <c r="AN198" s="3116">
        <f>0</f>
        <v>0</v>
      </c>
      <c r="AO198" s="3116">
        <f>0</f>
        <v>0</v>
      </c>
      <c r="AP198" s="3116">
        <f>(1-f_E)*i_P_BIO</f>
        <v>1.84E-2</v>
      </c>
      <c r="AQ198" s="3116">
        <f>0</f>
        <v>0</v>
      </c>
      <c r="AR198" s="3116">
        <f>0</f>
        <v>0</v>
      </c>
      <c r="AS198" s="3116">
        <f>0</f>
        <v>0</v>
      </c>
      <c r="AT198" s="3116">
        <f>0</f>
        <v>0</v>
      </c>
      <c r="AU198" s="3179">
        <f>(1-f_E)*(i_CIT_BIO-i_CIT_XBe)</f>
        <v>6.0720000000000003E-2</v>
      </c>
      <c r="AV198" s="3184">
        <f>0</f>
        <v>0</v>
      </c>
      <c r="AW198" s="3184">
        <f>0</f>
        <v>0</v>
      </c>
      <c r="AX198" s="3184">
        <f>0</f>
        <v>0</v>
      </c>
      <c r="AY198" s="3184">
        <f>0</f>
        <v>0</v>
      </c>
      <c r="AZ198" s="3184">
        <f>0</f>
        <v>0</v>
      </c>
      <c r="BA198" s="3184">
        <f>0</f>
        <v>0</v>
      </c>
      <c r="BB198" s="3116">
        <f>0</f>
        <v>0</v>
      </c>
      <c r="BC198" s="3116">
        <f>(1-f_E)*i_S_BIO-(1-f_E)*i_S_XB</f>
        <v>7.8200000000000006E-3</v>
      </c>
      <c r="BD198" s="3116">
        <f>0</f>
        <v>0</v>
      </c>
      <c r="BE198" s="3116">
        <f>0</f>
        <v>0</v>
      </c>
      <c r="BF198" s="3116">
        <f>0</f>
        <v>0</v>
      </c>
      <c r="BG198" s="3116">
        <f>0</f>
        <v>0</v>
      </c>
      <c r="BH198" s="3116">
        <f>0</f>
        <v>0</v>
      </c>
      <c r="BI198" s="3116">
        <f>0</f>
        <v>0</v>
      </c>
      <c r="BJ198" s="3116">
        <f>0</f>
        <v>0</v>
      </c>
      <c r="BK198" s="3116">
        <f>0</f>
        <v>0</v>
      </c>
      <c r="BL198" s="3116">
        <f>0</f>
        <v>0</v>
      </c>
      <c r="BM198" s="3116">
        <f>0</f>
        <v>0</v>
      </c>
      <c r="BN198" s="3116">
        <f>0</f>
        <v>0</v>
      </c>
      <c r="BO198" s="3116">
        <f>0</f>
        <v>0</v>
      </c>
      <c r="BP198" s="3116">
        <f>0</f>
        <v>0</v>
      </c>
      <c r="BQ198" s="3116">
        <f>0</f>
        <v>0</v>
      </c>
      <c r="BR198" s="3116">
        <f>0</f>
        <v>0</v>
      </c>
      <c r="BS198" s="3116">
        <f>0</f>
        <v>0</v>
      </c>
      <c r="BT198" s="3116">
        <f>0</f>
        <v>0</v>
      </c>
      <c r="BU198" s="3116">
        <f>0</f>
        <v>0</v>
      </c>
      <c r="BV198" s="3116">
        <f>0</f>
        <v>0</v>
      </c>
      <c r="BW198" s="3116">
        <f>0</f>
        <v>0</v>
      </c>
      <c r="BX198" s="3116">
        <f>0</f>
        <v>0</v>
      </c>
      <c r="BY198" s="3116">
        <f>0</f>
        <v>0</v>
      </c>
      <c r="BZ198" s="3184">
        <f>0</f>
        <v>0</v>
      </c>
      <c r="CA198" s="3184">
        <f>0</f>
        <v>0</v>
      </c>
      <c r="CB198" s="3184">
        <f>0</f>
        <v>0</v>
      </c>
      <c r="CC198" s="3184">
        <f>0</f>
        <v>0</v>
      </c>
      <c r="CD198" s="3116">
        <f>0</f>
        <v>0</v>
      </c>
      <c r="CE198" s="3116">
        <f>0</f>
        <v>0</v>
      </c>
      <c r="CF198" s="3116">
        <f>0</f>
        <v>0</v>
      </c>
      <c r="CG198" s="3116">
        <f>0</f>
        <v>0</v>
      </c>
      <c r="CH198" s="3116">
        <f>0</f>
        <v>0</v>
      </c>
      <c r="CI198" s="3116">
        <f>0</f>
        <v>0</v>
      </c>
      <c r="CJ198" s="3116">
        <f>0</f>
        <v>0</v>
      </c>
      <c r="CK198" s="3116">
        <f>0</f>
        <v>0</v>
      </c>
      <c r="CL198" s="3116">
        <f>0</f>
        <v>0</v>
      </c>
      <c r="CM198" s="3116">
        <f>0</f>
        <v>0</v>
      </c>
      <c r="CN198" s="3116">
        <f>0</f>
        <v>0</v>
      </c>
      <c r="CO198" s="3116">
        <f>0</f>
        <v>0</v>
      </c>
      <c r="CP198" s="3116">
        <f>0</f>
        <v>0</v>
      </c>
      <c r="CQ198" s="3116">
        <f>0</f>
        <v>0</v>
      </c>
      <c r="CR198" s="3116">
        <f>0</f>
        <v>0</v>
      </c>
      <c r="CS198" s="3116">
        <f>0</f>
        <v>0</v>
      </c>
      <c r="CT198" s="3116">
        <f>0</f>
        <v>0</v>
      </c>
      <c r="CU198" s="3116">
        <f>0</f>
        <v>0</v>
      </c>
      <c r="CV198" s="3224">
        <f>b_AMX_T*X_AMX*(η_b_ana*M_inhSNOx_KNOx_AMX*M_inhSO2_KiO2_AMX)</f>
        <v>1.522435897435898E-5</v>
      </c>
      <c r="CX198" s="2838">
        <f>E287*E198+F287*F198+G287*G198+H287*H198+I287*I198+J287*J198+K287*K198+L287*L198+M287*M198+N287*N198+O287*O198+P287*P198+Q287*Q198+R287*R198+S287*S198+T287*T198+U287*U198+V287*V198+W287*W198+X287*X198+Y287*Y198+Z287*Z198+AA287*AA198+AB287*AB198+AC287*AC198+AD287*AD198+AE287*AE198+AF287*AF198+AG287*AG198+AH287*AH198+AI287*AI198+AJ287*AJ198+AK287*AK198+AL287*AL198+AM287*AM198+AN287*AN198+AO287*AO198+AP287*AP198+AQ287*AQ198+AR287*AR198+AS287*AS198+AT287*AT198+AU287*AU198+AV287*AV198+AW287*AW198+AX287*AX198+AY287*AY198+AZ287*AZ198+BA287*BA198+BB287*BB198+BC287*BC198+BD287*BD198+BE287*BE198+BF287*BF198+BG287*BG198+BH287*BH198+BI287*BI198+BJ287*BJ198+BK287*BK198+BL287*BL198+BM287*BM198+BN287*BN198+BO287*BO198+BP287*BP198+BQ287*BQ198+BR287*BR198+BS287*BS198+BT287*BT198+BU287*BU198+BV287*BV198+BW287*BW198+BX287*BX198+BY287*BY198+BZ287*BZ198+CA287*CA198+CB287*CB198+CC287*CC198+CD287*CD198+CE287*CE198+CF287*CF198+CG287*CG198+CH287*CH198+CI287*CI198+CJ287*CJ198+CK287*CK198+CL287*CL198+CM287*CM198+CN287*CN198+CO287*CO198+CP287*CP198+CQ287*CQ198+CR287*CR198+CS287*CS198+CT287*CT198+CU287*CU198</f>
        <v>0</v>
      </c>
      <c r="CY198" s="2838">
        <f>E288*E198+F288*F198+G288*G198+H288*H198+I288*I198+J288*J198+K288*K198+L288*L198+M288*M198+N288*N198+O288*O198+P288*P198+Q288*Q198+R288*R198+S288*S198+T288*T198+U288*U198+V288*V198+W288*W198+X288*X198+Y288*Y198+Z288*Z198+AA288*AA198+AB288*AB198+AC288*AC198+AD288*AD198+AE288*AE198+AF288*AF198+AG288*AG198+AH288*AH198+AI288*AI198+AJ288*AJ198+AK288*AK198+AL288*AL198+AM288*AM198+AN288*AN198+AO288*AO198+AP288*AP198+AQ288*AQ198+AR288*AR198+AS288*AS198+AT288*AT198+AU288*AU198+AV288*AV198+AW288*AW198+AX288*AX198+AY288*AY198+AZ288*AZ198+BA288*BA198+BB288*BB198+BC288*BC198+BD288*BD198+BE288*BE198+BF288*BF198+BG288*BG198+BH288*BH198+BI288*BI198+BJ288*BJ198+BK288*BK198+BL288*BL198+BM288*BM198+BN288*BN198+BO288*BO198+BP288*BP198+BQ288*BQ198+BR288*BR198+BS288*BS198+BT288*BT198+BU288*BU198+BV288*BV198+BW288*BW198+BX288*BX198+BY288*BY198+BZ288*BZ198+CA288*CA198+CB288*CB198+CC288*CC198+CD288*CD198+CE288*CE198+CF288*CF198+CG288*CG198+CH288*CH198+CI288*CI198+CJ288*CJ198+CK288*CK198+CL288*CL198+CM288*CM198+CN288*CN198+CO288*CO198+CP288*CP198+CQ288*CQ198+CR288*CR198+CS288*CS198+CT288*CT198+CU288*CU198</f>
        <v>6.9388939039072284E-18</v>
      </c>
      <c r="CZ198" s="2839">
        <f>E289*E198+F289*F198+G289*G198+H289*H198+I289*I198+J289*J198+K289*K198+L289*L198+M289*M198+N289*N198+O289*O198+P289*P198+Q289*Q198+R289*R198+S289*S198+T289*T198+U289*U198+V289*V198+W289*W198+X289*X198+Y289*Y198+Z289*Z198+AA289*AA198+AB289*AB198+AC289*AC198+AD289*AD198+AE289*AE198+AF289*AF198+AG289*AG198+AH289*AH198+AI289*AI198+AJ289*AJ198+AK289*AK198+AL289*AL198+AM289*AM198+AN289*AN198+AO289*AO198+AP289*AP198+AQ289*AQ198+AR289*AR198+AS289*AS198+AT289*AT198+AU289*AU198+AV289*AV198+AW289*AW198+AX289*AX198+AY289*AY198+AZ289*AZ198+BA289*BA198+BB289*BB198+BC289*BC198+BD289*BD198+BE289*BE198+BF289*BF198+BG289*BG198+BH289*BH198+BI289*BI198+BJ289*BJ198+BK289*BK198+BL289*BL198+BM289*BM198+BN289*BN198+BO289*BO198+BP289*BP198+BQ289*BQ198+BR289*BR198+BS289*BS198+BT289*BT198+BU289*BU198+BV289*BV198+BW289*BW198+BX289*BX198+BY289*BY198+BZ289*BZ198+CA289*CA198+CB289*CB198+CC289*CC198+CD289*CD198+CE289*CE198+CF289*CF198+CG289*CG198+CH289*CH198+CI289*CI198+CJ289*CJ198+CK289*CK198+CL289*CL198+CM289*CM198+CN289*CN198+CO289*CO198+CP289*CP198+CQ289*CQ198+CR289*CR198+CS289*CS198+CT289*CT198+CU289*CU198</f>
        <v>0</v>
      </c>
      <c r="DA198" s="2840">
        <f>E290*E198+F290*F198+G290*G198+H290*H198+I290*I198+J290*J198+K290*K198+L290*L198+M290*M198+N290*N198+O290*O198+P290*P198+Q290*Q198+R290*R198+S290*S198+T290*T198+U290*U198+V290*V198+W290*W198+X290*X198+Y290*Y198+Z290*Z198+AA290*AA198+AB290*AB198+AC290*AC198+AD290*AD198+AE290*AE198+AF290*AF198+AG290*AG198+AH290*AH198+AI290*AI198+AJ290*AJ198+AK290*AK198+AL290*AL198+AM290*AM198+AN290*AN198+AO290*AO198+AP290*AP198+AQ290*AQ198+AR290*AR198+AS290*AS198+AT290*AT198+AU290*AU198+AV290*AV198+AW290*AW198+AX290*AX198+AY290*AY198+AZ290*AZ198+BA290*BA198+BB290*BB198+BC290*BC198+BD290*BD198+BE290*BE198+BF290*BF198+BG290*BG198+BH290*BH198+BI290*BI198+BJ290*BJ198+BK290*BK198+BL290*BL198+BM290*BM198+BN290*BN198+BO290*BO198+BP290*BP198+BQ290*BQ198+BR290*BR198+BS290*BS198+BT290*BT198+BU290*BU198+BV290*BV198+BW290*BW198+BX290*BX198+BY290*BY198+BZ290*BZ198+CA290*CA198+CB290*CB198+CC290*CC198+CD290*CD198+CE290*CE198+CF290*CF198+CG290*CG198+CH290*CH198+CI290*CI198+CJ290*CJ198+CK290*CK198+CL290*CL198+CM290*CM198+CN290*CN198+CO290*CO198+CP290*CP198+CQ290*CQ198+CR290*CR198+CS290*CS198+CT290*CT198+CU290*CU198</f>
        <v>0</v>
      </c>
      <c r="DB198" s="2840">
        <f>E291*E198+F291*F198+G291*G198+H291*H198+I291*I198+J291*J198+K291*K198+L291*L198+M291*M198+N291*N198+O291*O198+P291*P198+Q291*Q198+R291*R198+S291*S198+T291*T198+U291*U198+V291*V198+W291*W198+X291*X198+Y291*Y198+Z291*Z198+AA291*AA198+AB291*AB198+AC291*AC198+AD291*AD198+AE291*AE198+AF291*AF198+AG291*AG198+AH291*AH198+AI291*AI198+AJ291*AJ198+AK291*AK198+AL291*AL198+AM291*AM198+AN291*AN198+AO291*AO198+AP291*AP198+AQ291*AQ198+AR291*AR198+AS291*AS198+AT291*AT198+AU291*AU198+AV291*AV198+AW291*AW198+AX291*AX198+AY291*AY198+AZ291*AZ198+BA291*BA198+BB291*BB198+BC291*BC198+BD291*BD198+BE291*BE198+BF291*BF198+BG291*BG198+BH291*BH198+BI291*BI198+BJ291*BJ198+BK291*BK198+BL291*BL198+BM291*BM198+BN291*BN198+BO291*BO198+BP291*BP198+BQ291*BQ198+BR291*BR198+BS291*BS198+BT291*BT198+BU291*BU198+BV291*BV198+BW291*BW198+BX291*BX198+BY291*BY198+BZ291*BZ198+CA291*CA198+CB291*CB198+CC291*CC198+CD291*CD198+CE291*CE198+CF291*CF198+CG291*CG198+CH291*CH198+CI291*CI198+CJ291*CJ198+CK291*CK198+CL291*CL198+CM291*CM198+CN291*CN198+CO291*CO198+CP291*CP198+CQ291*CQ198+CR291*CR198+CS291*CS198+CT291*CT198+CU291*CU198</f>
        <v>0</v>
      </c>
      <c r="DC198" s="2840">
        <f>E292*E198+F292*F198+G292*G198+H292*H198+I292*I198+J292*J198+K292*K198+L292*L198+M292*M198+N292*N198+O292*O198+P292*P198+Q292*Q198+R292*R198+S292*S198+T292*T198+U292*U198+V292*V198+W292*W198+X292*X198+Y292*Y198+Z292*Z198+AA292*AA198+AB292*AB198+AC292*AC198+AD292*AD198+AE292*AE198+AF292*AF198+AG292*AG198+AH292*AH198+AI292*AI198+AJ292*AJ198+AK292*AK198+AL292*AL198+AM292*AM198+AN292*AN198+AO292*AO198+AP292*AP198+AQ292*AQ198+AR292*AR198+AS292*AS198+AT292*AT198+AU292*AU198+AV292*AV198+AW292*AW198+AX292*AX198+AY292*AY198+AZ292*AZ198+BA292*BA198+BB292*BB198+BC292*BC198+BD292*BD198+BE292*BE198+BF292*BF198+BG292*BG198+BH292*BH198+BI292*BI198+BJ292*BJ198+BK292*BK198+BL292*BL198+BM292*BM198+BN292*BN198+BO292*BO198+BP292*BP198+BQ292*BQ198+BR292*BR198+BS292*BS198+BT292*BT198+BU292*BU198+BV292*BV198+BW292*BW198+BX292*BX198+BY292*BY198+BZ292*BZ198+CA292*CA198+CB292*CB198+CC292*CC198+CD292*CD198+CE292*CE198+CF292*CF198+CG292*CG198+CH292*CH198+CI292*CI198+CJ292*CJ198+CK292*CK198+CL292*CL198+CM292*CM198+CN292*CN198+CO292*CO198+CP292*CP198+CQ292*CQ198+CR292*CR198+CS292*CS198+CT292*CT198+CU292*CU198</f>
        <v>0</v>
      </c>
      <c r="DD198" s="2840">
        <f>E293*E198+F293*F198+G293*G198+H293*H198+I293*I198+J293*J198+K293*K198+L293*L198+M293*M198+N293*N198+O293*O198+P293*P198+Q293*Q198+R293*R198+S293*S198+T293*T198+U293*U198+V293*V198+W293*W198+X293*X198+Y293*Y198+Z293*Z198+AA293*AA198+AB293*AB198+AC293*AC198+AD293*AD198+AE293*AE198+AF293*AF198+AG293*AG198+AH293*AH198+AI293*AI198+AJ293*AJ198+AK293*AK198+AL293*AL198+AM293*AM198+AN293*AN198+AO293*AO198+AP293*AP198+AQ293*AQ198+AR293*AR198+AS293*AS198+AT293*AT198+AU293*AU198+AV293*AV198+AW293*AW198+AX293*AX198+AY293*AY198+AZ293*AZ198+BA293*BA198+BB293*BB198+BC293*BC198+BD293*BD198+BE293*BE198+BF293*BF198+BG293*BG198+BH293*BH198+BI293*BI198+BJ293*BJ198+BK293*BK198+BL293*BL198+BM293*BM198+BN293*BN198+BO293*BO198+BP293*BP198+BQ293*BQ198+BR293*BR198+BS293*BS198+BT293*BT198+BU293*BU198+BV293*BV198+BW293*BW198+BX293*BX198+BY293*BY198+BZ293*BZ198+CA293*CA198+CB293*CB198+CC293*CC198+CD293*CD198+CE293*CE198+CF293*CF198+CG293*CG198+CH293*CH198+CI293*CI198+CJ293*CJ198+CK293*CK198+CL293*CL198+CM293*CM198+CN293*CN198+CO293*CO198+CP293*CP198+CQ293*CQ198+CR293*CR198+CS293*CS198+CT293*CT198+CU293*CU198</f>
        <v>0</v>
      </c>
      <c r="DE198" s="2840">
        <f>E294*E198+F294*F198+G294*G198+H294*H198+I294*I198+J294*J198+K294*K198+L294*L198+M294*M198+N294*N198+O294*O198+P294*P198+Q294*Q198+R294*R198+S294*S198+T294*T198+U294*U198+V294*V198+W294*W198+X294*X198+Y294*Y198+Z294*Z198+AA294*AA198+AB294*AB198+AC294*AC198+AD294*AD198+AE294*AE198+AF294*AF198+AG294*AG198+AH294*AH198+AI294*AI198+AJ294*AJ198+AK294*AK198+AL294*AL198+AM294*AM198+AN294*AN198+AO294*AO198+AP294*AP198+AQ294*AQ198+AR294*AR198+AS294*AS198+AT294*AT198+AU294*AU198+AV294*AV198+AW294*AW198+AX294*AX198+AY294*AY198+AZ294*AZ198+BA294*BA198+BB294*BB198+BC294*BC198+BD294*BD198+BE294*BE198+BF294*BF198+BG294*BG198+BH294*BH198+BI294*BI198+BJ294*BJ198+BK294*BK198+BL294*BL198+BM294*BM198+BN294*BN198+BO294*BO198+BP294*BP198+BQ294*BQ198+BR294*BR198+BS294*BS198+BT294*BT198+BU294*BU198+BV294*BV198+BW294*BW198+BX294*BX198+BY294*BY198+BZ294*BZ198+CA294*CA198+CB294*CB198+CC294*CC198+CD294*CD198+CE294*CE198+CF294*CF198+CG294*CG198+CH294*CH198+CI294*CI198+CJ294*CJ198+CK294*CK198+CL294*CL198+CM294*CM198+CN294*CN198+CO294*CO198+CP294*CP198+CQ294*CQ198+CR294*CR198+CS294*CS198+CT294*CT198+CU294*CU198</f>
        <v>0</v>
      </c>
      <c r="DF198" s="2840">
        <f>E295*E198+F295*F198+G295*G198+H295*H198+I295*I198+J295*J198+K295*K198+L295*L198+M295*M198+N295*N198+O295*O198+P295*P198+Q295*Q198+R295*R198+S295*S198+T295*T198+U295*U198+V295*V198+W295*W198+X295*X198+Y295*Y198+Z295*Z198+AA295*AA198+AB295*AB198+AC295*AC198+AD295*AD198+AE295*AE198+AF295*AF198+AG295*AG198+AH295*AH198+AI295*AI198+AJ295*AJ198+AK295*AK198+AL295*AL198+AM295*AM198+AN295*AN198+AO295*AO198+AP295*AP198+AQ295*AQ198+AR295*AR198+AS295*AS198+AT295*AT198+AU295*AU198+AV295*AV198+AW295*AW198+AX295*AX198+AY295*AY198+AZ295*AZ198+BA295*BA198+BB295*BB198+BC295*BC198+BD295*BD198+BE295*BE198+BF295*BF198+BG295*BG198+BH295*BH198+BI295*BI198+BJ295*BJ198+BK295*BK198+BL295*BL198+BM295*BM198+BN295*BN198+BO295*BO198+BP295*BP198+BQ295*BQ198+BR295*BR198+BS295*BS198+BT295*BT198+BU295*BU198+BV295*BV198+BW295*BW198+BX295*BX198+BY295*BY198+BZ295*BZ198+CA295*CA198+CB295*CB198+CC295*CC198+CD295*CD198+CE295*CE198+CF295*CF198+CG295*CG198+CH295*CH198+CI295*CI198+CJ295*CJ198+CK295*CK198+CL295*CL198+CM295*CM198+CN295*CN198+CO295*CO198+CP295*CP198+CQ295*CQ198+CR295*CR198+CS295*CS198+CT295*CT198+CU295*CU198</f>
        <v>0</v>
      </c>
      <c r="DG198" s="2840">
        <f>E296*E198+F296*F198+G296*G198+H296*H198+I296*I198+J296*J198+K296*K198+L296*L198+M296*M198+N296*N198+O296*O198+P296*P198+Q296*Q198+R296*R198+S296*S198+T296*T198+U296*U198+V296*V198+W296*W198+X296*X198+Y296*Y198+Z296*Z198+AA296*AA198+AB296*AB198+AC296*AC198+AD296*AD198+AE296*AE198+AF296*AF198+AG296*AG198+AH296*AH198+AI296*AI198+AJ296*AJ198+AK296*AK198+AL296*AL198+AM296*AM198+AN296*AN198+AO296*AO198+AP296*AP198+AQ296*AQ198+AR296*AR198+AS296*AS198+AT296*AT198+AU296*AU198+AV296*AV198+AW296*AW198+AX296*AX198+AY296*AY198+AZ296*AZ198+BA296*BA198+BB296*BB198+BC296*BC198+BD296*BD198+BE296*BE198+BF296*BF198+BG296*BG198+BH296*BH198+BI296*BI198+BJ296*BJ198+BK296*BK198+BL296*BL198+BM296*BM198+BN296*BN198+BO296*BO198+BP296*BP198+BQ296*BQ198+BR296*BR198+BS296*BS198+BT296*BT198+BU296*BU198+BV296*BV198+BW296*BW198+BX296*BX198+BY296*BY198+BZ296*BZ198+CA296*CA198+CB296*CB198+CC296*CC198+CD296*CD198+CE296*CE198+CF296*CF198+CG296*CG198+CH296*CH198+CI296*CI198+CJ296*CJ198+CK296*CK198+CL296*CL198+CM296*CM198+CN296*CN198+CO296*CO198+CP296*CP198+CQ296*CQ198+CR296*CR198+CS296*CS198+CT296*CT198+CU296*CU198</f>
        <v>0</v>
      </c>
      <c r="DH198" s="2840">
        <f>E297*E198+F297*F198+G297*G198+H297*H198+I297*I198+J297*J198+K297*K198+L297*L198+M297*M198+N297*N198+O297*O198+P297*P198+Q297*Q198+R297*R198+S297*S198+T297*T198+U297*U198+V297*V198+W297*W198+X297*X198+Y297*Y198+Z297*Z198+AA297*AA198+AB297*AB198+AC297*AC198+AD297*AD198+AE297*AE198+AF297*AF198+AG297*AG198+AH297*AH198+AI297*AI198+AJ297*AJ198+AK297*AK198+AL297*AL198+AM297*AM198+AN297*AN198+AO297*AO198+AP297*AP198+AQ297*AQ198+AR297*AR198+AS297*AS198+AT297*AT198+AU297*AU198+AV297*AV198+AW297*AW198+AX297*AX198+AY297*AY198+AZ297*AZ198+BA297*BA198+BB297*BB198+BC297*BC198+BD297*BD198+BE297*BE198+BF297*BF198+BG297*BG198+BH297*BH198+BI297*BI198+BJ297*BJ198+BK297*BK198+BL297*BL198+BM297*BM198+BN297*BN198+BO297*BO198+BP297*BP198+BQ297*BQ198+BR297*BR198+BS297*BS198+BT297*BT198+BU297*BU198+BV297*BV198+BW297*BW198+BX297*BX198+BY297*BY198+BZ297*BZ198+CA297*CA198+CB297*CB198+CC297*CC198+CD297*CD198+CE297*CE198+CF297*CF198+CG297*CG198+CH297*CH198+CI297*CI198+CJ297*CJ198+CK297*CK198+CL297*CL198+CM297*CM198+CN297*CN198+CO297*CO198+CP297*CP198+CQ297*CQ198+CR297*CR198+CS297*CS198+CT297*CT198+CU297*CU198</f>
        <v>0</v>
      </c>
      <c r="DI198" s="2840">
        <f>E298*E198+F298*F198+G298*G198+H298*H198+I298*I198+J298*J198+K298*K198+L298*L198+M298*M198+N298*N198+O298*O198+P298*P198+Q298*Q198+R298*R198+S298*S198+T298*T198+U298*U198+V298*V198+W298*W198+X298*X198+Y298*Y198+Z298*Z198+AA298*AA198+AB298*AB198+AC298*AC198+AD298*AD198+AE298*AE198+AF298*AF198+AG298*AG198+AH298*AH198+AI298*AI198+AJ298*AJ198+AK298*AK198+AL298*AL198+AM298*AM198+AN298*AN198+AO298*AO198+AP298*AP198+AQ298*AQ198+AR298*AR198+AS298*AS198+AT298*AT198+AU298*AU198+AV298*AV198+AW298*AW198+AX298*AX198+AY298*AY198+AZ298*AZ198+BA298*BA198+BB298*BB198+BC298*BC198+BD298*BD198+BE298*BE198+BF298*BF198+BG298*BG198+BH298*BH198+BI298*BI198+BJ298*BJ198+BK298*BK198+BL298*BL198+BM298*BM198+BN298*BN198+BO298*BO198+BP298*BP198+BQ298*BQ198+BR298*BR198+BS298*BS198+BT298*BT198+BU298*BU198+BV298*BV198+BW298*BW198+BX298*BX198+BY298*BY198+BZ298*BZ198+CA298*CA198+CB298*CB198+CC298*CC198+CD298*CD198+CE298*CE198+CF298*CF198+CG298*CG198+CH298*CH198+CI298*CI198+CJ298*CJ198+CK298*CK198+CL298*CL198+CM298*CM198+CN298*CN198+CO298*CO198+CP298*CP198+CQ298*CQ198+CR298*CR198+CS298*CS198+CT298*CT198+CU298*CU198</f>
        <v>0</v>
      </c>
    </row>
    <row r="199" spans="2:113" ht="18" x14ac:dyDescent="0.25">
      <c r="B199" s="2501">
        <v>46</v>
      </c>
      <c r="C199" s="2423" t="s">
        <v>441</v>
      </c>
      <c r="D199" s="2424" t="s">
        <v>302</v>
      </c>
      <c r="E199" s="3117">
        <f>-1/Y_AMETO</f>
        <v>-10</v>
      </c>
      <c r="F199" s="3118">
        <f>0</f>
        <v>0</v>
      </c>
      <c r="G199" s="3118">
        <f>0</f>
        <v>0</v>
      </c>
      <c r="H199" s="3118">
        <f>0</f>
        <v>0</v>
      </c>
      <c r="I199" s="3118">
        <f>0</f>
        <v>0</v>
      </c>
      <c r="J199" s="3118">
        <f>0</f>
        <v>0</v>
      </c>
      <c r="K199" s="3118">
        <f>0</f>
        <v>0</v>
      </c>
      <c r="L199" s="3118">
        <f>0</f>
        <v>0</v>
      </c>
      <c r="M199" s="3118">
        <f>0</f>
        <v>0</v>
      </c>
      <c r="N199" s="3118">
        <f>0</f>
        <v>0</v>
      </c>
      <c r="O199" s="3118">
        <f>0</f>
        <v>0</v>
      </c>
      <c r="P199" s="3118">
        <f>0</f>
        <v>0</v>
      </c>
      <c r="Q199" s="3118">
        <f>0</f>
        <v>0</v>
      </c>
      <c r="R199" s="3118">
        <f>0</f>
        <v>0</v>
      </c>
      <c r="S199" s="3118">
        <f>0</f>
        <v>0</v>
      </c>
      <c r="T199" s="3118">
        <f>0</f>
        <v>0</v>
      </c>
      <c r="U199" s="3118">
        <f>0</f>
        <v>0</v>
      </c>
      <c r="V199" s="3118">
        <f>0</f>
        <v>0</v>
      </c>
      <c r="W199" s="3118">
        <f>0</f>
        <v>0</v>
      </c>
      <c r="X199" s="3118">
        <f>1</f>
        <v>1</v>
      </c>
      <c r="Y199" s="3118">
        <f>0</f>
        <v>0</v>
      </c>
      <c r="Z199" s="3118">
        <f>0</f>
        <v>0</v>
      </c>
      <c r="AA199" s="3118">
        <f>0</f>
        <v>0</v>
      </c>
      <c r="AB199" s="3118">
        <f>0</f>
        <v>0</v>
      </c>
      <c r="AC199" s="3118">
        <f>0</f>
        <v>0</v>
      </c>
      <c r="AD199" s="3118">
        <f>-i_N_BIO</f>
        <v>-7.0000000000000007E-2</v>
      </c>
      <c r="AE199" s="3118">
        <f>0</f>
        <v>0</v>
      </c>
      <c r="AF199" s="3118">
        <f>0</f>
        <v>0</v>
      </c>
      <c r="AG199" s="3118">
        <f>0</f>
        <v>0</v>
      </c>
      <c r="AH199" s="3118">
        <f>0</f>
        <v>0</v>
      </c>
      <c r="AI199" s="3118">
        <f>0</f>
        <v>0</v>
      </c>
      <c r="AJ199" s="3118">
        <f>0</f>
        <v>0</v>
      </c>
      <c r="AK199" s="3118">
        <f>0</f>
        <v>0</v>
      </c>
      <c r="AL199" s="3117">
        <f>-i_P_BIO</f>
        <v>-0.02</v>
      </c>
      <c r="AM199" s="3118">
        <f>0</f>
        <v>0</v>
      </c>
      <c r="AN199" s="3118">
        <f>0</f>
        <v>0</v>
      </c>
      <c r="AO199" s="3118">
        <f>0</f>
        <v>0</v>
      </c>
      <c r="AP199" s="3118">
        <f>0</f>
        <v>0</v>
      </c>
      <c r="AQ199" s="3118">
        <f>0</f>
        <v>0</v>
      </c>
      <c r="AR199" s="3118">
        <f>0</f>
        <v>0</v>
      </c>
      <c r="AS199" s="3118">
        <f>(1-Y_AMETO)/Y_AMETO</f>
        <v>9</v>
      </c>
      <c r="AT199" s="3118">
        <f>0</f>
        <v>0</v>
      </c>
      <c r="AU199" s="3118">
        <f>i_CIT_VFA*1/Y_AMETO-i_CIT_BIO-i_CIT_CH4*(1-Y_AMETO)/Y_AMETO</f>
        <v>1.706</v>
      </c>
      <c r="AV199" s="3117">
        <f>i_INORG</f>
        <v>0.11</v>
      </c>
      <c r="AW199" s="3117">
        <f>-i_INORG*(1-i_Ca_INORG*(A_MCa+2*A_MCl)/A_MCa-i_Mg_INORG*(A_MMg+2*A_MCl)/A_MMg)*f_Na</f>
        <v>-2.8804303582798466E-2</v>
      </c>
      <c r="AX199" s="3117">
        <f>-i_INORG*(i_Ca_INORG*(2*A_MCl)/A_MCa+i_Mg_INORG*(2*A_MCl)/A_MMg)-i_INORG*(1-i_Ca_INORG*(A_MCa+2*A_MCl)/A_MCa-i_Mg_INORG*(A_MMg+2*A_MCl)/A_MMg)*(1-f_Na)</f>
        <v>-7.0195696417201539E-2</v>
      </c>
      <c r="AY199" s="3117">
        <f>-i_INORG*i_Ca_INORG</f>
        <v>-5.5000000000000005E-3</v>
      </c>
      <c r="AZ199" s="3117">
        <f>-i_INORG*i_Mg_INORG</f>
        <v>-5.5000000000000005E-3</v>
      </c>
      <c r="BA199" s="3117">
        <f>0</f>
        <v>0</v>
      </c>
      <c r="BB199" s="3117">
        <f>0</f>
        <v>0</v>
      </c>
      <c r="BC199" s="3117">
        <f>-i_S_BIO</f>
        <v>-0.01</v>
      </c>
      <c r="BD199" s="3117">
        <f>0</f>
        <v>0</v>
      </c>
      <c r="BE199" s="3117">
        <f>0</f>
        <v>0</v>
      </c>
      <c r="BF199" s="3117">
        <f>0</f>
        <v>0</v>
      </c>
      <c r="BG199" s="3117">
        <f>0</f>
        <v>0</v>
      </c>
      <c r="BH199" s="3117">
        <f>0</f>
        <v>0</v>
      </c>
      <c r="BI199" s="3117">
        <f>0</f>
        <v>0</v>
      </c>
      <c r="BJ199" s="3117">
        <f>0</f>
        <v>0</v>
      </c>
      <c r="BK199" s="3117">
        <f>0</f>
        <v>0</v>
      </c>
      <c r="BL199" s="3117">
        <f>0</f>
        <v>0</v>
      </c>
      <c r="BM199" s="3117">
        <f>0</f>
        <v>0</v>
      </c>
      <c r="BN199" s="3117">
        <f>0</f>
        <v>0</v>
      </c>
      <c r="BO199" s="3117">
        <f>0</f>
        <v>0</v>
      </c>
      <c r="BP199" s="3117">
        <f>0</f>
        <v>0</v>
      </c>
      <c r="BQ199" s="3117">
        <f>0</f>
        <v>0</v>
      </c>
      <c r="BR199" s="3117">
        <f>0</f>
        <v>0</v>
      </c>
      <c r="BS199" s="3117">
        <f>0</f>
        <v>0</v>
      </c>
      <c r="BT199" s="3117">
        <f>0</f>
        <v>0</v>
      </c>
      <c r="BU199" s="3117">
        <f>0</f>
        <v>0</v>
      </c>
      <c r="BV199" s="3117">
        <f>0</f>
        <v>0</v>
      </c>
      <c r="BW199" s="3117">
        <f>0</f>
        <v>0</v>
      </c>
      <c r="BX199" s="3117">
        <f>0</f>
        <v>0</v>
      </c>
      <c r="BY199" s="3117">
        <f>0</f>
        <v>0</v>
      </c>
      <c r="BZ199" s="3203">
        <f>0</f>
        <v>0</v>
      </c>
      <c r="CA199" s="3203">
        <f>0</f>
        <v>0</v>
      </c>
      <c r="CB199" s="3203">
        <f>0</f>
        <v>0</v>
      </c>
      <c r="CC199" s="3203">
        <f>0</f>
        <v>0</v>
      </c>
      <c r="CD199" s="3117">
        <f>0</f>
        <v>0</v>
      </c>
      <c r="CE199" s="3117">
        <f>0</f>
        <v>0</v>
      </c>
      <c r="CF199" s="3117">
        <f>0</f>
        <v>0</v>
      </c>
      <c r="CG199" s="3117">
        <f>0</f>
        <v>0</v>
      </c>
      <c r="CH199" s="3117">
        <f>0</f>
        <v>0</v>
      </c>
      <c r="CI199" s="3117">
        <f>0</f>
        <v>0</v>
      </c>
      <c r="CJ199" s="3117">
        <f>0</f>
        <v>0</v>
      </c>
      <c r="CK199" s="3117">
        <f>0</f>
        <v>0</v>
      </c>
      <c r="CL199" s="3117">
        <f>0</f>
        <v>0</v>
      </c>
      <c r="CM199" s="3117">
        <f>0</f>
        <v>0</v>
      </c>
      <c r="CN199" s="3117">
        <f>0</f>
        <v>0</v>
      </c>
      <c r="CO199" s="3117">
        <f>0</f>
        <v>0</v>
      </c>
      <c r="CP199" s="3117">
        <f>0</f>
        <v>0</v>
      </c>
      <c r="CQ199" s="3117">
        <f>0</f>
        <v>0</v>
      </c>
      <c r="CR199" s="3117">
        <f>0</f>
        <v>0</v>
      </c>
      <c r="CS199" s="3117">
        <f>0</f>
        <v>0</v>
      </c>
      <c r="CT199" s="3117">
        <f>0</f>
        <v>0</v>
      </c>
      <c r="CU199" s="3117">
        <f>0</f>
        <v>0</v>
      </c>
      <c r="CV199" s="3225">
        <f>µ_AMETO_T*X_AMETO*H_satSVFA_AMETO*M_inhSO2_KiO2_AMETO*M_inhSNOx_KNO3_AMETO*L_oginhpHNH3_AMETO*M_satSNHx_KNHx_BIO*M_satSPO4_KPO4_BIO*M_satSCAT_KCAT*M_satSAN_KAN*M_satSCa_KCa*M_satSMg_KMg*M_satSSO4_KSO4_BIO*B_ellinhpH_AMETO</f>
        <v>5.257430578853392E-10</v>
      </c>
      <c r="CX199" s="2838">
        <f>E287*E199+F287*F199+G287*G199+H287*H199+I287*I199+J287*J199+K287*K199+L287*L199+M287*M199+N287*N199+O287*O199+P287*P199+Q287*Q199+R287*R199+S287*S199+T287*T199+U287*U199+V287*V199+W287*W199+X287*X199+Y287*Y199+Z287*Z199+AA287*AA199+AB287*AB199+AC287*AC199+AD287*AD199+AE287*AE199+AF287*AF199+AG287*AG199+AH287*AH199+AI287*AI199+AJ287*AJ199+AK287*AK199+AL287*AL199+AM287*AM199+AN287*AN199+AO287*AO199+AP287*AP199+AQ287*AQ199+AR287*AR199+AS287*AS199+AT287*AT199+AU287*AU199+AV287*AV199+AW287*AW199+AX287*AX199+AY287*AY199+AZ287*AZ199+BA287*BA199+BB287*BB199+BC287*BC199+BD287*BD199+BE287*BE199+BF287*BF199+BG287*BG199+BH287*BH199+BI287*BI199+BJ287*BJ199+BK287*BK199+BL287*BL199+BM287*BM199+BN287*BN199+BO287*BO199+BP287*BP199+BQ287*BQ199+BR287*BR199+BS287*BS199+BT287*BT199+BU287*BU199+BV287*BV199+BW287*BW199+BX287*BX199+BY287*BY199+BZ287*BZ199+CA287*CA199+CB287*CB199+CC287*CC199+CD287*CD199+CE287*CE199+CF287*CF199+CG287*CG199+CH287*CH199+CI287*CI199+CJ287*CJ199+CK287*CK199+CL287*CL199+CM287*CM199+CN287*CN199+CO287*CO199+CP287*CP199+CQ287*CQ199+CR287*CR199+CS287*CS199+CT287*CT199+CU287*CU199</f>
        <v>0</v>
      </c>
      <c r="CY199" s="2838">
        <f>E288*E199+F288*F199+G288*G199+H288*H199+I288*I199+J288*J199+K288*K199+L288*L199+M288*M199+N288*N199+O288*O199+P288*P199+Q288*Q199+R288*R199+S288*S199+T288*T199+U288*U199+V288*V199+W288*W199+X288*X199+Y288*Y199+Z288*Z199+AA288*AA199+AB288*AB199+AC288*AC199+AD288*AD199+AE288*AE199+AF288*AF199+AG288*AG199+AH288*AH199+AI288*AI199+AJ288*AJ199+AK288*AK199+AL288*AL199+AM288*AM199+AN288*AN199+AO288*AO199+AP288*AP199+AQ288*AQ199+AR288*AR199+AS288*AS199+AT288*AT199+AU288*AU199+AV288*AV199+AW288*AW199+AX288*AX199+AY288*AY199+AZ288*AZ199+BA288*BA199+BB288*BB199+BC288*BC199+BD288*BD199+BE288*BE199+BF288*BF199+BG288*BG199+BH288*BH199+BI288*BI199+BJ288*BJ199+BK288*BK199+BL288*BL199+BM288*BM199+BN288*BN199+BO288*BO199+BP288*BP199+BQ288*BQ199+BR288*BR199+BS288*BS199+BT288*BT199+BU288*BU199+BV288*BV199+BW288*BW199+BX288*BX199+BY288*BY199+BZ288*BZ199+CA288*CA199+CB288*CB199+CC288*CC199+CD288*CD199+CE288*CE199+CF288*CF199+CG288*CG199+CH288*CH199+CI288*CI199+CJ288*CJ199+CK288*CK199+CL288*CL199+CM288*CM199+CN288*CN199+CO288*CO199+CP288*CP199+CQ288*CQ199+CR288*CR199+CS288*CS199+CT288*CT199+CU288*CU199</f>
        <v>-2.2204460492503131E-16</v>
      </c>
      <c r="CZ199" s="2839">
        <f>E289*E199+F289*F199+G289*G199+H289*H199+I289*I199+J289*J199+K289*K199+L289*L199+M289*M199+N289*N199+O289*O199+P289*P199+Q289*Q199+R289*R199+S289*S199+T289*T199+U289*U199+V289*V199+W289*W199+X289*X199+Y289*Y199+Z289*Z199+AA289*AA199+AB289*AB199+AC289*AC199+AD289*AD199+AE289*AE199+AF289*AF199+AG289*AG199+AH289*AH199+AI289*AI199+AJ289*AJ199+AK289*AK199+AL289*AL199+AM289*AM199+AN289*AN199+AO289*AO199+AP289*AP199+AQ289*AQ199+AR289*AR199+AS289*AS199+AT289*AT199+AU289*AU199+AV289*AV199+AW289*AW199+AX289*AX199+AY289*AY199+AZ289*AZ199+BA289*BA199+BB289*BB199+BC289*BC199+BD289*BD199+BE289*BE199+BF289*BF199+BG289*BG199+BH289*BH199+BI289*BI199+BJ289*BJ199+BK289*BK199+BL289*BL199+BM289*BM199+BN289*BN199+BO289*BO199+BP289*BP199+BQ289*BQ199+BR289*BR199+BS289*BS199+BT289*BT199+BU289*BU199+BV289*BV199+BW289*BW199+BX289*BX199+BY289*BY199+BZ289*BZ199+CA289*CA199+CB289*CB199+CC289*CC199+CD289*CD199+CE289*CE199+CF289*CF199+CG289*CG199+CH289*CH199+CI289*CI199+CJ289*CJ199+CK289*CK199+CL289*CL199+CM289*CM199+CN289*CN199+CO289*CO199+CP289*CP199+CQ289*CQ199+CR289*CR199+CS289*CS199+CT289*CT199+CU289*CU199</f>
        <v>0</v>
      </c>
      <c r="DA199" s="2840">
        <f>E290*E199+F290*F199+G290*G199+H290*H199+I290*I199+J290*J199+K290*K199+L290*L199+M290*M199+N290*N199+O290*O199+P290*P199+Q290*Q199+R290*R199+S290*S199+T290*T199+U290*U199+V290*V199+W290*W199+X290*X199+Y290*Y199+Z290*Z199+AA290*AA199+AB290*AB199+AC290*AC199+AD290*AD199+AE290*AE199+AF290*AF199+AG290*AG199+AH290*AH199+AI290*AI199+AJ290*AJ199+AK290*AK199+AL290*AL199+AM290*AM199+AN290*AN199+AO290*AO199+AP290*AP199+AQ290*AQ199+AR290*AR199+AS290*AS199+AT290*AT199+AU290*AU199+AV290*AV199+AW290*AW199+AX290*AX199+AY290*AY199+AZ290*AZ199+BA290*BA199+BB290*BB199+BC290*BC199+BD290*BD199+BE290*BE199+BF290*BF199+BG290*BG199+BH290*BH199+BI290*BI199+BJ290*BJ199+BK290*BK199+BL290*BL199+BM290*BM199+BN290*BN199+BO290*BO199+BP290*BP199+BQ290*BQ199+BR290*BR199+BS290*BS199+BT290*BT199+BU290*BU199+BV290*BV199+BW290*BW199+BX290*BX199+BY290*BY199+BZ290*BZ199+CA290*CA199+CB290*CB199+CC290*CC199+CD290*CD199+CE290*CE199+CF290*CF199+CG290*CG199+CH290*CH199+CI290*CI199+CJ290*CJ199+CK290*CK199+CL290*CL199+CM290*CM199+CN290*CN199+CO290*CO199+CP290*CP199+CQ290*CQ199+CR290*CR199+CS290*CS199+CT290*CT199+CU290*CU199</f>
        <v>0</v>
      </c>
      <c r="DB199" s="2840">
        <f>E291*E199+F291*F199+G291*G199+H291*H199+I291*I199+J291*J199+K291*K199+L291*L199+M291*M199+N291*N199+O291*O199+P291*P199+Q291*Q199+R291*R199+S291*S199+T291*T199+U291*U199+V291*V199+W291*W199+X291*X199+Y291*Y199+Z291*Z199+AA291*AA199+AB291*AB199+AC291*AC199+AD291*AD199+AE291*AE199+AF291*AF199+AG291*AG199+AH291*AH199+AI291*AI199+AJ291*AJ199+AK291*AK199+AL291*AL199+AM291*AM199+AN291*AN199+AO291*AO199+AP291*AP199+AQ291*AQ199+AR291*AR199+AS291*AS199+AT291*AT199+AU291*AU199+AV291*AV199+AW291*AW199+AX291*AX199+AY291*AY199+AZ291*AZ199+BA291*BA199+BB291*BB199+BC291*BC199+BD291*BD199+BE291*BE199+BF291*BF199+BG291*BG199+BH291*BH199+BI291*BI199+BJ291*BJ199+BK291*BK199+BL291*BL199+BM291*BM199+BN291*BN199+BO291*BO199+BP291*BP199+BQ291*BQ199+BR291*BR199+BS291*BS199+BT291*BT199+BU291*BU199+BV291*BV199+BW291*BW199+BX291*BX199+BY291*BY199+BZ291*BZ199+CA291*CA199+CB291*CB199+CC291*CC199+CD291*CD199+CE291*CE199+CF291*CF199+CG291*CG199+CH291*CH199+CI291*CI199+CJ291*CJ199+CK291*CK199+CL291*CL199+CM291*CM199+CN291*CN199+CO291*CO199+CP291*CP199+CQ291*CQ199+CR291*CR199+CS291*CS199+CT291*CT199+CU291*CU199</f>
        <v>0</v>
      </c>
      <c r="DC199" s="2840">
        <f>E292*E199+F292*F199+G292*G199+H292*H199+I292*I199+J292*J199+K292*K199+L292*L199+M292*M199+N292*N199+O292*O199+P292*P199+Q292*Q199+R292*R199+S292*S199+T292*T199+U292*U199+V292*V199+W292*W199+X292*X199+Y292*Y199+Z292*Z199+AA292*AA199+AB292*AB199+AC292*AC199+AD292*AD199+AE292*AE199+AF292*AF199+AG292*AG199+AH292*AH199+AI292*AI199+AJ292*AJ199+AK292*AK199+AL292*AL199+AM292*AM199+AN292*AN199+AO292*AO199+AP292*AP199+AQ292*AQ199+AR292*AR199+AS292*AS199+AT292*AT199+AU292*AU199+AV292*AV199+AW292*AW199+AX292*AX199+AY292*AY199+AZ292*AZ199+BA292*BA199+BB292*BB199+BC292*BC199+BD292*BD199+BE292*BE199+BF292*BF199+BG292*BG199+BH292*BH199+BI292*BI199+BJ292*BJ199+BK292*BK199+BL292*BL199+BM292*BM199+BN292*BN199+BO292*BO199+BP292*BP199+BQ292*BQ199+BR292*BR199+BS292*BS199+BT292*BT199+BU292*BU199+BV292*BV199+BW292*BW199+BX292*BX199+BY292*BY199+BZ292*BZ199+CA292*CA199+CB292*CB199+CC292*CC199+CD292*CD199+CE292*CE199+CF292*CF199+CG292*CG199+CH292*CH199+CI292*CI199+CJ292*CJ199+CK292*CK199+CL292*CL199+CM292*CM199+CN292*CN199+CO292*CO199+CP292*CP199+CQ292*CQ199+CR292*CR199+CS292*CS199+CT292*CT199+CU292*CU199</f>
        <v>0</v>
      </c>
      <c r="DD199" s="2840">
        <f>E293*E199+F293*F199+G293*G199+H293*H199+I293*I199+J293*J199+K293*K199+L293*L199+M293*M199+N293*N199+O293*O199+P293*P199+Q293*Q199+R293*R199+S293*S199+T293*T199+U293*U199+V293*V199+W293*W199+X293*X199+Y293*Y199+Z293*Z199+AA293*AA199+AB293*AB199+AC293*AC199+AD293*AD199+AE293*AE199+AF293*AF199+AG293*AG199+AH293*AH199+AI293*AI199+AJ293*AJ199+AK293*AK199+AL293*AL199+AM293*AM199+AN293*AN199+AO293*AO199+AP293*AP199+AQ293*AQ199+AR293*AR199+AS293*AS199+AT293*AT199+AU293*AU199+AV293*AV199+AW293*AW199+AX293*AX199+AY293*AY199+AZ293*AZ199+BA293*BA199+BB293*BB199+BC293*BC199+BD293*BD199+BE293*BE199+BF293*BF199+BG293*BG199+BH293*BH199+BI293*BI199+BJ293*BJ199+BK293*BK199+BL293*BL199+BM293*BM199+BN293*BN199+BO293*BO199+BP293*BP199+BQ293*BQ199+BR293*BR199+BS293*BS199+BT293*BT199+BU293*BU199+BV293*BV199+BW293*BW199+BX293*BX199+BY293*BY199+BZ293*BZ199+CA293*CA199+CB293*CB199+CC293*CC199+CD293*CD199+CE293*CE199+CF293*CF199+CG293*CG199+CH293*CH199+CI293*CI199+CJ293*CJ199+CK293*CK199+CL293*CL199+CM293*CM199+CN293*CN199+CO293*CO199+CP293*CP199+CQ293*CQ199+CR293*CR199+CS293*CS199+CT293*CT199+CU293*CU199</f>
        <v>0</v>
      </c>
      <c r="DE199" s="2840">
        <f>E294*E199+F294*F199+G294*G199+H294*H199+I294*I199+J294*J199+K294*K199+L294*L199+M294*M199+N294*N199+O294*O199+P294*P199+Q294*Q199+R294*R199+S294*S199+T294*T199+U294*U199+V294*V199+W294*W199+X294*X199+Y294*Y199+Z294*Z199+AA294*AA199+AB294*AB199+AC294*AC199+AD294*AD199+AE294*AE199+AF294*AF199+AG294*AG199+AH294*AH199+AI294*AI199+AJ294*AJ199+AK294*AK199+AL294*AL199+AM294*AM199+AN294*AN199+AO294*AO199+AP294*AP199+AQ294*AQ199+AR294*AR199+AS294*AS199+AT294*AT199+AU294*AU199+AV294*AV199+AW294*AW199+AX294*AX199+AY294*AY199+AZ294*AZ199+BA294*BA199+BB294*BB199+BC294*BC199+BD294*BD199+BE294*BE199+BF294*BF199+BG294*BG199+BH294*BH199+BI294*BI199+BJ294*BJ199+BK294*BK199+BL294*BL199+BM294*BM199+BN294*BN199+BO294*BO199+BP294*BP199+BQ294*BQ199+BR294*BR199+BS294*BS199+BT294*BT199+BU294*BU199+BV294*BV199+BW294*BW199+BX294*BX199+BY294*BY199+BZ294*BZ199+CA294*CA199+CB294*CB199+CC294*CC199+CD294*CD199+CE294*CE199+CF294*CF199+CG294*CG199+CH294*CH199+CI294*CI199+CJ294*CJ199+CK294*CK199+CL294*CL199+CM294*CM199+CN294*CN199+CO294*CO199+CP294*CP199+CQ294*CQ199+CR294*CR199+CS294*CS199+CT294*CT199+CU294*CU199</f>
        <v>0</v>
      </c>
      <c r="DF199" s="2840">
        <f>E295*E199+F295*F199+G295*G199+H295*H199+I295*I199+J295*J199+K295*K199+L295*L199+M295*M199+N295*N199+O295*O199+P295*P199+Q295*Q199+R295*R199+S295*S199+T295*T199+U295*U199+V295*V199+W295*W199+X295*X199+Y295*Y199+Z295*Z199+AA295*AA199+AB295*AB199+AC295*AC199+AD295*AD199+AE295*AE199+AF295*AF199+AG295*AG199+AH295*AH199+AI295*AI199+AJ295*AJ199+AK295*AK199+AL295*AL199+AM295*AM199+AN295*AN199+AO295*AO199+AP295*AP199+AQ295*AQ199+AR295*AR199+AS295*AS199+AT295*AT199+AU295*AU199+AV295*AV199+AW295*AW199+AX295*AX199+AY295*AY199+AZ295*AZ199+BA295*BA199+BB295*BB199+BC295*BC199+BD295*BD199+BE295*BE199+BF295*BF199+BG295*BG199+BH295*BH199+BI295*BI199+BJ295*BJ199+BK295*BK199+BL295*BL199+BM295*BM199+BN295*BN199+BO295*BO199+BP295*BP199+BQ295*BQ199+BR295*BR199+BS295*BS199+BT295*BT199+BU295*BU199+BV295*BV199+BW295*BW199+BX295*BX199+BY295*BY199+BZ295*BZ199+CA295*CA199+CB295*CB199+CC295*CC199+CD295*CD199+CE295*CE199+CF295*CF199+CG295*CG199+CH295*CH199+CI295*CI199+CJ295*CJ199+CK295*CK199+CL295*CL199+CM295*CM199+CN295*CN199+CO295*CO199+CP295*CP199+CQ295*CQ199+CR295*CR199+CS295*CS199+CT295*CT199+CU295*CU199</f>
        <v>0</v>
      </c>
      <c r="DG199" s="2840">
        <f>E296*E199+F296*F199+G296*G199+H296*H199+I296*I199+J296*J199+K296*K199+L296*L199+M296*M199+N296*N199+O296*O199+P296*P199+Q296*Q199+R296*R199+S296*S199+T296*T199+U296*U199+V296*V199+W296*W199+X296*X199+Y296*Y199+Z296*Z199+AA296*AA199+AB296*AB199+AC296*AC199+AD296*AD199+AE296*AE199+AF296*AF199+AG296*AG199+AH296*AH199+AI296*AI199+AJ296*AJ199+AK296*AK199+AL296*AL199+AM296*AM199+AN296*AN199+AO296*AO199+AP296*AP199+AQ296*AQ199+AR296*AR199+AS296*AS199+AT296*AT199+AU296*AU199+AV296*AV199+AW296*AW199+AX296*AX199+AY296*AY199+AZ296*AZ199+BA296*BA199+BB296*BB199+BC296*BC199+BD296*BD199+BE296*BE199+BF296*BF199+BG296*BG199+BH296*BH199+BI296*BI199+BJ296*BJ199+BK296*BK199+BL296*BL199+BM296*BM199+BN296*BN199+BO296*BO199+BP296*BP199+BQ296*BQ199+BR296*BR199+BS296*BS199+BT296*BT199+BU296*BU199+BV296*BV199+BW296*BW199+BX296*BX199+BY296*BY199+BZ296*BZ199+CA296*CA199+CB296*CB199+CC296*CC199+CD296*CD199+CE296*CE199+CF296*CF199+CG296*CG199+CH296*CH199+CI296*CI199+CJ296*CJ199+CK296*CK199+CL296*CL199+CM296*CM199+CN296*CN199+CO296*CO199+CP296*CP199+CQ296*CQ199+CR296*CR199+CS296*CS199+CT296*CT199+CU296*CU199</f>
        <v>0</v>
      </c>
      <c r="DH199" s="2840">
        <f>E297*E199+F297*F199+G297*G199+H297*H199+I297*I199+J297*J199+K297*K199+L297*L199+M297*M199+N297*N199+O297*O199+P297*P199+Q297*Q199+R297*R199+S297*S199+T297*T199+U297*U199+V297*V199+W297*W199+X297*X199+Y297*Y199+Z297*Z199+AA297*AA199+AB297*AB199+AC297*AC199+AD297*AD199+AE297*AE199+AF297*AF199+AG297*AG199+AH297*AH199+AI297*AI199+AJ297*AJ199+AK297*AK199+AL297*AL199+AM297*AM199+AN297*AN199+AO297*AO199+AP297*AP199+AQ297*AQ199+AR297*AR199+AS297*AS199+AT297*AT199+AU297*AU199+AV297*AV199+AW297*AW199+AX297*AX199+AY297*AY199+AZ297*AZ199+BA297*BA199+BB297*BB199+BC297*BC199+BD297*BD199+BE297*BE199+BF297*BF199+BG297*BG199+BH297*BH199+BI297*BI199+BJ297*BJ199+BK297*BK199+BL297*BL199+BM297*BM199+BN297*BN199+BO297*BO199+BP297*BP199+BQ297*BQ199+BR297*BR199+BS297*BS199+BT297*BT199+BU297*BU199+BV297*BV199+BW297*BW199+BX297*BX199+BY297*BY199+BZ297*BZ199+CA297*CA199+CB297*CB199+CC297*CC199+CD297*CD199+CE297*CE199+CF297*CF199+CG297*CG199+CH297*CH199+CI297*CI199+CJ297*CJ199+CK297*CK199+CL297*CL199+CM297*CM199+CN297*CN199+CO297*CO199+CP297*CP199+CQ297*CQ199+CR297*CR199+CS297*CS199+CT297*CT199+CU297*CU199</f>
        <v>0</v>
      </c>
      <c r="DI199" s="2840">
        <f>E298*E199+F298*F199+G298*G199+H298*H199+I298*I199+J298*J199+K298*K199+L298*L199+M298*M199+N298*N199+O298*O199+P298*P199+Q298*Q199+R298*R199+S298*S199+T298*T199+U298*U199+V298*V199+W298*W199+X298*X199+Y298*Y199+Z298*Z199+AA298*AA199+AB298*AB199+AC298*AC199+AD298*AD199+AE298*AE199+AF298*AF199+AG298*AG199+AH298*AH199+AI298*AI199+AJ298*AJ199+AK298*AK199+AL298*AL199+AM298*AM199+AN298*AN199+AO298*AO199+AP298*AP199+AQ298*AQ199+AR298*AR199+AS298*AS199+AT298*AT199+AU298*AU199+AV298*AV199+AW298*AW199+AX298*AX199+AY298*AY199+AZ298*AZ199+BA298*BA199+BB298*BB199+BC298*BC199+BD298*BD199+BE298*BE199+BF298*BF199+BG298*BG199+BH298*BH199+BI298*BI199+BJ298*BJ199+BK298*BK199+BL298*BL199+BM298*BM199+BN298*BN199+BO298*BO199+BP298*BP199+BQ298*BQ199+BR298*BR199+BS298*BS199+BT298*BT199+BU298*BU199+BV298*BV199+BW298*BW199+BX298*BX199+BY298*BY199+BZ298*BZ199+CA298*CA199+CB298*CB199+CC298*CC199+CD298*CD199+CE298*CE199+CF298*CF199+CG298*CG199+CH298*CH199+CI298*CI199+CJ298*CJ199+CK298*CK199+CL298*CL199+CM298*CM199+CN298*CN199+CO298*CO199+CP298*CP199+CQ298*CQ199+CR298*CR199+CS298*CS199+CT298*CT199+CU298*CU199</f>
        <v>0</v>
      </c>
    </row>
    <row r="200" spans="2:113" ht="18" x14ac:dyDescent="0.25">
      <c r="B200" s="2501">
        <v>47</v>
      </c>
      <c r="C200" s="2423" t="s">
        <v>464</v>
      </c>
      <c r="D200" s="2424" t="s">
        <v>294</v>
      </c>
      <c r="E200" s="3118">
        <f>0</f>
        <v>0</v>
      </c>
      <c r="F200" s="3118">
        <f>0</f>
        <v>0</v>
      </c>
      <c r="G200" s="3118">
        <f>0</f>
        <v>0</v>
      </c>
      <c r="H200" s="3118">
        <f>0</f>
        <v>0</v>
      </c>
      <c r="I200" s="3118">
        <f>0</f>
        <v>0</v>
      </c>
      <c r="J200" s="3118">
        <f>1-f_E</f>
        <v>0.92</v>
      </c>
      <c r="K200" s="3118">
        <f>0</f>
        <v>0</v>
      </c>
      <c r="L200" s="3118">
        <f>0</f>
        <v>0</v>
      </c>
      <c r="M200" s="3118">
        <f>0</f>
        <v>0</v>
      </c>
      <c r="N200" s="3118">
        <f>0</f>
        <v>0</v>
      </c>
      <c r="O200" s="3118">
        <f>0</f>
        <v>0</v>
      </c>
      <c r="P200" s="3118">
        <f>f_E</f>
        <v>0.08</v>
      </c>
      <c r="Q200" s="3118">
        <f>0</f>
        <v>0</v>
      </c>
      <c r="R200" s="3118">
        <f>0</f>
        <v>0</v>
      </c>
      <c r="S200" s="3118">
        <f>0</f>
        <v>0</v>
      </c>
      <c r="T200" s="3118">
        <f>0</f>
        <v>0</v>
      </c>
      <c r="U200" s="3118">
        <f>0</f>
        <v>0</v>
      </c>
      <c r="V200" s="3118">
        <f>0</f>
        <v>0</v>
      </c>
      <c r="W200" s="3118">
        <f>0</f>
        <v>0</v>
      </c>
      <c r="X200" s="3118">
        <f>-1</f>
        <v>-1</v>
      </c>
      <c r="Y200" s="3118">
        <f>0</f>
        <v>0</v>
      </c>
      <c r="Z200" s="3118">
        <f>0</f>
        <v>0</v>
      </c>
      <c r="AA200" s="3118">
        <f>0</f>
        <v>0</v>
      </c>
      <c r="AB200" s="3118">
        <f>0</f>
        <v>0</v>
      </c>
      <c r="AC200" s="3118">
        <f>0</f>
        <v>0</v>
      </c>
      <c r="AD200" s="3118">
        <f>-f_E*(i_N_XE-i_N_BIO)</f>
        <v>8.0000000000000069E-4</v>
      </c>
      <c r="AE200" s="3118">
        <f>0</f>
        <v>0</v>
      </c>
      <c r="AF200" s="3118">
        <f>0</f>
        <v>0</v>
      </c>
      <c r="AG200" s="3118">
        <f>0</f>
        <v>0</v>
      </c>
      <c r="AH200" s="3118">
        <f>0</f>
        <v>0</v>
      </c>
      <c r="AI200" s="3118">
        <f>0</f>
        <v>0</v>
      </c>
      <c r="AJ200" s="3118">
        <f>(1-f_E)*i_N_BIO</f>
        <v>6.4400000000000013E-2</v>
      </c>
      <c r="AK200" s="3118">
        <f>0</f>
        <v>0</v>
      </c>
      <c r="AL200" s="3117">
        <f>0</f>
        <v>0</v>
      </c>
      <c r="AM200" s="3118">
        <f>0</f>
        <v>0</v>
      </c>
      <c r="AN200" s="3118">
        <f>0</f>
        <v>0</v>
      </c>
      <c r="AO200" s="3118">
        <f>0</f>
        <v>0</v>
      </c>
      <c r="AP200" s="3118">
        <f>(1-f_E)*i_P_BIO</f>
        <v>1.84E-2</v>
      </c>
      <c r="AQ200" s="3118">
        <f>0</f>
        <v>0</v>
      </c>
      <c r="AR200" s="3118">
        <f>0</f>
        <v>0</v>
      </c>
      <c r="AS200" s="3118">
        <f>0</f>
        <v>0</v>
      </c>
      <c r="AT200" s="3118">
        <f>0</f>
        <v>0</v>
      </c>
      <c r="AU200" s="3180">
        <f>(1-f_E)*(i_CIT_BIO-i_CIT_XBe)</f>
        <v>6.0720000000000003E-2</v>
      </c>
      <c r="AV200" s="3180">
        <f>0</f>
        <v>0</v>
      </c>
      <c r="AW200" s="3180">
        <f>0</f>
        <v>0</v>
      </c>
      <c r="AX200" s="3180">
        <f>0</f>
        <v>0</v>
      </c>
      <c r="AY200" s="3180">
        <f>0</f>
        <v>0</v>
      </c>
      <c r="AZ200" s="3180">
        <f>0</f>
        <v>0</v>
      </c>
      <c r="BA200" s="3118">
        <f>0</f>
        <v>0</v>
      </c>
      <c r="BB200" s="3118">
        <f>0</f>
        <v>0</v>
      </c>
      <c r="BC200" s="3118">
        <f>(1-f_E)*i_S_BIO-(1-f_E)*i_S_XB</f>
        <v>7.8200000000000006E-3</v>
      </c>
      <c r="BD200" s="3118">
        <f>0</f>
        <v>0</v>
      </c>
      <c r="BE200" s="3118">
        <f>0</f>
        <v>0</v>
      </c>
      <c r="BF200" s="3118">
        <f>0</f>
        <v>0</v>
      </c>
      <c r="BG200" s="3118">
        <f>0</f>
        <v>0</v>
      </c>
      <c r="BH200" s="3118">
        <f>0</f>
        <v>0</v>
      </c>
      <c r="BI200" s="3118">
        <f>0</f>
        <v>0</v>
      </c>
      <c r="BJ200" s="3118">
        <f>0</f>
        <v>0</v>
      </c>
      <c r="BK200" s="3118">
        <f>0</f>
        <v>0</v>
      </c>
      <c r="BL200" s="3118">
        <f>0</f>
        <v>0</v>
      </c>
      <c r="BM200" s="3118">
        <f>0</f>
        <v>0</v>
      </c>
      <c r="BN200" s="3118">
        <f>0</f>
        <v>0</v>
      </c>
      <c r="BO200" s="3118">
        <f>0</f>
        <v>0</v>
      </c>
      <c r="BP200" s="3118">
        <f>0</f>
        <v>0</v>
      </c>
      <c r="BQ200" s="3118">
        <f>0</f>
        <v>0</v>
      </c>
      <c r="BR200" s="3118">
        <f>0</f>
        <v>0</v>
      </c>
      <c r="BS200" s="3118">
        <f>0</f>
        <v>0</v>
      </c>
      <c r="BT200" s="3118">
        <f>0</f>
        <v>0</v>
      </c>
      <c r="BU200" s="3118">
        <f>0</f>
        <v>0</v>
      </c>
      <c r="BV200" s="3118">
        <f>0</f>
        <v>0</v>
      </c>
      <c r="BW200" s="3118">
        <f>0</f>
        <v>0</v>
      </c>
      <c r="BX200" s="3118">
        <f>0</f>
        <v>0</v>
      </c>
      <c r="BY200" s="3118">
        <f>0</f>
        <v>0</v>
      </c>
      <c r="BZ200" s="3180">
        <f>0</f>
        <v>0</v>
      </c>
      <c r="CA200" s="3180">
        <f>0</f>
        <v>0</v>
      </c>
      <c r="CB200" s="3180">
        <f>0</f>
        <v>0</v>
      </c>
      <c r="CC200" s="3180">
        <f>0</f>
        <v>0</v>
      </c>
      <c r="CD200" s="3118">
        <f>0</f>
        <v>0</v>
      </c>
      <c r="CE200" s="3118">
        <f>0</f>
        <v>0</v>
      </c>
      <c r="CF200" s="3118">
        <f>0</f>
        <v>0</v>
      </c>
      <c r="CG200" s="3118">
        <f>0</f>
        <v>0</v>
      </c>
      <c r="CH200" s="3118">
        <f>0</f>
        <v>0</v>
      </c>
      <c r="CI200" s="3118">
        <f>0</f>
        <v>0</v>
      </c>
      <c r="CJ200" s="3118">
        <f>0</f>
        <v>0</v>
      </c>
      <c r="CK200" s="3118">
        <f>0</f>
        <v>0</v>
      </c>
      <c r="CL200" s="3118">
        <f>0</f>
        <v>0</v>
      </c>
      <c r="CM200" s="3118">
        <f>0</f>
        <v>0</v>
      </c>
      <c r="CN200" s="3118">
        <f>0</f>
        <v>0</v>
      </c>
      <c r="CO200" s="3118">
        <f>0</f>
        <v>0</v>
      </c>
      <c r="CP200" s="3118">
        <f>0</f>
        <v>0</v>
      </c>
      <c r="CQ200" s="3118">
        <f>0</f>
        <v>0</v>
      </c>
      <c r="CR200" s="3118">
        <f>0</f>
        <v>0</v>
      </c>
      <c r="CS200" s="3118">
        <f>0</f>
        <v>0</v>
      </c>
      <c r="CT200" s="3118">
        <f>0</f>
        <v>0</v>
      </c>
      <c r="CU200" s="3118">
        <f>0</f>
        <v>0</v>
      </c>
      <c r="CV200" s="3225">
        <f>b_AMETO_T*X_AMETO*(m_tox_aer*M_satSO2_KiO2_AMETO+m_tox_anox*M_satSNOx_KNO3_AMETO*M_inhSO2_KiO2_AMETO)</f>
        <v>8.8891783092588217E-2</v>
      </c>
      <c r="CX200" s="2838">
        <f>E287*E200+F287*F200+G287*G200+H287*H200+I287*I200+J287*J200+K287*K200+L287*L200+M287*M200+N287*N200+O287*O200+P287*P200+Q287*Q200+R287*R200+S287*S200+T287*T200+U287*U200+V287*V200+W287*W200+X287*X200+Y287*Y200+Z287*Z200+AA287*AA200+AB287*AB200+AC287*AC200+AD287*AD200+AE287*AE200+AF287*AF200+AG287*AG200+AH287*AH200+AI287*AI200+AJ287*AJ200+AK287*AK200+AL287*AL200+AM287*AM200+AN287*AN200+AO287*AO200+AP287*AP200+AQ287*AQ200+AR287*AR200+AS287*AS200+AT287*AT200+AU287*AU200+AV287*AV200+AW287*AW200+AX287*AX200+AY287*AY200+AZ287*AZ200+BA287*BA200+BB287*BB200+BC287*BC200+BD287*BD200+BE287*BE200+BF287*BF200+BG287*BG200+BH287*BH200+BI287*BI200+BJ287*BJ200+BK287*BK200+BL287*BL200+BM287*BM200+BN287*BN200+BO287*BO200+BP287*BP200+BQ287*BQ200+BR287*BR200+BS287*BS200+BT287*BT200+BU287*BU200+BV287*BV200+BW287*BW200+BX287*BX200+BY287*BY200+BZ287*BZ200+CA287*CA200+CB287*CB200+CC287*CC200+CD287*CD200+CE287*CE200+CF287*CF200+CG287*CG200+CH287*CH200+CI287*CI200+CJ287*CJ200+CK287*CK200+CL287*CL200+CM287*CM200+CN287*CN200+CO287*CO200+CP287*CP200+CQ287*CQ200+CR287*CR200+CS287*CS200+CT287*CT200+CU287*CU200</f>
        <v>0</v>
      </c>
      <c r="CY200" s="2838">
        <f>E288*E200+F288*F200+G288*G200+H288*H200+I288*I200+J288*J200+K288*K200+L288*L200+M288*M200+N288*N200+O288*O200+P288*P200+Q288*Q200+R288*R200+S288*S200+T288*T200+U288*U200+V288*V200+W288*W200+X288*X200+Y288*Y200+Z288*Z200+AA288*AA200+AB288*AB200+AC288*AC200+AD288*AD200+AE288*AE200+AF288*AF200+AG288*AG200+AH288*AH200+AI288*AI200+AJ288*AJ200+AK288*AK200+AL288*AL200+AM288*AM200+AN288*AN200+AO288*AO200+AP288*AP200+AQ288*AQ200+AR288*AR200+AS288*AS200+AT288*AT200+AU288*AU200+AV288*AV200+AW288*AW200+AX288*AX200+AY288*AY200+AZ288*AZ200+BA288*BA200+BB288*BB200+BC288*BC200+BD288*BD200+BE288*BE200+BF288*BF200+BG288*BG200+BH288*BH200+BI288*BI200+BJ288*BJ200+BK288*BK200+BL288*BL200+BM288*BM200+BN288*BN200+BO288*BO200+BP288*BP200+BQ288*BQ200+BR288*BR200+BS288*BS200+BT288*BT200+BU288*BU200+BV288*BV200+BW288*BW200+BX288*BX200+BY288*BY200+BZ288*BZ200+CA288*CA200+CB288*CB200+CC288*CC200+CD288*CD200+CE288*CE200+CF288*CF200+CG288*CG200+CH288*CH200+CI288*CI200+CJ288*CJ200+CK288*CK200+CL288*CL200+CM288*CM200+CN288*CN200+CO288*CO200+CP288*CP200+CQ288*CQ200+CR288*CR200+CS288*CS200+CT288*CT200+CU288*CU200</f>
        <v>6.9388939039072284E-18</v>
      </c>
      <c r="CZ200" s="2839">
        <f>E289*E200+F289*F200+G289*G200+H289*H200+I289*I200+J289*J200+K289*K200+L289*L200+M289*M200+N289*N200+O289*O200+P289*P200+Q289*Q200+R289*R200+S289*S200+T289*T200+U289*U200+V289*V200+W289*W200+X289*X200+Y289*Y200+Z289*Z200+AA289*AA200+AB289*AB200+AC289*AC200+AD289*AD200+AE289*AE200+AF289*AF200+AG289*AG200+AH289*AH200+AI289*AI200+AJ289*AJ200+AK289*AK200+AL289*AL200+AM289*AM200+AN289*AN200+AO289*AO200+AP289*AP200+AQ289*AQ200+AR289*AR200+AS289*AS200+AT289*AT200+AU289*AU200+AV289*AV200+AW289*AW200+AX289*AX200+AY289*AY200+AZ289*AZ200+BA289*BA200+BB289*BB200+BC289*BC200+BD289*BD200+BE289*BE200+BF289*BF200+BG289*BG200+BH289*BH200+BI289*BI200+BJ289*BJ200+BK289*BK200+BL289*BL200+BM289*BM200+BN289*BN200+BO289*BO200+BP289*BP200+BQ289*BQ200+BR289*BR200+BS289*BS200+BT289*BT200+BU289*BU200+BV289*BV200+BW289*BW200+BX289*BX200+BY289*BY200+BZ289*BZ200+CA289*CA200+CB289*CB200+CC289*CC200+CD289*CD200+CE289*CE200+CF289*CF200+CG289*CG200+CH289*CH200+CI289*CI200+CJ289*CJ200+CK289*CK200+CL289*CL200+CM289*CM200+CN289*CN200+CO289*CO200+CP289*CP200+CQ289*CQ200+CR289*CR200+CS289*CS200+CT289*CT200+CU289*CU200</f>
        <v>0</v>
      </c>
      <c r="DA200" s="2840">
        <f>E290*E200+F290*F200+G290*G200+H290*H200+I290*I200+J290*J200+K290*K200+L290*L200+M290*M200+N290*N200+O290*O200+P290*P200+Q290*Q200+R290*R200+S290*S200+T290*T200+U290*U200+V290*V200+W290*W200+X290*X200+Y290*Y200+Z290*Z200+AA290*AA200+AB290*AB200+AC290*AC200+AD290*AD200+AE290*AE200+AF290*AF200+AG290*AG200+AH290*AH200+AI290*AI200+AJ290*AJ200+AK290*AK200+AL290*AL200+AM290*AM200+AN290*AN200+AO290*AO200+AP290*AP200+AQ290*AQ200+AR290*AR200+AS290*AS200+AT290*AT200+AU290*AU200+AV290*AV200+AW290*AW200+AX290*AX200+AY290*AY200+AZ290*AZ200+BA290*BA200+BB290*BB200+BC290*BC200+BD290*BD200+BE290*BE200+BF290*BF200+BG290*BG200+BH290*BH200+BI290*BI200+BJ290*BJ200+BK290*BK200+BL290*BL200+BM290*BM200+BN290*BN200+BO290*BO200+BP290*BP200+BQ290*BQ200+BR290*BR200+BS290*BS200+BT290*BT200+BU290*BU200+BV290*BV200+BW290*BW200+BX290*BX200+BY290*BY200+BZ290*BZ200+CA290*CA200+CB290*CB200+CC290*CC200+CD290*CD200+CE290*CE200+CF290*CF200+CG290*CG200+CH290*CH200+CI290*CI200+CJ290*CJ200+CK290*CK200+CL290*CL200+CM290*CM200+CN290*CN200+CO290*CO200+CP290*CP200+CQ290*CQ200+CR290*CR200+CS290*CS200+CT290*CT200+CU290*CU200</f>
        <v>0</v>
      </c>
      <c r="DB200" s="2840">
        <f>E291*E200+F291*F200+G291*G200+H291*H200+I291*I200+J291*J200+K291*K200+L291*L200+M291*M200+N291*N200+O291*O200+P291*P200+Q291*Q200+R291*R200+S291*S200+T291*T200+U291*U200+V291*V200+W291*W200+X291*X200+Y291*Y200+Z291*Z200+AA291*AA200+AB291*AB200+AC291*AC200+AD291*AD200+AE291*AE200+AF291*AF200+AG291*AG200+AH291*AH200+AI291*AI200+AJ291*AJ200+AK291*AK200+AL291*AL200+AM291*AM200+AN291*AN200+AO291*AO200+AP291*AP200+AQ291*AQ200+AR291*AR200+AS291*AS200+AT291*AT200+AU291*AU200+AV291*AV200+AW291*AW200+AX291*AX200+AY291*AY200+AZ291*AZ200+BA291*BA200+BB291*BB200+BC291*BC200+BD291*BD200+BE291*BE200+BF291*BF200+BG291*BG200+BH291*BH200+BI291*BI200+BJ291*BJ200+BK291*BK200+BL291*BL200+BM291*BM200+BN291*BN200+BO291*BO200+BP291*BP200+BQ291*BQ200+BR291*BR200+BS291*BS200+BT291*BT200+BU291*BU200+BV291*BV200+BW291*BW200+BX291*BX200+BY291*BY200+BZ291*BZ200+CA291*CA200+CB291*CB200+CC291*CC200+CD291*CD200+CE291*CE200+CF291*CF200+CG291*CG200+CH291*CH200+CI291*CI200+CJ291*CJ200+CK291*CK200+CL291*CL200+CM291*CM200+CN291*CN200+CO291*CO200+CP291*CP200+CQ291*CQ200+CR291*CR200+CS291*CS200+CT291*CT200+CU291*CU200</f>
        <v>0</v>
      </c>
      <c r="DC200" s="2840">
        <f>E292*E200+F292*F200+G292*G200+H292*H200+I292*I200+J292*J200+K292*K200+L292*L200+M292*M200+N292*N200+O292*O200+P292*P200+Q292*Q200+R292*R200+S292*S200+T292*T200+U292*U200+V292*V200+W292*W200+X292*X200+Y292*Y200+Z292*Z200+AA292*AA200+AB292*AB200+AC292*AC200+AD292*AD200+AE292*AE200+AF292*AF200+AG292*AG200+AH292*AH200+AI292*AI200+AJ292*AJ200+AK292*AK200+AL292*AL200+AM292*AM200+AN292*AN200+AO292*AO200+AP292*AP200+AQ292*AQ200+AR292*AR200+AS292*AS200+AT292*AT200+AU292*AU200+AV292*AV200+AW292*AW200+AX292*AX200+AY292*AY200+AZ292*AZ200+BA292*BA200+BB292*BB200+BC292*BC200+BD292*BD200+BE292*BE200+BF292*BF200+BG292*BG200+BH292*BH200+BI292*BI200+BJ292*BJ200+BK292*BK200+BL292*BL200+BM292*BM200+BN292*BN200+BO292*BO200+BP292*BP200+BQ292*BQ200+BR292*BR200+BS292*BS200+BT292*BT200+BU292*BU200+BV292*BV200+BW292*BW200+BX292*BX200+BY292*BY200+BZ292*BZ200+CA292*CA200+CB292*CB200+CC292*CC200+CD292*CD200+CE292*CE200+CF292*CF200+CG292*CG200+CH292*CH200+CI292*CI200+CJ292*CJ200+CK292*CK200+CL292*CL200+CM292*CM200+CN292*CN200+CO292*CO200+CP292*CP200+CQ292*CQ200+CR292*CR200+CS292*CS200+CT292*CT200+CU292*CU200</f>
        <v>0</v>
      </c>
      <c r="DD200" s="2840">
        <f>E293*E200+F293*F200+G293*G200+H293*H200+I293*I200+J293*J200+K293*K200+L293*L200+M293*M200+N293*N200+O293*O200+P293*P200+Q293*Q200+R293*R200+S293*S200+T293*T200+U293*U200+V293*V200+W293*W200+X293*X200+Y293*Y200+Z293*Z200+AA293*AA200+AB293*AB200+AC293*AC200+AD293*AD200+AE293*AE200+AF293*AF200+AG293*AG200+AH293*AH200+AI293*AI200+AJ293*AJ200+AK293*AK200+AL293*AL200+AM293*AM200+AN293*AN200+AO293*AO200+AP293*AP200+AQ293*AQ200+AR293*AR200+AS293*AS200+AT293*AT200+AU293*AU200+AV293*AV200+AW293*AW200+AX293*AX200+AY293*AY200+AZ293*AZ200+BA293*BA200+BB293*BB200+BC293*BC200+BD293*BD200+BE293*BE200+BF293*BF200+BG293*BG200+BH293*BH200+BI293*BI200+BJ293*BJ200+BK293*BK200+BL293*BL200+BM293*BM200+BN293*BN200+BO293*BO200+BP293*BP200+BQ293*BQ200+BR293*BR200+BS293*BS200+BT293*BT200+BU293*BU200+BV293*BV200+BW293*BW200+BX293*BX200+BY293*BY200+BZ293*BZ200+CA293*CA200+CB293*CB200+CC293*CC200+CD293*CD200+CE293*CE200+CF293*CF200+CG293*CG200+CH293*CH200+CI293*CI200+CJ293*CJ200+CK293*CK200+CL293*CL200+CM293*CM200+CN293*CN200+CO293*CO200+CP293*CP200+CQ293*CQ200+CR293*CR200+CS293*CS200+CT293*CT200+CU293*CU200</f>
        <v>0</v>
      </c>
      <c r="DE200" s="2840">
        <f>E294*E200+F294*F200+G294*G200+H294*H200+I294*I200+J294*J200+K294*K200+L294*L200+M294*M200+N294*N200+O294*O200+P294*P200+Q294*Q200+R294*R200+S294*S200+T294*T200+U294*U200+V294*V200+W294*W200+X294*X200+Y294*Y200+Z294*Z200+AA294*AA200+AB294*AB200+AC294*AC200+AD294*AD200+AE294*AE200+AF294*AF200+AG294*AG200+AH294*AH200+AI294*AI200+AJ294*AJ200+AK294*AK200+AL294*AL200+AM294*AM200+AN294*AN200+AO294*AO200+AP294*AP200+AQ294*AQ200+AR294*AR200+AS294*AS200+AT294*AT200+AU294*AU200+AV294*AV200+AW294*AW200+AX294*AX200+AY294*AY200+AZ294*AZ200+BA294*BA200+BB294*BB200+BC294*BC200+BD294*BD200+BE294*BE200+BF294*BF200+BG294*BG200+BH294*BH200+BI294*BI200+BJ294*BJ200+BK294*BK200+BL294*BL200+BM294*BM200+BN294*BN200+BO294*BO200+BP294*BP200+BQ294*BQ200+BR294*BR200+BS294*BS200+BT294*BT200+BU294*BU200+BV294*BV200+BW294*BW200+BX294*BX200+BY294*BY200+BZ294*BZ200+CA294*CA200+CB294*CB200+CC294*CC200+CD294*CD200+CE294*CE200+CF294*CF200+CG294*CG200+CH294*CH200+CI294*CI200+CJ294*CJ200+CK294*CK200+CL294*CL200+CM294*CM200+CN294*CN200+CO294*CO200+CP294*CP200+CQ294*CQ200+CR294*CR200+CS294*CS200+CT294*CT200+CU294*CU200</f>
        <v>0</v>
      </c>
      <c r="DF200" s="2840">
        <f>E295*E200+F295*F200+G295*G200+H295*H200+I295*I200+J295*J200+K295*K200+L295*L200+M295*M200+N295*N200+O295*O200+P295*P200+Q295*Q200+R295*R200+S295*S200+T295*T200+U295*U200+V295*V200+W295*W200+X295*X200+Y295*Y200+Z295*Z200+AA295*AA200+AB295*AB200+AC295*AC200+AD295*AD200+AE295*AE200+AF295*AF200+AG295*AG200+AH295*AH200+AI295*AI200+AJ295*AJ200+AK295*AK200+AL295*AL200+AM295*AM200+AN295*AN200+AO295*AO200+AP295*AP200+AQ295*AQ200+AR295*AR200+AS295*AS200+AT295*AT200+AU295*AU200+AV295*AV200+AW295*AW200+AX295*AX200+AY295*AY200+AZ295*AZ200+BA295*BA200+BB295*BB200+BC295*BC200+BD295*BD200+BE295*BE200+BF295*BF200+BG295*BG200+BH295*BH200+BI295*BI200+BJ295*BJ200+BK295*BK200+BL295*BL200+BM295*BM200+BN295*BN200+BO295*BO200+BP295*BP200+BQ295*BQ200+BR295*BR200+BS295*BS200+BT295*BT200+BU295*BU200+BV295*BV200+BW295*BW200+BX295*BX200+BY295*BY200+BZ295*BZ200+CA295*CA200+CB295*CB200+CC295*CC200+CD295*CD200+CE295*CE200+CF295*CF200+CG295*CG200+CH295*CH200+CI295*CI200+CJ295*CJ200+CK295*CK200+CL295*CL200+CM295*CM200+CN295*CN200+CO295*CO200+CP295*CP200+CQ295*CQ200+CR295*CR200+CS295*CS200+CT295*CT200+CU295*CU200</f>
        <v>0</v>
      </c>
      <c r="DG200" s="2840">
        <f>E296*E200+F296*F200+G296*G200+H296*H200+I296*I200+J296*J200+K296*K200+L296*L200+M296*M200+N296*N200+O296*O200+P296*P200+Q296*Q200+R296*R200+S296*S200+T296*T200+U296*U200+V296*V200+W296*W200+X296*X200+Y296*Y200+Z296*Z200+AA296*AA200+AB296*AB200+AC296*AC200+AD296*AD200+AE296*AE200+AF296*AF200+AG296*AG200+AH296*AH200+AI296*AI200+AJ296*AJ200+AK296*AK200+AL296*AL200+AM296*AM200+AN296*AN200+AO296*AO200+AP296*AP200+AQ296*AQ200+AR296*AR200+AS296*AS200+AT296*AT200+AU296*AU200+AV296*AV200+AW296*AW200+AX296*AX200+AY296*AY200+AZ296*AZ200+BA296*BA200+BB296*BB200+BC296*BC200+BD296*BD200+BE296*BE200+BF296*BF200+BG296*BG200+BH296*BH200+BI296*BI200+BJ296*BJ200+BK296*BK200+BL296*BL200+BM296*BM200+BN296*BN200+BO296*BO200+BP296*BP200+BQ296*BQ200+BR296*BR200+BS296*BS200+BT296*BT200+BU296*BU200+BV296*BV200+BW296*BW200+BX296*BX200+BY296*BY200+BZ296*BZ200+CA296*CA200+CB296*CB200+CC296*CC200+CD296*CD200+CE296*CE200+CF296*CF200+CG296*CG200+CH296*CH200+CI296*CI200+CJ296*CJ200+CK296*CK200+CL296*CL200+CM296*CM200+CN296*CN200+CO296*CO200+CP296*CP200+CQ296*CQ200+CR296*CR200+CS296*CS200+CT296*CT200+CU296*CU200</f>
        <v>0</v>
      </c>
      <c r="DH200" s="2840">
        <f>E297*E200+F297*F200+G297*G200+H297*H200+I297*I200+J297*J200+K297*K200+L297*L200+M297*M200+N297*N200+O297*O200+P297*P200+Q297*Q200+R297*R200+S297*S200+T297*T200+U297*U200+V297*V200+W297*W200+X297*X200+Y297*Y200+Z297*Z200+AA297*AA200+AB297*AB200+AC297*AC200+AD297*AD200+AE297*AE200+AF297*AF200+AG297*AG200+AH297*AH200+AI297*AI200+AJ297*AJ200+AK297*AK200+AL297*AL200+AM297*AM200+AN297*AN200+AO297*AO200+AP297*AP200+AQ297*AQ200+AR297*AR200+AS297*AS200+AT297*AT200+AU297*AU200+AV297*AV200+AW297*AW200+AX297*AX200+AY297*AY200+AZ297*AZ200+BA297*BA200+BB297*BB200+BC297*BC200+BD297*BD200+BE297*BE200+BF297*BF200+BG297*BG200+BH297*BH200+BI297*BI200+BJ297*BJ200+BK297*BK200+BL297*BL200+BM297*BM200+BN297*BN200+BO297*BO200+BP297*BP200+BQ297*BQ200+BR297*BR200+BS297*BS200+BT297*BT200+BU297*BU200+BV297*BV200+BW297*BW200+BX297*BX200+BY297*BY200+BZ297*BZ200+CA297*CA200+CB297*CB200+CC297*CC200+CD297*CD200+CE297*CE200+CF297*CF200+CG297*CG200+CH297*CH200+CI297*CI200+CJ297*CJ200+CK297*CK200+CL297*CL200+CM297*CM200+CN297*CN200+CO297*CO200+CP297*CP200+CQ297*CQ200+CR297*CR200+CS297*CS200+CT297*CT200+CU297*CU200</f>
        <v>0</v>
      </c>
      <c r="DI200" s="2840">
        <f>E298*E200+F298*F200+G298*G200+H298*H200+I298*I200+J298*J200+K298*K200+L298*L200+M298*M200+N298*N200+O298*O200+P298*P200+Q298*Q200+R298*R200+S298*S200+T298*T200+U298*U200+V298*V200+W298*W200+X298*X200+Y298*Y200+Z298*Z200+AA298*AA200+AB298*AB200+AC298*AC200+AD298*AD200+AE298*AE200+AF298*AF200+AG298*AG200+AH298*AH200+AI298*AI200+AJ298*AJ200+AK298*AK200+AL298*AL200+AM298*AM200+AN298*AN200+AO298*AO200+AP298*AP200+AQ298*AQ200+AR298*AR200+AS298*AS200+AT298*AT200+AU298*AU200+AV298*AV200+AW298*AW200+AX298*AX200+AY298*AY200+AZ298*AZ200+BA298*BA200+BB298*BB200+BC298*BC200+BD298*BD200+BE298*BE200+BF298*BF200+BG298*BG200+BH298*BH200+BI298*BI200+BJ298*BJ200+BK298*BK200+BL298*BL200+BM298*BM200+BN298*BN200+BO298*BO200+BP298*BP200+BQ298*BQ200+BR298*BR200+BS298*BS200+BT298*BT200+BU298*BU200+BV298*BV200+BW298*BW200+BX298*BX200+BY298*BY200+BZ298*BZ200+CA298*CA200+CB298*CB200+CC298*CC200+CD298*CD200+CE298*CE200+CF298*CF200+CG298*CG200+CH298*CH200+CI298*CI200+CJ298*CJ200+CK298*CK200+CL298*CL200+CM298*CM200+CN298*CN200+CO298*CO200+CP298*CP200+CQ298*CQ200+CR298*CR200+CS298*CS200+CT298*CT200+CU298*CU200</f>
        <v>0</v>
      </c>
    </row>
    <row r="201" spans="2:113" ht="18" x14ac:dyDescent="0.25">
      <c r="B201" s="2501">
        <v>48</v>
      </c>
      <c r="C201" s="2423" t="s">
        <v>465</v>
      </c>
      <c r="D201" s="2424" t="s">
        <v>2998</v>
      </c>
      <c r="E201" s="3118">
        <f>0</f>
        <v>0</v>
      </c>
      <c r="F201" s="3118">
        <f>0</f>
        <v>0</v>
      </c>
      <c r="G201" s="3118">
        <f>0</f>
        <v>0</v>
      </c>
      <c r="H201" s="3118">
        <f>0</f>
        <v>0</v>
      </c>
      <c r="I201" s="3118">
        <f>0</f>
        <v>0</v>
      </c>
      <c r="J201" s="3118">
        <f>1-f_E</f>
        <v>0.92</v>
      </c>
      <c r="K201" s="3118">
        <f>0</f>
        <v>0</v>
      </c>
      <c r="L201" s="3118">
        <f>0</f>
        <v>0</v>
      </c>
      <c r="M201" s="3118">
        <f>0</f>
        <v>0</v>
      </c>
      <c r="N201" s="3118">
        <f>0</f>
        <v>0</v>
      </c>
      <c r="O201" s="3118">
        <f>0</f>
        <v>0</v>
      </c>
      <c r="P201" s="3118">
        <f>0</f>
        <v>0</v>
      </c>
      <c r="Q201" s="3118">
        <f>f_E</f>
        <v>0.08</v>
      </c>
      <c r="R201" s="3118">
        <f>0</f>
        <v>0</v>
      </c>
      <c r="S201" s="3118">
        <f>0</f>
        <v>0</v>
      </c>
      <c r="T201" s="3118">
        <f>0</f>
        <v>0</v>
      </c>
      <c r="U201" s="3118">
        <f>0</f>
        <v>0</v>
      </c>
      <c r="V201" s="3118">
        <f>0</f>
        <v>0</v>
      </c>
      <c r="W201" s="3118">
        <f>0</f>
        <v>0</v>
      </c>
      <c r="X201" s="3118">
        <f>-1</f>
        <v>-1</v>
      </c>
      <c r="Y201" s="3118">
        <f>0</f>
        <v>0</v>
      </c>
      <c r="Z201" s="3118">
        <f>0</f>
        <v>0</v>
      </c>
      <c r="AA201" s="3118">
        <f>0</f>
        <v>0</v>
      </c>
      <c r="AB201" s="3118">
        <f>0</f>
        <v>0</v>
      </c>
      <c r="AC201" s="3118">
        <f>0</f>
        <v>0</v>
      </c>
      <c r="AD201" s="3118">
        <f>-f_E*(i_N_XE-i_N_BIO)</f>
        <v>8.0000000000000069E-4</v>
      </c>
      <c r="AE201" s="3118">
        <f>0</f>
        <v>0</v>
      </c>
      <c r="AF201" s="3118">
        <f>0</f>
        <v>0</v>
      </c>
      <c r="AG201" s="3118">
        <f>0</f>
        <v>0</v>
      </c>
      <c r="AH201" s="3118">
        <f>0</f>
        <v>0</v>
      </c>
      <c r="AI201" s="3118">
        <f>0</f>
        <v>0</v>
      </c>
      <c r="AJ201" s="3118">
        <f>(1-f_E)*i_N_BIO</f>
        <v>6.4400000000000013E-2</v>
      </c>
      <c r="AK201" s="3118">
        <f>0</f>
        <v>0</v>
      </c>
      <c r="AL201" s="3117">
        <f>0</f>
        <v>0</v>
      </c>
      <c r="AM201" s="3118">
        <f>0</f>
        <v>0</v>
      </c>
      <c r="AN201" s="3118">
        <f>0</f>
        <v>0</v>
      </c>
      <c r="AO201" s="3118">
        <f>0</f>
        <v>0</v>
      </c>
      <c r="AP201" s="3118">
        <f>(1-f_E)*i_P_BIO</f>
        <v>1.84E-2</v>
      </c>
      <c r="AQ201" s="3118">
        <f>0</f>
        <v>0</v>
      </c>
      <c r="AR201" s="3118">
        <f>0</f>
        <v>0</v>
      </c>
      <c r="AS201" s="3118">
        <f>0</f>
        <v>0</v>
      </c>
      <c r="AT201" s="3118">
        <f>0</f>
        <v>0</v>
      </c>
      <c r="AU201" s="3180">
        <f>(1-f_E)*(i_CIT_BIO-i_CIT_XBe)</f>
        <v>6.0720000000000003E-2</v>
      </c>
      <c r="AV201" s="3180">
        <f>0</f>
        <v>0</v>
      </c>
      <c r="AW201" s="3180">
        <f>0</f>
        <v>0</v>
      </c>
      <c r="AX201" s="3180">
        <f>0</f>
        <v>0</v>
      </c>
      <c r="AY201" s="3180">
        <f>0</f>
        <v>0</v>
      </c>
      <c r="AZ201" s="3180">
        <f>0</f>
        <v>0</v>
      </c>
      <c r="BA201" s="3118">
        <f>0</f>
        <v>0</v>
      </c>
      <c r="BB201" s="3118">
        <f>0</f>
        <v>0</v>
      </c>
      <c r="BC201" s="3118">
        <f>(1-f_E)*i_S_BIO-(1-f_E)*i_S_XB</f>
        <v>7.8200000000000006E-3</v>
      </c>
      <c r="BD201" s="3118">
        <f>0</f>
        <v>0</v>
      </c>
      <c r="BE201" s="3118">
        <f>0</f>
        <v>0</v>
      </c>
      <c r="BF201" s="3118">
        <f>0</f>
        <v>0</v>
      </c>
      <c r="BG201" s="3118">
        <f>0</f>
        <v>0</v>
      </c>
      <c r="BH201" s="3118">
        <f>0</f>
        <v>0</v>
      </c>
      <c r="BI201" s="3118">
        <f>0</f>
        <v>0</v>
      </c>
      <c r="BJ201" s="3118">
        <f>0</f>
        <v>0</v>
      </c>
      <c r="BK201" s="3118">
        <f>0</f>
        <v>0</v>
      </c>
      <c r="BL201" s="3118">
        <f>0</f>
        <v>0</v>
      </c>
      <c r="BM201" s="3118">
        <f>0</f>
        <v>0</v>
      </c>
      <c r="BN201" s="3118">
        <f>0</f>
        <v>0</v>
      </c>
      <c r="BO201" s="3118">
        <f>0</f>
        <v>0</v>
      </c>
      <c r="BP201" s="3118">
        <f>0</f>
        <v>0</v>
      </c>
      <c r="BQ201" s="3118">
        <f>0</f>
        <v>0</v>
      </c>
      <c r="BR201" s="3118">
        <f>0</f>
        <v>0</v>
      </c>
      <c r="BS201" s="3118">
        <f>0</f>
        <v>0</v>
      </c>
      <c r="BT201" s="3118">
        <f>0</f>
        <v>0</v>
      </c>
      <c r="BU201" s="3118">
        <f>0</f>
        <v>0</v>
      </c>
      <c r="BV201" s="3118">
        <f>0</f>
        <v>0</v>
      </c>
      <c r="BW201" s="3118">
        <f>0</f>
        <v>0</v>
      </c>
      <c r="BX201" s="3118">
        <f>0</f>
        <v>0</v>
      </c>
      <c r="BY201" s="3118">
        <f>0</f>
        <v>0</v>
      </c>
      <c r="BZ201" s="3180">
        <f>0</f>
        <v>0</v>
      </c>
      <c r="CA201" s="3180">
        <f>0</f>
        <v>0</v>
      </c>
      <c r="CB201" s="3180">
        <f>0</f>
        <v>0</v>
      </c>
      <c r="CC201" s="3180">
        <f>0</f>
        <v>0</v>
      </c>
      <c r="CD201" s="3118">
        <f>0</f>
        <v>0</v>
      </c>
      <c r="CE201" s="3118">
        <f>0</f>
        <v>0</v>
      </c>
      <c r="CF201" s="3118">
        <f>0</f>
        <v>0</v>
      </c>
      <c r="CG201" s="3118">
        <f>0</f>
        <v>0</v>
      </c>
      <c r="CH201" s="3118">
        <f>0</f>
        <v>0</v>
      </c>
      <c r="CI201" s="3118">
        <f>0</f>
        <v>0</v>
      </c>
      <c r="CJ201" s="3118">
        <f>0</f>
        <v>0</v>
      </c>
      <c r="CK201" s="3118">
        <f>0</f>
        <v>0</v>
      </c>
      <c r="CL201" s="3118">
        <f>0</f>
        <v>0</v>
      </c>
      <c r="CM201" s="3118">
        <f>0</f>
        <v>0</v>
      </c>
      <c r="CN201" s="3118">
        <f>0</f>
        <v>0</v>
      </c>
      <c r="CO201" s="3118">
        <f>0</f>
        <v>0</v>
      </c>
      <c r="CP201" s="3118">
        <f>0</f>
        <v>0</v>
      </c>
      <c r="CQ201" s="3118">
        <f>0</f>
        <v>0</v>
      </c>
      <c r="CR201" s="3118">
        <f>0</f>
        <v>0</v>
      </c>
      <c r="CS201" s="3118">
        <f>0</f>
        <v>0</v>
      </c>
      <c r="CT201" s="3118">
        <f>0</f>
        <v>0</v>
      </c>
      <c r="CU201" s="3118">
        <f>0</f>
        <v>0</v>
      </c>
      <c r="CV201" s="3225">
        <f>b_AMETO_T*X_AMETO*M_inhSNOx_KNO3_AMETO*M_inhSO2_KiO2_AMETO</f>
        <v>2.1311863604072938E-6</v>
      </c>
      <c r="CX201" s="2838">
        <f>E287*E201+F287*F201+G287*G201+H287*H201+I287*I201+J287*J201+K287*K201+L287*L201+M287*M201+N287*N201+O287*O201+P287*P201+Q287*Q201+R287*R201+S287*S201+T287*T201+U287*U201+V287*V201+W287*W201+X287*X201+Y287*Y201+Z287*Z201+AA287*AA201+AB287*AB201+AC287*AC201+AD287*AD201+AE287*AE201+AF287*AF201+AG287*AG201+AH287*AH201+AI287*AI201+AJ287*AJ201+AK287*AK201+AL287*AL201+AM287*AM201+AN287*AN201+AO287*AO201+AP287*AP201+AQ287*AQ201+AR287*AR201+AS287*AS201+AT287*AT201+AU287*AU201+AV287*AV201+AW287*AW201+AX287*AX201+AY287*AY201+AZ287*AZ201+BA287*BA201+BB287*BB201+BC287*BC201+BD287*BD201+BE287*BE201+BF287*BF201+BG287*BG201+BH287*BH201+BI287*BI201+BJ287*BJ201+BK287*BK201+BL287*BL201+BM287*BM201+BN287*BN201+BO287*BO201+BP287*BP201+BQ287*BQ201+BR287*BR201+BS287*BS201+BT287*BT201+BU287*BU201+BV287*BV201+BW287*BW201+BX287*BX201+BY287*BY201+BZ287*BZ201+CA287*CA201+CB287*CB201+CC287*CC201+CD287*CD201+CE287*CE201+CF287*CF201+CG287*CG201+CH287*CH201+CI287*CI201+CJ287*CJ201+CK287*CK201+CL287*CL201+CM287*CM201+CN287*CN201+CO287*CO201+CP287*CP201+CQ287*CQ201+CR287*CR201+CS287*CS201+CT287*CT201+CU287*CU201</f>
        <v>0</v>
      </c>
      <c r="CY201" s="2838">
        <f>E288*E201+F288*F201+G288*G201+H288*H201+I288*I201+J288*J201+K288*K201+L288*L201+M288*M201+N288*N201+O288*O201+P288*P201+Q288*Q201+R288*R201+S288*S201+T288*T201+U288*U201+V288*V201+W288*W201+X288*X201+Y288*Y201+Z288*Z201+AA288*AA201+AB288*AB201+AC288*AC201+AD288*AD201+AE288*AE201+AF288*AF201+AG288*AG201+AH288*AH201+AI288*AI201+AJ288*AJ201+AK288*AK201+AL288*AL201+AM288*AM201+AN288*AN201+AO288*AO201+AP288*AP201+AQ288*AQ201+AR288*AR201+AS288*AS201+AT288*AT201+AU288*AU201+AV288*AV201+AW288*AW201+AX288*AX201+AY288*AY201+AZ288*AZ201+BA288*BA201+BB288*BB201+BC288*BC201+BD288*BD201+BE288*BE201+BF288*BF201+BG288*BG201+BH288*BH201+BI288*BI201+BJ288*BJ201+BK288*BK201+BL288*BL201+BM288*BM201+BN288*BN201+BO288*BO201+BP288*BP201+BQ288*BQ201+BR288*BR201+BS288*BS201+BT288*BT201+BU288*BU201+BV288*BV201+BW288*BW201+BX288*BX201+BY288*BY201+BZ288*BZ201+CA288*CA201+CB288*CB201+CC288*CC201+CD288*CD201+CE288*CE201+CF288*CF201+CG288*CG201+CH288*CH201+CI288*CI201+CJ288*CJ201+CK288*CK201+CL288*CL201+CM288*CM201+CN288*CN201+CO288*CO201+CP288*CP201+CQ288*CQ201+CR288*CR201+CS288*CS201+CT288*CT201+CU288*CU201</f>
        <v>6.9388939039072284E-18</v>
      </c>
      <c r="CZ201" s="2839">
        <f>E289*E201+F289*F201+G289*G201+H289*H201+I289*I201+J289*J201+K289*K201+L289*L201+M289*M201+N289*N201+O289*O201+P289*P201+Q289*Q201+R289*R201+S289*S201+T289*T201+U289*U201+V289*V201+W289*W201+X289*X201+Y289*Y201+Z289*Z201+AA289*AA201+AB289*AB201+AC289*AC201+AD289*AD201+AE289*AE201+AF289*AF201+AG289*AG201+AH289*AH201+AI289*AI201+AJ289*AJ201+AK289*AK201+AL289*AL201+AM289*AM201+AN289*AN201+AO289*AO201+AP289*AP201+AQ289*AQ201+AR289*AR201+AS289*AS201+AT289*AT201+AU289*AU201+AV289*AV201+AW289*AW201+AX289*AX201+AY289*AY201+AZ289*AZ201+BA289*BA201+BB289*BB201+BC289*BC201+BD289*BD201+BE289*BE201+BF289*BF201+BG289*BG201+BH289*BH201+BI289*BI201+BJ289*BJ201+BK289*BK201+BL289*BL201+BM289*BM201+BN289*BN201+BO289*BO201+BP289*BP201+BQ289*BQ201+BR289*BR201+BS289*BS201+BT289*BT201+BU289*BU201+BV289*BV201+BW289*BW201+BX289*BX201+BY289*BY201+BZ289*BZ201+CA289*CA201+CB289*CB201+CC289*CC201+CD289*CD201+CE289*CE201+CF289*CF201+CG289*CG201+CH289*CH201+CI289*CI201+CJ289*CJ201+CK289*CK201+CL289*CL201+CM289*CM201+CN289*CN201+CO289*CO201+CP289*CP201+CQ289*CQ201+CR289*CR201+CS289*CS201+CT289*CT201+CU289*CU201</f>
        <v>0</v>
      </c>
      <c r="DA201" s="2840">
        <f>E290*E201+F290*F201+G290*G201+H290*H201+I290*I201+J290*J201+K290*K201+L290*L201+M290*M201+N290*N201+O290*O201+P290*P201+Q290*Q201+R290*R201+S290*S201+T290*T201+U290*U201+V290*V201+W290*W201+X290*X201+Y290*Y201+Z290*Z201+AA290*AA201+AB290*AB201+AC290*AC201+AD290*AD201+AE290*AE201+AF290*AF201+AG290*AG201+AH290*AH201+AI290*AI201+AJ290*AJ201+AK290*AK201+AL290*AL201+AM290*AM201+AN290*AN201+AO290*AO201+AP290*AP201+AQ290*AQ201+AR290*AR201+AS290*AS201+AT290*AT201+AU290*AU201+AV290*AV201+AW290*AW201+AX290*AX201+AY290*AY201+AZ290*AZ201+BA290*BA201+BB290*BB201+BC290*BC201+BD290*BD201+BE290*BE201+BF290*BF201+BG290*BG201+BH290*BH201+BI290*BI201+BJ290*BJ201+BK290*BK201+BL290*BL201+BM290*BM201+BN290*BN201+BO290*BO201+BP290*BP201+BQ290*BQ201+BR290*BR201+BS290*BS201+BT290*BT201+BU290*BU201+BV290*BV201+BW290*BW201+BX290*BX201+BY290*BY201+BZ290*BZ201+CA290*CA201+CB290*CB201+CC290*CC201+CD290*CD201+CE290*CE201+CF290*CF201+CG290*CG201+CH290*CH201+CI290*CI201+CJ290*CJ201+CK290*CK201+CL290*CL201+CM290*CM201+CN290*CN201+CO290*CO201+CP290*CP201+CQ290*CQ201+CR290*CR201+CS290*CS201+CT290*CT201+CU290*CU201</f>
        <v>0</v>
      </c>
      <c r="DB201" s="2840">
        <f>E291*E201+F291*F201+G291*G201+H291*H201+I291*I201+J291*J201+K291*K201+L291*L201+M291*M201+N291*N201+O291*O201+P291*P201+Q291*Q201+R291*R201+S291*S201+T291*T201+U291*U201+V291*V201+W291*W201+X291*X201+Y291*Y201+Z291*Z201+AA291*AA201+AB291*AB201+AC291*AC201+AD291*AD201+AE291*AE201+AF291*AF201+AG291*AG201+AH291*AH201+AI291*AI201+AJ291*AJ201+AK291*AK201+AL291*AL201+AM291*AM201+AN291*AN201+AO291*AO201+AP291*AP201+AQ291*AQ201+AR291*AR201+AS291*AS201+AT291*AT201+AU291*AU201+AV291*AV201+AW291*AW201+AX291*AX201+AY291*AY201+AZ291*AZ201+BA291*BA201+BB291*BB201+BC291*BC201+BD291*BD201+BE291*BE201+BF291*BF201+BG291*BG201+BH291*BH201+BI291*BI201+BJ291*BJ201+BK291*BK201+BL291*BL201+BM291*BM201+BN291*BN201+BO291*BO201+BP291*BP201+BQ291*BQ201+BR291*BR201+BS291*BS201+BT291*BT201+BU291*BU201+BV291*BV201+BW291*BW201+BX291*BX201+BY291*BY201+BZ291*BZ201+CA291*CA201+CB291*CB201+CC291*CC201+CD291*CD201+CE291*CE201+CF291*CF201+CG291*CG201+CH291*CH201+CI291*CI201+CJ291*CJ201+CK291*CK201+CL291*CL201+CM291*CM201+CN291*CN201+CO291*CO201+CP291*CP201+CQ291*CQ201+CR291*CR201+CS291*CS201+CT291*CT201+CU291*CU201</f>
        <v>0</v>
      </c>
      <c r="DC201" s="2840">
        <f>E292*E201+F292*F201+G292*G201+H292*H201+I292*I201+J292*J201+K292*K201+L292*L201+M292*M201+N292*N201+O292*O201+P292*P201+Q292*Q201+R292*R201+S292*S201+T292*T201+U292*U201+V292*V201+W292*W201+X292*X201+Y292*Y201+Z292*Z201+AA292*AA201+AB292*AB201+AC292*AC201+AD292*AD201+AE292*AE201+AF292*AF201+AG292*AG201+AH292*AH201+AI292*AI201+AJ292*AJ201+AK292*AK201+AL292*AL201+AM292*AM201+AN292*AN201+AO292*AO201+AP292*AP201+AQ292*AQ201+AR292*AR201+AS292*AS201+AT292*AT201+AU292*AU201+AV292*AV201+AW292*AW201+AX292*AX201+AY292*AY201+AZ292*AZ201+BA292*BA201+BB292*BB201+BC292*BC201+BD292*BD201+BE292*BE201+BF292*BF201+BG292*BG201+BH292*BH201+BI292*BI201+BJ292*BJ201+BK292*BK201+BL292*BL201+BM292*BM201+BN292*BN201+BO292*BO201+BP292*BP201+BQ292*BQ201+BR292*BR201+BS292*BS201+BT292*BT201+BU292*BU201+BV292*BV201+BW292*BW201+BX292*BX201+BY292*BY201+BZ292*BZ201+CA292*CA201+CB292*CB201+CC292*CC201+CD292*CD201+CE292*CE201+CF292*CF201+CG292*CG201+CH292*CH201+CI292*CI201+CJ292*CJ201+CK292*CK201+CL292*CL201+CM292*CM201+CN292*CN201+CO292*CO201+CP292*CP201+CQ292*CQ201+CR292*CR201+CS292*CS201+CT292*CT201+CU292*CU201</f>
        <v>0</v>
      </c>
      <c r="DD201" s="2840">
        <f>E293*E201+F293*F201+G293*G201+H293*H201+I293*I201+J293*J201+K293*K201+L293*L201+M293*M201+N293*N201+O293*O201+P293*P201+Q293*Q201+R293*R201+S293*S201+T293*T201+U293*U201+V293*V201+W293*W201+X293*X201+Y293*Y201+Z293*Z201+AA293*AA201+AB293*AB201+AC293*AC201+AD293*AD201+AE293*AE201+AF293*AF201+AG293*AG201+AH293*AH201+AI293*AI201+AJ293*AJ201+AK293*AK201+AL293*AL201+AM293*AM201+AN293*AN201+AO293*AO201+AP293*AP201+AQ293*AQ201+AR293*AR201+AS293*AS201+AT293*AT201+AU293*AU201+AV293*AV201+AW293*AW201+AX293*AX201+AY293*AY201+AZ293*AZ201+BA293*BA201+BB293*BB201+BC293*BC201+BD293*BD201+BE293*BE201+BF293*BF201+BG293*BG201+BH293*BH201+BI293*BI201+BJ293*BJ201+BK293*BK201+BL293*BL201+BM293*BM201+BN293*BN201+BO293*BO201+BP293*BP201+BQ293*BQ201+BR293*BR201+BS293*BS201+BT293*BT201+BU293*BU201+BV293*BV201+BW293*BW201+BX293*BX201+BY293*BY201+BZ293*BZ201+CA293*CA201+CB293*CB201+CC293*CC201+CD293*CD201+CE293*CE201+CF293*CF201+CG293*CG201+CH293*CH201+CI293*CI201+CJ293*CJ201+CK293*CK201+CL293*CL201+CM293*CM201+CN293*CN201+CO293*CO201+CP293*CP201+CQ293*CQ201+CR293*CR201+CS293*CS201+CT293*CT201+CU293*CU201</f>
        <v>0</v>
      </c>
      <c r="DE201" s="2840">
        <f>E294*E201+F294*F201+G294*G201+H294*H201+I294*I201+J294*J201+K294*K201+L294*L201+M294*M201+N294*N201+O294*O201+P294*P201+Q294*Q201+R294*R201+S294*S201+T294*T201+U294*U201+V294*V201+W294*W201+X294*X201+Y294*Y201+Z294*Z201+AA294*AA201+AB294*AB201+AC294*AC201+AD294*AD201+AE294*AE201+AF294*AF201+AG294*AG201+AH294*AH201+AI294*AI201+AJ294*AJ201+AK294*AK201+AL294*AL201+AM294*AM201+AN294*AN201+AO294*AO201+AP294*AP201+AQ294*AQ201+AR294*AR201+AS294*AS201+AT294*AT201+AU294*AU201+AV294*AV201+AW294*AW201+AX294*AX201+AY294*AY201+AZ294*AZ201+BA294*BA201+BB294*BB201+BC294*BC201+BD294*BD201+BE294*BE201+BF294*BF201+BG294*BG201+BH294*BH201+BI294*BI201+BJ294*BJ201+BK294*BK201+BL294*BL201+BM294*BM201+BN294*BN201+BO294*BO201+BP294*BP201+BQ294*BQ201+BR294*BR201+BS294*BS201+BT294*BT201+BU294*BU201+BV294*BV201+BW294*BW201+BX294*BX201+BY294*BY201+BZ294*BZ201+CA294*CA201+CB294*CB201+CC294*CC201+CD294*CD201+CE294*CE201+CF294*CF201+CG294*CG201+CH294*CH201+CI294*CI201+CJ294*CJ201+CK294*CK201+CL294*CL201+CM294*CM201+CN294*CN201+CO294*CO201+CP294*CP201+CQ294*CQ201+CR294*CR201+CS294*CS201+CT294*CT201+CU294*CU201</f>
        <v>0</v>
      </c>
      <c r="DF201" s="2840">
        <f>E295*E201+F295*F201+G295*G201+H295*H201+I295*I201+J295*J201+K295*K201+L295*L201+M295*M201+N295*N201+O295*O201+P295*P201+Q295*Q201+R295*R201+S295*S201+T295*T201+U295*U201+V295*V201+W295*W201+X295*X201+Y295*Y201+Z295*Z201+AA295*AA201+AB295*AB201+AC295*AC201+AD295*AD201+AE295*AE201+AF295*AF201+AG295*AG201+AH295*AH201+AI295*AI201+AJ295*AJ201+AK295*AK201+AL295*AL201+AM295*AM201+AN295*AN201+AO295*AO201+AP295*AP201+AQ295*AQ201+AR295*AR201+AS295*AS201+AT295*AT201+AU295*AU201+AV295*AV201+AW295*AW201+AX295*AX201+AY295*AY201+AZ295*AZ201+BA295*BA201+BB295*BB201+BC295*BC201+BD295*BD201+BE295*BE201+BF295*BF201+BG295*BG201+BH295*BH201+BI295*BI201+BJ295*BJ201+BK295*BK201+BL295*BL201+BM295*BM201+BN295*BN201+BO295*BO201+BP295*BP201+BQ295*BQ201+BR295*BR201+BS295*BS201+BT295*BT201+BU295*BU201+BV295*BV201+BW295*BW201+BX295*BX201+BY295*BY201+BZ295*BZ201+CA295*CA201+CB295*CB201+CC295*CC201+CD295*CD201+CE295*CE201+CF295*CF201+CG295*CG201+CH295*CH201+CI295*CI201+CJ295*CJ201+CK295*CK201+CL295*CL201+CM295*CM201+CN295*CN201+CO295*CO201+CP295*CP201+CQ295*CQ201+CR295*CR201+CS295*CS201+CT295*CT201+CU295*CU201</f>
        <v>0</v>
      </c>
      <c r="DG201" s="2840">
        <f>E296*E201+F296*F201+G296*G201+H296*H201+I296*I201+J296*J201+K296*K201+L296*L201+M296*M201+N296*N201+O296*O201+P296*P201+Q296*Q201+R296*R201+S296*S201+T296*T201+U296*U201+V296*V201+W296*W201+X296*X201+Y296*Y201+Z296*Z201+AA296*AA201+AB296*AB201+AC296*AC201+AD296*AD201+AE296*AE201+AF296*AF201+AG296*AG201+AH296*AH201+AI296*AI201+AJ296*AJ201+AK296*AK201+AL296*AL201+AM296*AM201+AN296*AN201+AO296*AO201+AP296*AP201+AQ296*AQ201+AR296*AR201+AS296*AS201+AT296*AT201+AU296*AU201+AV296*AV201+AW296*AW201+AX296*AX201+AY296*AY201+AZ296*AZ201+BA296*BA201+BB296*BB201+BC296*BC201+BD296*BD201+BE296*BE201+BF296*BF201+BG296*BG201+BH296*BH201+BI296*BI201+BJ296*BJ201+BK296*BK201+BL296*BL201+BM296*BM201+BN296*BN201+BO296*BO201+BP296*BP201+BQ296*BQ201+BR296*BR201+BS296*BS201+BT296*BT201+BU296*BU201+BV296*BV201+BW296*BW201+BX296*BX201+BY296*BY201+BZ296*BZ201+CA296*CA201+CB296*CB201+CC296*CC201+CD296*CD201+CE296*CE201+CF296*CF201+CG296*CG201+CH296*CH201+CI296*CI201+CJ296*CJ201+CK296*CK201+CL296*CL201+CM296*CM201+CN296*CN201+CO296*CO201+CP296*CP201+CQ296*CQ201+CR296*CR201+CS296*CS201+CT296*CT201+CU296*CU201</f>
        <v>0</v>
      </c>
      <c r="DH201" s="2840">
        <f>E297*E201+F297*F201+G297*G201+H297*H201+I297*I201+J297*J201+K297*K201+L297*L201+M297*M201+N297*N201+O297*O201+P297*P201+Q297*Q201+R297*R201+S297*S201+T297*T201+U297*U201+V297*V201+W297*W201+X297*X201+Y297*Y201+Z297*Z201+AA297*AA201+AB297*AB201+AC297*AC201+AD297*AD201+AE297*AE201+AF297*AF201+AG297*AG201+AH297*AH201+AI297*AI201+AJ297*AJ201+AK297*AK201+AL297*AL201+AM297*AM201+AN297*AN201+AO297*AO201+AP297*AP201+AQ297*AQ201+AR297*AR201+AS297*AS201+AT297*AT201+AU297*AU201+AV297*AV201+AW297*AW201+AX297*AX201+AY297*AY201+AZ297*AZ201+BA297*BA201+BB297*BB201+BC297*BC201+BD297*BD201+BE297*BE201+BF297*BF201+BG297*BG201+BH297*BH201+BI297*BI201+BJ297*BJ201+BK297*BK201+BL297*BL201+BM297*BM201+BN297*BN201+BO297*BO201+BP297*BP201+BQ297*BQ201+BR297*BR201+BS297*BS201+BT297*BT201+BU297*BU201+BV297*BV201+BW297*BW201+BX297*BX201+BY297*BY201+BZ297*BZ201+CA297*CA201+CB297*CB201+CC297*CC201+CD297*CD201+CE297*CE201+CF297*CF201+CG297*CG201+CH297*CH201+CI297*CI201+CJ297*CJ201+CK297*CK201+CL297*CL201+CM297*CM201+CN297*CN201+CO297*CO201+CP297*CP201+CQ297*CQ201+CR297*CR201+CS297*CS201+CT297*CT201+CU297*CU201</f>
        <v>0</v>
      </c>
      <c r="DI201" s="2840">
        <f>E298*E201+F298*F201+G298*G201+H298*H201+I298*I201+J298*J201+K298*K201+L298*L201+M298*M201+N298*N201+O298*O201+P298*P201+Q298*Q201+R298*R201+S298*S201+T298*T201+U298*U201+V298*V201+W298*W201+X298*X201+Y298*Y201+Z298*Z201+AA298*AA201+AB298*AB201+AC298*AC201+AD298*AD201+AE298*AE201+AF298*AF201+AG298*AG201+AH298*AH201+AI298*AI201+AJ298*AJ201+AK298*AK201+AL298*AL201+AM298*AM201+AN298*AN201+AO298*AO201+AP298*AP201+AQ298*AQ201+AR298*AR201+AS298*AS201+AT298*AT201+AU298*AU201+AV298*AV201+AW298*AW201+AX298*AX201+AY298*AY201+AZ298*AZ201+BA298*BA201+BB298*BB201+BC298*BC201+BD298*BD201+BE298*BE201+BF298*BF201+BG298*BG201+BH298*BH201+BI298*BI201+BJ298*BJ201+BK298*BK201+BL298*BL201+BM298*BM201+BN298*BN201+BO298*BO201+BP298*BP201+BQ298*BQ201+BR298*BR201+BS298*BS201+BT298*BT201+BU298*BU201+BV298*BV201+BW298*BW201+BX298*BX201+BY298*BY201+BZ298*BZ201+CA298*CA201+CB298*CB201+CC298*CC201+CD298*CD201+CE298*CE201+CF298*CF201+CG298*CG201+CH298*CH201+CI298*CI201+CJ298*CJ201+CK298*CK201+CL298*CL201+CM298*CM201+CN298*CN201+CO298*CO201+CP298*CP201+CQ298*CQ201+CR298*CR201+CS298*CS201+CT298*CT201+CU298*CU201</f>
        <v>0</v>
      </c>
    </row>
    <row r="202" spans="2:113" ht="18" x14ac:dyDescent="0.25">
      <c r="B202" s="2503">
        <v>49</v>
      </c>
      <c r="C202" s="2427" t="s">
        <v>466</v>
      </c>
      <c r="D202" s="1282" t="s">
        <v>303</v>
      </c>
      <c r="E202" s="3119">
        <f>0</f>
        <v>0</v>
      </c>
      <c r="F202" s="3119">
        <f>0</f>
        <v>0</v>
      </c>
      <c r="G202" s="3119">
        <f>0</f>
        <v>0</v>
      </c>
      <c r="H202" s="3119">
        <f>0</f>
        <v>0</v>
      </c>
      <c r="I202" s="3119">
        <f>0</f>
        <v>0</v>
      </c>
      <c r="J202" s="3119">
        <f>0</f>
        <v>0</v>
      </c>
      <c r="K202" s="3119">
        <f>0</f>
        <v>0</v>
      </c>
      <c r="L202" s="3119">
        <f>0</f>
        <v>0</v>
      </c>
      <c r="M202" s="3119">
        <f>0</f>
        <v>0</v>
      </c>
      <c r="N202" s="3119">
        <f>0</f>
        <v>0</v>
      </c>
      <c r="O202" s="3119">
        <f>0</f>
        <v>0</v>
      </c>
      <c r="P202" s="3119">
        <f>0</f>
        <v>0</v>
      </c>
      <c r="Q202" s="3119">
        <f>0</f>
        <v>0</v>
      </c>
      <c r="R202" s="3119">
        <f>0</f>
        <v>0</v>
      </c>
      <c r="S202" s="3119">
        <f>0</f>
        <v>0</v>
      </c>
      <c r="T202" s="3119">
        <f>0</f>
        <v>0</v>
      </c>
      <c r="U202" s="3119">
        <f>0</f>
        <v>0</v>
      </c>
      <c r="V202" s="3119">
        <f>0</f>
        <v>0</v>
      </c>
      <c r="W202" s="3119">
        <f>0</f>
        <v>0</v>
      </c>
      <c r="X202" s="3119">
        <f>0</f>
        <v>0</v>
      </c>
      <c r="Y202" s="3119">
        <f>1</f>
        <v>1</v>
      </c>
      <c r="Z202" s="3119">
        <f>0</f>
        <v>0</v>
      </c>
      <c r="AA202" s="3119">
        <f>0</f>
        <v>0</v>
      </c>
      <c r="AB202" s="3119">
        <f>0</f>
        <v>0</v>
      </c>
      <c r="AC202" s="3119">
        <f>0</f>
        <v>0</v>
      </c>
      <c r="AD202" s="3119">
        <f>-i_N_BIO</f>
        <v>-7.0000000000000007E-2</v>
      </c>
      <c r="AE202" s="3119">
        <f>0</f>
        <v>0</v>
      </c>
      <c r="AF202" s="3119">
        <f>0</f>
        <v>0</v>
      </c>
      <c r="AG202" s="3119">
        <f>0</f>
        <v>0</v>
      </c>
      <c r="AH202" s="3119">
        <f>0</f>
        <v>0</v>
      </c>
      <c r="AI202" s="3119">
        <f>0</f>
        <v>0</v>
      </c>
      <c r="AJ202" s="3119">
        <f>0</f>
        <v>0</v>
      </c>
      <c r="AK202" s="3119">
        <f>0</f>
        <v>0</v>
      </c>
      <c r="AL202" s="3159">
        <f>-i_P_BIO</f>
        <v>-0.02</v>
      </c>
      <c r="AM202" s="3119">
        <f>0</f>
        <v>0</v>
      </c>
      <c r="AN202" s="3119">
        <f>0</f>
        <v>0</v>
      </c>
      <c r="AO202" s="3119">
        <f>0</f>
        <v>0</v>
      </c>
      <c r="AP202" s="3119">
        <f>0</f>
        <v>0</v>
      </c>
      <c r="AQ202" s="3119">
        <f>0</f>
        <v>0</v>
      </c>
      <c r="AR202" s="3119">
        <f>0</f>
        <v>0</v>
      </c>
      <c r="AS202" s="3119">
        <f>(1-Y_HMETO)/Y_HMETO</f>
        <v>9</v>
      </c>
      <c r="AT202" s="3159">
        <f>-1/Y_HMETO</f>
        <v>-10</v>
      </c>
      <c r="AU202" s="3159">
        <f>-i_CIT_BIO-i_CIT_CH4*(1-Y_HMETO)/Y_HMETO</f>
        <v>-2.044</v>
      </c>
      <c r="AV202" s="3159">
        <f>i_INORG</f>
        <v>0.11</v>
      </c>
      <c r="AW202" s="3159">
        <f>-i_INORG*(1-i_Ca_INORG*(A_MCa+2*A_MCl)/A_MCa-i_Mg_INORG*(A_MMg+2*A_MCl)/A_MMg)*f_Na</f>
        <v>-2.8804303582798466E-2</v>
      </c>
      <c r="AX202" s="3159">
        <f>-i_INORG*(i_Ca_INORG*(2*A_MCl)/A_MCa+i_Mg_INORG*(2*A_MCl)/A_MMg)-i_INORG*(1-i_Ca_INORG*(A_MCa+2*A_MCl)/A_MCa-i_Mg_INORG*(A_MMg+2*A_MCl)/A_MMg)*(1-f_Na)</f>
        <v>-7.0195696417201539E-2</v>
      </c>
      <c r="AY202" s="3159">
        <f>-i_INORG*i_Ca_INORG</f>
        <v>-5.5000000000000005E-3</v>
      </c>
      <c r="AZ202" s="3159">
        <f>-i_INORG*i_Mg_INORG</f>
        <v>-5.5000000000000005E-3</v>
      </c>
      <c r="BA202" s="3159">
        <f>0</f>
        <v>0</v>
      </c>
      <c r="BB202" s="3159">
        <f>0</f>
        <v>0</v>
      </c>
      <c r="BC202" s="3159">
        <f>-i_S_BIO</f>
        <v>-0.01</v>
      </c>
      <c r="BD202" s="3159">
        <f>0</f>
        <v>0</v>
      </c>
      <c r="BE202" s="3159">
        <f>0</f>
        <v>0</v>
      </c>
      <c r="BF202" s="3159">
        <f>0</f>
        <v>0</v>
      </c>
      <c r="BG202" s="3159">
        <f>0</f>
        <v>0</v>
      </c>
      <c r="BH202" s="3159">
        <f>0</f>
        <v>0</v>
      </c>
      <c r="BI202" s="3159">
        <f>0</f>
        <v>0</v>
      </c>
      <c r="BJ202" s="3159">
        <f>0</f>
        <v>0</v>
      </c>
      <c r="BK202" s="3159">
        <f>0</f>
        <v>0</v>
      </c>
      <c r="BL202" s="3159">
        <f>0</f>
        <v>0</v>
      </c>
      <c r="BM202" s="3159">
        <f>0</f>
        <v>0</v>
      </c>
      <c r="BN202" s="3159">
        <f>0</f>
        <v>0</v>
      </c>
      <c r="BO202" s="3159">
        <f>0</f>
        <v>0</v>
      </c>
      <c r="BP202" s="3159">
        <f>0</f>
        <v>0</v>
      </c>
      <c r="BQ202" s="3159">
        <f>0</f>
        <v>0</v>
      </c>
      <c r="BR202" s="3159">
        <f>0</f>
        <v>0</v>
      </c>
      <c r="BS202" s="3159">
        <f>0</f>
        <v>0</v>
      </c>
      <c r="BT202" s="3159">
        <f>0</f>
        <v>0</v>
      </c>
      <c r="BU202" s="3159">
        <f>0</f>
        <v>0</v>
      </c>
      <c r="BV202" s="3159">
        <f>0</f>
        <v>0</v>
      </c>
      <c r="BW202" s="3159">
        <f>0</f>
        <v>0</v>
      </c>
      <c r="BX202" s="3159">
        <f>0</f>
        <v>0</v>
      </c>
      <c r="BY202" s="3159">
        <f>0</f>
        <v>0</v>
      </c>
      <c r="BZ202" s="3204">
        <f>0</f>
        <v>0</v>
      </c>
      <c r="CA202" s="3204">
        <f>0</f>
        <v>0</v>
      </c>
      <c r="CB202" s="3204">
        <f>0</f>
        <v>0</v>
      </c>
      <c r="CC202" s="3204">
        <f>0</f>
        <v>0</v>
      </c>
      <c r="CD202" s="3159">
        <f>0</f>
        <v>0</v>
      </c>
      <c r="CE202" s="3159">
        <f>0</f>
        <v>0</v>
      </c>
      <c r="CF202" s="3159">
        <f>0</f>
        <v>0</v>
      </c>
      <c r="CG202" s="3159">
        <f>0</f>
        <v>0</v>
      </c>
      <c r="CH202" s="3159">
        <f>0</f>
        <v>0</v>
      </c>
      <c r="CI202" s="3159">
        <f>0</f>
        <v>0</v>
      </c>
      <c r="CJ202" s="3159">
        <f>0</f>
        <v>0</v>
      </c>
      <c r="CK202" s="3159">
        <f>0</f>
        <v>0</v>
      </c>
      <c r="CL202" s="3159">
        <f>0</f>
        <v>0</v>
      </c>
      <c r="CM202" s="3159">
        <f>0</f>
        <v>0</v>
      </c>
      <c r="CN202" s="3159">
        <f>0</f>
        <v>0</v>
      </c>
      <c r="CO202" s="3159">
        <f>0</f>
        <v>0</v>
      </c>
      <c r="CP202" s="3159">
        <f>0</f>
        <v>0</v>
      </c>
      <c r="CQ202" s="3159">
        <f>0</f>
        <v>0</v>
      </c>
      <c r="CR202" s="3159">
        <f>0</f>
        <v>0</v>
      </c>
      <c r="CS202" s="3159">
        <f>0</f>
        <v>0</v>
      </c>
      <c r="CT202" s="3159">
        <f>0</f>
        <v>0</v>
      </c>
      <c r="CU202" s="3159">
        <f>0</f>
        <v>0</v>
      </c>
      <c r="CV202" s="3226">
        <f>µ_HMETO_T*X_HMETO*M_satSCO2_KCO2_BIO*M_satSH2_KH2_HMETO*M_inhSO2_KiO2_HMETO*M_inhSNOx_KNO3_HMETO*M_satSNHx_KNHx_BIO*M_satSPO4_KPO4_BIO*M_satSCAT_KCAT*M_satSAN_KAN*M_satSCa_KCa*M_satSMg_KMg*M_satSSO4_KSO4_BIO*B_ellinhpH_HMETO</f>
        <v>5.4349609478562516E-6</v>
      </c>
      <c r="CX202" s="2838">
        <f>E287*E202+F287*F202+G287*G202+H287*H202+I287*I202+J287*J202+K287*K202+L287*L202+M287*M202+N287*N202+O287*O202+P287*P202+Q287*Q202+R287*R202+S287*S202+T287*T202+U287*U202+V287*V202+W287*W202+X287*X202+Y287*Y202+Z287*Z202+AA287*AA202+AB287*AB202+AC287*AC202+AD287*AD202+AE287*AE202+AF287*AF202+AG287*AG202+AH287*AH202+AI287*AI202+AJ287*AJ202+AK287*AK202+AL287*AL202+AM287*AM202+AN287*AN202+AO287*AO202+AP287*AP202+AQ287*AQ202+AR287*AR202+AS287*AS202+AT287*AT202+AU287*AU202+AV287*AV202+AW287*AW202+AX287*AX202+AY287*AY202+AZ287*AZ202+BA287*BA202+BB287*BB202+BC287*BC202+BD287*BD202+BE287*BE202+BF287*BF202+BG287*BG202+BH287*BH202+BI287*BI202+BJ287*BJ202+BK287*BK202+BL287*BL202+BM287*BM202+BN287*BN202+BO287*BO202+BP287*BP202+BQ287*BQ202+BR287*BR202+BS287*BS202+BT287*BT202+BU287*BU202+BV287*BV202+BW287*BW202+BX287*BX202+BY287*BY202+BZ287*BZ202+CA287*CA202+CB287*CB202+CC287*CC202+CD287*CD202+CE287*CE202+CF287*CF202+CG287*CG202+CH287*CH202+CI287*CI202+CJ287*CJ202+CK287*CK202+CL287*CL202+CM287*CM202+CN287*CN202+CO287*CO202+CP287*CP202+CQ287*CQ202+CR287*CR202+CS287*CS202+CT287*CT202+CU287*CU202</f>
        <v>0</v>
      </c>
      <c r="CY202" s="2838">
        <f>E288*E202+F288*F202+G288*G202+H288*H202+I288*I202+J288*J202+K288*K202+L288*L202+M288*M202+N288*N202+O288*O202+P288*P202+Q288*Q202+R288*R202+S288*S202+T288*T202+U288*U202+V288*V202+W288*W202+X288*X202+Y288*Y202+Z288*Z202+AA288*AA202+AB288*AB202+AC288*AC202+AD288*AD202+AE288*AE202+AF288*AF202+AG288*AG202+AH288*AH202+AI288*AI202+AJ288*AJ202+AK288*AK202+AL288*AL202+AM288*AM202+AN288*AN202+AO288*AO202+AP288*AP202+AQ288*AQ202+AR288*AR202+AS288*AS202+AT288*AT202+AU288*AU202+AV288*AV202+AW288*AW202+AX288*AX202+AY288*AY202+AZ288*AZ202+BA288*BA202+BB288*BB202+BC288*BC202+BD288*BD202+BE288*BE202+BF288*BF202+BG288*BG202+BH288*BH202+BI288*BI202+BJ288*BJ202+BK288*BK202+BL288*BL202+BM288*BM202+BN288*BN202+BO288*BO202+BP288*BP202+BQ288*BQ202+BR288*BR202+BS288*BS202+BT288*BT202+BU288*BU202+BV288*BV202+BW288*BW202+BX288*BX202+BY288*BY202+BZ288*BZ202+CA288*CA202+CB288*CB202+CC288*CC202+CD288*CD202+CE288*CE202+CF288*CF202+CG288*CG202+CH288*CH202+CI288*CI202+CJ288*CJ202+CK288*CK202+CL288*CL202+CM288*CM202+CN288*CN202+CO288*CO202+CP288*CP202+CQ288*CQ202+CR288*CR202+CS288*CS202+CT288*CT202+CU288*CU202</f>
        <v>0</v>
      </c>
      <c r="CZ202" s="2839">
        <f>E289*E202+F289*F202+G289*G202+H289*H202+I289*I202+J289*J202+K289*K202+L289*L202+M289*M202+N289*N202+O289*O202+P289*P202+Q289*Q202+R289*R202+S289*S202+T289*T202+U289*U202+V289*V202+W289*W202+X289*X202+Y289*Y202+Z289*Z202+AA289*AA202+AB289*AB202+AC289*AC202+AD289*AD202+AE289*AE202+AF289*AF202+AG289*AG202+AH289*AH202+AI289*AI202+AJ289*AJ202+AK289*AK202+AL289*AL202+AM289*AM202+AN289*AN202+AO289*AO202+AP289*AP202+AQ289*AQ202+AR289*AR202+AS289*AS202+AT289*AT202+AU289*AU202+AV289*AV202+AW289*AW202+AX289*AX202+AY289*AY202+AZ289*AZ202+BA289*BA202+BB289*BB202+BC289*BC202+BD289*BD202+BE289*BE202+BF289*BF202+BG289*BG202+BH289*BH202+BI289*BI202+BJ289*BJ202+BK289*BK202+BL289*BL202+BM289*BM202+BN289*BN202+BO289*BO202+BP289*BP202+BQ289*BQ202+BR289*BR202+BS289*BS202+BT289*BT202+BU289*BU202+BV289*BV202+BW289*BW202+BX289*BX202+BY289*BY202+BZ289*BZ202+CA289*CA202+CB289*CB202+CC289*CC202+CD289*CD202+CE289*CE202+CF289*CF202+CG289*CG202+CH289*CH202+CI289*CI202+CJ289*CJ202+CK289*CK202+CL289*CL202+CM289*CM202+CN289*CN202+CO289*CO202+CP289*CP202+CQ289*CQ202+CR289*CR202+CS289*CS202+CT289*CT202+CU289*CU202</f>
        <v>0</v>
      </c>
      <c r="DA202" s="2840">
        <f>E290*E202+F290*F202+G290*G202+H290*H202+I290*I202+J290*J202+K290*K202+L290*L202+M290*M202+N290*N202+O290*O202+P290*P202+Q290*Q202+R290*R202+S290*S202+T290*T202+U290*U202+V290*V202+W290*W202+X290*X202+Y290*Y202+Z290*Z202+AA290*AA202+AB290*AB202+AC290*AC202+AD290*AD202+AE290*AE202+AF290*AF202+AG290*AG202+AH290*AH202+AI290*AI202+AJ290*AJ202+AK290*AK202+AL290*AL202+AM290*AM202+AN290*AN202+AO290*AO202+AP290*AP202+AQ290*AQ202+AR290*AR202+AS290*AS202+AT290*AT202+AU290*AU202+AV290*AV202+AW290*AW202+AX290*AX202+AY290*AY202+AZ290*AZ202+BA290*BA202+BB290*BB202+BC290*BC202+BD290*BD202+BE290*BE202+BF290*BF202+BG290*BG202+BH290*BH202+BI290*BI202+BJ290*BJ202+BK290*BK202+BL290*BL202+BM290*BM202+BN290*BN202+BO290*BO202+BP290*BP202+BQ290*BQ202+BR290*BR202+BS290*BS202+BT290*BT202+BU290*BU202+BV290*BV202+BW290*BW202+BX290*BX202+BY290*BY202+BZ290*BZ202+CA290*CA202+CB290*CB202+CC290*CC202+CD290*CD202+CE290*CE202+CF290*CF202+CG290*CG202+CH290*CH202+CI290*CI202+CJ290*CJ202+CK290*CK202+CL290*CL202+CM290*CM202+CN290*CN202+CO290*CO202+CP290*CP202+CQ290*CQ202+CR290*CR202+CS290*CS202+CT290*CT202+CU290*CU202</f>
        <v>0</v>
      </c>
      <c r="DB202" s="2840">
        <f>E291*E202+F291*F202+G291*G202+H291*H202+I291*I202+J291*J202+K291*K202+L291*L202+M291*M202+N291*N202+O291*O202+P291*P202+Q291*Q202+R291*R202+S291*S202+T291*T202+U291*U202+V291*V202+W291*W202+X291*X202+Y291*Y202+Z291*Z202+AA291*AA202+AB291*AB202+AC291*AC202+AD291*AD202+AE291*AE202+AF291*AF202+AG291*AG202+AH291*AH202+AI291*AI202+AJ291*AJ202+AK291*AK202+AL291*AL202+AM291*AM202+AN291*AN202+AO291*AO202+AP291*AP202+AQ291*AQ202+AR291*AR202+AS291*AS202+AT291*AT202+AU291*AU202+AV291*AV202+AW291*AW202+AX291*AX202+AY291*AY202+AZ291*AZ202+BA291*BA202+BB291*BB202+BC291*BC202+BD291*BD202+BE291*BE202+BF291*BF202+BG291*BG202+BH291*BH202+BI291*BI202+BJ291*BJ202+BK291*BK202+BL291*BL202+BM291*BM202+BN291*BN202+BO291*BO202+BP291*BP202+BQ291*BQ202+BR291*BR202+BS291*BS202+BT291*BT202+BU291*BU202+BV291*BV202+BW291*BW202+BX291*BX202+BY291*BY202+BZ291*BZ202+CA291*CA202+CB291*CB202+CC291*CC202+CD291*CD202+CE291*CE202+CF291*CF202+CG291*CG202+CH291*CH202+CI291*CI202+CJ291*CJ202+CK291*CK202+CL291*CL202+CM291*CM202+CN291*CN202+CO291*CO202+CP291*CP202+CQ291*CQ202+CR291*CR202+CS291*CS202+CT291*CT202+CU291*CU202</f>
        <v>0</v>
      </c>
      <c r="DC202" s="2840">
        <f>E292*E202+F292*F202+G292*G202+H292*H202+I292*I202+J292*J202+K292*K202+L292*L202+M292*M202+N292*N202+O292*O202+P292*P202+Q292*Q202+R292*R202+S292*S202+T292*T202+U292*U202+V292*V202+W292*W202+X292*X202+Y292*Y202+Z292*Z202+AA292*AA202+AB292*AB202+AC292*AC202+AD292*AD202+AE292*AE202+AF292*AF202+AG292*AG202+AH292*AH202+AI292*AI202+AJ292*AJ202+AK292*AK202+AL292*AL202+AM292*AM202+AN292*AN202+AO292*AO202+AP292*AP202+AQ292*AQ202+AR292*AR202+AS292*AS202+AT292*AT202+AU292*AU202+AV292*AV202+AW292*AW202+AX292*AX202+AY292*AY202+AZ292*AZ202+BA292*BA202+BB292*BB202+BC292*BC202+BD292*BD202+BE292*BE202+BF292*BF202+BG292*BG202+BH292*BH202+BI292*BI202+BJ292*BJ202+BK292*BK202+BL292*BL202+BM292*BM202+BN292*BN202+BO292*BO202+BP292*BP202+BQ292*BQ202+BR292*BR202+BS292*BS202+BT292*BT202+BU292*BU202+BV292*BV202+BW292*BW202+BX292*BX202+BY292*BY202+BZ292*BZ202+CA292*CA202+CB292*CB202+CC292*CC202+CD292*CD202+CE292*CE202+CF292*CF202+CG292*CG202+CH292*CH202+CI292*CI202+CJ292*CJ202+CK292*CK202+CL292*CL202+CM292*CM202+CN292*CN202+CO292*CO202+CP292*CP202+CQ292*CQ202+CR292*CR202+CS292*CS202+CT292*CT202+CU292*CU202</f>
        <v>0</v>
      </c>
      <c r="DD202" s="2840">
        <f>E293*E202+F293*F202+G293*G202+H293*H202+I293*I202+J293*J202+K293*K202+L293*L202+M293*M202+N293*N202+O293*O202+P293*P202+Q293*Q202+R293*R202+S293*S202+T293*T202+U293*U202+V293*V202+W293*W202+X293*X202+Y293*Y202+Z293*Z202+AA293*AA202+AB293*AB202+AC293*AC202+AD293*AD202+AE293*AE202+AF293*AF202+AG293*AG202+AH293*AH202+AI293*AI202+AJ293*AJ202+AK293*AK202+AL293*AL202+AM293*AM202+AN293*AN202+AO293*AO202+AP293*AP202+AQ293*AQ202+AR293*AR202+AS293*AS202+AT293*AT202+AU293*AU202+AV293*AV202+AW293*AW202+AX293*AX202+AY293*AY202+AZ293*AZ202+BA293*BA202+BB293*BB202+BC293*BC202+BD293*BD202+BE293*BE202+BF293*BF202+BG293*BG202+BH293*BH202+BI293*BI202+BJ293*BJ202+BK293*BK202+BL293*BL202+BM293*BM202+BN293*BN202+BO293*BO202+BP293*BP202+BQ293*BQ202+BR293*BR202+BS293*BS202+BT293*BT202+BU293*BU202+BV293*BV202+BW293*BW202+BX293*BX202+BY293*BY202+BZ293*BZ202+CA293*CA202+CB293*CB202+CC293*CC202+CD293*CD202+CE293*CE202+CF293*CF202+CG293*CG202+CH293*CH202+CI293*CI202+CJ293*CJ202+CK293*CK202+CL293*CL202+CM293*CM202+CN293*CN202+CO293*CO202+CP293*CP202+CQ293*CQ202+CR293*CR202+CS293*CS202+CT293*CT202+CU293*CU202</f>
        <v>0</v>
      </c>
      <c r="DE202" s="2840">
        <f>E294*E202+F294*F202+G294*G202+H294*H202+I294*I202+J294*J202+K294*K202+L294*L202+M294*M202+N294*N202+O294*O202+P294*P202+Q294*Q202+R294*R202+S294*S202+T294*T202+U294*U202+V294*V202+W294*W202+X294*X202+Y294*Y202+Z294*Z202+AA294*AA202+AB294*AB202+AC294*AC202+AD294*AD202+AE294*AE202+AF294*AF202+AG294*AG202+AH294*AH202+AI294*AI202+AJ294*AJ202+AK294*AK202+AL294*AL202+AM294*AM202+AN294*AN202+AO294*AO202+AP294*AP202+AQ294*AQ202+AR294*AR202+AS294*AS202+AT294*AT202+AU294*AU202+AV294*AV202+AW294*AW202+AX294*AX202+AY294*AY202+AZ294*AZ202+BA294*BA202+BB294*BB202+BC294*BC202+BD294*BD202+BE294*BE202+BF294*BF202+BG294*BG202+BH294*BH202+BI294*BI202+BJ294*BJ202+BK294*BK202+BL294*BL202+BM294*BM202+BN294*BN202+BO294*BO202+BP294*BP202+BQ294*BQ202+BR294*BR202+BS294*BS202+BT294*BT202+BU294*BU202+BV294*BV202+BW294*BW202+BX294*BX202+BY294*BY202+BZ294*BZ202+CA294*CA202+CB294*CB202+CC294*CC202+CD294*CD202+CE294*CE202+CF294*CF202+CG294*CG202+CH294*CH202+CI294*CI202+CJ294*CJ202+CK294*CK202+CL294*CL202+CM294*CM202+CN294*CN202+CO294*CO202+CP294*CP202+CQ294*CQ202+CR294*CR202+CS294*CS202+CT294*CT202+CU294*CU202</f>
        <v>0</v>
      </c>
      <c r="DF202" s="2840">
        <f>E295*E202+F295*F202+G295*G202+H295*H202+I295*I202+J295*J202+K295*K202+L295*L202+M295*M202+N295*N202+O295*O202+P295*P202+Q295*Q202+R295*R202+S295*S202+T295*T202+U295*U202+V295*V202+W295*W202+X295*X202+Y295*Y202+Z295*Z202+AA295*AA202+AB295*AB202+AC295*AC202+AD295*AD202+AE295*AE202+AF295*AF202+AG295*AG202+AH295*AH202+AI295*AI202+AJ295*AJ202+AK295*AK202+AL295*AL202+AM295*AM202+AN295*AN202+AO295*AO202+AP295*AP202+AQ295*AQ202+AR295*AR202+AS295*AS202+AT295*AT202+AU295*AU202+AV295*AV202+AW295*AW202+AX295*AX202+AY295*AY202+AZ295*AZ202+BA295*BA202+BB295*BB202+BC295*BC202+BD295*BD202+BE295*BE202+BF295*BF202+BG295*BG202+BH295*BH202+BI295*BI202+BJ295*BJ202+BK295*BK202+BL295*BL202+BM295*BM202+BN295*BN202+BO295*BO202+BP295*BP202+BQ295*BQ202+BR295*BR202+BS295*BS202+BT295*BT202+BU295*BU202+BV295*BV202+BW295*BW202+BX295*BX202+BY295*BY202+BZ295*BZ202+CA295*CA202+CB295*CB202+CC295*CC202+CD295*CD202+CE295*CE202+CF295*CF202+CG295*CG202+CH295*CH202+CI295*CI202+CJ295*CJ202+CK295*CK202+CL295*CL202+CM295*CM202+CN295*CN202+CO295*CO202+CP295*CP202+CQ295*CQ202+CR295*CR202+CS295*CS202+CT295*CT202+CU295*CU202</f>
        <v>0</v>
      </c>
      <c r="DG202" s="2840">
        <f>E296*E202+F296*F202+G296*G202+H296*H202+I296*I202+J296*J202+K296*K202+L296*L202+M296*M202+N296*N202+O296*O202+P296*P202+Q296*Q202+R296*R202+S296*S202+T296*T202+U296*U202+V296*V202+W296*W202+X296*X202+Y296*Y202+Z296*Z202+AA296*AA202+AB296*AB202+AC296*AC202+AD296*AD202+AE296*AE202+AF296*AF202+AG296*AG202+AH296*AH202+AI296*AI202+AJ296*AJ202+AK296*AK202+AL296*AL202+AM296*AM202+AN296*AN202+AO296*AO202+AP296*AP202+AQ296*AQ202+AR296*AR202+AS296*AS202+AT296*AT202+AU296*AU202+AV296*AV202+AW296*AW202+AX296*AX202+AY296*AY202+AZ296*AZ202+BA296*BA202+BB296*BB202+BC296*BC202+BD296*BD202+BE296*BE202+BF296*BF202+BG296*BG202+BH296*BH202+BI296*BI202+BJ296*BJ202+BK296*BK202+BL296*BL202+BM296*BM202+BN296*BN202+BO296*BO202+BP296*BP202+BQ296*BQ202+BR296*BR202+BS296*BS202+BT296*BT202+BU296*BU202+BV296*BV202+BW296*BW202+BX296*BX202+BY296*BY202+BZ296*BZ202+CA296*CA202+CB296*CB202+CC296*CC202+CD296*CD202+CE296*CE202+CF296*CF202+CG296*CG202+CH296*CH202+CI296*CI202+CJ296*CJ202+CK296*CK202+CL296*CL202+CM296*CM202+CN296*CN202+CO296*CO202+CP296*CP202+CQ296*CQ202+CR296*CR202+CS296*CS202+CT296*CT202+CU296*CU202</f>
        <v>0</v>
      </c>
      <c r="DH202" s="2840">
        <f>E297*E202+F297*F202+G297*G202+H297*H202+I297*I202+J297*J202+K297*K202+L297*L202+M297*M202+N297*N202+O297*O202+P297*P202+Q297*Q202+R297*R202+S297*S202+T297*T202+U297*U202+V297*V202+W297*W202+X297*X202+Y297*Y202+Z297*Z202+AA297*AA202+AB297*AB202+AC297*AC202+AD297*AD202+AE297*AE202+AF297*AF202+AG297*AG202+AH297*AH202+AI297*AI202+AJ297*AJ202+AK297*AK202+AL297*AL202+AM297*AM202+AN297*AN202+AO297*AO202+AP297*AP202+AQ297*AQ202+AR297*AR202+AS297*AS202+AT297*AT202+AU297*AU202+AV297*AV202+AW297*AW202+AX297*AX202+AY297*AY202+AZ297*AZ202+BA297*BA202+BB297*BB202+BC297*BC202+BD297*BD202+BE297*BE202+BF297*BF202+BG297*BG202+BH297*BH202+BI297*BI202+BJ297*BJ202+BK297*BK202+BL297*BL202+BM297*BM202+BN297*BN202+BO297*BO202+BP297*BP202+BQ297*BQ202+BR297*BR202+BS297*BS202+BT297*BT202+BU297*BU202+BV297*BV202+BW297*BW202+BX297*BX202+BY297*BY202+BZ297*BZ202+CA297*CA202+CB297*CB202+CC297*CC202+CD297*CD202+CE297*CE202+CF297*CF202+CG297*CG202+CH297*CH202+CI297*CI202+CJ297*CJ202+CK297*CK202+CL297*CL202+CM297*CM202+CN297*CN202+CO297*CO202+CP297*CP202+CQ297*CQ202+CR297*CR202+CS297*CS202+CT297*CT202+CU297*CU202</f>
        <v>0</v>
      </c>
      <c r="DI202" s="2840">
        <f>E298*E202+F298*F202+G298*G202+H298*H202+I298*I202+J298*J202+K298*K202+L298*L202+M298*M202+N298*N202+O298*O202+P298*P202+Q298*Q202+R298*R202+S298*S202+T298*T202+U298*U202+V298*V202+W298*W202+X298*X202+Y298*Y202+Z298*Z202+AA298*AA202+AB298*AB202+AC298*AC202+AD298*AD202+AE298*AE202+AF298*AF202+AG298*AG202+AH298*AH202+AI298*AI202+AJ298*AJ202+AK298*AK202+AL298*AL202+AM298*AM202+AN298*AN202+AO298*AO202+AP298*AP202+AQ298*AQ202+AR298*AR202+AS298*AS202+AT298*AT202+AU298*AU202+AV298*AV202+AW298*AW202+AX298*AX202+AY298*AY202+AZ298*AZ202+BA298*BA202+BB298*BB202+BC298*BC202+BD298*BD202+BE298*BE202+BF298*BF202+BG298*BG202+BH298*BH202+BI298*BI202+BJ298*BJ202+BK298*BK202+BL298*BL202+BM298*BM202+BN298*BN202+BO298*BO202+BP298*BP202+BQ298*BQ202+BR298*BR202+BS298*BS202+BT298*BT202+BU298*BU202+BV298*BV202+BW298*BW202+BX298*BX202+BY298*BY202+BZ298*BZ202+CA298*CA202+CB298*CB202+CC298*CC202+CD298*CD202+CE298*CE202+CF298*CF202+CG298*CG202+CH298*CH202+CI298*CI202+CJ298*CJ202+CK298*CK202+CL298*CL202+CM298*CM202+CN298*CN202+CO298*CO202+CP298*CP202+CQ298*CQ202+CR298*CR202+CS298*CS202+CT298*CT202+CU298*CU202</f>
        <v>0</v>
      </c>
    </row>
    <row r="203" spans="2:113" ht="18" x14ac:dyDescent="0.25">
      <c r="B203" s="2503">
        <v>50</v>
      </c>
      <c r="C203" s="2427" t="s">
        <v>2119</v>
      </c>
      <c r="D203" s="1282" t="s">
        <v>293</v>
      </c>
      <c r="E203" s="3119">
        <f>0</f>
        <v>0</v>
      </c>
      <c r="F203" s="3119">
        <f>0</f>
        <v>0</v>
      </c>
      <c r="G203" s="3119">
        <f>0</f>
        <v>0</v>
      </c>
      <c r="H203" s="3119">
        <f>0</f>
        <v>0</v>
      </c>
      <c r="I203" s="3119">
        <f>0</f>
        <v>0</v>
      </c>
      <c r="J203" s="3119">
        <f>1-f_E</f>
        <v>0.92</v>
      </c>
      <c r="K203" s="3119">
        <f>0</f>
        <v>0</v>
      </c>
      <c r="L203" s="3119">
        <f>0</f>
        <v>0</v>
      </c>
      <c r="M203" s="3119">
        <f>0</f>
        <v>0</v>
      </c>
      <c r="N203" s="3119">
        <f>0</f>
        <v>0</v>
      </c>
      <c r="O203" s="3119">
        <f>0</f>
        <v>0</v>
      </c>
      <c r="P203" s="3119">
        <f>f_E</f>
        <v>0.08</v>
      </c>
      <c r="Q203" s="3119">
        <f>0</f>
        <v>0</v>
      </c>
      <c r="R203" s="3119">
        <f>0</f>
        <v>0</v>
      </c>
      <c r="S203" s="3119">
        <f>0</f>
        <v>0</v>
      </c>
      <c r="T203" s="3119">
        <f>0</f>
        <v>0</v>
      </c>
      <c r="U203" s="3119">
        <f>0</f>
        <v>0</v>
      </c>
      <c r="V203" s="3119">
        <f>0</f>
        <v>0</v>
      </c>
      <c r="W203" s="3119">
        <f>0</f>
        <v>0</v>
      </c>
      <c r="X203" s="3119">
        <f>0</f>
        <v>0</v>
      </c>
      <c r="Y203" s="3119">
        <f>-1</f>
        <v>-1</v>
      </c>
      <c r="Z203" s="3119">
        <f>0</f>
        <v>0</v>
      </c>
      <c r="AA203" s="3119">
        <f>0</f>
        <v>0</v>
      </c>
      <c r="AB203" s="3119">
        <f>0</f>
        <v>0</v>
      </c>
      <c r="AC203" s="3119">
        <f>0</f>
        <v>0</v>
      </c>
      <c r="AD203" s="3119">
        <f>-f_E*(i_N_XE-i_N_BIO)</f>
        <v>8.0000000000000069E-4</v>
      </c>
      <c r="AE203" s="3119">
        <f>0</f>
        <v>0</v>
      </c>
      <c r="AF203" s="3119">
        <f>0</f>
        <v>0</v>
      </c>
      <c r="AG203" s="3119">
        <f>0</f>
        <v>0</v>
      </c>
      <c r="AH203" s="3119">
        <f>0</f>
        <v>0</v>
      </c>
      <c r="AI203" s="3119">
        <f>0</f>
        <v>0</v>
      </c>
      <c r="AJ203" s="3119">
        <f>(1-f_E)*i_N_BIO</f>
        <v>6.4400000000000013E-2</v>
      </c>
      <c r="AK203" s="3119">
        <f>0</f>
        <v>0</v>
      </c>
      <c r="AL203" s="3119">
        <f>0</f>
        <v>0</v>
      </c>
      <c r="AM203" s="3119">
        <f>0</f>
        <v>0</v>
      </c>
      <c r="AN203" s="3119">
        <f>0</f>
        <v>0</v>
      </c>
      <c r="AO203" s="3119">
        <f>0</f>
        <v>0</v>
      </c>
      <c r="AP203" s="3119">
        <f>(1-f_E)*i_P_BIO</f>
        <v>1.84E-2</v>
      </c>
      <c r="AQ203" s="3119">
        <f>0</f>
        <v>0</v>
      </c>
      <c r="AR203" s="3119">
        <f>0</f>
        <v>0</v>
      </c>
      <c r="AS203" s="3119">
        <f>0</f>
        <v>0</v>
      </c>
      <c r="AT203" s="3119">
        <f>0</f>
        <v>0</v>
      </c>
      <c r="AU203" s="3148">
        <f>(1-f_E)*(i_CIT_BIO-i_CIT_XBe)</f>
        <v>6.0720000000000003E-2</v>
      </c>
      <c r="AV203" s="3148">
        <f>0</f>
        <v>0</v>
      </c>
      <c r="AW203" s="3148">
        <f>0</f>
        <v>0</v>
      </c>
      <c r="AX203" s="3148">
        <f>0</f>
        <v>0</v>
      </c>
      <c r="AY203" s="3148">
        <f>0</f>
        <v>0</v>
      </c>
      <c r="AZ203" s="3148">
        <f>0</f>
        <v>0</v>
      </c>
      <c r="BA203" s="3119">
        <f>0</f>
        <v>0</v>
      </c>
      <c r="BB203" s="3119">
        <f>0</f>
        <v>0</v>
      </c>
      <c r="BC203" s="3119">
        <f>(1-f_E)*i_S_BIO-(1-f_E)*i_S_XB</f>
        <v>7.8200000000000006E-3</v>
      </c>
      <c r="BD203" s="3119">
        <f>0</f>
        <v>0</v>
      </c>
      <c r="BE203" s="3119">
        <f>0</f>
        <v>0</v>
      </c>
      <c r="BF203" s="3119">
        <f>0</f>
        <v>0</v>
      </c>
      <c r="BG203" s="3119">
        <f>0</f>
        <v>0</v>
      </c>
      <c r="BH203" s="3119">
        <f>0</f>
        <v>0</v>
      </c>
      <c r="BI203" s="3119">
        <f>0</f>
        <v>0</v>
      </c>
      <c r="BJ203" s="3119">
        <f>0</f>
        <v>0</v>
      </c>
      <c r="BK203" s="3119">
        <f>0</f>
        <v>0</v>
      </c>
      <c r="BL203" s="3119">
        <f>0</f>
        <v>0</v>
      </c>
      <c r="BM203" s="3119">
        <f>0</f>
        <v>0</v>
      </c>
      <c r="BN203" s="3119">
        <f>0</f>
        <v>0</v>
      </c>
      <c r="BO203" s="3119">
        <f>0</f>
        <v>0</v>
      </c>
      <c r="BP203" s="3119">
        <f>0</f>
        <v>0</v>
      </c>
      <c r="BQ203" s="3119">
        <f>0</f>
        <v>0</v>
      </c>
      <c r="BR203" s="3119">
        <f>0</f>
        <v>0</v>
      </c>
      <c r="BS203" s="3119">
        <f>0</f>
        <v>0</v>
      </c>
      <c r="BT203" s="3119">
        <f>0</f>
        <v>0</v>
      </c>
      <c r="BU203" s="3119">
        <f>0</f>
        <v>0</v>
      </c>
      <c r="BV203" s="3119">
        <f>0</f>
        <v>0</v>
      </c>
      <c r="BW203" s="3119">
        <f>0</f>
        <v>0</v>
      </c>
      <c r="BX203" s="3119">
        <f>0</f>
        <v>0</v>
      </c>
      <c r="BY203" s="3119">
        <f>0</f>
        <v>0</v>
      </c>
      <c r="BZ203" s="3148">
        <f>0</f>
        <v>0</v>
      </c>
      <c r="CA203" s="3148">
        <f>0</f>
        <v>0</v>
      </c>
      <c r="CB203" s="3148">
        <f>0</f>
        <v>0</v>
      </c>
      <c r="CC203" s="3148">
        <f>0</f>
        <v>0</v>
      </c>
      <c r="CD203" s="3119">
        <f>0</f>
        <v>0</v>
      </c>
      <c r="CE203" s="3119">
        <f>0</f>
        <v>0</v>
      </c>
      <c r="CF203" s="3119">
        <f>0</f>
        <v>0</v>
      </c>
      <c r="CG203" s="3119">
        <f>0</f>
        <v>0</v>
      </c>
      <c r="CH203" s="3119">
        <f>0</f>
        <v>0</v>
      </c>
      <c r="CI203" s="3119">
        <f>0</f>
        <v>0</v>
      </c>
      <c r="CJ203" s="3119">
        <f>0</f>
        <v>0</v>
      </c>
      <c r="CK203" s="3119">
        <f>0</f>
        <v>0</v>
      </c>
      <c r="CL203" s="3119">
        <f>0</f>
        <v>0</v>
      </c>
      <c r="CM203" s="3119">
        <f>0</f>
        <v>0</v>
      </c>
      <c r="CN203" s="3119">
        <f>0</f>
        <v>0</v>
      </c>
      <c r="CO203" s="3119">
        <f>0</f>
        <v>0</v>
      </c>
      <c r="CP203" s="3119">
        <f>0</f>
        <v>0</v>
      </c>
      <c r="CQ203" s="3119">
        <f>0</f>
        <v>0</v>
      </c>
      <c r="CR203" s="3119">
        <f>0</f>
        <v>0</v>
      </c>
      <c r="CS203" s="3119">
        <f>0</f>
        <v>0</v>
      </c>
      <c r="CT203" s="3119">
        <f>0</f>
        <v>0</v>
      </c>
      <c r="CU203" s="3119">
        <f>0</f>
        <v>0</v>
      </c>
      <c r="CV203" s="3226">
        <f>b_HMETO_T*X_HMETO*(m_tox_aer*M_satSO2_KiO2_HMETO+m_tox_anox*M_satSNOx_KNO3_HMETO*M_inhSO2_KiO2_HMETO)</f>
        <v>0.25679848448969933</v>
      </c>
      <c r="CX203" s="2838">
        <f>E287*E203+F287*F203+G287*G203+H287*H203+I287*I203+J287*J203+K287*K203+L287*L203+M287*M203+N287*N203+O287*O203+P287*P203+Q287*Q203+R287*R203+S287*S203+T287*T203+U287*U203+V287*V203+W287*W203+X287*X203+Y287*Y203+Z287*Z203+AA287*AA203+AB287*AB203+AC287*AC203+AD287*AD203+AE287*AE203+AF287*AF203+AG287*AG203+AH287*AH203+AI287*AI203+AJ287*AJ203+AK287*AK203+AL287*AL203+AM287*AM203+AN287*AN203+AO287*AO203+AP287*AP203+AQ287*AQ203+AR287*AR203+AS287*AS203+AT287*AT203+AU287*AU203+AV287*AV203+AW287*AW203+AX287*AX203+AY287*AY203+AZ287*AZ203+BA287*BA203+BB287*BB203+BC287*BC203+BD287*BD203+BE287*BE203+BF287*BF203+BG287*BG203+BH287*BH203+BI287*BI203+BJ287*BJ203+BK287*BK203+BL287*BL203+BM287*BM203+BN287*BN203+BO287*BO203+BP287*BP203+BQ287*BQ203+BR287*BR203+BS287*BS203+BT287*BT203+BU287*BU203+BV287*BV203+BW287*BW203+BX287*BX203+BY287*BY203+BZ287*BZ203+CA287*CA203+CB287*CB203+CC287*CC203+CD287*CD203+CE287*CE203+CF287*CF203+CG287*CG203+CH287*CH203+CI287*CI203+CJ287*CJ203+CK287*CK203+CL287*CL203+CM287*CM203+CN287*CN203+CO287*CO203+CP287*CP203+CQ287*CQ203+CR287*CR203+CS287*CS203+CT287*CT203+CU287*CU203</f>
        <v>0</v>
      </c>
      <c r="CY203" s="2838">
        <f>E288*E203+F288*F203+G288*G203+H288*H203+I288*I203+J288*J203+K288*K203+L288*L203+M288*M203+N288*N203+O288*O203+P288*P203+Q288*Q203+R288*R203+S288*S203+T288*T203+U288*U203+V288*V203+W288*W203+X288*X203+Y288*Y203+Z288*Z203+AA288*AA203+AB288*AB203+AC288*AC203+AD288*AD203+AE288*AE203+AF288*AF203+AG288*AG203+AH288*AH203+AI288*AI203+AJ288*AJ203+AK288*AK203+AL288*AL203+AM288*AM203+AN288*AN203+AO288*AO203+AP288*AP203+AQ288*AQ203+AR288*AR203+AS288*AS203+AT288*AT203+AU288*AU203+AV288*AV203+AW288*AW203+AX288*AX203+AY288*AY203+AZ288*AZ203+BA288*BA203+BB288*BB203+BC288*BC203+BD288*BD203+BE288*BE203+BF288*BF203+BG288*BG203+BH288*BH203+BI288*BI203+BJ288*BJ203+BK288*BK203+BL288*BL203+BM288*BM203+BN288*BN203+BO288*BO203+BP288*BP203+BQ288*BQ203+BR288*BR203+BS288*BS203+BT288*BT203+BU288*BU203+BV288*BV203+BW288*BW203+BX288*BX203+BY288*BY203+BZ288*BZ203+CA288*CA203+CB288*CB203+CC288*CC203+CD288*CD203+CE288*CE203+CF288*CF203+CG288*CG203+CH288*CH203+CI288*CI203+CJ288*CJ203+CK288*CK203+CL288*CL203+CM288*CM203+CN288*CN203+CO288*CO203+CP288*CP203+CQ288*CQ203+CR288*CR203+CS288*CS203+CT288*CT203+CU288*CU203</f>
        <v>6.9388939039072284E-18</v>
      </c>
      <c r="CZ203" s="2839">
        <f>E289*E203+F289*F203+G289*G203+H289*H203+I289*I203+J289*J203+K289*K203+L289*L203+M289*M203+N289*N203+O289*O203+P289*P203+Q289*Q203+R289*R203+S289*S203+T289*T203+U289*U203+V289*V203+W289*W203+X289*X203+Y289*Y203+Z289*Z203+AA289*AA203+AB289*AB203+AC289*AC203+AD289*AD203+AE289*AE203+AF289*AF203+AG289*AG203+AH289*AH203+AI289*AI203+AJ289*AJ203+AK289*AK203+AL289*AL203+AM289*AM203+AN289*AN203+AO289*AO203+AP289*AP203+AQ289*AQ203+AR289*AR203+AS289*AS203+AT289*AT203+AU289*AU203+AV289*AV203+AW289*AW203+AX289*AX203+AY289*AY203+AZ289*AZ203+BA289*BA203+BB289*BB203+BC289*BC203+BD289*BD203+BE289*BE203+BF289*BF203+BG289*BG203+BH289*BH203+BI289*BI203+BJ289*BJ203+BK289*BK203+BL289*BL203+BM289*BM203+BN289*BN203+BO289*BO203+BP289*BP203+BQ289*BQ203+BR289*BR203+BS289*BS203+BT289*BT203+BU289*BU203+BV289*BV203+BW289*BW203+BX289*BX203+BY289*BY203+BZ289*BZ203+CA289*CA203+CB289*CB203+CC289*CC203+CD289*CD203+CE289*CE203+CF289*CF203+CG289*CG203+CH289*CH203+CI289*CI203+CJ289*CJ203+CK289*CK203+CL289*CL203+CM289*CM203+CN289*CN203+CO289*CO203+CP289*CP203+CQ289*CQ203+CR289*CR203+CS289*CS203+CT289*CT203+CU289*CU203</f>
        <v>0</v>
      </c>
      <c r="DA203" s="2840">
        <f>E290*E203+F290*F203+G290*G203+H290*H203+I290*I203+J290*J203+K290*K203+L290*L203+M290*M203+N290*N203+O290*O203+P290*P203+Q290*Q203+R290*R203+S290*S203+T290*T203+U290*U203+V290*V203+W290*W203+X290*X203+Y290*Y203+Z290*Z203+AA290*AA203+AB290*AB203+AC290*AC203+AD290*AD203+AE290*AE203+AF290*AF203+AG290*AG203+AH290*AH203+AI290*AI203+AJ290*AJ203+AK290*AK203+AL290*AL203+AM290*AM203+AN290*AN203+AO290*AO203+AP290*AP203+AQ290*AQ203+AR290*AR203+AS290*AS203+AT290*AT203+AU290*AU203+AV290*AV203+AW290*AW203+AX290*AX203+AY290*AY203+AZ290*AZ203+BA290*BA203+BB290*BB203+BC290*BC203+BD290*BD203+BE290*BE203+BF290*BF203+BG290*BG203+BH290*BH203+BI290*BI203+BJ290*BJ203+BK290*BK203+BL290*BL203+BM290*BM203+BN290*BN203+BO290*BO203+BP290*BP203+BQ290*BQ203+BR290*BR203+BS290*BS203+BT290*BT203+BU290*BU203+BV290*BV203+BW290*BW203+BX290*BX203+BY290*BY203+BZ290*BZ203+CA290*CA203+CB290*CB203+CC290*CC203+CD290*CD203+CE290*CE203+CF290*CF203+CG290*CG203+CH290*CH203+CI290*CI203+CJ290*CJ203+CK290*CK203+CL290*CL203+CM290*CM203+CN290*CN203+CO290*CO203+CP290*CP203+CQ290*CQ203+CR290*CR203+CS290*CS203+CT290*CT203+CU290*CU203</f>
        <v>0</v>
      </c>
      <c r="DB203" s="2840">
        <f>E291*E203+F291*F203+G291*G203+H291*H203+I291*I203+J291*J203+K291*K203+L291*L203+M291*M203+N291*N203+O291*O203+P291*P203+Q291*Q203+R291*R203+S291*S203+T291*T203+U291*U203+V291*V203+W291*W203+X291*X203+Y291*Y203+Z291*Z203+AA291*AA203+AB291*AB203+AC291*AC203+AD291*AD203+AE291*AE203+AF291*AF203+AG291*AG203+AH291*AH203+AI291*AI203+AJ291*AJ203+AK291*AK203+AL291*AL203+AM291*AM203+AN291*AN203+AO291*AO203+AP291*AP203+AQ291*AQ203+AR291*AR203+AS291*AS203+AT291*AT203+AU291*AU203+AV291*AV203+AW291*AW203+AX291*AX203+AY291*AY203+AZ291*AZ203+BA291*BA203+BB291*BB203+BC291*BC203+BD291*BD203+BE291*BE203+BF291*BF203+BG291*BG203+BH291*BH203+BI291*BI203+BJ291*BJ203+BK291*BK203+BL291*BL203+BM291*BM203+BN291*BN203+BO291*BO203+BP291*BP203+BQ291*BQ203+BR291*BR203+BS291*BS203+BT291*BT203+BU291*BU203+BV291*BV203+BW291*BW203+BX291*BX203+BY291*BY203+BZ291*BZ203+CA291*CA203+CB291*CB203+CC291*CC203+CD291*CD203+CE291*CE203+CF291*CF203+CG291*CG203+CH291*CH203+CI291*CI203+CJ291*CJ203+CK291*CK203+CL291*CL203+CM291*CM203+CN291*CN203+CO291*CO203+CP291*CP203+CQ291*CQ203+CR291*CR203+CS291*CS203+CT291*CT203+CU291*CU203</f>
        <v>0</v>
      </c>
      <c r="DC203" s="2840">
        <f>E292*E203+F292*F203+G292*G203+H292*H203+I292*I203+J292*J203+K292*K203+L292*L203+M292*M203+N292*N203+O292*O203+P292*P203+Q292*Q203+R292*R203+S292*S203+T292*T203+U292*U203+V292*V203+W292*W203+X292*X203+Y292*Y203+Z292*Z203+AA292*AA203+AB292*AB203+AC292*AC203+AD292*AD203+AE292*AE203+AF292*AF203+AG292*AG203+AH292*AH203+AI292*AI203+AJ292*AJ203+AK292*AK203+AL292*AL203+AM292*AM203+AN292*AN203+AO292*AO203+AP292*AP203+AQ292*AQ203+AR292*AR203+AS292*AS203+AT292*AT203+AU292*AU203+AV292*AV203+AW292*AW203+AX292*AX203+AY292*AY203+AZ292*AZ203+BA292*BA203+BB292*BB203+BC292*BC203+BD292*BD203+BE292*BE203+BF292*BF203+BG292*BG203+BH292*BH203+BI292*BI203+BJ292*BJ203+BK292*BK203+BL292*BL203+BM292*BM203+BN292*BN203+BO292*BO203+BP292*BP203+BQ292*BQ203+BR292*BR203+BS292*BS203+BT292*BT203+BU292*BU203+BV292*BV203+BW292*BW203+BX292*BX203+BY292*BY203+BZ292*BZ203+CA292*CA203+CB292*CB203+CC292*CC203+CD292*CD203+CE292*CE203+CF292*CF203+CG292*CG203+CH292*CH203+CI292*CI203+CJ292*CJ203+CK292*CK203+CL292*CL203+CM292*CM203+CN292*CN203+CO292*CO203+CP292*CP203+CQ292*CQ203+CR292*CR203+CS292*CS203+CT292*CT203+CU292*CU203</f>
        <v>0</v>
      </c>
      <c r="DD203" s="2840">
        <f>E293*E203+F293*F203+G293*G203+H293*H203+I293*I203+J293*J203+K293*K203+L293*L203+M293*M203+N293*N203+O293*O203+P293*P203+Q293*Q203+R293*R203+S293*S203+T293*T203+U293*U203+V293*V203+W293*W203+X293*X203+Y293*Y203+Z293*Z203+AA293*AA203+AB293*AB203+AC293*AC203+AD293*AD203+AE293*AE203+AF293*AF203+AG293*AG203+AH293*AH203+AI293*AI203+AJ293*AJ203+AK293*AK203+AL293*AL203+AM293*AM203+AN293*AN203+AO293*AO203+AP293*AP203+AQ293*AQ203+AR293*AR203+AS293*AS203+AT293*AT203+AU293*AU203+AV293*AV203+AW293*AW203+AX293*AX203+AY293*AY203+AZ293*AZ203+BA293*BA203+BB293*BB203+BC293*BC203+BD293*BD203+BE293*BE203+BF293*BF203+BG293*BG203+BH293*BH203+BI293*BI203+BJ293*BJ203+BK293*BK203+BL293*BL203+BM293*BM203+BN293*BN203+BO293*BO203+BP293*BP203+BQ293*BQ203+BR293*BR203+BS293*BS203+BT293*BT203+BU293*BU203+BV293*BV203+BW293*BW203+BX293*BX203+BY293*BY203+BZ293*BZ203+CA293*CA203+CB293*CB203+CC293*CC203+CD293*CD203+CE293*CE203+CF293*CF203+CG293*CG203+CH293*CH203+CI293*CI203+CJ293*CJ203+CK293*CK203+CL293*CL203+CM293*CM203+CN293*CN203+CO293*CO203+CP293*CP203+CQ293*CQ203+CR293*CR203+CS293*CS203+CT293*CT203+CU293*CU203</f>
        <v>0</v>
      </c>
      <c r="DE203" s="2840">
        <f>E294*E203+F294*F203+G294*G203+H294*H203+I294*I203+J294*J203+K294*K203+L294*L203+M294*M203+N294*N203+O294*O203+P294*P203+Q294*Q203+R294*R203+S294*S203+T294*T203+U294*U203+V294*V203+W294*W203+X294*X203+Y294*Y203+Z294*Z203+AA294*AA203+AB294*AB203+AC294*AC203+AD294*AD203+AE294*AE203+AF294*AF203+AG294*AG203+AH294*AH203+AI294*AI203+AJ294*AJ203+AK294*AK203+AL294*AL203+AM294*AM203+AN294*AN203+AO294*AO203+AP294*AP203+AQ294*AQ203+AR294*AR203+AS294*AS203+AT294*AT203+AU294*AU203+AV294*AV203+AW294*AW203+AX294*AX203+AY294*AY203+AZ294*AZ203+BA294*BA203+BB294*BB203+BC294*BC203+BD294*BD203+BE294*BE203+BF294*BF203+BG294*BG203+BH294*BH203+BI294*BI203+BJ294*BJ203+BK294*BK203+BL294*BL203+BM294*BM203+BN294*BN203+BO294*BO203+BP294*BP203+BQ294*BQ203+BR294*BR203+BS294*BS203+BT294*BT203+BU294*BU203+BV294*BV203+BW294*BW203+BX294*BX203+BY294*BY203+BZ294*BZ203+CA294*CA203+CB294*CB203+CC294*CC203+CD294*CD203+CE294*CE203+CF294*CF203+CG294*CG203+CH294*CH203+CI294*CI203+CJ294*CJ203+CK294*CK203+CL294*CL203+CM294*CM203+CN294*CN203+CO294*CO203+CP294*CP203+CQ294*CQ203+CR294*CR203+CS294*CS203+CT294*CT203+CU294*CU203</f>
        <v>0</v>
      </c>
      <c r="DF203" s="2840">
        <f>E295*E203+F295*F203+G295*G203+H295*H203+I295*I203+J295*J203+K295*K203+L295*L203+M295*M203+N295*N203+O295*O203+P295*P203+Q295*Q203+R295*R203+S295*S203+T295*T203+U295*U203+V295*V203+W295*W203+X295*X203+Y295*Y203+Z295*Z203+AA295*AA203+AB295*AB203+AC295*AC203+AD295*AD203+AE295*AE203+AF295*AF203+AG295*AG203+AH295*AH203+AI295*AI203+AJ295*AJ203+AK295*AK203+AL295*AL203+AM295*AM203+AN295*AN203+AO295*AO203+AP295*AP203+AQ295*AQ203+AR295*AR203+AS295*AS203+AT295*AT203+AU295*AU203+AV295*AV203+AW295*AW203+AX295*AX203+AY295*AY203+AZ295*AZ203+BA295*BA203+BB295*BB203+BC295*BC203+BD295*BD203+BE295*BE203+BF295*BF203+BG295*BG203+BH295*BH203+BI295*BI203+BJ295*BJ203+BK295*BK203+BL295*BL203+BM295*BM203+BN295*BN203+BO295*BO203+BP295*BP203+BQ295*BQ203+BR295*BR203+BS295*BS203+BT295*BT203+BU295*BU203+BV295*BV203+BW295*BW203+BX295*BX203+BY295*BY203+BZ295*BZ203+CA295*CA203+CB295*CB203+CC295*CC203+CD295*CD203+CE295*CE203+CF295*CF203+CG295*CG203+CH295*CH203+CI295*CI203+CJ295*CJ203+CK295*CK203+CL295*CL203+CM295*CM203+CN295*CN203+CO295*CO203+CP295*CP203+CQ295*CQ203+CR295*CR203+CS295*CS203+CT295*CT203+CU295*CU203</f>
        <v>0</v>
      </c>
      <c r="DG203" s="2840">
        <f>E296*E203+F296*F203+G296*G203+H296*H203+I296*I203+J296*J203+K296*K203+L296*L203+M296*M203+N296*N203+O296*O203+P296*P203+Q296*Q203+R296*R203+S296*S203+T296*T203+U296*U203+V296*V203+W296*W203+X296*X203+Y296*Y203+Z296*Z203+AA296*AA203+AB296*AB203+AC296*AC203+AD296*AD203+AE296*AE203+AF296*AF203+AG296*AG203+AH296*AH203+AI296*AI203+AJ296*AJ203+AK296*AK203+AL296*AL203+AM296*AM203+AN296*AN203+AO296*AO203+AP296*AP203+AQ296*AQ203+AR296*AR203+AS296*AS203+AT296*AT203+AU296*AU203+AV296*AV203+AW296*AW203+AX296*AX203+AY296*AY203+AZ296*AZ203+BA296*BA203+BB296*BB203+BC296*BC203+BD296*BD203+BE296*BE203+BF296*BF203+BG296*BG203+BH296*BH203+BI296*BI203+BJ296*BJ203+BK296*BK203+BL296*BL203+BM296*BM203+BN296*BN203+BO296*BO203+BP296*BP203+BQ296*BQ203+BR296*BR203+BS296*BS203+BT296*BT203+BU296*BU203+BV296*BV203+BW296*BW203+BX296*BX203+BY296*BY203+BZ296*BZ203+CA296*CA203+CB296*CB203+CC296*CC203+CD296*CD203+CE296*CE203+CF296*CF203+CG296*CG203+CH296*CH203+CI296*CI203+CJ296*CJ203+CK296*CK203+CL296*CL203+CM296*CM203+CN296*CN203+CO296*CO203+CP296*CP203+CQ296*CQ203+CR296*CR203+CS296*CS203+CT296*CT203+CU296*CU203</f>
        <v>0</v>
      </c>
      <c r="DH203" s="2840">
        <f>E297*E203+F297*F203+G297*G203+H297*H203+I297*I203+J297*J203+K297*K203+L297*L203+M297*M203+N297*N203+O297*O203+P297*P203+Q297*Q203+R297*R203+S297*S203+T297*T203+U297*U203+V297*V203+W297*W203+X297*X203+Y297*Y203+Z297*Z203+AA297*AA203+AB297*AB203+AC297*AC203+AD297*AD203+AE297*AE203+AF297*AF203+AG297*AG203+AH297*AH203+AI297*AI203+AJ297*AJ203+AK297*AK203+AL297*AL203+AM297*AM203+AN297*AN203+AO297*AO203+AP297*AP203+AQ297*AQ203+AR297*AR203+AS297*AS203+AT297*AT203+AU297*AU203+AV297*AV203+AW297*AW203+AX297*AX203+AY297*AY203+AZ297*AZ203+BA297*BA203+BB297*BB203+BC297*BC203+BD297*BD203+BE297*BE203+BF297*BF203+BG297*BG203+BH297*BH203+BI297*BI203+BJ297*BJ203+BK297*BK203+BL297*BL203+BM297*BM203+BN297*BN203+BO297*BO203+BP297*BP203+BQ297*BQ203+BR297*BR203+BS297*BS203+BT297*BT203+BU297*BU203+BV297*BV203+BW297*BW203+BX297*BX203+BY297*BY203+BZ297*BZ203+CA297*CA203+CB297*CB203+CC297*CC203+CD297*CD203+CE297*CE203+CF297*CF203+CG297*CG203+CH297*CH203+CI297*CI203+CJ297*CJ203+CK297*CK203+CL297*CL203+CM297*CM203+CN297*CN203+CO297*CO203+CP297*CP203+CQ297*CQ203+CR297*CR203+CS297*CS203+CT297*CT203+CU297*CU203</f>
        <v>0</v>
      </c>
      <c r="DI203" s="2840">
        <f>E298*E203+F298*F203+G298*G203+H298*H203+I298*I203+J298*J203+K298*K203+L298*L203+M298*M203+N298*N203+O298*O203+P298*P203+Q298*Q203+R298*R203+S298*S203+T298*T203+U298*U203+V298*V203+W298*W203+X298*X203+Y298*Y203+Z298*Z203+AA298*AA203+AB298*AB203+AC298*AC203+AD298*AD203+AE298*AE203+AF298*AF203+AG298*AG203+AH298*AH203+AI298*AI203+AJ298*AJ203+AK298*AK203+AL298*AL203+AM298*AM203+AN298*AN203+AO298*AO203+AP298*AP203+AQ298*AQ203+AR298*AR203+AS298*AS203+AT298*AT203+AU298*AU203+AV298*AV203+AW298*AW203+AX298*AX203+AY298*AY203+AZ298*AZ203+BA298*BA203+BB298*BB203+BC298*BC203+BD298*BD203+BE298*BE203+BF298*BF203+BG298*BG203+BH298*BH203+BI298*BI203+BJ298*BJ203+BK298*BK203+BL298*BL203+BM298*BM203+BN298*BN203+BO298*BO203+BP298*BP203+BQ298*BQ203+BR298*BR203+BS298*BS203+BT298*BT203+BU298*BU203+BV298*BV203+BW298*BW203+BX298*BX203+BY298*BY203+BZ298*BZ203+CA298*CA203+CB298*CB203+CC298*CC203+CD298*CD203+CE298*CE203+CF298*CF203+CG298*CG203+CH298*CH203+CI298*CI203+CJ298*CJ203+CK298*CK203+CL298*CL203+CM298*CM203+CN298*CN203+CO298*CO203+CP298*CP203+CQ298*CQ203+CR298*CR203+CS298*CS203+CT298*CT203+CU298*CU203</f>
        <v>0</v>
      </c>
    </row>
    <row r="204" spans="2:113" ht="18" x14ac:dyDescent="0.25">
      <c r="B204" s="2503">
        <v>51</v>
      </c>
      <c r="C204" s="2427" t="s">
        <v>2120</v>
      </c>
      <c r="D204" s="1282" t="s">
        <v>2999</v>
      </c>
      <c r="E204" s="3119">
        <f>0</f>
        <v>0</v>
      </c>
      <c r="F204" s="3119">
        <f>0</f>
        <v>0</v>
      </c>
      <c r="G204" s="3119">
        <f>0</f>
        <v>0</v>
      </c>
      <c r="H204" s="3119">
        <f>0</f>
        <v>0</v>
      </c>
      <c r="I204" s="3119">
        <f>0</f>
        <v>0</v>
      </c>
      <c r="J204" s="3119">
        <f>1-f_E</f>
        <v>0.92</v>
      </c>
      <c r="K204" s="3119">
        <f>0</f>
        <v>0</v>
      </c>
      <c r="L204" s="3119">
        <f>0</f>
        <v>0</v>
      </c>
      <c r="M204" s="3119">
        <f>0</f>
        <v>0</v>
      </c>
      <c r="N204" s="3119">
        <f>0</f>
        <v>0</v>
      </c>
      <c r="O204" s="3119">
        <f>0</f>
        <v>0</v>
      </c>
      <c r="P204" s="3119">
        <f>0</f>
        <v>0</v>
      </c>
      <c r="Q204" s="3119">
        <f>f_E</f>
        <v>0.08</v>
      </c>
      <c r="R204" s="3119">
        <f>0</f>
        <v>0</v>
      </c>
      <c r="S204" s="3119">
        <f>0</f>
        <v>0</v>
      </c>
      <c r="T204" s="3119">
        <f>0</f>
        <v>0</v>
      </c>
      <c r="U204" s="3119">
        <f>0</f>
        <v>0</v>
      </c>
      <c r="V204" s="3119">
        <f>0</f>
        <v>0</v>
      </c>
      <c r="W204" s="3119">
        <f>0</f>
        <v>0</v>
      </c>
      <c r="X204" s="3119">
        <f>0</f>
        <v>0</v>
      </c>
      <c r="Y204" s="3119">
        <f>-1</f>
        <v>-1</v>
      </c>
      <c r="Z204" s="3119">
        <f>0</f>
        <v>0</v>
      </c>
      <c r="AA204" s="3119">
        <f>0</f>
        <v>0</v>
      </c>
      <c r="AB204" s="3119">
        <f>0</f>
        <v>0</v>
      </c>
      <c r="AC204" s="3119">
        <f>0</f>
        <v>0</v>
      </c>
      <c r="AD204" s="3119">
        <f>-f_E*(i_N_XE-i_N_BIO)</f>
        <v>8.0000000000000069E-4</v>
      </c>
      <c r="AE204" s="3119">
        <f>0</f>
        <v>0</v>
      </c>
      <c r="AF204" s="3119">
        <f>0</f>
        <v>0</v>
      </c>
      <c r="AG204" s="3119">
        <f>0</f>
        <v>0</v>
      </c>
      <c r="AH204" s="3119">
        <f>0</f>
        <v>0</v>
      </c>
      <c r="AI204" s="3119">
        <f>0</f>
        <v>0</v>
      </c>
      <c r="AJ204" s="3119">
        <f>(1-f_E)*i_N_BIO</f>
        <v>6.4400000000000013E-2</v>
      </c>
      <c r="AK204" s="3119">
        <f>0</f>
        <v>0</v>
      </c>
      <c r="AL204" s="3119">
        <f>0</f>
        <v>0</v>
      </c>
      <c r="AM204" s="3119">
        <f>0</f>
        <v>0</v>
      </c>
      <c r="AN204" s="3119">
        <f>0</f>
        <v>0</v>
      </c>
      <c r="AO204" s="3119">
        <f>0</f>
        <v>0</v>
      </c>
      <c r="AP204" s="3119">
        <f>(1-f_E)*i_P_BIO</f>
        <v>1.84E-2</v>
      </c>
      <c r="AQ204" s="3119">
        <f>0</f>
        <v>0</v>
      </c>
      <c r="AR204" s="3119">
        <f>0</f>
        <v>0</v>
      </c>
      <c r="AS204" s="3119">
        <f>0</f>
        <v>0</v>
      </c>
      <c r="AT204" s="3119">
        <f>0</f>
        <v>0</v>
      </c>
      <c r="AU204" s="3148">
        <f>(1-f_E)*(i_CIT_BIO-i_CIT_XBe)</f>
        <v>6.0720000000000003E-2</v>
      </c>
      <c r="AV204" s="3148">
        <f>0</f>
        <v>0</v>
      </c>
      <c r="AW204" s="3148">
        <f>0</f>
        <v>0</v>
      </c>
      <c r="AX204" s="3148">
        <f>0</f>
        <v>0</v>
      </c>
      <c r="AY204" s="3148">
        <f>0</f>
        <v>0</v>
      </c>
      <c r="AZ204" s="3148">
        <f>0</f>
        <v>0</v>
      </c>
      <c r="BA204" s="3119">
        <f>0</f>
        <v>0</v>
      </c>
      <c r="BB204" s="3119">
        <f>0</f>
        <v>0</v>
      </c>
      <c r="BC204" s="3119">
        <f>(1-f_E)*i_S_BIO-(1-f_E)*i_S_XB</f>
        <v>7.8200000000000006E-3</v>
      </c>
      <c r="BD204" s="3119">
        <f>0</f>
        <v>0</v>
      </c>
      <c r="BE204" s="3119">
        <f>0</f>
        <v>0</v>
      </c>
      <c r="BF204" s="3119">
        <f>0</f>
        <v>0</v>
      </c>
      <c r="BG204" s="3119">
        <f>0</f>
        <v>0</v>
      </c>
      <c r="BH204" s="3119">
        <f>0</f>
        <v>0</v>
      </c>
      <c r="BI204" s="3119">
        <f>0</f>
        <v>0</v>
      </c>
      <c r="BJ204" s="3119">
        <f>0</f>
        <v>0</v>
      </c>
      <c r="BK204" s="3119">
        <f>0</f>
        <v>0</v>
      </c>
      <c r="BL204" s="3119">
        <f>0</f>
        <v>0</v>
      </c>
      <c r="BM204" s="3119">
        <f>0</f>
        <v>0</v>
      </c>
      <c r="BN204" s="3119">
        <f>0</f>
        <v>0</v>
      </c>
      <c r="BO204" s="3119">
        <f>0</f>
        <v>0</v>
      </c>
      <c r="BP204" s="3119">
        <f>0</f>
        <v>0</v>
      </c>
      <c r="BQ204" s="3119">
        <f>0</f>
        <v>0</v>
      </c>
      <c r="BR204" s="3119">
        <f>0</f>
        <v>0</v>
      </c>
      <c r="BS204" s="3119">
        <f>0</f>
        <v>0</v>
      </c>
      <c r="BT204" s="3119">
        <f>0</f>
        <v>0</v>
      </c>
      <c r="BU204" s="3119">
        <f>0</f>
        <v>0</v>
      </c>
      <c r="BV204" s="3119">
        <f>0</f>
        <v>0</v>
      </c>
      <c r="BW204" s="3119">
        <f>0</f>
        <v>0</v>
      </c>
      <c r="BX204" s="3119">
        <f>0</f>
        <v>0</v>
      </c>
      <c r="BY204" s="3119">
        <f>0</f>
        <v>0</v>
      </c>
      <c r="BZ204" s="3148">
        <f>0</f>
        <v>0</v>
      </c>
      <c r="CA204" s="3148">
        <f>0</f>
        <v>0</v>
      </c>
      <c r="CB204" s="3148">
        <f>0</f>
        <v>0</v>
      </c>
      <c r="CC204" s="3148">
        <f>0</f>
        <v>0</v>
      </c>
      <c r="CD204" s="3119">
        <f>0</f>
        <v>0</v>
      </c>
      <c r="CE204" s="3119">
        <f>0</f>
        <v>0</v>
      </c>
      <c r="CF204" s="3119">
        <f>0</f>
        <v>0</v>
      </c>
      <c r="CG204" s="3119">
        <f>0</f>
        <v>0</v>
      </c>
      <c r="CH204" s="3119">
        <f>0</f>
        <v>0</v>
      </c>
      <c r="CI204" s="3119">
        <f>0</f>
        <v>0</v>
      </c>
      <c r="CJ204" s="3119">
        <f>0</f>
        <v>0</v>
      </c>
      <c r="CK204" s="3119">
        <f>0</f>
        <v>0</v>
      </c>
      <c r="CL204" s="3119">
        <f>0</f>
        <v>0</v>
      </c>
      <c r="CM204" s="3119">
        <f>0</f>
        <v>0</v>
      </c>
      <c r="CN204" s="3119">
        <f>0</f>
        <v>0</v>
      </c>
      <c r="CO204" s="3119">
        <f>0</f>
        <v>0</v>
      </c>
      <c r="CP204" s="3119">
        <f>0</f>
        <v>0</v>
      </c>
      <c r="CQ204" s="3119">
        <f>0</f>
        <v>0</v>
      </c>
      <c r="CR204" s="3119">
        <f>0</f>
        <v>0</v>
      </c>
      <c r="CS204" s="3119">
        <f>0</f>
        <v>0</v>
      </c>
      <c r="CT204" s="3119">
        <f>0</f>
        <v>0</v>
      </c>
      <c r="CU204" s="3119">
        <f>0</f>
        <v>0</v>
      </c>
      <c r="CV204" s="3226">
        <f>b_HMETO_T*X_HMETO*(M_inhSNOx_KNO3_HMETO*M_inhSO2_KiO2_HMETO)</f>
        <v>6.1567605967321836E-6</v>
      </c>
      <c r="CX204" s="2838">
        <f>E287*E204+F287*F204+G287*G204+H287*H204+I287*I204+J287*J204+K287*K204+L287*L204+M287*M204+N287*N204+O287*O204+P287*P204+Q287*Q204+R287*R204+S287*S204+T287*T204+U287*U204+V287*V204+W287*W204+X287*X204+Y287*Y204+Z287*Z204+AA287*AA204+AB287*AB204+AC287*AC204+AD287*AD204+AE287*AE204+AF287*AF204+AG287*AG204+AH287*AH204+AI287*AI204+AJ287*AJ204+AK287*AK204+AL287*AL204+AM287*AM204+AN287*AN204+AO287*AO204+AP287*AP204+AQ287*AQ204+AR287*AR204+AS287*AS204+AT287*AT204+AU287*AU204+AV287*AV204+AW287*AW204+AX287*AX204+AY287*AY204+AZ287*AZ204+BA287*BA204+BB287*BB204+BC287*BC204+BD287*BD204+BE287*BE204+BF287*BF204+BG287*BG204+BH287*BH204+BI287*BI204+BJ287*BJ204+BK287*BK204+BL287*BL204+BM287*BM204+BN287*BN204+BO287*BO204+BP287*BP204+BQ287*BQ204+BR287*BR204+BS287*BS204+BT287*BT204+BU287*BU204+BV287*BV204+BW287*BW204+BX287*BX204+BY287*BY204+BZ287*BZ204+CA287*CA204+CB287*CB204+CC287*CC204+CD287*CD204+CE287*CE204+CF287*CF204+CG287*CG204+CH287*CH204+CI287*CI204+CJ287*CJ204+CK287*CK204+CL287*CL204+CM287*CM204+CN287*CN204+CO287*CO204+CP287*CP204+CQ287*CQ204+CR287*CR204+CS287*CS204+CT287*CT204+CU287*CU204</f>
        <v>0</v>
      </c>
      <c r="CY204" s="2838">
        <f>E288*E204+F288*F204+G288*G204+H288*H204+I288*I204+J288*J204+K288*K204+L288*L204+M288*M204+N288*N204+O288*O204+P288*P204+Q288*Q204+R288*R204+S288*S204+T288*T204+U288*U204+V288*V204+W288*W204+X288*X204+Y288*Y204+Z288*Z204+AA288*AA204+AB288*AB204+AC288*AC204+AD288*AD204+AE288*AE204+AF288*AF204+AG288*AG204+AH288*AH204+AI288*AI204+AJ288*AJ204+AK288*AK204+AL288*AL204+AM288*AM204+AN288*AN204+AO288*AO204+AP288*AP204+AQ288*AQ204+AR288*AR204+AS288*AS204+AT288*AT204+AU288*AU204+AV288*AV204+AW288*AW204+AX288*AX204+AY288*AY204+AZ288*AZ204+BA288*BA204+BB288*BB204+BC288*BC204+BD288*BD204+BE288*BE204+BF288*BF204+BG288*BG204+BH288*BH204+BI288*BI204+BJ288*BJ204+BK288*BK204+BL288*BL204+BM288*BM204+BN288*BN204+BO288*BO204+BP288*BP204+BQ288*BQ204+BR288*BR204+BS288*BS204+BT288*BT204+BU288*BU204+BV288*BV204+BW288*BW204+BX288*BX204+BY288*BY204+BZ288*BZ204+CA288*CA204+CB288*CB204+CC288*CC204+CD288*CD204+CE288*CE204+CF288*CF204+CG288*CG204+CH288*CH204+CI288*CI204+CJ288*CJ204+CK288*CK204+CL288*CL204+CM288*CM204+CN288*CN204+CO288*CO204+CP288*CP204+CQ288*CQ204+CR288*CR204+CS288*CS204+CT288*CT204+CU288*CU204</f>
        <v>6.9388939039072284E-18</v>
      </c>
      <c r="CZ204" s="2839">
        <f>E289*E204+F289*F204+G289*G204+H289*H204+I289*I204+J289*J204+K289*K204+L289*L204+M289*M204+N289*N204+O289*O204+P289*P204+Q289*Q204+R289*R204+S289*S204+T289*T204+U289*U204+V289*V204+W289*W204+X289*X204+Y289*Y204+Z289*Z204+AA289*AA204+AB289*AB204+AC289*AC204+AD289*AD204+AE289*AE204+AF289*AF204+AG289*AG204+AH289*AH204+AI289*AI204+AJ289*AJ204+AK289*AK204+AL289*AL204+AM289*AM204+AN289*AN204+AO289*AO204+AP289*AP204+AQ289*AQ204+AR289*AR204+AS289*AS204+AT289*AT204+AU289*AU204+AV289*AV204+AW289*AW204+AX289*AX204+AY289*AY204+AZ289*AZ204+BA289*BA204+BB289*BB204+BC289*BC204+BD289*BD204+BE289*BE204+BF289*BF204+BG289*BG204+BH289*BH204+BI289*BI204+BJ289*BJ204+BK289*BK204+BL289*BL204+BM289*BM204+BN289*BN204+BO289*BO204+BP289*BP204+BQ289*BQ204+BR289*BR204+BS289*BS204+BT289*BT204+BU289*BU204+BV289*BV204+BW289*BW204+BX289*BX204+BY289*BY204+BZ289*BZ204+CA289*CA204+CB289*CB204+CC289*CC204+CD289*CD204+CE289*CE204+CF289*CF204+CG289*CG204+CH289*CH204+CI289*CI204+CJ289*CJ204+CK289*CK204+CL289*CL204+CM289*CM204+CN289*CN204+CO289*CO204+CP289*CP204+CQ289*CQ204+CR289*CR204+CS289*CS204+CT289*CT204+CU289*CU204</f>
        <v>0</v>
      </c>
      <c r="DA204" s="2840">
        <f>E290*E204+F290*F204+G290*G204+H290*H204+I290*I204+J290*J204+K290*K204+L290*L204+M290*M204+N290*N204+O290*O204+P290*P204+Q290*Q204+R290*R204+S290*S204+T290*T204+U290*U204+V290*V204+W290*W204+X290*X204+Y290*Y204+Z290*Z204+AA290*AA204+AB290*AB204+AC290*AC204+AD290*AD204+AE290*AE204+AF290*AF204+AG290*AG204+AH290*AH204+AI290*AI204+AJ290*AJ204+AK290*AK204+AL290*AL204+AM290*AM204+AN290*AN204+AO290*AO204+AP290*AP204+AQ290*AQ204+AR290*AR204+AS290*AS204+AT290*AT204+AU290*AU204+AV290*AV204+AW290*AW204+AX290*AX204+AY290*AY204+AZ290*AZ204+BA290*BA204+BB290*BB204+BC290*BC204+BD290*BD204+BE290*BE204+BF290*BF204+BG290*BG204+BH290*BH204+BI290*BI204+BJ290*BJ204+BK290*BK204+BL290*BL204+BM290*BM204+BN290*BN204+BO290*BO204+BP290*BP204+BQ290*BQ204+BR290*BR204+BS290*BS204+BT290*BT204+BU290*BU204+BV290*BV204+BW290*BW204+BX290*BX204+BY290*BY204+BZ290*BZ204+CA290*CA204+CB290*CB204+CC290*CC204+CD290*CD204+CE290*CE204+CF290*CF204+CG290*CG204+CH290*CH204+CI290*CI204+CJ290*CJ204+CK290*CK204+CL290*CL204+CM290*CM204+CN290*CN204+CO290*CO204+CP290*CP204+CQ290*CQ204+CR290*CR204+CS290*CS204+CT290*CT204+CU290*CU204</f>
        <v>0</v>
      </c>
      <c r="DB204" s="2840">
        <f>E291*E204+F291*F204+G291*G204+H291*H204+I291*I204+J291*J204+K291*K204+L291*L204+M291*M204+N291*N204+O291*O204+P291*P204+Q291*Q204+R291*R204+S291*S204+T291*T204+U291*U204+V291*V204+W291*W204+X291*X204+Y291*Y204+Z291*Z204+AA291*AA204+AB291*AB204+AC291*AC204+AD291*AD204+AE291*AE204+AF291*AF204+AG291*AG204+AH291*AH204+AI291*AI204+AJ291*AJ204+AK291*AK204+AL291*AL204+AM291*AM204+AN291*AN204+AO291*AO204+AP291*AP204+AQ291*AQ204+AR291*AR204+AS291*AS204+AT291*AT204+AU291*AU204+AV291*AV204+AW291*AW204+AX291*AX204+AY291*AY204+AZ291*AZ204+BA291*BA204+BB291*BB204+BC291*BC204+BD291*BD204+BE291*BE204+BF291*BF204+BG291*BG204+BH291*BH204+BI291*BI204+BJ291*BJ204+BK291*BK204+BL291*BL204+BM291*BM204+BN291*BN204+BO291*BO204+BP291*BP204+BQ291*BQ204+BR291*BR204+BS291*BS204+BT291*BT204+BU291*BU204+BV291*BV204+BW291*BW204+BX291*BX204+BY291*BY204+BZ291*BZ204+CA291*CA204+CB291*CB204+CC291*CC204+CD291*CD204+CE291*CE204+CF291*CF204+CG291*CG204+CH291*CH204+CI291*CI204+CJ291*CJ204+CK291*CK204+CL291*CL204+CM291*CM204+CN291*CN204+CO291*CO204+CP291*CP204+CQ291*CQ204+CR291*CR204+CS291*CS204+CT291*CT204+CU291*CU204</f>
        <v>0</v>
      </c>
      <c r="DC204" s="2840">
        <f>E292*E204+F292*F204+G292*G204+H292*H204+I292*I204+J292*J204+K292*K204+L292*L204+M292*M204+N292*N204+O292*O204+P292*P204+Q292*Q204+R292*R204+S292*S204+T292*T204+U292*U204+V292*V204+W292*W204+X292*X204+Y292*Y204+Z292*Z204+AA292*AA204+AB292*AB204+AC292*AC204+AD292*AD204+AE292*AE204+AF292*AF204+AG292*AG204+AH292*AH204+AI292*AI204+AJ292*AJ204+AK292*AK204+AL292*AL204+AM292*AM204+AN292*AN204+AO292*AO204+AP292*AP204+AQ292*AQ204+AR292*AR204+AS292*AS204+AT292*AT204+AU292*AU204+AV292*AV204+AW292*AW204+AX292*AX204+AY292*AY204+AZ292*AZ204+BA292*BA204+BB292*BB204+BC292*BC204+BD292*BD204+BE292*BE204+BF292*BF204+BG292*BG204+BH292*BH204+BI292*BI204+BJ292*BJ204+BK292*BK204+BL292*BL204+BM292*BM204+BN292*BN204+BO292*BO204+BP292*BP204+BQ292*BQ204+BR292*BR204+BS292*BS204+BT292*BT204+BU292*BU204+BV292*BV204+BW292*BW204+BX292*BX204+BY292*BY204+BZ292*BZ204+CA292*CA204+CB292*CB204+CC292*CC204+CD292*CD204+CE292*CE204+CF292*CF204+CG292*CG204+CH292*CH204+CI292*CI204+CJ292*CJ204+CK292*CK204+CL292*CL204+CM292*CM204+CN292*CN204+CO292*CO204+CP292*CP204+CQ292*CQ204+CR292*CR204+CS292*CS204+CT292*CT204+CU292*CU204</f>
        <v>0</v>
      </c>
      <c r="DD204" s="2840">
        <f>E293*E204+F293*F204+G293*G204+H293*H204+I293*I204+J293*J204+K293*K204+L293*L204+M293*M204+N293*N204+O293*O204+P293*P204+Q293*Q204+R293*R204+S293*S204+T293*T204+U293*U204+V293*V204+W293*W204+X293*X204+Y293*Y204+Z293*Z204+AA293*AA204+AB293*AB204+AC293*AC204+AD293*AD204+AE293*AE204+AF293*AF204+AG293*AG204+AH293*AH204+AI293*AI204+AJ293*AJ204+AK293*AK204+AL293*AL204+AM293*AM204+AN293*AN204+AO293*AO204+AP293*AP204+AQ293*AQ204+AR293*AR204+AS293*AS204+AT293*AT204+AU293*AU204+AV293*AV204+AW293*AW204+AX293*AX204+AY293*AY204+AZ293*AZ204+BA293*BA204+BB293*BB204+BC293*BC204+BD293*BD204+BE293*BE204+BF293*BF204+BG293*BG204+BH293*BH204+BI293*BI204+BJ293*BJ204+BK293*BK204+BL293*BL204+BM293*BM204+BN293*BN204+BO293*BO204+BP293*BP204+BQ293*BQ204+BR293*BR204+BS293*BS204+BT293*BT204+BU293*BU204+BV293*BV204+BW293*BW204+BX293*BX204+BY293*BY204+BZ293*BZ204+CA293*CA204+CB293*CB204+CC293*CC204+CD293*CD204+CE293*CE204+CF293*CF204+CG293*CG204+CH293*CH204+CI293*CI204+CJ293*CJ204+CK293*CK204+CL293*CL204+CM293*CM204+CN293*CN204+CO293*CO204+CP293*CP204+CQ293*CQ204+CR293*CR204+CS293*CS204+CT293*CT204+CU293*CU204</f>
        <v>0</v>
      </c>
      <c r="DE204" s="2840">
        <f>E294*E204+F294*F204+G294*G204+H294*H204+I294*I204+J294*J204+K294*K204+L294*L204+M294*M204+N294*N204+O294*O204+P294*P204+Q294*Q204+R294*R204+S294*S204+T294*T204+U294*U204+V294*V204+W294*W204+X294*X204+Y294*Y204+Z294*Z204+AA294*AA204+AB294*AB204+AC294*AC204+AD294*AD204+AE294*AE204+AF294*AF204+AG294*AG204+AH294*AH204+AI294*AI204+AJ294*AJ204+AK294*AK204+AL294*AL204+AM294*AM204+AN294*AN204+AO294*AO204+AP294*AP204+AQ294*AQ204+AR294*AR204+AS294*AS204+AT294*AT204+AU294*AU204+AV294*AV204+AW294*AW204+AX294*AX204+AY294*AY204+AZ294*AZ204+BA294*BA204+BB294*BB204+BC294*BC204+BD294*BD204+BE294*BE204+BF294*BF204+BG294*BG204+BH294*BH204+BI294*BI204+BJ294*BJ204+BK294*BK204+BL294*BL204+BM294*BM204+BN294*BN204+BO294*BO204+BP294*BP204+BQ294*BQ204+BR294*BR204+BS294*BS204+BT294*BT204+BU294*BU204+BV294*BV204+BW294*BW204+BX294*BX204+BY294*BY204+BZ294*BZ204+CA294*CA204+CB294*CB204+CC294*CC204+CD294*CD204+CE294*CE204+CF294*CF204+CG294*CG204+CH294*CH204+CI294*CI204+CJ294*CJ204+CK294*CK204+CL294*CL204+CM294*CM204+CN294*CN204+CO294*CO204+CP294*CP204+CQ294*CQ204+CR294*CR204+CS294*CS204+CT294*CT204+CU294*CU204</f>
        <v>0</v>
      </c>
      <c r="DF204" s="2840">
        <f>E295*E204+F295*F204+G295*G204+H295*H204+I295*I204+J295*J204+K295*K204+L295*L204+M295*M204+N295*N204+O295*O204+P295*P204+Q295*Q204+R295*R204+S295*S204+T295*T204+U295*U204+V295*V204+W295*W204+X295*X204+Y295*Y204+Z295*Z204+AA295*AA204+AB295*AB204+AC295*AC204+AD295*AD204+AE295*AE204+AF295*AF204+AG295*AG204+AH295*AH204+AI295*AI204+AJ295*AJ204+AK295*AK204+AL295*AL204+AM295*AM204+AN295*AN204+AO295*AO204+AP295*AP204+AQ295*AQ204+AR295*AR204+AS295*AS204+AT295*AT204+AU295*AU204+AV295*AV204+AW295*AW204+AX295*AX204+AY295*AY204+AZ295*AZ204+BA295*BA204+BB295*BB204+BC295*BC204+BD295*BD204+BE295*BE204+BF295*BF204+BG295*BG204+BH295*BH204+BI295*BI204+BJ295*BJ204+BK295*BK204+BL295*BL204+BM295*BM204+BN295*BN204+BO295*BO204+BP295*BP204+BQ295*BQ204+BR295*BR204+BS295*BS204+BT295*BT204+BU295*BU204+BV295*BV204+BW295*BW204+BX295*BX204+BY295*BY204+BZ295*BZ204+CA295*CA204+CB295*CB204+CC295*CC204+CD295*CD204+CE295*CE204+CF295*CF204+CG295*CG204+CH295*CH204+CI295*CI204+CJ295*CJ204+CK295*CK204+CL295*CL204+CM295*CM204+CN295*CN204+CO295*CO204+CP295*CP204+CQ295*CQ204+CR295*CR204+CS295*CS204+CT295*CT204+CU295*CU204</f>
        <v>0</v>
      </c>
      <c r="DG204" s="2840">
        <f>E296*E204+F296*F204+G296*G204+H296*H204+I296*I204+J296*J204+K296*K204+L296*L204+M296*M204+N296*N204+O296*O204+P296*P204+Q296*Q204+R296*R204+S296*S204+T296*T204+U296*U204+V296*V204+W296*W204+X296*X204+Y296*Y204+Z296*Z204+AA296*AA204+AB296*AB204+AC296*AC204+AD296*AD204+AE296*AE204+AF296*AF204+AG296*AG204+AH296*AH204+AI296*AI204+AJ296*AJ204+AK296*AK204+AL296*AL204+AM296*AM204+AN296*AN204+AO296*AO204+AP296*AP204+AQ296*AQ204+AR296*AR204+AS296*AS204+AT296*AT204+AU296*AU204+AV296*AV204+AW296*AW204+AX296*AX204+AY296*AY204+AZ296*AZ204+BA296*BA204+BB296*BB204+BC296*BC204+BD296*BD204+BE296*BE204+BF296*BF204+BG296*BG204+BH296*BH204+BI296*BI204+BJ296*BJ204+BK296*BK204+BL296*BL204+BM296*BM204+BN296*BN204+BO296*BO204+BP296*BP204+BQ296*BQ204+BR296*BR204+BS296*BS204+BT296*BT204+BU296*BU204+BV296*BV204+BW296*BW204+BX296*BX204+BY296*BY204+BZ296*BZ204+CA296*CA204+CB296*CB204+CC296*CC204+CD296*CD204+CE296*CE204+CF296*CF204+CG296*CG204+CH296*CH204+CI296*CI204+CJ296*CJ204+CK296*CK204+CL296*CL204+CM296*CM204+CN296*CN204+CO296*CO204+CP296*CP204+CQ296*CQ204+CR296*CR204+CS296*CS204+CT296*CT204+CU296*CU204</f>
        <v>0</v>
      </c>
      <c r="DH204" s="2840">
        <f>E297*E204+F297*F204+G297*G204+H297*H204+I297*I204+J297*J204+K297*K204+L297*L204+M297*M204+N297*N204+O297*O204+P297*P204+Q297*Q204+R297*R204+S297*S204+T297*T204+U297*U204+V297*V204+W297*W204+X297*X204+Y297*Y204+Z297*Z204+AA297*AA204+AB297*AB204+AC297*AC204+AD297*AD204+AE297*AE204+AF297*AF204+AG297*AG204+AH297*AH204+AI297*AI204+AJ297*AJ204+AK297*AK204+AL297*AL204+AM297*AM204+AN297*AN204+AO297*AO204+AP297*AP204+AQ297*AQ204+AR297*AR204+AS297*AS204+AT297*AT204+AU297*AU204+AV297*AV204+AW297*AW204+AX297*AX204+AY297*AY204+AZ297*AZ204+BA297*BA204+BB297*BB204+BC297*BC204+BD297*BD204+BE297*BE204+BF297*BF204+BG297*BG204+BH297*BH204+BI297*BI204+BJ297*BJ204+BK297*BK204+BL297*BL204+BM297*BM204+BN297*BN204+BO297*BO204+BP297*BP204+BQ297*BQ204+BR297*BR204+BS297*BS204+BT297*BT204+BU297*BU204+BV297*BV204+BW297*BW204+BX297*BX204+BY297*BY204+BZ297*BZ204+CA297*CA204+CB297*CB204+CC297*CC204+CD297*CD204+CE297*CE204+CF297*CF204+CG297*CG204+CH297*CH204+CI297*CI204+CJ297*CJ204+CK297*CK204+CL297*CL204+CM297*CM204+CN297*CN204+CO297*CO204+CP297*CP204+CQ297*CQ204+CR297*CR204+CS297*CS204+CT297*CT204+CU297*CU204</f>
        <v>0</v>
      </c>
      <c r="DI204" s="2840">
        <f>E298*E204+F298*F204+G298*G204+H298*H204+I298*I204+J298*J204+K298*K204+L298*L204+M298*M204+N298*N204+O298*O204+P298*P204+Q298*Q204+R298*R204+S298*S204+T298*T204+U298*U204+V298*V204+W298*W204+X298*X204+Y298*Y204+Z298*Z204+AA298*AA204+AB298*AB204+AC298*AC204+AD298*AD204+AE298*AE204+AF298*AF204+AG298*AG204+AH298*AH204+AI298*AI204+AJ298*AJ204+AK298*AK204+AL298*AL204+AM298*AM204+AN298*AN204+AO298*AO204+AP298*AP204+AQ298*AQ204+AR298*AR204+AS298*AS204+AT298*AT204+AU298*AU204+AV298*AV204+AW298*AW204+AX298*AX204+AY298*AY204+AZ298*AZ204+BA298*BA204+BB298*BB204+BC298*BC204+BD298*BD204+BE298*BE204+BF298*BF204+BG298*BG204+BH298*BH204+BI298*BI204+BJ298*BJ204+BK298*BK204+BL298*BL204+BM298*BM204+BN298*BN204+BO298*BO204+BP298*BP204+BQ298*BQ204+BR298*BR204+BS298*BS204+BT298*BT204+BU298*BU204+BV298*BV204+BW298*BW204+BX298*BX204+BY298*BY204+BZ298*BZ204+CA298*CA204+CB298*CB204+CC298*CC204+CD298*CD204+CE298*CE204+CF298*CF204+CG298*CG204+CH298*CH204+CI298*CI204+CJ298*CJ204+CK298*CK204+CL298*CL204+CM298*CM204+CN298*CN204+CO298*CO204+CP298*CP204+CQ298*CQ204+CR298*CR204+CS298*CS204+CT298*CT204+CU298*CU204</f>
        <v>0</v>
      </c>
    </row>
    <row r="205" spans="2:113" ht="18" x14ac:dyDescent="0.35">
      <c r="B205" s="2505">
        <v>52</v>
      </c>
      <c r="C205" s="2429" t="s">
        <v>2121</v>
      </c>
      <c r="D205" s="2430" t="s">
        <v>3236</v>
      </c>
      <c r="E205" s="3120">
        <f>-1/Y_ASRO</f>
        <v>-28.571428571428569</v>
      </c>
      <c r="F205" s="3121">
        <f>0</f>
        <v>0</v>
      </c>
      <c r="G205" s="3121">
        <f>0</f>
        <v>0</v>
      </c>
      <c r="H205" s="3121">
        <f>0</f>
        <v>0</v>
      </c>
      <c r="I205" s="3121">
        <f>0</f>
        <v>0</v>
      </c>
      <c r="J205" s="3121">
        <f>0</f>
        <v>0</v>
      </c>
      <c r="K205" s="3121">
        <f>0</f>
        <v>0</v>
      </c>
      <c r="L205" s="3121">
        <f>0</f>
        <v>0</v>
      </c>
      <c r="M205" s="3121">
        <f>0</f>
        <v>0</v>
      </c>
      <c r="N205" s="3121">
        <f>0</f>
        <v>0</v>
      </c>
      <c r="O205" s="3121">
        <f>0</f>
        <v>0</v>
      </c>
      <c r="P205" s="3121">
        <f>0</f>
        <v>0</v>
      </c>
      <c r="Q205" s="3121">
        <f>0</f>
        <v>0</v>
      </c>
      <c r="R205" s="3152">
        <f>0</f>
        <v>0</v>
      </c>
      <c r="S205" s="3121">
        <f>0</f>
        <v>0</v>
      </c>
      <c r="T205" s="3121">
        <f>0</f>
        <v>0</v>
      </c>
      <c r="U205" s="3121">
        <f>0</f>
        <v>0</v>
      </c>
      <c r="V205" s="3121">
        <f>0</f>
        <v>0</v>
      </c>
      <c r="W205" s="3121">
        <f>0</f>
        <v>0</v>
      </c>
      <c r="X205" s="3121">
        <f>0</f>
        <v>0</v>
      </c>
      <c r="Y205" s="3121">
        <f>0</f>
        <v>0</v>
      </c>
      <c r="Z205" s="3121">
        <f>1</f>
        <v>1</v>
      </c>
      <c r="AA205" s="3121">
        <f>0</f>
        <v>0</v>
      </c>
      <c r="AB205" s="3121">
        <f>0</f>
        <v>0</v>
      </c>
      <c r="AC205" s="3121">
        <f>0</f>
        <v>0</v>
      </c>
      <c r="AD205" s="3120">
        <f>-i_N_BIO</f>
        <v>-7.0000000000000007E-2</v>
      </c>
      <c r="AE205" s="3121">
        <f>0</f>
        <v>0</v>
      </c>
      <c r="AF205" s="3121">
        <f>0</f>
        <v>0</v>
      </c>
      <c r="AG205" s="3121">
        <f>0</f>
        <v>0</v>
      </c>
      <c r="AH205" s="3121">
        <f>0</f>
        <v>0</v>
      </c>
      <c r="AI205" s="3121">
        <f>0</f>
        <v>0</v>
      </c>
      <c r="AJ205" s="3121">
        <f>0</f>
        <v>0</v>
      </c>
      <c r="AK205" s="3121">
        <f>0</f>
        <v>0</v>
      </c>
      <c r="AL205" s="3120">
        <f>-i_P_BIO</f>
        <v>-0.02</v>
      </c>
      <c r="AM205" s="3121">
        <f>0</f>
        <v>0</v>
      </c>
      <c r="AN205" s="3121">
        <f>0</f>
        <v>0</v>
      </c>
      <c r="AO205" s="3121">
        <f>0</f>
        <v>0</v>
      </c>
      <c r="AP205" s="3121">
        <f>0</f>
        <v>0</v>
      </c>
      <c r="AQ205" s="3121">
        <f>0</f>
        <v>0</v>
      </c>
      <c r="AR205" s="3121">
        <f>0</f>
        <v>0</v>
      </c>
      <c r="AS205" s="3121">
        <f>0</f>
        <v>0</v>
      </c>
      <c r="AT205" s="3121">
        <f>0</f>
        <v>0</v>
      </c>
      <c r="AU205" s="3152">
        <f>i_CIT_VFA/Y_ASRO-i_CIT_BIO</f>
        <v>10.362285714285713</v>
      </c>
      <c r="AV205" s="3121">
        <f>i_INORG</f>
        <v>0.11</v>
      </c>
      <c r="AW205" s="3121">
        <f>-i_INORG*(1-i_Ca_INORG*(A_MCa+2*A_MCl)/A_MCa-i_Mg_INORG*(A_MMg+2*A_MCl)/A_MMg)*f_Na</f>
        <v>-2.8804303582798466E-2</v>
      </c>
      <c r="AX205" s="3121">
        <f>-i_INORG*(i_Ca_INORG*(2*A_MCl)/A_MCa+i_Mg_INORG*(2*A_MCl)/A_MMg)-i_INORG*(1-i_Ca_INORG*(A_MCa+2*A_MCl)/A_MCa-i_Mg_INORG*(A_MMg+2*A_MCl)/A_MMg)*(1-f_Na)</f>
        <v>-7.0195696417201539E-2</v>
      </c>
      <c r="AY205" s="3121">
        <f>-i_INORG*i_Ca_INORG</f>
        <v>-5.5000000000000005E-3</v>
      </c>
      <c r="AZ205" s="3121">
        <f>-i_INORG*i_Mg_INORG</f>
        <v>-5.5000000000000005E-3</v>
      </c>
      <c r="BA205" s="3121">
        <f>0</f>
        <v>0</v>
      </c>
      <c r="BB205" s="3192">
        <f>(1-Y_ASRO)/(E_EQH2S*Y_ASRO)</f>
        <v>13.814234551652827</v>
      </c>
      <c r="BC205" s="3197">
        <f>-(1-Y_ASRO)/(E_EQH2S*Y_ASRO)-i_S_BIO</f>
        <v>-13.824234551652827</v>
      </c>
      <c r="BD205" s="3172">
        <f>0</f>
        <v>0</v>
      </c>
      <c r="BE205" s="3121">
        <f>0</f>
        <v>0</v>
      </c>
      <c r="BF205" s="3121">
        <f>0</f>
        <v>0</v>
      </c>
      <c r="BG205" s="3121">
        <f>0</f>
        <v>0</v>
      </c>
      <c r="BH205" s="3121">
        <f>0</f>
        <v>0</v>
      </c>
      <c r="BI205" s="3121">
        <f>0</f>
        <v>0</v>
      </c>
      <c r="BJ205" s="3121">
        <f>0</f>
        <v>0</v>
      </c>
      <c r="BK205" s="3121">
        <f>0</f>
        <v>0</v>
      </c>
      <c r="BL205" s="3121">
        <f>0</f>
        <v>0</v>
      </c>
      <c r="BM205" s="3121">
        <f>0</f>
        <v>0</v>
      </c>
      <c r="BN205" s="3121">
        <f>0</f>
        <v>0</v>
      </c>
      <c r="BO205" s="3121">
        <f>0</f>
        <v>0</v>
      </c>
      <c r="BP205" s="3121">
        <f>0</f>
        <v>0</v>
      </c>
      <c r="BQ205" s="3121">
        <f>0</f>
        <v>0</v>
      </c>
      <c r="BR205" s="3121">
        <f>0</f>
        <v>0</v>
      </c>
      <c r="BS205" s="3121">
        <f>0</f>
        <v>0</v>
      </c>
      <c r="BT205" s="3121">
        <f>0</f>
        <v>0</v>
      </c>
      <c r="BU205" s="3121">
        <f>0</f>
        <v>0</v>
      </c>
      <c r="BV205" s="3121">
        <f>0</f>
        <v>0</v>
      </c>
      <c r="BW205" s="3121">
        <f>0</f>
        <v>0</v>
      </c>
      <c r="BX205" s="3121">
        <f>0</f>
        <v>0</v>
      </c>
      <c r="BY205" s="3121">
        <f>0</f>
        <v>0</v>
      </c>
      <c r="BZ205" s="3141">
        <f>0</f>
        <v>0</v>
      </c>
      <c r="CA205" s="3141">
        <f>0</f>
        <v>0</v>
      </c>
      <c r="CB205" s="3141">
        <f>0</f>
        <v>0</v>
      </c>
      <c r="CC205" s="3141">
        <f>0</f>
        <v>0</v>
      </c>
      <c r="CD205" s="3121">
        <f>0</f>
        <v>0</v>
      </c>
      <c r="CE205" s="3121">
        <f>0</f>
        <v>0</v>
      </c>
      <c r="CF205" s="3121">
        <f>0</f>
        <v>0</v>
      </c>
      <c r="CG205" s="3121">
        <f>0</f>
        <v>0</v>
      </c>
      <c r="CH205" s="3121">
        <f>0</f>
        <v>0</v>
      </c>
      <c r="CI205" s="3121">
        <f>0</f>
        <v>0</v>
      </c>
      <c r="CJ205" s="3121">
        <f>0</f>
        <v>0</v>
      </c>
      <c r="CK205" s="3121">
        <f>0</f>
        <v>0</v>
      </c>
      <c r="CL205" s="3121">
        <f>0</f>
        <v>0</v>
      </c>
      <c r="CM205" s="3121">
        <f>0</f>
        <v>0</v>
      </c>
      <c r="CN205" s="3121">
        <f>0</f>
        <v>0</v>
      </c>
      <c r="CO205" s="3121">
        <f>0</f>
        <v>0</v>
      </c>
      <c r="CP205" s="3121">
        <f>0</f>
        <v>0</v>
      </c>
      <c r="CQ205" s="3121">
        <f>0</f>
        <v>0</v>
      </c>
      <c r="CR205" s="3121">
        <f>0</f>
        <v>0</v>
      </c>
      <c r="CS205" s="3121">
        <f>0</f>
        <v>0</v>
      </c>
      <c r="CT205" s="3121">
        <f>0</f>
        <v>0</v>
      </c>
      <c r="CU205" s="3121">
        <f>0</f>
        <v>0</v>
      </c>
      <c r="CV205" s="3227">
        <f>µ_ASRO_T*X_ASRO*M_satSVFA_KVFA_ASRO*M_satSO4_KSO4_ASRO*M_satSNHx_KNHx_BIO*M_satSPO4_KPO4_BIO*M_satSCAT_KCAT*M_satSAN_KAN*M_satSCa_KCa*M_satSMg_KMg*M_inhH2S_KiH2S_ASRO*M_inhSNOx_KNOx_ASRO*M_inhSO2_KiO2_ASRO*B_ellinhpH</f>
        <v>6.6250651564571305E-9</v>
      </c>
      <c r="CX205" s="2838">
        <f>E287*E205+F287*F205+G287*G205+H287*H205+I287*I205+J287*J205+K287*K205+L287*L205+M287*M205+N287*N205+O287*O205+P287*P205+Q287*Q205+R287*R205+S287*S205+T287*T205+U287*U205+V287*V205+W287*W205+X287*X205+Y287*Y205+Z287*Z205+AA287*AA205+AB287*AB205+AC287*AC205+AD287*AD205+AE287*AE205+AF287*AF205+AG287*AG205+AH287*AH205+AI287*AI205+AJ287*AJ205+AK287*AK205+AL287*AL205+AM287*AM205+AN287*AN205+AO287*AO205+AP287*AP205+AQ287*AQ205+AR287*AR205+AS287*AS205+AT287*AT205+AU287*AU205+AV287*AV205+AW287*AW205+AX287*AX205+AY287*AY205+AZ287*AZ205+BA287*BA205+BB287*BB205+BC287*BC205+BD287*BD205+BE287*BE205+BF287*BF205+BG287*BG205+BH287*BH205+BI287*BI205+BJ287*BJ205+BK287*BK205+BL287*BL205+BM287*BM205+BN287*BN205+BO287*BO205+BP287*BP205+BQ287*BQ205+BR287*BR205+BS287*BS205+BT287*BT205+BU287*BU205+BV287*BV205+BW287*BW205+BX287*BX205+BY287*BY205+BZ287*BZ205+CA287*CA205+CB287*CB205+CC287*CC205+CD287*CD205+CE287*CE205+CF287*CF205+CG287*CG205+CH287*CH205+CI287*CI205+CJ287*CJ205+CK287*CK205+CL287*CL205+CM287*CM205+CN287*CN205+CO287*CO205+CP287*CP205+CQ287*CQ205+CR287*CR205+CS287*CS205+CT287*CT205+CU287*CU205</f>
        <v>-3.5527136788005009E-15</v>
      </c>
      <c r="CY205" s="2838">
        <f>E288*E205+F288*F205+G288*G205+H288*H205+I288*I205+J288*J205+K288*K205+L288*L205+M288*M205+N288*N205+O288*O205+P288*P205+Q288*Q205+R288*R205+S288*S205+T288*T205+U288*U205+V288*V205+W288*W205+X288*X205+Y288*Y205+Z288*Z205+AA288*AA205+AB288*AB205+AC288*AC205+AD288*AD205+AE288*AE205+AF288*AF205+AG288*AG205+AH288*AH205+AI288*AI205+AJ288*AJ205+AK288*AK205+AL288*AL205+AM288*AM205+AN288*AN205+AO288*AO205+AP288*AP205+AQ288*AQ205+AR288*AR205+AS288*AS205+AT288*AT205+AU288*AU205+AV288*AV205+AW288*AW205+AX288*AX205+AY288*AY205+AZ288*AZ205+BA288*BA205+BB288*BB205+BC288*BC205+BD288*BD205+BE288*BE205+BF288*BF205+BG288*BG205+BH288*BH205+BI288*BI205+BJ288*BJ205+BK288*BK205+BL288*BL205+BM288*BM205+BN288*BN205+BO288*BO205+BP288*BP205+BQ288*BQ205+BR288*BR205+BS288*BS205+BT288*BT205+BU288*BU205+BV288*BV205+BW288*BW205+BX288*BX205+BY288*BY205+BZ288*BZ205+CA288*CA205+CB288*CB205+CC288*CC205+CD288*CD205+CE288*CE205+CF288*CF205+CG288*CG205+CH288*CH205+CI288*CI205+CJ288*CJ205+CK288*CK205+CL288*CL205+CM288*CM205+CN288*CN205+CO288*CO205+CP288*CP205+CQ288*CQ205+CR288*CR205+CS288*CS205+CT288*CT205+CU288*CU205</f>
        <v>0</v>
      </c>
      <c r="CZ205" s="2839">
        <f>E289*E205+F289*F205+G289*G205+H289*H205+I289*I205+J289*J205+K289*K205+L289*L205+M289*M205+N289*N205+O289*O205+P289*P205+Q289*Q205+R289*R205+S289*S205+T289*T205+U289*U205+V289*V205+W289*W205+X289*X205+Y289*Y205+Z289*Z205+AA289*AA205+AB289*AB205+AC289*AC205+AD289*AD205+AE289*AE205+AF289*AF205+AG289*AG205+AH289*AH205+AI289*AI205+AJ289*AJ205+AK289*AK205+AL289*AL205+AM289*AM205+AN289*AN205+AO289*AO205+AP289*AP205+AQ289*AQ205+AR289*AR205+AS289*AS205+AT289*AT205+AU289*AU205+AV289*AV205+AW289*AW205+AX289*AX205+AY289*AY205+AZ289*AZ205+BA289*BA205+BB289*BB205+BC289*BC205+BD289*BD205+BE289*BE205+BF289*BF205+BG289*BG205+BH289*BH205+BI289*BI205+BJ289*BJ205+BK289*BK205+BL289*BL205+BM289*BM205+BN289*BN205+BO289*BO205+BP289*BP205+BQ289*BQ205+BR289*BR205+BS289*BS205+BT289*BT205+BU289*BU205+BV289*BV205+BW289*BW205+BX289*BX205+BY289*BY205+BZ289*BZ205+CA289*CA205+CB289*CB205+CC289*CC205+CD289*CD205+CE289*CE205+CF289*CF205+CG289*CG205+CH289*CH205+CI289*CI205+CJ289*CJ205+CK289*CK205+CL289*CL205+CM289*CM205+CN289*CN205+CO289*CO205+CP289*CP205+CQ289*CQ205+CR289*CR205+CS289*CS205+CT289*CT205+CU289*CU205</f>
        <v>0</v>
      </c>
      <c r="DA205" s="2840">
        <f>E290*E205+F290*F205+G290*G205+H290*H205+I290*I205+J290*J205+K290*K205+L290*L205+M290*M205+N290*N205+O290*O205+P290*P205+Q290*Q205+R290*R205+S290*S205+T290*T205+U290*U205+V290*V205+W290*W205+X290*X205+Y290*Y205+Z290*Z205+AA290*AA205+AB290*AB205+AC290*AC205+AD290*AD205+AE290*AE205+AF290*AF205+AG290*AG205+AH290*AH205+AI290*AI205+AJ290*AJ205+AK290*AK205+AL290*AL205+AM290*AM205+AN290*AN205+AO290*AO205+AP290*AP205+AQ290*AQ205+AR290*AR205+AS290*AS205+AT290*AT205+AU290*AU205+AV290*AV205+AW290*AW205+AX290*AX205+AY290*AY205+AZ290*AZ205+BA290*BA205+BB290*BB205+BC290*BC205+BD290*BD205+BE290*BE205+BF290*BF205+BG290*BG205+BH290*BH205+BI290*BI205+BJ290*BJ205+BK290*BK205+BL290*BL205+BM290*BM205+BN290*BN205+BO290*BO205+BP290*BP205+BQ290*BQ205+BR290*BR205+BS290*BS205+BT290*BT205+BU290*BU205+BV290*BV205+BW290*BW205+BX290*BX205+BY290*BY205+BZ290*BZ205+CA290*CA205+CB290*CB205+CC290*CC205+CD290*CD205+CE290*CE205+CF290*CF205+CG290*CG205+CH290*CH205+CI290*CI205+CJ290*CJ205+CK290*CK205+CL290*CL205+CM290*CM205+CN290*CN205+CO290*CO205+CP290*CP205+CQ290*CQ205+CR290*CR205+CS290*CS205+CT290*CT205+CU290*CU205</f>
        <v>0</v>
      </c>
      <c r="DB205" s="2840">
        <f>E291*E205+F291*F205+G291*G205+H291*H205+I291*I205+J291*J205+K291*K205+L291*L205+M291*M205+N291*N205+O291*O205+P291*P205+Q291*Q205+R291*R205+S291*S205+T291*T205+U291*U205+V291*V205+W291*W205+X291*X205+Y291*Y205+Z291*Z205+AA291*AA205+AB291*AB205+AC291*AC205+AD291*AD205+AE291*AE205+AF291*AF205+AG291*AG205+AH291*AH205+AI291*AI205+AJ291*AJ205+AK291*AK205+AL291*AL205+AM291*AM205+AN291*AN205+AO291*AO205+AP291*AP205+AQ291*AQ205+AR291*AR205+AS291*AS205+AT291*AT205+AU291*AU205+AV291*AV205+AW291*AW205+AX291*AX205+AY291*AY205+AZ291*AZ205+BA291*BA205+BB291*BB205+BC291*BC205+BD291*BD205+BE291*BE205+BF291*BF205+BG291*BG205+BH291*BH205+BI291*BI205+BJ291*BJ205+BK291*BK205+BL291*BL205+BM291*BM205+BN291*BN205+BO291*BO205+BP291*BP205+BQ291*BQ205+BR291*BR205+BS291*BS205+BT291*BT205+BU291*BU205+BV291*BV205+BW291*BW205+BX291*BX205+BY291*BY205+BZ291*BZ205+CA291*CA205+CB291*CB205+CC291*CC205+CD291*CD205+CE291*CE205+CF291*CF205+CG291*CG205+CH291*CH205+CI291*CI205+CJ291*CJ205+CK291*CK205+CL291*CL205+CM291*CM205+CN291*CN205+CO291*CO205+CP291*CP205+CQ291*CQ205+CR291*CR205+CS291*CS205+CT291*CT205+CU291*CU205</f>
        <v>0</v>
      </c>
      <c r="DC205" s="2840">
        <f>E292*E205+F292*F205+G292*G205+H292*H205+I292*I205+J292*J205+K292*K205+L292*L205+M292*M205+N292*N205+O292*O205+P292*P205+Q292*Q205+R292*R205+S292*S205+T292*T205+U292*U205+V292*V205+W292*W205+X292*X205+Y292*Y205+Z292*Z205+AA292*AA205+AB292*AB205+AC292*AC205+AD292*AD205+AE292*AE205+AF292*AF205+AG292*AG205+AH292*AH205+AI292*AI205+AJ292*AJ205+AK292*AK205+AL292*AL205+AM292*AM205+AN292*AN205+AO292*AO205+AP292*AP205+AQ292*AQ205+AR292*AR205+AS292*AS205+AT292*AT205+AU292*AU205+AV292*AV205+AW292*AW205+AX292*AX205+AY292*AY205+AZ292*AZ205+BA292*BA205+BB292*BB205+BC292*BC205+BD292*BD205+BE292*BE205+BF292*BF205+BG292*BG205+BH292*BH205+BI292*BI205+BJ292*BJ205+BK292*BK205+BL292*BL205+BM292*BM205+BN292*BN205+BO292*BO205+BP292*BP205+BQ292*BQ205+BR292*BR205+BS292*BS205+BT292*BT205+BU292*BU205+BV292*BV205+BW292*BW205+BX292*BX205+BY292*BY205+BZ292*BZ205+CA292*CA205+CB292*CB205+CC292*CC205+CD292*CD205+CE292*CE205+CF292*CF205+CG292*CG205+CH292*CH205+CI292*CI205+CJ292*CJ205+CK292*CK205+CL292*CL205+CM292*CM205+CN292*CN205+CO292*CO205+CP292*CP205+CQ292*CQ205+CR292*CR205+CS292*CS205+CT292*CT205+CU292*CU205</f>
        <v>0</v>
      </c>
      <c r="DD205" s="2840">
        <f>E293*E205+F293*F205+G293*G205+H293*H205+I293*I205+J293*J205+K293*K205+L293*L205+M293*M205+N293*N205+O293*O205+P293*P205+Q293*Q205+R293*R205+S293*S205+T293*T205+U293*U205+V293*V205+W293*W205+X293*X205+Y293*Y205+Z293*Z205+AA293*AA205+AB293*AB205+AC293*AC205+AD293*AD205+AE293*AE205+AF293*AF205+AG293*AG205+AH293*AH205+AI293*AI205+AJ293*AJ205+AK293*AK205+AL293*AL205+AM293*AM205+AN293*AN205+AO293*AO205+AP293*AP205+AQ293*AQ205+AR293*AR205+AS293*AS205+AT293*AT205+AU293*AU205+AV293*AV205+AW293*AW205+AX293*AX205+AY293*AY205+AZ293*AZ205+BA293*BA205+BB293*BB205+BC293*BC205+BD293*BD205+BE293*BE205+BF293*BF205+BG293*BG205+BH293*BH205+BI293*BI205+BJ293*BJ205+BK293*BK205+BL293*BL205+BM293*BM205+BN293*BN205+BO293*BO205+BP293*BP205+BQ293*BQ205+BR293*BR205+BS293*BS205+BT293*BT205+BU293*BU205+BV293*BV205+BW293*BW205+BX293*BX205+BY293*BY205+BZ293*BZ205+CA293*CA205+CB293*CB205+CC293*CC205+CD293*CD205+CE293*CE205+CF293*CF205+CG293*CG205+CH293*CH205+CI293*CI205+CJ293*CJ205+CK293*CK205+CL293*CL205+CM293*CM205+CN293*CN205+CO293*CO205+CP293*CP205+CQ293*CQ205+CR293*CR205+CS293*CS205+CT293*CT205+CU293*CU205</f>
        <v>0</v>
      </c>
      <c r="DE205" s="2840">
        <f>E294*E205+F294*F205+G294*G205+H294*H205+I294*I205+J294*J205+K294*K205+L294*L205+M294*M205+N294*N205+O294*O205+P294*P205+Q294*Q205+R294*R205+S294*S205+T294*T205+U294*U205+V294*V205+W294*W205+X294*X205+Y294*Y205+Z294*Z205+AA294*AA205+AB294*AB205+AC294*AC205+AD294*AD205+AE294*AE205+AF294*AF205+AG294*AG205+AH294*AH205+AI294*AI205+AJ294*AJ205+AK294*AK205+AL294*AL205+AM294*AM205+AN294*AN205+AO294*AO205+AP294*AP205+AQ294*AQ205+AR294*AR205+AS294*AS205+AT294*AT205+AU294*AU205+AV294*AV205+AW294*AW205+AX294*AX205+AY294*AY205+AZ294*AZ205+BA294*BA205+BB294*BB205+BC294*BC205+BD294*BD205+BE294*BE205+BF294*BF205+BG294*BG205+BH294*BH205+BI294*BI205+BJ294*BJ205+BK294*BK205+BL294*BL205+BM294*BM205+BN294*BN205+BO294*BO205+BP294*BP205+BQ294*BQ205+BR294*BR205+BS294*BS205+BT294*BT205+BU294*BU205+BV294*BV205+BW294*BW205+BX294*BX205+BY294*BY205+BZ294*BZ205+CA294*CA205+CB294*CB205+CC294*CC205+CD294*CD205+CE294*CE205+CF294*CF205+CG294*CG205+CH294*CH205+CI294*CI205+CJ294*CJ205+CK294*CK205+CL294*CL205+CM294*CM205+CN294*CN205+CO294*CO205+CP294*CP205+CQ294*CQ205+CR294*CR205+CS294*CS205+CT294*CT205+CU294*CU205</f>
        <v>0</v>
      </c>
      <c r="DF205" s="2840">
        <f>E295*E205+F295*F205+G295*G205+H295*H205+I295*I205+J295*J205+K295*K205+L295*L205+M295*M205+N295*N205+O295*O205+P295*P205+Q295*Q205+R295*R205+S295*S205+T295*T205+U295*U205+V295*V205+W295*W205+X295*X205+Y295*Y205+Z295*Z205+AA295*AA205+AB295*AB205+AC295*AC205+AD295*AD205+AE295*AE205+AF295*AF205+AG295*AG205+AH295*AH205+AI295*AI205+AJ295*AJ205+AK295*AK205+AL295*AL205+AM295*AM205+AN295*AN205+AO295*AO205+AP295*AP205+AQ295*AQ205+AR295*AR205+AS295*AS205+AT295*AT205+AU295*AU205+AV295*AV205+AW295*AW205+AX295*AX205+AY295*AY205+AZ295*AZ205+BA295*BA205+BB295*BB205+BC295*BC205+BD295*BD205+BE295*BE205+BF295*BF205+BG295*BG205+BH295*BH205+BI295*BI205+BJ295*BJ205+BK295*BK205+BL295*BL205+BM295*BM205+BN295*BN205+BO295*BO205+BP295*BP205+BQ295*BQ205+BR295*BR205+BS295*BS205+BT295*BT205+BU295*BU205+BV295*BV205+BW295*BW205+BX295*BX205+BY295*BY205+BZ295*BZ205+CA295*CA205+CB295*CB205+CC295*CC205+CD295*CD205+CE295*CE205+CF295*CF205+CG295*CG205+CH295*CH205+CI295*CI205+CJ295*CJ205+CK295*CK205+CL295*CL205+CM295*CM205+CN295*CN205+CO295*CO205+CP295*CP205+CQ295*CQ205+CR295*CR205+CS295*CS205+CT295*CT205+CU295*CU205</f>
        <v>0</v>
      </c>
      <c r="DG205" s="2840">
        <f>E296*E205+F296*F205+G296*G205+H296*H205+I296*I205+J296*J205+K296*K205+L296*L205+M296*M205+N296*N205+O296*O205+P296*P205+Q296*Q205+R296*R205+S296*S205+T296*T205+U296*U205+V296*V205+W296*W205+X296*X205+Y296*Y205+Z296*Z205+AA296*AA205+AB296*AB205+AC296*AC205+AD296*AD205+AE296*AE205+AF296*AF205+AG296*AG205+AH296*AH205+AI296*AI205+AJ296*AJ205+AK296*AK205+AL296*AL205+AM296*AM205+AN296*AN205+AO296*AO205+AP296*AP205+AQ296*AQ205+AR296*AR205+AS296*AS205+AT296*AT205+AU296*AU205+AV296*AV205+AW296*AW205+AX296*AX205+AY296*AY205+AZ296*AZ205+BA296*BA205+BB296*BB205+BC296*BC205+BD296*BD205+BE296*BE205+BF296*BF205+BG296*BG205+BH296*BH205+BI296*BI205+BJ296*BJ205+BK296*BK205+BL296*BL205+BM296*BM205+BN296*BN205+BO296*BO205+BP296*BP205+BQ296*BQ205+BR296*BR205+BS296*BS205+BT296*BT205+BU296*BU205+BV296*BV205+BW296*BW205+BX296*BX205+BY296*BY205+BZ296*BZ205+CA296*CA205+CB296*CB205+CC296*CC205+CD296*CD205+CE296*CE205+CF296*CF205+CG296*CG205+CH296*CH205+CI296*CI205+CJ296*CJ205+CK296*CK205+CL296*CL205+CM296*CM205+CN296*CN205+CO296*CO205+CP296*CP205+CQ296*CQ205+CR296*CR205+CS296*CS205+CT296*CT205+CU296*CU205</f>
        <v>0</v>
      </c>
      <c r="DH205" s="2840">
        <f>E297*E205+F297*F205+G297*G205+H297*H205+I297*I205+J297*J205+K297*K205+L297*L205+M297*M205+N297*N205+O297*O205+P297*P205+Q297*Q205+R297*R205+S297*S205+T297*T205+U297*U205+V297*V205+W297*W205+X297*X205+Y297*Y205+Z297*Z205+AA297*AA205+AB297*AB205+AC297*AC205+AD297*AD205+AE297*AE205+AF297*AF205+AG297*AG205+AH297*AH205+AI297*AI205+AJ297*AJ205+AK297*AK205+AL297*AL205+AM297*AM205+AN297*AN205+AO297*AO205+AP297*AP205+AQ297*AQ205+AR297*AR205+AS297*AS205+AT297*AT205+AU297*AU205+AV297*AV205+AW297*AW205+AX297*AX205+AY297*AY205+AZ297*AZ205+BA297*BA205+BB297*BB205+BC297*BC205+BD297*BD205+BE297*BE205+BF297*BF205+BG297*BG205+BH297*BH205+BI297*BI205+BJ297*BJ205+BK297*BK205+BL297*BL205+BM297*BM205+BN297*BN205+BO297*BO205+BP297*BP205+BQ297*BQ205+BR297*BR205+BS297*BS205+BT297*BT205+BU297*BU205+BV297*BV205+BW297*BW205+BX297*BX205+BY297*BY205+BZ297*BZ205+CA297*CA205+CB297*CB205+CC297*CC205+CD297*CD205+CE297*CE205+CF297*CF205+CG297*CG205+CH297*CH205+CI297*CI205+CJ297*CJ205+CK297*CK205+CL297*CL205+CM297*CM205+CN297*CN205+CO297*CO205+CP297*CP205+CQ297*CQ205+CR297*CR205+CS297*CS205+CT297*CT205+CU297*CU205</f>
        <v>0</v>
      </c>
      <c r="DI205" s="2840">
        <f>E298*E205+F298*F205+G298*G205+H298*H205+I298*I205+J298*J205+K298*K205+L298*L205+M298*M205+N298*N205+O298*O205+P298*P205+Q298*Q205+R298*R205+S298*S205+T298*T205+U298*U205+V298*V205+W298*W205+X298*X205+Y298*Y205+Z298*Z205+AA298*AA205+AB298*AB205+AC298*AC205+AD298*AD205+AE298*AE205+AF298*AF205+AG298*AG205+AH298*AH205+AI298*AI205+AJ298*AJ205+AK298*AK205+AL298*AL205+AM298*AM205+AN298*AN205+AO298*AO205+AP298*AP205+AQ298*AQ205+AR298*AR205+AS298*AS205+AT298*AT205+AU298*AU205+AV298*AV205+AW298*AW205+AX298*AX205+AY298*AY205+AZ298*AZ205+BA298*BA205+BB298*BB205+BC298*BC205+BD298*BD205+BE298*BE205+BF298*BF205+BG298*BG205+BH298*BH205+BI298*BI205+BJ298*BJ205+BK298*BK205+BL298*BL205+BM298*BM205+BN298*BN205+BO298*BO205+BP298*BP205+BQ298*BQ205+BR298*BR205+BS298*BS205+BT298*BT205+BU298*BU205+BV298*BV205+BW298*BW205+BX298*BX205+BY298*BY205+BZ298*BZ205+CA298*CA205+CB298*CB205+CC298*CC205+CD298*CD205+CE298*CE205+CF298*CF205+CG298*CG205+CH298*CH205+CI298*CI205+CJ298*CJ205+CK298*CK205+CL298*CL205+CM298*CM205+CN298*CN205+CO298*CO205+CP298*CP205+CQ298*CQ205+CR298*CR205+CS298*CS205+CT298*CT205+CU298*CU205</f>
        <v>0</v>
      </c>
    </row>
    <row r="206" spans="2:113" ht="18" x14ac:dyDescent="0.35">
      <c r="B206" s="2505">
        <v>53</v>
      </c>
      <c r="C206" s="2429" t="s">
        <v>2122</v>
      </c>
      <c r="D206" s="2430" t="s">
        <v>3241</v>
      </c>
      <c r="E206" s="3121">
        <f>0</f>
        <v>0</v>
      </c>
      <c r="F206" s="3121">
        <f>0</f>
        <v>0</v>
      </c>
      <c r="G206" s="3121">
        <f>0</f>
        <v>0</v>
      </c>
      <c r="H206" s="3121">
        <f>0</f>
        <v>0</v>
      </c>
      <c r="I206" s="3121">
        <f>0</f>
        <v>0</v>
      </c>
      <c r="J206" s="3121">
        <f>1-f_E</f>
        <v>0.92</v>
      </c>
      <c r="K206" s="3121">
        <f>0</f>
        <v>0</v>
      </c>
      <c r="L206" s="3121">
        <f>0</f>
        <v>0</v>
      </c>
      <c r="M206" s="3121">
        <f>0</f>
        <v>0</v>
      </c>
      <c r="N206" s="3121">
        <f>0</f>
        <v>0</v>
      </c>
      <c r="O206" s="3121">
        <f>0</f>
        <v>0</v>
      </c>
      <c r="P206" s="3121">
        <f>f_E</f>
        <v>0.08</v>
      </c>
      <c r="Q206" s="3121">
        <f>0</f>
        <v>0</v>
      </c>
      <c r="R206" s="3152">
        <f>0</f>
        <v>0</v>
      </c>
      <c r="S206" s="3121">
        <f>0</f>
        <v>0</v>
      </c>
      <c r="T206" s="3121">
        <f>0</f>
        <v>0</v>
      </c>
      <c r="U206" s="3121">
        <f>0</f>
        <v>0</v>
      </c>
      <c r="V206" s="3121">
        <f>0</f>
        <v>0</v>
      </c>
      <c r="W206" s="3121">
        <f>0</f>
        <v>0</v>
      </c>
      <c r="X206" s="3121">
        <f>0</f>
        <v>0</v>
      </c>
      <c r="Y206" s="3121">
        <f>0</f>
        <v>0</v>
      </c>
      <c r="Z206" s="3152">
        <f>-1</f>
        <v>-1</v>
      </c>
      <c r="AA206" s="3121">
        <f>0</f>
        <v>0</v>
      </c>
      <c r="AB206" s="3121">
        <f>0</f>
        <v>0</v>
      </c>
      <c r="AC206" s="3121">
        <f>0</f>
        <v>0</v>
      </c>
      <c r="AD206" s="3120">
        <f>-f_E*(i_N_XE-i_N_BIO)</f>
        <v>8.0000000000000069E-4</v>
      </c>
      <c r="AE206" s="3121">
        <f>0</f>
        <v>0</v>
      </c>
      <c r="AF206" s="3121">
        <f>0</f>
        <v>0</v>
      </c>
      <c r="AG206" s="3121">
        <f>0</f>
        <v>0</v>
      </c>
      <c r="AH206" s="3121">
        <f>0</f>
        <v>0</v>
      </c>
      <c r="AI206" s="3121">
        <f>0</f>
        <v>0</v>
      </c>
      <c r="AJ206" s="3121">
        <f>(1-f_E)*i_N_BIO</f>
        <v>6.4400000000000013E-2</v>
      </c>
      <c r="AK206" s="3121">
        <f>0</f>
        <v>0</v>
      </c>
      <c r="AL206" s="3120">
        <f>0</f>
        <v>0</v>
      </c>
      <c r="AM206" s="3121">
        <f>0</f>
        <v>0</v>
      </c>
      <c r="AN206" s="3121">
        <f>0</f>
        <v>0</v>
      </c>
      <c r="AO206" s="3121">
        <f>0</f>
        <v>0</v>
      </c>
      <c r="AP206" s="3121">
        <f>(1-f_E)*i_P_BIO</f>
        <v>1.84E-2</v>
      </c>
      <c r="AQ206" s="3121">
        <f>0</f>
        <v>0</v>
      </c>
      <c r="AR206" s="3121">
        <f>0</f>
        <v>0</v>
      </c>
      <c r="AS206" s="3121">
        <f>0</f>
        <v>0</v>
      </c>
      <c r="AT206" s="3172">
        <f>0</f>
        <v>0</v>
      </c>
      <c r="AU206" s="3121">
        <f>(1-f_E)*(i_CIT_BIO-i_CIT_XBe)</f>
        <v>6.0720000000000003E-2</v>
      </c>
      <c r="AV206" s="3121">
        <f>0</f>
        <v>0</v>
      </c>
      <c r="AW206" s="3121">
        <f>0</f>
        <v>0</v>
      </c>
      <c r="AX206" s="3121">
        <f>0</f>
        <v>0</v>
      </c>
      <c r="AY206" s="3121">
        <f>0</f>
        <v>0</v>
      </c>
      <c r="AZ206" s="3121">
        <f>0</f>
        <v>0</v>
      </c>
      <c r="BA206" s="3121">
        <f>0</f>
        <v>0</v>
      </c>
      <c r="BB206" s="3192">
        <f>0</f>
        <v>0</v>
      </c>
      <c r="BC206" s="3197">
        <f>(1-f_E)*i_S_BIO-(1-f_E)*i_S_XB</f>
        <v>7.8200000000000006E-3</v>
      </c>
      <c r="BD206" s="3172">
        <f>0</f>
        <v>0</v>
      </c>
      <c r="BE206" s="3121">
        <f>0</f>
        <v>0</v>
      </c>
      <c r="BF206" s="3121">
        <f>0</f>
        <v>0</v>
      </c>
      <c r="BG206" s="3121">
        <f>0</f>
        <v>0</v>
      </c>
      <c r="BH206" s="3121">
        <f>0</f>
        <v>0</v>
      </c>
      <c r="BI206" s="3121">
        <f>0</f>
        <v>0</v>
      </c>
      <c r="BJ206" s="3121">
        <f>0</f>
        <v>0</v>
      </c>
      <c r="BK206" s="3121">
        <f>0</f>
        <v>0</v>
      </c>
      <c r="BL206" s="3121">
        <f>0</f>
        <v>0</v>
      </c>
      <c r="BM206" s="3121">
        <f>0</f>
        <v>0</v>
      </c>
      <c r="BN206" s="3121">
        <f>0</f>
        <v>0</v>
      </c>
      <c r="BO206" s="3121">
        <f>0</f>
        <v>0</v>
      </c>
      <c r="BP206" s="3121">
        <f>0</f>
        <v>0</v>
      </c>
      <c r="BQ206" s="3121">
        <f>0</f>
        <v>0</v>
      </c>
      <c r="BR206" s="3121">
        <f>0</f>
        <v>0</v>
      </c>
      <c r="BS206" s="3121">
        <f>0</f>
        <v>0</v>
      </c>
      <c r="BT206" s="3121">
        <f>0</f>
        <v>0</v>
      </c>
      <c r="BU206" s="3121">
        <f>0</f>
        <v>0</v>
      </c>
      <c r="BV206" s="3121">
        <f>0</f>
        <v>0</v>
      </c>
      <c r="BW206" s="3121">
        <f>0</f>
        <v>0</v>
      </c>
      <c r="BX206" s="3121">
        <f>0</f>
        <v>0</v>
      </c>
      <c r="BY206" s="3121">
        <f>0</f>
        <v>0</v>
      </c>
      <c r="BZ206" s="3141">
        <f>0</f>
        <v>0</v>
      </c>
      <c r="CA206" s="3141">
        <f>0</f>
        <v>0</v>
      </c>
      <c r="CB206" s="3141">
        <f>0</f>
        <v>0</v>
      </c>
      <c r="CC206" s="3141">
        <f>0</f>
        <v>0</v>
      </c>
      <c r="CD206" s="3121">
        <f>0</f>
        <v>0</v>
      </c>
      <c r="CE206" s="3121">
        <f>0</f>
        <v>0</v>
      </c>
      <c r="CF206" s="3121">
        <f>0</f>
        <v>0</v>
      </c>
      <c r="CG206" s="3121">
        <f>0</f>
        <v>0</v>
      </c>
      <c r="CH206" s="3121">
        <f>0</f>
        <v>0</v>
      </c>
      <c r="CI206" s="3121">
        <f>0</f>
        <v>0</v>
      </c>
      <c r="CJ206" s="3121">
        <f>0</f>
        <v>0</v>
      </c>
      <c r="CK206" s="3121">
        <f>0</f>
        <v>0</v>
      </c>
      <c r="CL206" s="3121">
        <f>0</f>
        <v>0</v>
      </c>
      <c r="CM206" s="3121">
        <f>0</f>
        <v>0</v>
      </c>
      <c r="CN206" s="3121">
        <f>0</f>
        <v>0</v>
      </c>
      <c r="CO206" s="3121">
        <f>0</f>
        <v>0</v>
      </c>
      <c r="CP206" s="3121">
        <f>0</f>
        <v>0</v>
      </c>
      <c r="CQ206" s="3121">
        <f>0</f>
        <v>0</v>
      </c>
      <c r="CR206" s="3121">
        <f>0</f>
        <v>0</v>
      </c>
      <c r="CS206" s="3121">
        <f>0</f>
        <v>0</v>
      </c>
      <c r="CT206" s="3121">
        <f>0</f>
        <v>0</v>
      </c>
      <c r="CU206" s="3121">
        <f>0</f>
        <v>0</v>
      </c>
      <c r="CV206" s="3227">
        <f>b_ASRO_T*X_ASRO*(M_satSO2_KiO2_ASRO+M_satSNOx_KNOx_ASRO*M_inhSO2_KiO2_ASRO)</f>
        <v>5.998579209093062E-2</v>
      </c>
      <c r="CX206" s="2838">
        <f>E287*E206+F287*F206+G287*G206+H287*H206+I287*I206+J287*J206+K287*K206+L287*L206+M287*M206+N287*N206+O287*O206+P287*P206+Q287*Q206+R287*R206+S287*S206+T287*T206+U287*U206+V287*V206+W287*W206+X287*X206+Y287*Y206+Z287*Z206+AA287*AA206+AB287*AB206+AC287*AC206+AD287*AD206+AE287*AE206+AF287*AF206+AG287*AG206+AH287*AH206+AI287*AI206+AJ287*AJ206+AK287*AK206+AL287*AL206+AM287*AM206+AN287*AN206+AO287*AO206+AP287*AP206+AQ287*AQ206+AR287*AR206+AS287*AS206+AT287*AT206+AU287*AU206+AV287*AV206+AW287*AW206+AX287*AX206+AY287*AY206+AZ287*AZ206+BA287*BA206+BB287*BB206+BC287*BC206+BD287*BD206+BE287*BE206+BF287*BF206+BG287*BG206+BH287*BH206+BI287*BI206+BJ287*BJ206+BK287*BK206+BL287*BL206+BM287*BM206+BN287*BN206+BO287*BO206+BP287*BP206+BQ287*BQ206+BR287*BR206+BS287*BS206+BT287*BT206+BU287*BU206+BV287*BV206+BW287*BW206+BX287*BX206+BY287*BY206+BZ287*BZ206+CA287*CA206+CB287*CB206+CC287*CC206+CD287*CD206+CE287*CE206+CF287*CF206+CG287*CG206+CH287*CH206+CI287*CI206+CJ287*CJ206+CK287*CK206+CL287*CL206+CM287*CM206+CN287*CN206+CO287*CO206+CP287*CP206+CQ287*CQ206+CR287*CR206+CS287*CS206+CT287*CT206+CU287*CU206</f>
        <v>0</v>
      </c>
      <c r="CY206" s="2838">
        <f>E288*E206+F288*F206+G288*G206+H288*H206+I288*I206+J288*J206+K288*K206+L288*L206+M288*M206+N288*N206+O288*O206+P288*P206+Q288*Q206+R288*R206+S288*S206+T288*T206+U288*U206+V288*V206+W288*W206+X288*X206+Y288*Y206+Z288*Z206+AA288*AA206+AB288*AB206+AC288*AC206+AD288*AD206+AE288*AE206+AF288*AF206+AG288*AG206+AH288*AH206+AI288*AI206+AJ288*AJ206+AK288*AK206+AL288*AL206+AM288*AM206+AN288*AN206+AO288*AO206+AP288*AP206+AQ288*AQ206+AR288*AR206+AS288*AS206+AT288*AT206+AU288*AU206+AV288*AV206+AW288*AW206+AX288*AX206+AY288*AY206+AZ288*AZ206+BA288*BA206+BB288*BB206+BC288*BC206+BD288*BD206+BE288*BE206+BF288*BF206+BG288*BG206+BH288*BH206+BI288*BI206+BJ288*BJ206+BK288*BK206+BL288*BL206+BM288*BM206+BN288*BN206+BO288*BO206+BP288*BP206+BQ288*BQ206+BR288*BR206+BS288*BS206+BT288*BT206+BU288*BU206+BV288*BV206+BW288*BW206+BX288*BX206+BY288*BY206+BZ288*BZ206+CA288*CA206+CB288*CB206+CC288*CC206+CD288*CD206+CE288*CE206+CF288*CF206+CG288*CG206+CH288*CH206+CI288*CI206+CJ288*CJ206+CK288*CK206+CL288*CL206+CM288*CM206+CN288*CN206+CO288*CO206+CP288*CP206+CQ288*CQ206+CR288*CR206+CS288*CS206+CT288*CT206+CU288*CU206</f>
        <v>6.9388939039072284E-18</v>
      </c>
      <c r="CZ206" s="2839">
        <f>E289*E206+F289*F206+G289*G206+H289*H206+I289*I206+J289*J206+K289*K206+L289*L206+M289*M206+N289*N206+O289*O206+P289*P206+Q289*Q206+R289*R206+S289*S206+T289*T206+U289*U206+V289*V206+W289*W206+X289*X206+Y289*Y206+Z289*Z206+AA289*AA206+AB289*AB206+AC289*AC206+AD289*AD206+AE289*AE206+AF289*AF206+AG289*AG206+AH289*AH206+AI289*AI206+AJ289*AJ206+AK289*AK206+AL289*AL206+AM289*AM206+AN289*AN206+AO289*AO206+AP289*AP206+AQ289*AQ206+AR289*AR206+AS289*AS206+AT289*AT206+AU289*AU206+AV289*AV206+AW289*AW206+AX289*AX206+AY289*AY206+AZ289*AZ206+BA289*BA206+BB289*BB206+BC289*BC206+BD289*BD206+BE289*BE206+BF289*BF206+BG289*BG206+BH289*BH206+BI289*BI206+BJ289*BJ206+BK289*BK206+BL289*BL206+BM289*BM206+BN289*BN206+BO289*BO206+BP289*BP206+BQ289*BQ206+BR289*BR206+BS289*BS206+BT289*BT206+BU289*BU206+BV289*BV206+BW289*BW206+BX289*BX206+BY289*BY206+BZ289*BZ206+CA289*CA206+CB289*CB206+CC289*CC206+CD289*CD206+CE289*CE206+CF289*CF206+CG289*CG206+CH289*CH206+CI289*CI206+CJ289*CJ206+CK289*CK206+CL289*CL206+CM289*CM206+CN289*CN206+CO289*CO206+CP289*CP206+CQ289*CQ206+CR289*CR206+CS289*CS206+CT289*CT206+CU289*CU206</f>
        <v>0</v>
      </c>
      <c r="DA206" s="2840">
        <f>E290*E206+F290*F206+G290*G206+H290*H206+I290*I206+J290*J206+K290*K206+L290*L206+M290*M206+N290*N206+O290*O206+P290*P206+Q290*Q206+R290*R206+S290*S206+T290*T206+U290*U206+V290*V206+W290*W206+X290*X206+Y290*Y206+Z290*Z206+AA290*AA206+AB290*AB206+AC290*AC206+AD290*AD206+AE290*AE206+AF290*AF206+AG290*AG206+AH290*AH206+AI290*AI206+AJ290*AJ206+AK290*AK206+AL290*AL206+AM290*AM206+AN290*AN206+AO290*AO206+AP290*AP206+AQ290*AQ206+AR290*AR206+AS290*AS206+AT290*AT206+AU290*AU206+AV290*AV206+AW290*AW206+AX290*AX206+AY290*AY206+AZ290*AZ206+BA290*BA206+BB290*BB206+BC290*BC206+BD290*BD206+BE290*BE206+BF290*BF206+BG290*BG206+BH290*BH206+BI290*BI206+BJ290*BJ206+BK290*BK206+BL290*BL206+BM290*BM206+BN290*BN206+BO290*BO206+BP290*BP206+BQ290*BQ206+BR290*BR206+BS290*BS206+BT290*BT206+BU290*BU206+BV290*BV206+BW290*BW206+BX290*BX206+BY290*BY206+BZ290*BZ206+CA290*CA206+CB290*CB206+CC290*CC206+CD290*CD206+CE290*CE206+CF290*CF206+CG290*CG206+CH290*CH206+CI290*CI206+CJ290*CJ206+CK290*CK206+CL290*CL206+CM290*CM206+CN290*CN206+CO290*CO206+CP290*CP206+CQ290*CQ206+CR290*CR206+CS290*CS206+CT290*CT206+CU290*CU206</f>
        <v>0</v>
      </c>
      <c r="DB206" s="2840">
        <f>E291*E206+F291*F206+G291*G206+H291*H206+I291*I206+J291*J206+K291*K206+L291*L206+M291*M206+N291*N206+O291*O206+P291*P206+Q291*Q206+R291*R206+S291*S206+T291*T206+U291*U206+V291*V206+W291*W206+X291*X206+Y291*Y206+Z291*Z206+AA291*AA206+AB291*AB206+AC291*AC206+AD291*AD206+AE291*AE206+AF291*AF206+AG291*AG206+AH291*AH206+AI291*AI206+AJ291*AJ206+AK291*AK206+AL291*AL206+AM291*AM206+AN291*AN206+AO291*AO206+AP291*AP206+AQ291*AQ206+AR291*AR206+AS291*AS206+AT291*AT206+AU291*AU206+AV291*AV206+AW291*AW206+AX291*AX206+AY291*AY206+AZ291*AZ206+BA291*BA206+BB291*BB206+BC291*BC206+BD291*BD206+BE291*BE206+BF291*BF206+BG291*BG206+BH291*BH206+BI291*BI206+BJ291*BJ206+BK291*BK206+BL291*BL206+BM291*BM206+BN291*BN206+BO291*BO206+BP291*BP206+BQ291*BQ206+BR291*BR206+BS291*BS206+BT291*BT206+BU291*BU206+BV291*BV206+BW291*BW206+BX291*BX206+BY291*BY206+BZ291*BZ206+CA291*CA206+CB291*CB206+CC291*CC206+CD291*CD206+CE291*CE206+CF291*CF206+CG291*CG206+CH291*CH206+CI291*CI206+CJ291*CJ206+CK291*CK206+CL291*CL206+CM291*CM206+CN291*CN206+CO291*CO206+CP291*CP206+CQ291*CQ206+CR291*CR206+CS291*CS206+CT291*CT206+CU291*CU206</f>
        <v>0</v>
      </c>
      <c r="DC206" s="2840">
        <f>E292*E206+F292*F206+G292*G206+H292*H206+I292*I206+J292*J206+K292*K206+L292*L206+M292*M206+N292*N206+O292*O206+P292*P206+Q292*Q206+R292*R206+S292*S206+T292*T206+U292*U206+V292*V206+W292*W206+X292*X206+Y292*Y206+Z292*Z206+AA292*AA206+AB292*AB206+AC292*AC206+AD292*AD206+AE292*AE206+AF292*AF206+AG292*AG206+AH292*AH206+AI292*AI206+AJ292*AJ206+AK292*AK206+AL292*AL206+AM292*AM206+AN292*AN206+AO292*AO206+AP292*AP206+AQ292*AQ206+AR292*AR206+AS292*AS206+AT292*AT206+AU292*AU206+AV292*AV206+AW292*AW206+AX292*AX206+AY292*AY206+AZ292*AZ206+BA292*BA206+BB292*BB206+BC292*BC206+BD292*BD206+BE292*BE206+BF292*BF206+BG292*BG206+BH292*BH206+BI292*BI206+BJ292*BJ206+BK292*BK206+BL292*BL206+BM292*BM206+BN292*BN206+BO292*BO206+BP292*BP206+BQ292*BQ206+BR292*BR206+BS292*BS206+BT292*BT206+BU292*BU206+BV292*BV206+BW292*BW206+BX292*BX206+BY292*BY206+BZ292*BZ206+CA292*CA206+CB292*CB206+CC292*CC206+CD292*CD206+CE292*CE206+CF292*CF206+CG292*CG206+CH292*CH206+CI292*CI206+CJ292*CJ206+CK292*CK206+CL292*CL206+CM292*CM206+CN292*CN206+CO292*CO206+CP292*CP206+CQ292*CQ206+CR292*CR206+CS292*CS206+CT292*CT206+CU292*CU206</f>
        <v>0</v>
      </c>
      <c r="DD206" s="2840">
        <f>E293*E206+F293*F206+G293*G206+H293*H206+I293*I206+J293*J206+K293*K206+L293*L206+M293*M206+N293*N206+O293*O206+P293*P206+Q293*Q206+R293*R206+S293*S206+T293*T206+U293*U206+V293*V206+W293*W206+X293*X206+Y293*Y206+Z293*Z206+AA293*AA206+AB293*AB206+AC293*AC206+AD293*AD206+AE293*AE206+AF293*AF206+AG293*AG206+AH293*AH206+AI293*AI206+AJ293*AJ206+AK293*AK206+AL293*AL206+AM293*AM206+AN293*AN206+AO293*AO206+AP293*AP206+AQ293*AQ206+AR293*AR206+AS293*AS206+AT293*AT206+AU293*AU206+AV293*AV206+AW293*AW206+AX293*AX206+AY293*AY206+AZ293*AZ206+BA293*BA206+BB293*BB206+BC293*BC206+BD293*BD206+BE293*BE206+BF293*BF206+BG293*BG206+BH293*BH206+BI293*BI206+BJ293*BJ206+BK293*BK206+BL293*BL206+BM293*BM206+BN293*BN206+BO293*BO206+BP293*BP206+BQ293*BQ206+BR293*BR206+BS293*BS206+BT293*BT206+BU293*BU206+BV293*BV206+BW293*BW206+BX293*BX206+BY293*BY206+BZ293*BZ206+CA293*CA206+CB293*CB206+CC293*CC206+CD293*CD206+CE293*CE206+CF293*CF206+CG293*CG206+CH293*CH206+CI293*CI206+CJ293*CJ206+CK293*CK206+CL293*CL206+CM293*CM206+CN293*CN206+CO293*CO206+CP293*CP206+CQ293*CQ206+CR293*CR206+CS293*CS206+CT293*CT206+CU293*CU206</f>
        <v>0</v>
      </c>
      <c r="DE206" s="2840">
        <f>E294*E206+F294*F206+G294*G206+H294*H206+I294*I206+J294*J206+K294*K206+L294*L206+M294*M206+N294*N206+O294*O206+P294*P206+Q294*Q206+R294*R206+S294*S206+T294*T206+U294*U206+V294*V206+W294*W206+X294*X206+Y294*Y206+Z294*Z206+AA294*AA206+AB294*AB206+AC294*AC206+AD294*AD206+AE294*AE206+AF294*AF206+AG294*AG206+AH294*AH206+AI294*AI206+AJ294*AJ206+AK294*AK206+AL294*AL206+AM294*AM206+AN294*AN206+AO294*AO206+AP294*AP206+AQ294*AQ206+AR294*AR206+AS294*AS206+AT294*AT206+AU294*AU206+AV294*AV206+AW294*AW206+AX294*AX206+AY294*AY206+AZ294*AZ206+BA294*BA206+BB294*BB206+BC294*BC206+BD294*BD206+BE294*BE206+BF294*BF206+BG294*BG206+BH294*BH206+BI294*BI206+BJ294*BJ206+BK294*BK206+BL294*BL206+BM294*BM206+BN294*BN206+BO294*BO206+BP294*BP206+BQ294*BQ206+BR294*BR206+BS294*BS206+BT294*BT206+BU294*BU206+BV294*BV206+BW294*BW206+BX294*BX206+BY294*BY206+BZ294*BZ206+CA294*CA206+CB294*CB206+CC294*CC206+CD294*CD206+CE294*CE206+CF294*CF206+CG294*CG206+CH294*CH206+CI294*CI206+CJ294*CJ206+CK294*CK206+CL294*CL206+CM294*CM206+CN294*CN206+CO294*CO206+CP294*CP206+CQ294*CQ206+CR294*CR206+CS294*CS206+CT294*CT206+CU294*CU206</f>
        <v>0</v>
      </c>
      <c r="DF206" s="2840">
        <f>E295*E206+F295*F206+G295*G206+H295*H206+I295*I206+J295*J206+K295*K206+L295*L206+M295*M206+N295*N206+O295*O206+P295*P206+Q295*Q206+R295*R206+S295*S206+T295*T206+U295*U206+V295*V206+W295*W206+X295*X206+Y295*Y206+Z295*Z206+AA295*AA206+AB295*AB206+AC295*AC206+AD295*AD206+AE295*AE206+AF295*AF206+AG295*AG206+AH295*AH206+AI295*AI206+AJ295*AJ206+AK295*AK206+AL295*AL206+AM295*AM206+AN295*AN206+AO295*AO206+AP295*AP206+AQ295*AQ206+AR295*AR206+AS295*AS206+AT295*AT206+AU295*AU206+AV295*AV206+AW295*AW206+AX295*AX206+AY295*AY206+AZ295*AZ206+BA295*BA206+BB295*BB206+BC295*BC206+BD295*BD206+BE295*BE206+BF295*BF206+BG295*BG206+BH295*BH206+BI295*BI206+BJ295*BJ206+BK295*BK206+BL295*BL206+BM295*BM206+BN295*BN206+BO295*BO206+BP295*BP206+BQ295*BQ206+BR295*BR206+BS295*BS206+BT295*BT206+BU295*BU206+BV295*BV206+BW295*BW206+BX295*BX206+BY295*BY206+BZ295*BZ206+CA295*CA206+CB295*CB206+CC295*CC206+CD295*CD206+CE295*CE206+CF295*CF206+CG295*CG206+CH295*CH206+CI295*CI206+CJ295*CJ206+CK295*CK206+CL295*CL206+CM295*CM206+CN295*CN206+CO295*CO206+CP295*CP206+CQ295*CQ206+CR295*CR206+CS295*CS206+CT295*CT206+CU295*CU206</f>
        <v>0</v>
      </c>
      <c r="DG206" s="2840">
        <f>E296*E206+F296*F206+G296*G206+H296*H206+I296*I206+J296*J206+K296*K206+L296*L206+M296*M206+N296*N206+O296*O206+P296*P206+Q296*Q206+R296*R206+S296*S206+T296*T206+U296*U206+V296*V206+W296*W206+X296*X206+Y296*Y206+Z296*Z206+AA296*AA206+AB296*AB206+AC296*AC206+AD296*AD206+AE296*AE206+AF296*AF206+AG296*AG206+AH296*AH206+AI296*AI206+AJ296*AJ206+AK296*AK206+AL296*AL206+AM296*AM206+AN296*AN206+AO296*AO206+AP296*AP206+AQ296*AQ206+AR296*AR206+AS296*AS206+AT296*AT206+AU296*AU206+AV296*AV206+AW296*AW206+AX296*AX206+AY296*AY206+AZ296*AZ206+BA296*BA206+BB296*BB206+BC296*BC206+BD296*BD206+BE296*BE206+BF296*BF206+BG296*BG206+BH296*BH206+BI296*BI206+BJ296*BJ206+BK296*BK206+BL296*BL206+BM296*BM206+BN296*BN206+BO296*BO206+BP296*BP206+BQ296*BQ206+BR296*BR206+BS296*BS206+BT296*BT206+BU296*BU206+BV296*BV206+BW296*BW206+BX296*BX206+BY296*BY206+BZ296*BZ206+CA296*CA206+CB296*CB206+CC296*CC206+CD296*CD206+CE296*CE206+CF296*CF206+CG296*CG206+CH296*CH206+CI296*CI206+CJ296*CJ206+CK296*CK206+CL296*CL206+CM296*CM206+CN296*CN206+CO296*CO206+CP296*CP206+CQ296*CQ206+CR296*CR206+CS296*CS206+CT296*CT206+CU296*CU206</f>
        <v>0</v>
      </c>
      <c r="DH206" s="2840">
        <f>E297*E206+F297*F206+G297*G206+H297*H206+I297*I206+J297*J206+K297*K206+L297*L206+M297*M206+N297*N206+O297*O206+P297*P206+Q297*Q206+R297*R206+S297*S206+T297*T206+U297*U206+V297*V206+W297*W206+X297*X206+Y297*Y206+Z297*Z206+AA297*AA206+AB297*AB206+AC297*AC206+AD297*AD206+AE297*AE206+AF297*AF206+AG297*AG206+AH297*AH206+AI297*AI206+AJ297*AJ206+AK297*AK206+AL297*AL206+AM297*AM206+AN297*AN206+AO297*AO206+AP297*AP206+AQ297*AQ206+AR297*AR206+AS297*AS206+AT297*AT206+AU297*AU206+AV297*AV206+AW297*AW206+AX297*AX206+AY297*AY206+AZ297*AZ206+BA297*BA206+BB297*BB206+BC297*BC206+BD297*BD206+BE297*BE206+BF297*BF206+BG297*BG206+BH297*BH206+BI297*BI206+BJ297*BJ206+BK297*BK206+BL297*BL206+BM297*BM206+BN297*BN206+BO297*BO206+BP297*BP206+BQ297*BQ206+BR297*BR206+BS297*BS206+BT297*BT206+BU297*BU206+BV297*BV206+BW297*BW206+BX297*BX206+BY297*BY206+BZ297*BZ206+CA297*CA206+CB297*CB206+CC297*CC206+CD297*CD206+CE297*CE206+CF297*CF206+CG297*CG206+CH297*CH206+CI297*CI206+CJ297*CJ206+CK297*CK206+CL297*CL206+CM297*CM206+CN297*CN206+CO297*CO206+CP297*CP206+CQ297*CQ206+CR297*CR206+CS297*CS206+CT297*CT206+CU297*CU206</f>
        <v>0</v>
      </c>
      <c r="DI206" s="2840">
        <f>E298*E206+F298*F206+G298*G206+H298*H206+I298*I206+J298*J206+K298*K206+L298*L206+M298*M206+N298*N206+O298*O206+P298*P206+Q298*Q206+R298*R206+S298*S206+T298*T206+U298*U206+V298*V206+W298*W206+X298*X206+Y298*Y206+Z298*Z206+AA298*AA206+AB298*AB206+AC298*AC206+AD298*AD206+AE298*AE206+AF298*AF206+AG298*AG206+AH298*AH206+AI298*AI206+AJ298*AJ206+AK298*AK206+AL298*AL206+AM298*AM206+AN298*AN206+AO298*AO206+AP298*AP206+AQ298*AQ206+AR298*AR206+AS298*AS206+AT298*AT206+AU298*AU206+AV298*AV206+AW298*AW206+AX298*AX206+AY298*AY206+AZ298*AZ206+BA298*BA206+BB298*BB206+BC298*BC206+BD298*BD206+BE298*BE206+BF298*BF206+BG298*BG206+BH298*BH206+BI298*BI206+BJ298*BJ206+BK298*BK206+BL298*BL206+BM298*BM206+BN298*BN206+BO298*BO206+BP298*BP206+BQ298*BQ206+BR298*BR206+BS298*BS206+BT298*BT206+BU298*BU206+BV298*BV206+BW298*BW206+BX298*BX206+BY298*BY206+BZ298*BZ206+CA298*CA206+CB298*CB206+CC298*CC206+CD298*CD206+CE298*CE206+CF298*CF206+CG298*CG206+CH298*CH206+CI298*CI206+CJ298*CJ206+CK298*CK206+CL298*CL206+CM298*CM206+CN298*CN206+CO298*CO206+CP298*CP206+CQ298*CQ206+CR298*CR206+CS298*CS206+CT298*CT206+CU298*CU206</f>
        <v>0</v>
      </c>
    </row>
    <row r="207" spans="2:113" ht="18" x14ac:dyDescent="0.35">
      <c r="B207" s="2505">
        <v>54</v>
      </c>
      <c r="C207" s="2429" t="s">
        <v>2123</v>
      </c>
      <c r="D207" s="2430" t="s">
        <v>3272</v>
      </c>
      <c r="E207" s="3121">
        <f>0</f>
        <v>0</v>
      </c>
      <c r="F207" s="3121">
        <f>0</f>
        <v>0</v>
      </c>
      <c r="G207" s="3121">
        <f>0</f>
        <v>0</v>
      </c>
      <c r="H207" s="3121">
        <f>0</f>
        <v>0</v>
      </c>
      <c r="I207" s="3121">
        <f>0</f>
        <v>0</v>
      </c>
      <c r="J207" s="3121">
        <f>1-f_E</f>
        <v>0.92</v>
      </c>
      <c r="K207" s="3121">
        <f>0</f>
        <v>0</v>
      </c>
      <c r="L207" s="3121">
        <f>0</f>
        <v>0</v>
      </c>
      <c r="M207" s="3121">
        <f>0</f>
        <v>0</v>
      </c>
      <c r="N207" s="3121">
        <f>0</f>
        <v>0</v>
      </c>
      <c r="O207" s="3121">
        <f>0</f>
        <v>0</v>
      </c>
      <c r="P207" s="3121">
        <f>0</f>
        <v>0</v>
      </c>
      <c r="Q207" s="3121">
        <f>f_E</f>
        <v>0.08</v>
      </c>
      <c r="R207" s="3152">
        <f>0</f>
        <v>0</v>
      </c>
      <c r="S207" s="3121">
        <f>0</f>
        <v>0</v>
      </c>
      <c r="T207" s="3121">
        <f>0</f>
        <v>0</v>
      </c>
      <c r="U207" s="3121">
        <f>0</f>
        <v>0</v>
      </c>
      <c r="V207" s="3121">
        <f>0</f>
        <v>0</v>
      </c>
      <c r="W207" s="3121">
        <f>0</f>
        <v>0</v>
      </c>
      <c r="X207" s="3121">
        <f>0</f>
        <v>0</v>
      </c>
      <c r="Y207" s="3121">
        <f>0</f>
        <v>0</v>
      </c>
      <c r="Z207" s="3152">
        <f>-1</f>
        <v>-1</v>
      </c>
      <c r="AA207" s="3121">
        <f>0</f>
        <v>0</v>
      </c>
      <c r="AB207" s="3121">
        <f>0</f>
        <v>0</v>
      </c>
      <c r="AC207" s="3121">
        <f>0</f>
        <v>0</v>
      </c>
      <c r="AD207" s="3120">
        <f>-f_E*(i_N_XE-i_N_BIO)</f>
        <v>8.0000000000000069E-4</v>
      </c>
      <c r="AE207" s="3121">
        <f>0</f>
        <v>0</v>
      </c>
      <c r="AF207" s="3121">
        <f>0</f>
        <v>0</v>
      </c>
      <c r="AG207" s="3121">
        <f>0</f>
        <v>0</v>
      </c>
      <c r="AH207" s="3121">
        <f>0</f>
        <v>0</v>
      </c>
      <c r="AI207" s="3121">
        <f>0</f>
        <v>0</v>
      </c>
      <c r="AJ207" s="3121">
        <f>(1-f_E)*i_N_BIO</f>
        <v>6.4400000000000013E-2</v>
      </c>
      <c r="AK207" s="3121">
        <f>0</f>
        <v>0</v>
      </c>
      <c r="AL207" s="3120">
        <f>0</f>
        <v>0</v>
      </c>
      <c r="AM207" s="3121">
        <f>0</f>
        <v>0</v>
      </c>
      <c r="AN207" s="3121">
        <f>0</f>
        <v>0</v>
      </c>
      <c r="AO207" s="3121">
        <f>0</f>
        <v>0</v>
      </c>
      <c r="AP207" s="3121">
        <f>(1-f_E)*i_P_BIO</f>
        <v>1.84E-2</v>
      </c>
      <c r="AQ207" s="3121">
        <f>0</f>
        <v>0</v>
      </c>
      <c r="AR207" s="3121">
        <f>0</f>
        <v>0</v>
      </c>
      <c r="AS207" s="3121">
        <f>0</f>
        <v>0</v>
      </c>
      <c r="AT207" s="3172">
        <f>0</f>
        <v>0</v>
      </c>
      <c r="AU207" s="3121">
        <f>(1-f_E)*(i_CIT_BIO-i_CIT_XBe)</f>
        <v>6.0720000000000003E-2</v>
      </c>
      <c r="AV207" s="3121">
        <f>0</f>
        <v>0</v>
      </c>
      <c r="AW207" s="3121">
        <f>0</f>
        <v>0</v>
      </c>
      <c r="AX207" s="3121">
        <f>0</f>
        <v>0</v>
      </c>
      <c r="AY207" s="3121">
        <f>0</f>
        <v>0</v>
      </c>
      <c r="AZ207" s="3121">
        <f>0</f>
        <v>0</v>
      </c>
      <c r="BA207" s="3121">
        <f>0</f>
        <v>0</v>
      </c>
      <c r="BB207" s="3192">
        <f>0</f>
        <v>0</v>
      </c>
      <c r="BC207" s="3197">
        <f>(1-f_E)*i_S_BIO-(1-f_E)*i_S_XB</f>
        <v>7.8200000000000006E-3</v>
      </c>
      <c r="BD207" s="3172">
        <f>0</f>
        <v>0</v>
      </c>
      <c r="BE207" s="3121">
        <f>0</f>
        <v>0</v>
      </c>
      <c r="BF207" s="3121">
        <f>0</f>
        <v>0</v>
      </c>
      <c r="BG207" s="3121">
        <f>0</f>
        <v>0</v>
      </c>
      <c r="BH207" s="3121">
        <f>0</f>
        <v>0</v>
      </c>
      <c r="BI207" s="3121">
        <f>0</f>
        <v>0</v>
      </c>
      <c r="BJ207" s="3121">
        <f>0</f>
        <v>0</v>
      </c>
      <c r="BK207" s="3121">
        <f>0</f>
        <v>0</v>
      </c>
      <c r="BL207" s="3121">
        <f>0</f>
        <v>0</v>
      </c>
      <c r="BM207" s="3121">
        <f>0</f>
        <v>0</v>
      </c>
      <c r="BN207" s="3121">
        <f>0</f>
        <v>0</v>
      </c>
      <c r="BO207" s="3121">
        <f>0</f>
        <v>0</v>
      </c>
      <c r="BP207" s="3121">
        <f>0</f>
        <v>0</v>
      </c>
      <c r="BQ207" s="3121">
        <f>0</f>
        <v>0</v>
      </c>
      <c r="BR207" s="3121">
        <f>0</f>
        <v>0</v>
      </c>
      <c r="BS207" s="3121">
        <f>0</f>
        <v>0</v>
      </c>
      <c r="BT207" s="3121">
        <f>0</f>
        <v>0</v>
      </c>
      <c r="BU207" s="3121">
        <f>0</f>
        <v>0</v>
      </c>
      <c r="BV207" s="3121">
        <f>0</f>
        <v>0</v>
      </c>
      <c r="BW207" s="3121">
        <f>0</f>
        <v>0</v>
      </c>
      <c r="BX207" s="3121">
        <f>0</f>
        <v>0</v>
      </c>
      <c r="BY207" s="3121">
        <f>0</f>
        <v>0</v>
      </c>
      <c r="BZ207" s="3141">
        <f>0</f>
        <v>0</v>
      </c>
      <c r="CA207" s="3141">
        <f>0</f>
        <v>0</v>
      </c>
      <c r="CB207" s="3141">
        <f>0</f>
        <v>0</v>
      </c>
      <c r="CC207" s="3141">
        <f>0</f>
        <v>0</v>
      </c>
      <c r="CD207" s="3121">
        <f>0</f>
        <v>0</v>
      </c>
      <c r="CE207" s="3121">
        <f>0</f>
        <v>0</v>
      </c>
      <c r="CF207" s="3121">
        <f>0</f>
        <v>0</v>
      </c>
      <c r="CG207" s="3121">
        <f>0</f>
        <v>0</v>
      </c>
      <c r="CH207" s="3121">
        <f>0</f>
        <v>0</v>
      </c>
      <c r="CI207" s="3121">
        <f>0</f>
        <v>0</v>
      </c>
      <c r="CJ207" s="3121">
        <f>0</f>
        <v>0</v>
      </c>
      <c r="CK207" s="3121">
        <f>0</f>
        <v>0</v>
      </c>
      <c r="CL207" s="3121">
        <f>0</f>
        <v>0</v>
      </c>
      <c r="CM207" s="3121">
        <f>0</f>
        <v>0</v>
      </c>
      <c r="CN207" s="3121">
        <f>0</f>
        <v>0</v>
      </c>
      <c r="CO207" s="3121">
        <f>0</f>
        <v>0</v>
      </c>
      <c r="CP207" s="3121">
        <f>0</f>
        <v>0</v>
      </c>
      <c r="CQ207" s="3121">
        <f>0</f>
        <v>0</v>
      </c>
      <c r="CR207" s="3121">
        <f>0</f>
        <v>0</v>
      </c>
      <c r="CS207" s="3121">
        <f>0</f>
        <v>0</v>
      </c>
      <c r="CT207" s="3121">
        <f>0</f>
        <v>0</v>
      </c>
      <c r="CU207" s="3121">
        <f>0</f>
        <v>0</v>
      </c>
      <c r="CV207" s="3227">
        <f>b_ASRO_T*X_ASRO*(M_inhSNOx_KNOx_ASRO*M_inhSO2_KiO2_ASRO)</f>
        <v>1.4207909069381961E-5</v>
      </c>
      <c r="CX207" s="2838">
        <f>E287*E207+F287*F207+G287*G207+H287*H207+I287*I207+J287*J207+K287*K207+L287*L207+M287*M207+N287*N207+O287*O207+P287*P207+Q287*Q207+R287*R207+S287*S207+T287*T207+U287*U207+V287*V207+W287*W207+X287*X207+Y287*Y207+Z287*Z207+AA287*AA207+AB287*AB207+AC287*AC207+AD287*AD207+AE287*AE207+AF287*AF207+AG287*AG207+AH287*AH207+AI287*AI207+AJ287*AJ207+AK287*AK207+AL287*AL207+AM287*AM207+AN287*AN207+AO287*AO207+AP287*AP207+AQ287*AQ207+AR287*AR207+AS287*AS207+AT287*AT207+AU287*AU207+AV287*AV207+AW287*AW207+AX287*AX207+AY287*AY207+AZ287*AZ207+BA287*BA207+BB287*BB207+BC287*BC207+BD287*BD207+BE287*BE207+BF287*BF207+BG287*BG207+BH287*BH207+BI287*BI207+BJ287*BJ207+BK287*BK207+BL287*BL207+BM287*BM207+BN287*BN207+BO287*BO207+BP287*BP207+BQ287*BQ207+BR287*BR207+BS287*BS207+BT287*BT207+BU287*BU207+BV287*BV207+BW287*BW207+BX287*BX207+BY287*BY207+BZ287*BZ207+CA287*CA207+CB287*CB207+CC287*CC207+CD287*CD207+CE287*CE207+CF287*CF207+CG287*CG207+CH287*CH207+CI287*CI207+CJ287*CJ207+CK287*CK207+CL287*CL207+CM287*CM207+CN287*CN207+CO287*CO207+CP287*CP207+CQ287*CQ207+CR287*CR207+CS287*CS207+CT287*CT207+CU287*CU207</f>
        <v>0</v>
      </c>
      <c r="CY207" s="2838">
        <f>E288*E207+F288*F207+G288*G207+H288*H207+I288*I207+J288*J207+K288*K207+L288*L207+M288*M207+N288*N207+O288*O207+P288*P207+Q288*Q207+R288*R207+S288*S207+T288*T207+U288*U207+V288*V207+W288*W207+X288*X207+Y288*Y207+Z288*Z207+AA288*AA207+AB288*AB207+AC288*AC207+AD288*AD207+AE288*AE207+AF288*AF207+AG288*AG207+AH288*AH207+AI288*AI207+AJ288*AJ207+AK288*AK207+AL288*AL207+AM288*AM207+AN288*AN207+AO288*AO207+AP288*AP207+AQ288*AQ207+AR288*AR207+AS288*AS207+AT288*AT207+AU288*AU207+AV288*AV207+AW288*AW207+AX288*AX207+AY288*AY207+AZ288*AZ207+BA288*BA207+BB288*BB207+BC288*BC207+BD288*BD207+BE288*BE207+BF288*BF207+BG288*BG207+BH288*BH207+BI288*BI207+BJ288*BJ207+BK288*BK207+BL288*BL207+BM288*BM207+BN288*BN207+BO288*BO207+BP288*BP207+BQ288*BQ207+BR288*BR207+BS288*BS207+BT288*BT207+BU288*BU207+BV288*BV207+BW288*BW207+BX288*BX207+BY288*BY207+BZ288*BZ207+CA288*CA207+CB288*CB207+CC288*CC207+CD288*CD207+CE288*CE207+CF288*CF207+CG288*CG207+CH288*CH207+CI288*CI207+CJ288*CJ207+CK288*CK207+CL288*CL207+CM288*CM207+CN288*CN207+CO288*CO207+CP288*CP207+CQ288*CQ207+CR288*CR207+CS288*CS207+CT288*CT207+CU288*CU207</f>
        <v>6.9388939039072284E-18</v>
      </c>
      <c r="CZ207" s="2839">
        <f>E289*E207+F289*F207+G289*G207+H289*H207+I289*I207+J289*J207+K289*K207+L289*L207+M289*M207+N289*N207+O289*O207+P289*P207+Q289*Q207+R289*R207+S289*S207+T289*T207+U289*U207+V289*V207+W289*W207+X289*X207+Y289*Y207+Z289*Z207+AA289*AA207+AB289*AB207+AC289*AC207+AD289*AD207+AE289*AE207+AF289*AF207+AG289*AG207+AH289*AH207+AI289*AI207+AJ289*AJ207+AK289*AK207+AL289*AL207+AM289*AM207+AN289*AN207+AO289*AO207+AP289*AP207+AQ289*AQ207+AR289*AR207+AS289*AS207+AT289*AT207+AU289*AU207+AV289*AV207+AW289*AW207+AX289*AX207+AY289*AY207+AZ289*AZ207+BA289*BA207+BB289*BB207+BC289*BC207+BD289*BD207+BE289*BE207+BF289*BF207+BG289*BG207+BH289*BH207+BI289*BI207+BJ289*BJ207+BK289*BK207+BL289*BL207+BM289*BM207+BN289*BN207+BO289*BO207+BP289*BP207+BQ289*BQ207+BR289*BR207+BS289*BS207+BT289*BT207+BU289*BU207+BV289*BV207+BW289*BW207+BX289*BX207+BY289*BY207+BZ289*BZ207+CA289*CA207+CB289*CB207+CC289*CC207+CD289*CD207+CE289*CE207+CF289*CF207+CG289*CG207+CH289*CH207+CI289*CI207+CJ289*CJ207+CK289*CK207+CL289*CL207+CM289*CM207+CN289*CN207+CO289*CO207+CP289*CP207+CQ289*CQ207+CR289*CR207+CS289*CS207+CT289*CT207+CU289*CU207</f>
        <v>0</v>
      </c>
      <c r="DA207" s="2840">
        <f>E290*E207+F290*F207+G290*G207+H290*H207+I290*I207+J290*J207+K290*K207+L290*L207+M290*M207+N290*N207+O290*O207+P290*P207+Q290*Q207+R290*R207+S290*S207+T290*T207+U290*U207+V290*V207+W290*W207+X290*X207+Y290*Y207+Z290*Z207+AA290*AA207+AB290*AB207+AC290*AC207+AD290*AD207+AE290*AE207+AF290*AF207+AG290*AG207+AH290*AH207+AI290*AI207+AJ290*AJ207+AK290*AK207+AL290*AL207+AM290*AM207+AN290*AN207+AO290*AO207+AP290*AP207+AQ290*AQ207+AR290*AR207+AS290*AS207+AT290*AT207+AU290*AU207+AV290*AV207+AW290*AW207+AX290*AX207+AY290*AY207+AZ290*AZ207+BA290*BA207+BB290*BB207+BC290*BC207+BD290*BD207+BE290*BE207+BF290*BF207+BG290*BG207+BH290*BH207+BI290*BI207+BJ290*BJ207+BK290*BK207+BL290*BL207+BM290*BM207+BN290*BN207+BO290*BO207+BP290*BP207+BQ290*BQ207+BR290*BR207+BS290*BS207+BT290*BT207+BU290*BU207+BV290*BV207+BW290*BW207+BX290*BX207+BY290*BY207+BZ290*BZ207+CA290*CA207+CB290*CB207+CC290*CC207+CD290*CD207+CE290*CE207+CF290*CF207+CG290*CG207+CH290*CH207+CI290*CI207+CJ290*CJ207+CK290*CK207+CL290*CL207+CM290*CM207+CN290*CN207+CO290*CO207+CP290*CP207+CQ290*CQ207+CR290*CR207+CS290*CS207+CT290*CT207+CU290*CU207</f>
        <v>0</v>
      </c>
      <c r="DB207" s="2840">
        <f>E291*E207+F291*F207+G291*G207+H291*H207+I291*I207+J291*J207+K291*K207+L291*L207+M291*M207+N291*N207+O291*O207+P291*P207+Q291*Q207+R291*R207+S291*S207+T291*T207+U291*U207+V291*V207+W291*W207+X291*X207+Y291*Y207+Z291*Z207+AA291*AA207+AB291*AB207+AC291*AC207+AD291*AD207+AE291*AE207+AF291*AF207+AG291*AG207+AH291*AH207+AI291*AI207+AJ291*AJ207+AK291*AK207+AL291*AL207+AM291*AM207+AN291*AN207+AO291*AO207+AP291*AP207+AQ291*AQ207+AR291*AR207+AS291*AS207+AT291*AT207+AU291*AU207+AV291*AV207+AW291*AW207+AX291*AX207+AY291*AY207+AZ291*AZ207+BA291*BA207+BB291*BB207+BC291*BC207+BD291*BD207+BE291*BE207+BF291*BF207+BG291*BG207+BH291*BH207+BI291*BI207+BJ291*BJ207+BK291*BK207+BL291*BL207+BM291*BM207+BN291*BN207+BO291*BO207+BP291*BP207+BQ291*BQ207+BR291*BR207+BS291*BS207+BT291*BT207+BU291*BU207+BV291*BV207+BW291*BW207+BX291*BX207+BY291*BY207+BZ291*BZ207+CA291*CA207+CB291*CB207+CC291*CC207+CD291*CD207+CE291*CE207+CF291*CF207+CG291*CG207+CH291*CH207+CI291*CI207+CJ291*CJ207+CK291*CK207+CL291*CL207+CM291*CM207+CN291*CN207+CO291*CO207+CP291*CP207+CQ291*CQ207+CR291*CR207+CS291*CS207+CT291*CT207+CU291*CU207</f>
        <v>0</v>
      </c>
      <c r="DC207" s="2840">
        <f>E292*E207+F292*F207+G292*G207+H292*H207+I292*I207+J292*J207+K292*K207+L292*L207+M292*M207+N292*N207+O292*O207+P292*P207+Q292*Q207+R292*R207+S292*S207+T292*T207+U292*U207+V292*V207+W292*W207+X292*X207+Y292*Y207+Z292*Z207+AA292*AA207+AB292*AB207+AC292*AC207+AD292*AD207+AE292*AE207+AF292*AF207+AG292*AG207+AH292*AH207+AI292*AI207+AJ292*AJ207+AK292*AK207+AL292*AL207+AM292*AM207+AN292*AN207+AO292*AO207+AP292*AP207+AQ292*AQ207+AR292*AR207+AS292*AS207+AT292*AT207+AU292*AU207+AV292*AV207+AW292*AW207+AX292*AX207+AY292*AY207+AZ292*AZ207+BA292*BA207+BB292*BB207+BC292*BC207+BD292*BD207+BE292*BE207+BF292*BF207+BG292*BG207+BH292*BH207+BI292*BI207+BJ292*BJ207+BK292*BK207+BL292*BL207+BM292*BM207+BN292*BN207+BO292*BO207+BP292*BP207+BQ292*BQ207+BR292*BR207+BS292*BS207+BT292*BT207+BU292*BU207+BV292*BV207+BW292*BW207+BX292*BX207+BY292*BY207+BZ292*BZ207+CA292*CA207+CB292*CB207+CC292*CC207+CD292*CD207+CE292*CE207+CF292*CF207+CG292*CG207+CH292*CH207+CI292*CI207+CJ292*CJ207+CK292*CK207+CL292*CL207+CM292*CM207+CN292*CN207+CO292*CO207+CP292*CP207+CQ292*CQ207+CR292*CR207+CS292*CS207+CT292*CT207+CU292*CU207</f>
        <v>0</v>
      </c>
      <c r="DD207" s="2840">
        <f>E293*E207+F293*F207+G293*G207+H293*H207+I293*I207+J293*J207+K293*K207+L293*L207+M293*M207+N293*N207+O293*O207+P293*P207+Q293*Q207+R293*R207+S293*S207+T293*T207+U293*U207+V293*V207+W293*W207+X293*X207+Y293*Y207+Z293*Z207+AA293*AA207+AB293*AB207+AC293*AC207+AD293*AD207+AE293*AE207+AF293*AF207+AG293*AG207+AH293*AH207+AI293*AI207+AJ293*AJ207+AK293*AK207+AL293*AL207+AM293*AM207+AN293*AN207+AO293*AO207+AP293*AP207+AQ293*AQ207+AR293*AR207+AS293*AS207+AT293*AT207+AU293*AU207+AV293*AV207+AW293*AW207+AX293*AX207+AY293*AY207+AZ293*AZ207+BA293*BA207+BB293*BB207+BC293*BC207+BD293*BD207+BE293*BE207+BF293*BF207+BG293*BG207+BH293*BH207+BI293*BI207+BJ293*BJ207+BK293*BK207+BL293*BL207+BM293*BM207+BN293*BN207+BO293*BO207+BP293*BP207+BQ293*BQ207+BR293*BR207+BS293*BS207+BT293*BT207+BU293*BU207+BV293*BV207+BW293*BW207+BX293*BX207+BY293*BY207+BZ293*BZ207+CA293*CA207+CB293*CB207+CC293*CC207+CD293*CD207+CE293*CE207+CF293*CF207+CG293*CG207+CH293*CH207+CI293*CI207+CJ293*CJ207+CK293*CK207+CL293*CL207+CM293*CM207+CN293*CN207+CO293*CO207+CP293*CP207+CQ293*CQ207+CR293*CR207+CS293*CS207+CT293*CT207+CU293*CU207</f>
        <v>0</v>
      </c>
      <c r="DE207" s="2840">
        <f>E294*E207+F294*F207+G294*G207+H294*H207+I294*I207+J294*J207+K294*K207+L294*L207+M294*M207+N294*N207+O294*O207+P294*P207+Q294*Q207+R294*R207+S294*S207+T294*T207+U294*U207+V294*V207+W294*W207+X294*X207+Y294*Y207+Z294*Z207+AA294*AA207+AB294*AB207+AC294*AC207+AD294*AD207+AE294*AE207+AF294*AF207+AG294*AG207+AH294*AH207+AI294*AI207+AJ294*AJ207+AK294*AK207+AL294*AL207+AM294*AM207+AN294*AN207+AO294*AO207+AP294*AP207+AQ294*AQ207+AR294*AR207+AS294*AS207+AT294*AT207+AU294*AU207+AV294*AV207+AW294*AW207+AX294*AX207+AY294*AY207+AZ294*AZ207+BA294*BA207+BB294*BB207+BC294*BC207+BD294*BD207+BE294*BE207+BF294*BF207+BG294*BG207+BH294*BH207+BI294*BI207+BJ294*BJ207+BK294*BK207+BL294*BL207+BM294*BM207+BN294*BN207+BO294*BO207+BP294*BP207+BQ294*BQ207+BR294*BR207+BS294*BS207+BT294*BT207+BU294*BU207+BV294*BV207+BW294*BW207+BX294*BX207+BY294*BY207+BZ294*BZ207+CA294*CA207+CB294*CB207+CC294*CC207+CD294*CD207+CE294*CE207+CF294*CF207+CG294*CG207+CH294*CH207+CI294*CI207+CJ294*CJ207+CK294*CK207+CL294*CL207+CM294*CM207+CN294*CN207+CO294*CO207+CP294*CP207+CQ294*CQ207+CR294*CR207+CS294*CS207+CT294*CT207+CU294*CU207</f>
        <v>0</v>
      </c>
      <c r="DF207" s="2840">
        <f>E295*E207+F295*F207+G295*G207+H295*H207+I295*I207+J295*J207+K295*K207+L295*L207+M295*M207+N295*N207+O295*O207+P295*P207+Q295*Q207+R295*R207+S295*S207+T295*T207+U295*U207+V295*V207+W295*W207+X295*X207+Y295*Y207+Z295*Z207+AA295*AA207+AB295*AB207+AC295*AC207+AD295*AD207+AE295*AE207+AF295*AF207+AG295*AG207+AH295*AH207+AI295*AI207+AJ295*AJ207+AK295*AK207+AL295*AL207+AM295*AM207+AN295*AN207+AO295*AO207+AP295*AP207+AQ295*AQ207+AR295*AR207+AS295*AS207+AT295*AT207+AU295*AU207+AV295*AV207+AW295*AW207+AX295*AX207+AY295*AY207+AZ295*AZ207+BA295*BA207+BB295*BB207+BC295*BC207+BD295*BD207+BE295*BE207+BF295*BF207+BG295*BG207+BH295*BH207+BI295*BI207+BJ295*BJ207+BK295*BK207+BL295*BL207+BM295*BM207+BN295*BN207+BO295*BO207+BP295*BP207+BQ295*BQ207+BR295*BR207+BS295*BS207+BT295*BT207+BU295*BU207+BV295*BV207+BW295*BW207+BX295*BX207+BY295*BY207+BZ295*BZ207+CA295*CA207+CB295*CB207+CC295*CC207+CD295*CD207+CE295*CE207+CF295*CF207+CG295*CG207+CH295*CH207+CI295*CI207+CJ295*CJ207+CK295*CK207+CL295*CL207+CM295*CM207+CN295*CN207+CO295*CO207+CP295*CP207+CQ295*CQ207+CR295*CR207+CS295*CS207+CT295*CT207+CU295*CU207</f>
        <v>0</v>
      </c>
      <c r="DG207" s="2840">
        <f>E296*E207+F296*F207+G296*G207+H296*H207+I296*I207+J296*J207+K296*K207+L296*L207+M296*M207+N296*N207+O296*O207+P296*P207+Q296*Q207+R296*R207+S296*S207+T296*T207+U296*U207+V296*V207+W296*W207+X296*X207+Y296*Y207+Z296*Z207+AA296*AA207+AB296*AB207+AC296*AC207+AD296*AD207+AE296*AE207+AF296*AF207+AG296*AG207+AH296*AH207+AI296*AI207+AJ296*AJ207+AK296*AK207+AL296*AL207+AM296*AM207+AN296*AN207+AO296*AO207+AP296*AP207+AQ296*AQ207+AR296*AR207+AS296*AS207+AT296*AT207+AU296*AU207+AV296*AV207+AW296*AW207+AX296*AX207+AY296*AY207+AZ296*AZ207+BA296*BA207+BB296*BB207+BC296*BC207+BD296*BD207+BE296*BE207+BF296*BF207+BG296*BG207+BH296*BH207+BI296*BI207+BJ296*BJ207+BK296*BK207+BL296*BL207+BM296*BM207+BN296*BN207+BO296*BO207+BP296*BP207+BQ296*BQ207+BR296*BR207+BS296*BS207+BT296*BT207+BU296*BU207+BV296*BV207+BW296*BW207+BX296*BX207+BY296*BY207+BZ296*BZ207+CA296*CA207+CB296*CB207+CC296*CC207+CD296*CD207+CE296*CE207+CF296*CF207+CG296*CG207+CH296*CH207+CI296*CI207+CJ296*CJ207+CK296*CK207+CL296*CL207+CM296*CM207+CN296*CN207+CO296*CO207+CP296*CP207+CQ296*CQ207+CR296*CR207+CS296*CS207+CT296*CT207+CU296*CU207</f>
        <v>0</v>
      </c>
      <c r="DH207" s="2840">
        <f>E297*E207+F297*F207+G297*G207+H297*H207+I297*I207+J297*J207+K297*K207+L297*L207+M297*M207+N297*N207+O297*O207+P297*P207+Q297*Q207+R297*R207+S297*S207+T297*T207+U297*U207+V297*V207+W297*W207+X297*X207+Y297*Y207+Z297*Z207+AA297*AA207+AB297*AB207+AC297*AC207+AD297*AD207+AE297*AE207+AF297*AF207+AG297*AG207+AH297*AH207+AI297*AI207+AJ297*AJ207+AK297*AK207+AL297*AL207+AM297*AM207+AN297*AN207+AO297*AO207+AP297*AP207+AQ297*AQ207+AR297*AR207+AS297*AS207+AT297*AT207+AU297*AU207+AV297*AV207+AW297*AW207+AX297*AX207+AY297*AY207+AZ297*AZ207+BA297*BA207+BB297*BB207+BC297*BC207+BD297*BD207+BE297*BE207+BF297*BF207+BG297*BG207+BH297*BH207+BI297*BI207+BJ297*BJ207+BK297*BK207+BL297*BL207+BM297*BM207+BN297*BN207+BO297*BO207+BP297*BP207+BQ297*BQ207+BR297*BR207+BS297*BS207+BT297*BT207+BU297*BU207+BV297*BV207+BW297*BW207+BX297*BX207+BY297*BY207+BZ297*BZ207+CA297*CA207+CB297*CB207+CC297*CC207+CD297*CD207+CE297*CE207+CF297*CF207+CG297*CG207+CH297*CH207+CI297*CI207+CJ297*CJ207+CK297*CK207+CL297*CL207+CM297*CM207+CN297*CN207+CO297*CO207+CP297*CP207+CQ297*CQ207+CR297*CR207+CS297*CS207+CT297*CT207+CU297*CU207</f>
        <v>0</v>
      </c>
      <c r="DI207" s="2840">
        <f>E298*E207+F298*F207+G298*G207+H298*H207+I298*I207+J298*J207+K298*K207+L298*L207+M298*M207+N298*N207+O298*O207+P298*P207+Q298*Q207+R298*R207+S298*S207+T298*T207+U298*U207+V298*V207+W298*W207+X298*X207+Y298*Y207+Z298*Z207+AA298*AA207+AB298*AB207+AC298*AC207+AD298*AD207+AE298*AE207+AF298*AF207+AG298*AG207+AH298*AH207+AI298*AI207+AJ298*AJ207+AK298*AK207+AL298*AL207+AM298*AM207+AN298*AN207+AO298*AO207+AP298*AP207+AQ298*AQ207+AR298*AR207+AS298*AS207+AT298*AT207+AU298*AU207+AV298*AV207+AW298*AW207+AX298*AX207+AY298*AY207+AZ298*AZ207+BA298*BA207+BB298*BB207+BC298*BC207+BD298*BD207+BE298*BE207+BF298*BF207+BG298*BG207+BH298*BH207+BI298*BI207+BJ298*BJ207+BK298*BK207+BL298*BL207+BM298*BM207+BN298*BN207+BO298*BO207+BP298*BP207+BQ298*BQ207+BR298*BR207+BS298*BS207+BT298*BT207+BU298*BU207+BV298*BV207+BW298*BW207+BX298*BX207+BY298*BY207+BZ298*BZ207+CA298*CA207+CB298*CB207+CC298*CC207+CD298*CD207+CE298*CE207+CF298*CF207+CG298*CG207+CH298*CH207+CI298*CI207+CJ298*CJ207+CK298*CK207+CL298*CL207+CM298*CM207+CN298*CN207+CO298*CO207+CP298*CP207+CQ298*CQ207+CR298*CR207+CS298*CS207+CT298*CT207+CU298*CU207</f>
        <v>0</v>
      </c>
    </row>
    <row r="208" spans="2:113" ht="18" x14ac:dyDescent="0.35">
      <c r="B208" s="2507">
        <v>55</v>
      </c>
      <c r="C208" s="2436" t="s">
        <v>2124</v>
      </c>
      <c r="D208" s="2437" t="s">
        <v>3242</v>
      </c>
      <c r="E208" s="3122">
        <f>0</f>
        <v>0</v>
      </c>
      <c r="F208" s="3122">
        <f>0</f>
        <v>0</v>
      </c>
      <c r="G208" s="3122">
        <f>0</f>
        <v>0</v>
      </c>
      <c r="H208" s="3122">
        <f>0</f>
        <v>0</v>
      </c>
      <c r="I208" s="3122">
        <f>0</f>
        <v>0</v>
      </c>
      <c r="J208" s="3122">
        <f>0</f>
        <v>0</v>
      </c>
      <c r="K208" s="3122">
        <f>0</f>
        <v>0</v>
      </c>
      <c r="L208" s="3122">
        <f>0</f>
        <v>0</v>
      </c>
      <c r="M208" s="3122">
        <f>0</f>
        <v>0</v>
      </c>
      <c r="N208" s="3122">
        <f>0</f>
        <v>0</v>
      </c>
      <c r="O208" s="3122">
        <f>0</f>
        <v>0</v>
      </c>
      <c r="P208" s="3122">
        <f>0</f>
        <v>0</v>
      </c>
      <c r="Q208" s="3122">
        <f>0</f>
        <v>0</v>
      </c>
      <c r="R208" s="3153">
        <f>0</f>
        <v>0</v>
      </c>
      <c r="S208" s="3122">
        <f>0</f>
        <v>0</v>
      </c>
      <c r="T208" s="3122">
        <f>0</f>
        <v>0</v>
      </c>
      <c r="U208" s="3122">
        <f>0</f>
        <v>0</v>
      </c>
      <c r="V208" s="3122">
        <f>0</f>
        <v>0</v>
      </c>
      <c r="W208" s="3122">
        <f>0</f>
        <v>0</v>
      </c>
      <c r="X208" s="3122">
        <f>0</f>
        <v>0</v>
      </c>
      <c r="Y208" s="3122">
        <f>0</f>
        <v>0</v>
      </c>
      <c r="Z208" s="3122">
        <f>0</f>
        <v>0</v>
      </c>
      <c r="AA208" s="3122">
        <f>1</f>
        <v>1</v>
      </c>
      <c r="AB208" s="3122">
        <f>0</f>
        <v>0</v>
      </c>
      <c r="AC208" s="3122">
        <f>0</f>
        <v>0</v>
      </c>
      <c r="AD208" s="3162">
        <f>-i_N_BIO</f>
        <v>-7.0000000000000007E-2</v>
      </c>
      <c r="AE208" s="3153">
        <f>0</f>
        <v>0</v>
      </c>
      <c r="AF208" s="3153">
        <f>0</f>
        <v>0</v>
      </c>
      <c r="AG208" s="3122">
        <f>0</f>
        <v>0</v>
      </c>
      <c r="AH208" s="3122">
        <f>0</f>
        <v>0</v>
      </c>
      <c r="AI208" s="3122">
        <f>0</f>
        <v>0</v>
      </c>
      <c r="AJ208" s="3122">
        <f>0</f>
        <v>0</v>
      </c>
      <c r="AK208" s="3122">
        <f>0</f>
        <v>0</v>
      </c>
      <c r="AL208" s="3162">
        <f>-i_P_BIO</f>
        <v>-0.02</v>
      </c>
      <c r="AM208" s="3122">
        <f>0</f>
        <v>0</v>
      </c>
      <c r="AN208" s="3122">
        <f>0</f>
        <v>0</v>
      </c>
      <c r="AO208" s="3122">
        <f>0</f>
        <v>0</v>
      </c>
      <c r="AP208" s="3122">
        <f>0</f>
        <v>0</v>
      </c>
      <c r="AQ208" s="3122">
        <f>0</f>
        <v>0</v>
      </c>
      <c r="AR208" s="3122">
        <f>0</f>
        <v>0</v>
      </c>
      <c r="AS208" s="3122">
        <f>0</f>
        <v>0</v>
      </c>
      <c r="AT208" s="3162">
        <f>-1/Y_HSRO</f>
        <v>-19.607843137254903</v>
      </c>
      <c r="AU208" s="3153">
        <f>-i_CIT_BIO</f>
        <v>-0.35199999999999998</v>
      </c>
      <c r="AV208" s="3122">
        <f>i_INORG</f>
        <v>0.11</v>
      </c>
      <c r="AW208" s="3122">
        <f>-i_INORG*(1-i_Ca_INORG*(A_MCa+2*A_MCl)/A_MCa-i_Mg_INORG*(A_MMg+2*A_MCl)/A_MMg)*f_Na</f>
        <v>-2.8804303582798466E-2</v>
      </c>
      <c r="AX208" s="3122">
        <f>-i_INORG*(i_Ca_INORG*(2*A_MCl)/A_MCa+i_Mg_INORG*(2*A_MCl)/A_MMg)-i_INORG*(1-i_Ca_INORG*(A_MCa+2*A_MCl)/A_MCa-i_Mg_INORG*(A_MMg+2*A_MCl)/A_MMg)*(1-f_Na)</f>
        <v>-7.0195696417201539E-2</v>
      </c>
      <c r="AY208" s="3122">
        <f>-i_INORG*i_Ca_INORG</f>
        <v>-5.5000000000000005E-3</v>
      </c>
      <c r="AZ208" s="3122">
        <f>-i_INORG*i_Mg_INORG</f>
        <v>-5.5000000000000005E-3</v>
      </c>
      <c r="BA208" s="3122">
        <f>0</f>
        <v>0</v>
      </c>
      <c r="BB208" s="3193">
        <f>(1-Y_HSRO)/(E_EQH2S*Y_HSRO)</f>
        <v>9.3231697781804073</v>
      </c>
      <c r="BC208" s="3194">
        <f>-(1-Y_HSRO)/(E_EQH2S*Y_HSRO)-i_S_BIO</f>
        <v>-9.3331697781804071</v>
      </c>
      <c r="BD208" s="3173">
        <f>0</f>
        <v>0</v>
      </c>
      <c r="BE208" s="3122">
        <f>0</f>
        <v>0</v>
      </c>
      <c r="BF208" s="3122">
        <f>0</f>
        <v>0</v>
      </c>
      <c r="BG208" s="3122">
        <f>0</f>
        <v>0</v>
      </c>
      <c r="BH208" s="3122">
        <f>0</f>
        <v>0</v>
      </c>
      <c r="BI208" s="3122">
        <f>0</f>
        <v>0</v>
      </c>
      <c r="BJ208" s="3122">
        <f>0</f>
        <v>0</v>
      </c>
      <c r="BK208" s="3122">
        <f>0</f>
        <v>0</v>
      </c>
      <c r="BL208" s="3122">
        <f>0</f>
        <v>0</v>
      </c>
      <c r="BM208" s="3122">
        <f>0</f>
        <v>0</v>
      </c>
      <c r="BN208" s="3122">
        <f>0</f>
        <v>0</v>
      </c>
      <c r="BO208" s="3122">
        <f>0</f>
        <v>0</v>
      </c>
      <c r="BP208" s="3122">
        <f>0</f>
        <v>0</v>
      </c>
      <c r="BQ208" s="3122">
        <f>0</f>
        <v>0</v>
      </c>
      <c r="BR208" s="3122">
        <f>0</f>
        <v>0</v>
      </c>
      <c r="BS208" s="3122">
        <f>0</f>
        <v>0</v>
      </c>
      <c r="BT208" s="3122">
        <f>0</f>
        <v>0</v>
      </c>
      <c r="BU208" s="3122">
        <f>0</f>
        <v>0</v>
      </c>
      <c r="BV208" s="3122">
        <f>0</f>
        <v>0</v>
      </c>
      <c r="BW208" s="3122">
        <f>0</f>
        <v>0</v>
      </c>
      <c r="BX208" s="3122">
        <f>0</f>
        <v>0</v>
      </c>
      <c r="BY208" s="3122">
        <f>0</f>
        <v>0</v>
      </c>
      <c r="BZ208" s="3205">
        <f>0</f>
        <v>0</v>
      </c>
      <c r="CA208" s="3205">
        <f>0</f>
        <v>0</v>
      </c>
      <c r="CB208" s="3205">
        <f>0</f>
        <v>0</v>
      </c>
      <c r="CC208" s="3205">
        <f>0</f>
        <v>0</v>
      </c>
      <c r="CD208" s="3122">
        <f>0</f>
        <v>0</v>
      </c>
      <c r="CE208" s="3122">
        <f>0</f>
        <v>0</v>
      </c>
      <c r="CF208" s="3122">
        <f>0</f>
        <v>0</v>
      </c>
      <c r="CG208" s="3122">
        <f>0</f>
        <v>0</v>
      </c>
      <c r="CH208" s="3122">
        <f>0</f>
        <v>0</v>
      </c>
      <c r="CI208" s="3122">
        <f>0</f>
        <v>0</v>
      </c>
      <c r="CJ208" s="3122">
        <f>0</f>
        <v>0</v>
      </c>
      <c r="CK208" s="3122">
        <f>0</f>
        <v>0</v>
      </c>
      <c r="CL208" s="3122">
        <f>0</f>
        <v>0</v>
      </c>
      <c r="CM208" s="3122">
        <f>0</f>
        <v>0</v>
      </c>
      <c r="CN208" s="3122">
        <f>0</f>
        <v>0</v>
      </c>
      <c r="CO208" s="3122">
        <f>0</f>
        <v>0</v>
      </c>
      <c r="CP208" s="3122">
        <f>0</f>
        <v>0</v>
      </c>
      <c r="CQ208" s="3122">
        <f>0</f>
        <v>0</v>
      </c>
      <c r="CR208" s="3122">
        <f>0</f>
        <v>0</v>
      </c>
      <c r="CS208" s="3122">
        <f>0</f>
        <v>0</v>
      </c>
      <c r="CT208" s="3122">
        <f>0</f>
        <v>0</v>
      </c>
      <c r="CU208" s="3122">
        <f>0</f>
        <v>0</v>
      </c>
      <c r="CV208" s="3228">
        <f>µ_HSRO_T*X_HSRO*M_satSCO2_KCO2_BIO*M_satSH2_KH2_HSRO*M_satSO4_KSO4_HSRO*M_satSNHx_KNHx_BIO*M_satSPO4_KPO4_BIO*M_inhSNOx_KNOx_HSRO*M_inhSO2_KiO2_HSRO*M_satSCAT_KCAT*M_satSAN_KAN*M_satSCa_KCa*M_satSMg_KMg*B_ellinhpH*M_inhH2S_KiH2S_HSRO</f>
        <v>6.655831257186196E-3</v>
      </c>
      <c r="CX208" s="2838">
        <f>E287*E208+F287*F208+G287*G208+H287*H208+I287*I208+J287*J208+K287*K208+L287*L208+M287*M208+N287*N208+O287*O208+P287*P208+Q287*Q208+R287*R208+S287*S208+T287*T208+U287*U208+V287*V208+W287*W208+X287*X208+Y287*Y208+Z287*Z208+AA287*AA208+AB287*AB208+AC287*AC208+AD287*AD208+AE287*AE208+AF287*AF208+AG287*AG208+AH287*AH208+AI287*AI208+AJ287*AJ208+AK287*AK208+AL287*AL208+AM287*AM208+AN287*AN208+AO287*AO208+AP287*AP208+AQ287*AQ208+AR287*AR208+AS287*AS208+AT287*AT208+AU287*AU208+AV287*AV208+AW287*AW208+AX287*AX208+AY287*AY208+AZ287*AZ208+BA287*BA208+BB287*BB208+BC287*BC208+BD287*BD208+BE287*BE208+BF287*BF208+BG287*BG208+BH287*BH208+BI287*BI208+BJ287*BJ208+BK287*BK208+BL287*BL208+BM287*BM208+BN287*BN208+BO287*BO208+BP287*BP208+BQ287*BQ208+BR287*BR208+BS287*BS208+BT287*BT208+BU287*BU208+BV287*BV208+BW287*BW208+BX287*BX208+BY287*BY208+BZ287*BZ208+CA287*CA208+CB287*CB208+CC287*CC208+CD287*CD208+CE287*CE208+CF287*CF208+CG287*CG208+CH287*CH208+CI287*CI208+CJ287*CJ208+CK287*CK208+CL287*CL208+CM287*CM208+CN287*CN208+CO287*CO208+CP287*CP208+CQ287*CQ208+CR287*CR208+CS287*CS208+CT287*CT208+CU287*CU208</f>
        <v>0</v>
      </c>
      <c r="CY208" s="2838">
        <f>E288*E208+F288*F208+G288*G208+H288*H208+I288*I208+J288*J208+K288*K208+L288*L208+M288*M208+N288*N208+O288*O208+P288*P208+Q288*Q208+R288*R208+S288*S208+T288*T208+U288*U208+V288*V208+W288*W208+X288*X208+Y288*Y208+Z288*Z208+AA288*AA208+AB288*AB208+AC288*AC208+AD288*AD208+AE288*AE208+AF288*AF208+AG288*AG208+AH288*AH208+AI288*AI208+AJ288*AJ208+AK288*AK208+AL288*AL208+AM288*AM208+AN288*AN208+AO288*AO208+AP288*AP208+AQ288*AQ208+AR288*AR208+AS288*AS208+AT288*AT208+AU288*AU208+AV288*AV208+AW288*AW208+AX288*AX208+AY288*AY208+AZ288*AZ208+BA288*BA208+BB288*BB208+BC288*BC208+BD288*BD208+BE288*BE208+BF288*BF208+BG288*BG208+BH288*BH208+BI288*BI208+BJ288*BJ208+BK288*BK208+BL288*BL208+BM288*BM208+BN288*BN208+BO288*BO208+BP288*BP208+BQ288*BQ208+BR288*BR208+BS288*BS208+BT288*BT208+BU288*BU208+BV288*BV208+BW288*BW208+BX288*BX208+BY288*BY208+BZ288*BZ208+CA288*CA208+CB288*CB208+CC288*CC208+CD288*CD208+CE288*CE208+CF288*CF208+CG288*CG208+CH288*CH208+CI288*CI208+CJ288*CJ208+CK288*CK208+CL288*CL208+CM288*CM208+CN288*CN208+CO288*CO208+CP288*CP208+CQ288*CQ208+CR288*CR208+CS288*CS208+CT288*CT208+CU288*CU208</f>
        <v>0</v>
      </c>
      <c r="CZ208" s="2839">
        <f>E289*E208+F289*F208+G289*G208+H289*H208+I289*I208+J289*J208+K289*K208+L289*L208+M289*M208+N289*N208+O289*O208+P289*P208+Q289*Q208+R289*R208+S289*S208+T289*T208+U289*U208+V289*V208+W289*W208+X289*X208+Y289*Y208+Z289*Z208+AA289*AA208+AB289*AB208+AC289*AC208+AD289*AD208+AE289*AE208+AF289*AF208+AG289*AG208+AH289*AH208+AI289*AI208+AJ289*AJ208+AK289*AK208+AL289*AL208+AM289*AM208+AN289*AN208+AO289*AO208+AP289*AP208+AQ289*AQ208+AR289*AR208+AS289*AS208+AT289*AT208+AU289*AU208+AV289*AV208+AW289*AW208+AX289*AX208+AY289*AY208+AZ289*AZ208+BA289*BA208+BB289*BB208+BC289*BC208+BD289*BD208+BE289*BE208+BF289*BF208+BG289*BG208+BH289*BH208+BI289*BI208+BJ289*BJ208+BK289*BK208+BL289*BL208+BM289*BM208+BN289*BN208+BO289*BO208+BP289*BP208+BQ289*BQ208+BR289*BR208+BS289*BS208+BT289*BT208+BU289*BU208+BV289*BV208+BW289*BW208+BX289*BX208+BY289*BY208+BZ289*BZ208+CA289*CA208+CB289*CB208+CC289*CC208+CD289*CD208+CE289*CE208+CF289*CF208+CG289*CG208+CH289*CH208+CI289*CI208+CJ289*CJ208+CK289*CK208+CL289*CL208+CM289*CM208+CN289*CN208+CO289*CO208+CP289*CP208+CQ289*CQ208+CR289*CR208+CS289*CS208+CT289*CT208+CU289*CU208</f>
        <v>0</v>
      </c>
      <c r="DA208" s="2840">
        <f>E290*E208+F290*F208+G290*G208+H290*H208+I290*I208+J290*J208+K290*K208+L290*L208+M290*M208+N290*N208+O290*O208+P290*P208+Q290*Q208+R290*R208+S290*S208+T290*T208+U290*U208+V290*V208+W290*W208+X290*X208+Y290*Y208+Z290*Z208+AA290*AA208+AB290*AB208+AC290*AC208+AD290*AD208+AE290*AE208+AF290*AF208+AG290*AG208+AH290*AH208+AI290*AI208+AJ290*AJ208+AK290*AK208+AL290*AL208+AM290*AM208+AN290*AN208+AO290*AO208+AP290*AP208+AQ290*AQ208+AR290*AR208+AS290*AS208+AT290*AT208+AU290*AU208+AV290*AV208+AW290*AW208+AX290*AX208+AY290*AY208+AZ290*AZ208+BA290*BA208+BB290*BB208+BC290*BC208+BD290*BD208+BE290*BE208+BF290*BF208+BG290*BG208+BH290*BH208+BI290*BI208+BJ290*BJ208+BK290*BK208+BL290*BL208+BM290*BM208+BN290*BN208+BO290*BO208+BP290*BP208+BQ290*BQ208+BR290*BR208+BS290*BS208+BT290*BT208+BU290*BU208+BV290*BV208+BW290*BW208+BX290*BX208+BY290*BY208+BZ290*BZ208+CA290*CA208+CB290*CB208+CC290*CC208+CD290*CD208+CE290*CE208+CF290*CF208+CG290*CG208+CH290*CH208+CI290*CI208+CJ290*CJ208+CK290*CK208+CL290*CL208+CM290*CM208+CN290*CN208+CO290*CO208+CP290*CP208+CQ290*CQ208+CR290*CR208+CS290*CS208+CT290*CT208+CU290*CU208</f>
        <v>0</v>
      </c>
      <c r="DB208" s="2840">
        <f>E291*E208+F291*F208+G291*G208+H291*H208+I291*I208+J291*J208+K291*K208+L291*L208+M291*M208+N291*N208+O291*O208+P291*P208+Q291*Q208+R291*R208+S291*S208+T291*T208+U291*U208+V291*V208+W291*W208+X291*X208+Y291*Y208+Z291*Z208+AA291*AA208+AB291*AB208+AC291*AC208+AD291*AD208+AE291*AE208+AF291*AF208+AG291*AG208+AH291*AH208+AI291*AI208+AJ291*AJ208+AK291*AK208+AL291*AL208+AM291*AM208+AN291*AN208+AO291*AO208+AP291*AP208+AQ291*AQ208+AR291*AR208+AS291*AS208+AT291*AT208+AU291*AU208+AV291*AV208+AW291*AW208+AX291*AX208+AY291*AY208+AZ291*AZ208+BA291*BA208+BB291*BB208+BC291*BC208+BD291*BD208+BE291*BE208+BF291*BF208+BG291*BG208+BH291*BH208+BI291*BI208+BJ291*BJ208+BK291*BK208+BL291*BL208+BM291*BM208+BN291*BN208+BO291*BO208+BP291*BP208+BQ291*BQ208+BR291*BR208+BS291*BS208+BT291*BT208+BU291*BU208+BV291*BV208+BW291*BW208+BX291*BX208+BY291*BY208+BZ291*BZ208+CA291*CA208+CB291*CB208+CC291*CC208+CD291*CD208+CE291*CE208+CF291*CF208+CG291*CG208+CH291*CH208+CI291*CI208+CJ291*CJ208+CK291*CK208+CL291*CL208+CM291*CM208+CN291*CN208+CO291*CO208+CP291*CP208+CQ291*CQ208+CR291*CR208+CS291*CS208+CT291*CT208+CU291*CU208</f>
        <v>0</v>
      </c>
      <c r="DC208" s="2840">
        <f>E292*E208+F292*F208+G292*G208+H292*H208+I292*I208+J292*J208+K292*K208+L292*L208+M292*M208+N292*N208+O292*O208+P292*P208+Q292*Q208+R292*R208+S292*S208+T292*T208+U292*U208+V292*V208+W292*W208+X292*X208+Y292*Y208+Z292*Z208+AA292*AA208+AB292*AB208+AC292*AC208+AD292*AD208+AE292*AE208+AF292*AF208+AG292*AG208+AH292*AH208+AI292*AI208+AJ292*AJ208+AK292*AK208+AL292*AL208+AM292*AM208+AN292*AN208+AO292*AO208+AP292*AP208+AQ292*AQ208+AR292*AR208+AS292*AS208+AT292*AT208+AU292*AU208+AV292*AV208+AW292*AW208+AX292*AX208+AY292*AY208+AZ292*AZ208+BA292*BA208+BB292*BB208+BC292*BC208+BD292*BD208+BE292*BE208+BF292*BF208+BG292*BG208+BH292*BH208+BI292*BI208+BJ292*BJ208+BK292*BK208+BL292*BL208+BM292*BM208+BN292*BN208+BO292*BO208+BP292*BP208+BQ292*BQ208+BR292*BR208+BS292*BS208+BT292*BT208+BU292*BU208+BV292*BV208+BW292*BW208+BX292*BX208+BY292*BY208+BZ292*BZ208+CA292*CA208+CB292*CB208+CC292*CC208+CD292*CD208+CE292*CE208+CF292*CF208+CG292*CG208+CH292*CH208+CI292*CI208+CJ292*CJ208+CK292*CK208+CL292*CL208+CM292*CM208+CN292*CN208+CO292*CO208+CP292*CP208+CQ292*CQ208+CR292*CR208+CS292*CS208+CT292*CT208+CU292*CU208</f>
        <v>0</v>
      </c>
      <c r="DD208" s="2840">
        <f>E293*E208+F293*F208+G293*G208+H293*H208+I293*I208+J293*J208+K293*K208+L293*L208+M293*M208+N293*N208+O293*O208+P293*P208+Q293*Q208+R293*R208+S293*S208+T293*T208+U293*U208+V293*V208+W293*W208+X293*X208+Y293*Y208+Z293*Z208+AA293*AA208+AB293*AB208+AC293*AC208+AD293*AD208+AE293*AE208+AF293*AF208+AG293*AG208+AH293*AH208+AI293*AI208+AJ293*AJ208+AK293*AK208+AL293*AL208+AM293*AM208+AN293*AN208+AO293*AO208+AP293*AP208+AQ293*AQ208+AR293*AR208+AS293*AS208+AT293*AT208+AU293*AU208+AV293*AV208+AW293*AW208+AX293*AX208+AY293*AY208+AZ293*AZ208+BA293*BA208+BB293*BB208+BC293*BC208+BD293*BD208+BE293*BE208+BF293*BF208+BG293*BG208+BH293*BH208+BI293*BI208+BJ293*BJ208+BK293*BK208+BL293*BL208+BM293*BM208+BN293*BN208+BO293*BO208+BP293*BP208+BQ293*BQ208+BR293*BR208+BS293*BS208+BT293*BT208+BU293*BU208+BV293*BV208+BW293*BW208+BX293*BX208+BY293*BY208+BZ293*BZ208+CA293*CA208+CB293*CB208+CC293*CC208+CD293*CD208+CE293*CE208+CF293*CF208+CG293*CG208+CH293*CH208+CI293*CI208+CJ293*CJ208+CK293*CK208+CL293*CL208+CM293*CM208+CN293*CN208+CO293*CO208+CP293*CP208+CQ293*CQ208+CR293*CR208+CS293*CS208+CT293*CT208+CU293*CU208</f>
        <v>0</v>
      </c>
      <c r="DE208" s="2840">
        <f>E294*E208+F294*F208+G294*G208+H294*H208+I294*I208+J294*J208+K294*K208+L294*L208+M294*M208+N294*N208+O294*O208+P294*P208+Q294*Q208+R294*R208+S294*S208+T294*T208+U294*U208+V294*V208+W294*W208+X294*X208+Y294*Y208+Z294*Z208+AA294*AA208+AB294*AB208+AC294*AC208+AD294*AD208+AE294*AE208+AF294*AF208+AG294*AG208+AH294*AH208+AI294*AI208+AJ294*AJ208+AK294*AK208+AL294*AL208+AM294*AM208+AN294*AN208+AO294*AO208+AP294*AP208+AQ294*AQ208+AR294*AR208+AS294*AS208+AT294*AT208+AU294*AU208+AV294*AV208+AW294*AW208+AX294*AX208+AY294*AY208+AZ294*AZ208+BA294*BA208+BB294*BB208+BC294*BC208+BD294*BD208+BE294*BE208+BF294*BF208+BG294*BG208+BH294*BH208+BI294*BI208+BJ294*BJ208+BK294*BK208+BL294*BL208+BM294*BM208+BN294*BN208+BO294*BO208+BP294*BP208+BQ294*BQ208+BR294*BR208+BS294*BS208+BT294*BT208+BU294*BU208+BV294*BV208+BW294*BW208+BX294*BX208+BY294*BY208+BZ294*BZ208+CA294*CA208+CB294*CB208+CC294*CC208+CD294*CD208+CE294*CE208+CF294*CF208+CG294*CG208+CH294*CH208+CI294*CI208+CJ294*CJ208+CK294*CK208+CL294*CL208+CM294*CM208+CN294*CN208+CO294*CO208+CP294*CP208+CQ294*CQ208+CR294*CR208+CS294*CS208+CT294*CT208+CU294*CU208</f>
        <v>0</v>
      </c>
      <c r="DF208" s="2840">
        <f>E295*E208+F295*F208+G295*G208+H295*H208+I295*I208+J295*J208+K295*K208+L295*L208+M295*M208+N295*N208+O295*O208+P295*P208+Q295*Q208+R295*R208+S295*S208+T295*T208+U295*U208+V295*V208+W295*W208+X295*X208+Y295*Y208+Z295*Z208+AA295*AA208+AB295*AB208+AC295*AC208+AD295*AD208+AE295*AE208+AF295*AF208+AG295*AG208+AH295*AH208+AI295*AI208+AJ295*AJ208+AK295*AK208+AL295*AL208+AM295*AM208+AN295*AN208+AO295*AO208+AP295*AP208+AQ295*AQ208+AR295*AR208+AS295*AS208+AT295*AT208+AU295*AU208+AV295*AV208+AW295*AW208+AX295*AX208+AY295*AY208+AZ295*AZ208+BA295*BA208+BB295*BB208+BC295*BC208+BD295*BD208+BE295*BE208+BF295*BF208+BG295*BG208+BH295*BH208+BI295*BI208+BJ295*BJ208+BK295*BK208+BL295*BL208+BM295*BM208+BN295*BN208+BO295*BO208+BP295*BP208+BQ295*BQ208+BR295*BR208+BS295*BS208+BT295*BT208+BU295*BU208+BV295*BV208+BW295*BW208+BX295*BX208+BY295*BY208+BZ295*BZ208+CA295*CA208+CB295*CB208+CC295*CC208+CD295*CD208+CE295*CE208+CF295*CF208+CG295*CG208+CH295*CH208+CI295*CI208+CJ295*CJ208+CK295*CK208+CL295*CL208+CM295*CM208+CN295*CN208+CO295*CO208+CP295*CP208+CQ295*CQ208+CR295*CR208+CS295*CS208+CT295*CT208+CU295*CU208</f>
        <v>0</v>
      </c>
      <c r="DG208" s="2840">
        <f>E296*E208+F296*F208+G296*G208+H296*H208+I296*I208+J296*J208+K296*K208+L296*L208+M296*M208+N296*N208+O296*O208+P296*P208+Q296*Q208+R296*R208+S296*S208+T296*T208+U296*U208+V296*V208+W296*W208+X296*X208+Y296*Y208+Z296*Z208+AA296*AA208+AB296*AB208+AC296*AC208+AD296*AD208+AE296*AE208+AF296*AF208+AG296*AG208+AH296*AH208+AI296*AI208+AJ296*AJ208+AK296*AK208+AL296*AL208+AM296*AM208+AN296*AN208+AO296*AO208+AP296*AP208+AQ296*AQ208+AR296*AR208+AS296*AS208+AT296*AT208+AU296*AU208+AV296*AV208+AW296*AW208+AX296*AX208+AY296*AY208+AZ296*AZ208+BA296*BA208+BB296*BB208+BC296*BC208+BD296*BD208+BE296*BE208+BF296*BF208+BG296*BG208+BH296*BH208+BI296*BI208+BJ296*BJ208+BK296*BK208+BL296*BL208+BM296*BM208+BN296*BN208+BO296*BO208+BP296*BP208+BQ296*BQ208+BR296*BR208+BS296*BS208+BT296*BT208+BU296*BU208+BV296*BV208+BW296*BW208+BX296*BX208+BY296*BY208+BZ296*BZ208+CA296*CA208+CB296*CB208+CC296*CC208+CD296*CD208+CE296*CE208+CF296*CF208+CG296*CG208+CH296*CH208+CI296*CI208+CJ296*CJ208+CK296*CK208+CL296*CL208+CM296*CM208+CN296*CN208+CO296*CO208+CP296*CP208+CQ296*CQ208+CR296*CR208+CS296*CS208+CT296*CT208+CU296*CU208</f>
        <v>0</v>
      </c>
      <c r="DH208" s="2840">
        <f>E297*E208+F297*F208+G297*G208+H297*H208+I297*I208+J297*J208+K297*K208+L297*L208+M297*M208+N297*N208+O297*O208+P297*P208+Q297*Q208+R297*R208+S297*S208+T297*T208+U297*U208+V297*V208+W297*W208+X297*X208+Y297*Y208+Z297*Z208+AA297*AA208+AB297*AB208+AC297*AC208+AD297*AD208+AE297*AE208+AF297*AF208+AG297*AG208+AH297*AH208+AI297*AI208+AJ297*AJ208+AK297*AK208+AL297*AL208+AM297*AM208+AN297*AN208+AO297*AO208+AP297*AP208+AQ297*AQ208+AR297*AR208+AS297*AS208+AT297*AT208+AU297*AU208+AV297*AV208+AW297*AW208+AX297*AX208+AY297*AY208+AZ297*AZ208+BA297*BA208+BB297*BB208+BC297*BC208+BD297*BD208+BE297*BE208+BF297*BF208+BG297*BG208+BH297*BH208+BI297*BI208+BJ297*BJ208+BK297*BK208+BL297*BL208+BM297*BM208+BN297*BN208+BO297*BO208+BP297*BP208+BQ297*BQ208+BR297*BR208+BS297*BS208+BT297*BT208+BU297*BU208+BV297*BV208+BW297*BW208+BX297*BX208+BY297*BY208+BZ297*BZ208+CA297*CA208+CB297*CB208+CC297*CC208+CD297*CD208+CE297*CE208+CF297*CF208+CG297*CG208+CH297*CH208+CI297*CI208+CJ297*CJ208+CK297*CK208+CL297*CL208+CM297*CM208+CN297*CN208+CO297*CO208+CP297*CP208+CQ297*CQ208+CR297*CR208+CS297*CS208+CT297*CT208+CU297*CU208</f>
        <v>0</v>
      </c>
      <c r="DI208" s="2840">
        <f>E298*E208+F298*F208+G298*G208+H298*H208+I298*I208+J298*J208+K298*K208+L298*L208+M298*M208+N298*N208+O298*O208+P298*P208+Q298*Q208+R298*R208+S298*S208+T298*T208+U298*U208+V298*V208+W298*W208+X298*X208+Y298*Y208+Z298*Z208+AA298*AA208+AB298*AB208+AC298*AC208+AD298*AD208+AE298*AE208+AF298*AF208+AG298*AG208+AH298*AH208+AI298*AI208+AJ298*AJ208+AK298*AK208+AL298*AL208+AM298*AM208+AN298*AN208+AO298*AO208+AP298*AP208+AQ298*AQ208+AR298*AR208+AS298*AS208+AT298*AT208+AU298*AU208+AV298*AV208+AW298*AW208+AX298*AX208+AY298*AY208+AZ298*AZ208+BA298*BA208+BB298*BB208+BC298*BC208+BD298*BD208+BE298*BE208+BF298*BF208+BG298*BG208+BH298*BH208+BI298*BI208+BJ298*BJ208+BK298*BK208+BL298*BL208+BM298*BM208+BN298*BN208+BO298*BO208+BP298*BP208+BQ298*BQ208+BR298*BR208+BS298*BS208+BT298*BT208+BU298*BU208+BV298*BV208+BW298*BW208+BX298*BX208+BY298*BY208+BZ298*BZ208+CA298*CA208+CB298*CB208+CC298*CC208+CD298*CD208+CE298*CE208+CF298*CF208+CG298*CG208+CH298*CH208+CI298*CI208+CJ298*CJ208+CK298*CK208+CL298*CL208+CM298*CM208+CN298*CN208+CO298*CO208+CP298*CP208+CQ298*CQ208+CR298*CR208+CS298*CS208+CT298*CT208+CU298*CU208</f>
        <v>0</v>
      </c>
    </row>
    <row r="209" spans="2:113" ht="18" x14ac:dyDescent="0.35">
      <c r="B209" s="2507">
        <v>56</v>
      </c>
      <c r="C209" s="2436" t="s">
        <v>2125</v>
      </c>
      <c r="D209" s="2437" t="s">
        <v>3246</v>
      </c>
      <c r="E209" s="3122">
        <f>0</f>
        <v>0</v>
      </c>
      <c r="F209" s="3122">
        <f>0</f>
        <v>0</v>
      </c>
      <c r="G209" s="3122">
        <f>0</f>
        <v>0</v>
      </c>
      <c r="H209" s="3122">
        <f>0</f>
        <v>0</v>
      </c>
      <c r="I209" s="3122">
        <f>0</f>
        <v>0</v>
      </c>
      <c r="J209" s="3122">
        <f>1-f_E</f>
        <v>0.92</v>
      </c>
      <c r="K209" s="3122">
        <f>0</f>
        <v>0</v>
      </c>
      <c r="L209" s="3122">
        <f>0</f>
        <v>0</v>
      </c>
      <c r="M209" s="3122">
        <f>0</f>
        <v>0</v>
      </c>
      <c r="N209" s="3122">
        <f>0</f>
        <v>0</v>
      </c>
      <c r="O209" s="3122">
        <f>0</f>
        <v>0</v>
      </c>
      <c r="P209" s="3122">
        <f>f_E</f>
        <v>0.08</v>
      </c>
      <c r="Q209" s="3122">
        <f>0</f>
        <v>0</v>
      </c>
      <c r="R209" s="3153">
        <f>0</f>
        <v>0</v>
      </c>
      <c r="S209" s="3122">
        <f>0</f>
        <v>0</v>
      </c>
      <c r="T209" s="3122">
        <f>0</f>
        <v>0</v>
      </c>
      <c r="U209" s="3122">
        <f>0</f>
        <v>0</v>
      </c>
      <c r="V209" s="3122">
        <f>0</f>
        <v>0</v>
      </c>
      <c r="W209" s="3122">
        <f>0</f>
        <v>0</v>
      </c>
      <c r="X209" s="3122">
        <f>0</f>
        <v>0</v>
      </c>
      <c r="Y209" s="3122">
        <f>0</f>
        <v>0</v>
      </c>
      <c r="Z209" s="3122">
        <f>0</f>
        <v>0</v>
      </c>
      <c r="AA209" s="3153">
        <f>-1</f>
        <v>-1</v>
      </c>
      <c r="AB209" s="3153">
        <f>0</f>
        <v>0</v>
      </c>
      <c r="AC209" s="3153">
        <f>0</f>
        <v>0</v>
      </c>
      <c r="AD209" s="3162">
        <f>-f_E*(i_N_XE-i_N_BIO)</f>
        <v>8.0000000000000069E-4</v>
      </c>
      <c r="AE209" s="3122">
        <f>0</f>
        <v>0</v>
      </c>
      <c r="AF209" s="3122">
        <f>0</f>
        <v>0</v>
      </c>
      <c r="AG209" s="3122">
        <f>0</f>
        <v>0</v>
      </c>
      <c r="AH209" s="3122">
        <f>0</f>
        <v>0</v>
      </c>
      <c r="AI209" s="3122">
        <f>0</f>
        <v>0</v>
      </c>
      <c r="AJ209" s="3122">
        <f>(1-f_E)*i_N_BIO</f>
        <v>6.4400000000000013E-2</v>
      </c>
      <c r="AK209" s="3122">
        <f>0</f>
        <v>0</v>
      </c>
      <c r="AL209" s="3162">
        <f>0</f>
        <v>0</v>
      </c>
      <c r="AM209" s="3122">
        <f>0</f>
        <v>0</v>
      </c>
      <c r="AN209" s="3122">
        <f>0</f>
        <v>0</v>
      </c>
      <c r="AO209" s="3122">
        <f>0</f>
        <v>0</v>
      </c>
      <c r="AP209" s="3122">
        <f>(1-f_E)*i_P_BIO</f>
        <v>1.84E-2</v>
      </c>
      <c r="AQ209" s="3122">
        <f>0</f>
        <v>0</v>
      </c>
      <c r="AR209" s="3122">
        <f>0</f>
        <v>0</v>
      </c>
      <c r="AS209" s="3122">
        <f>0</f>
        <v>0</v>
      </c>
      <c r="AT209" s="3173">
        <f>0</f>
        <v>0</v>
      </c>
      <c r="AU209" s="3122">
        <f>(1-f_E)*(i_CIT_BIO-i_CIT_XBe)</f>
        <v>6.0720000000000003E-2</v>
      </c>
      <c r="AV209" s="3122">
        <f>0</f>
        <v>0</v>
      </c>
      <c r="AW209" s="3122">
        <f>0</f>
        <v>0</v>
      </c>
      <c r="AX209" s="3122">
        <f>0</f>
        <v>0</v>
      </c>
      <c r="AY209" s="3122">
        <f>0</f>
        <v>0</v>
      </c>
      <c r="AZ209" s="3122">
        <f>0</f>
        <v>0</v>
      </c>
      <c r="BA209" s="3122">
        <f>0</f>
        <v>0</v>
      </c>
      <c r="BB209" s="3194">
        <f>0</f>
        <v>0</v>
      </c>
      <c r="BC209" s="3194">
        <f>(1-f_E)*i_S_BIO-(1-f_E)*i_S_XB</f>
        <v>7.8200000000000006E-3</v>
      </c>
      <c r="BD209" s="3162">
        <f>0</f>
        <v>0</v>
      </c>
      <c r="BE209" s="3122">
        <f>0</f>
        <v>0</v>
      </c>
      <c r="BF209" s="3122">
        <f>0</f>
        <v>0</v>
      </c>
      <c r="BG209" s="3122">
        <f>0</f>
        <v>0</v>
      </c>
      <c r="BH209" s="3122">
        <f>0</f>
        <v>0</v>
      </c>
      <c r="BI209" s="3122">
        <f>0</f>
        <v>0</v>
      </c>
      <c r="BJ209" s="3122">
        <f>0</f>
        <v>0</v>
      </c>
      <c r="BK209" s="3122">
        <f>0</f>
        <v>0</v>
      </c>
      <c r="BL209" s="3122">
        <f>0</f>
        <v>0</v>
      </c>
      <c r="BM209" s="3122">
        <f>0</f>
        <v>0</v>
      </c>
      <c r="BN209" s="3122">
        <f>0</f>
        <v>0</v>
      </c>
      <c r="BO209" s="3122">
        <f>0</f>
        <v>0</v>
      </c>
      <c r="BP209" s="3122">
        <f>0</f>
        <v>0</v>
      </c>
      <c r="BQ209" s="3122">
        <f>0</f>
        <v>0</v>
      </c>
      <c r="BR209" s="3122">
        <f>0</f>
        <v>0</v>
      </c>
      <c r="BS209" s="3122">
        <f>0</f>
        <v>0</v>
      </c>
      <c r="BT209" s="3122">
        <f>0</f>
        <v>0</v>
      </c>
      <c r="BU209" s="3122">
        <f>0</f>
        <v>0</v>
      </c>
      <c r="BV209" s="3122">
        <f>0</f>
        <v>0</v>
      </c>
      <c r="BW209" s="3122">
        <f>0</f>
        <v>0</v>
      </c>
      <c r="BX209" s="3122">
        <f>0</f>
        <v>0</v>
      </c>
      <c r="BY209" s="3122">
        <f>0</f>
        <v>0</v>
      </c>
      <c r="BZ209" s="3205">
        <f>0</f>
        <v>0</v>
      </c>
      <c r="CA209" s="3205">
        <f>0</f>
        <v>0</v>
      </c>
      <c r="CB209" s="3205">
        <f>0</f>
        <v>0</v>
      </c>
      <c r="CC209" s="3205">
        <f>0</f>
        <v>0</v>
      </c>
      <c r="CD209" s="3122">
        <f>0</f>
        <v>0</v>
      </c>
      <c r="CE209" s="3122">
        <f>0</f>
        <v>0</v>
      </c>
      <c r="CF209" s="3122">
        <f>0</f>
        <v>0</v>
      </c>
      <c r="CG209" s="3122">
        <f>0</f>
        <v>0</v>
      </c>
      <c r="CH209" s="3122">
        <f>0</f>
        <v>0</v>
      </c>
      <c r="CI209" s="3122">
        <f>0</f>
        <v>0</v>
      </c>
      <c r="CJ209" s="3122">
        <f>0</f>
        <v>0</v>
      </c>
      <c r="CK209" s="3122">
        <f>0</f>
        <v>0</v>
      </c>
      <c r="CL209" s="3122">
        <f>0</f>
        <v>0</v>
      </c>
      <c r="CM209" s="3122">
        <f>0</f>
        <v>0</v>
      </c>
      <c r="CN209" s="3122">
        <f>0</f>
        <v>0</v>
      </c>
      <c r="CO209" s="3122">
        <f>0</f>
        <v>0</v>
      </c>
      <c r="CP209" s="3122">
        <f>0</f>
        <v>0</v>
      </c>
      <c r="CQ209" s="3122">
        <f>0</f>
        <v>0</v>
      </c>
      <c r="CR209" s="3122">
        <f>0</f>
        <v>0</v>
      </c>
      <c r="CS209" s="3122">
        <f>0</f>
        <v>0</v>
      </c>
      <c r="CT209" s="3122">
        <f>0</f>
        <v>0</v>
      </c>
      <c r="CU209" s="3122">
        <f>0</f>
        <v>0</v>
      </c>
      <c r="CV209" s="3228">
        <f>b_HSRO_T*X_HSRO*(M_satSO2_KiO2_HSRO+M_satSNOx_KNOx_HSRO*M_inhSO2_KiO2_HSRO)</f>
        <v>9.7976793748520024</v>
      </c>
      <c r="CX209" s="2838">
        <f>E287*E209+F287*F209+G287*G209+H287*H209+I287*I209+J287*J209+K287*K209+L287*L209+M287*M209+N287*N209+O287*O209+P287*P209+Q287*Q209+R287*R209+S287*S209+T287*T209+U287*U209+V287*V209+W287*W209+X287*X209+Y287*Y209+Z287*Z209+AA287*AA209+AB287*AB209+AC287*AC209+AD287*AD209+AE287*AE209+AF287*AF209+AG287*AG209+AH287*AH209+AI287*AI209+AJ287*AJ209+AK287*AK209+AL287*AL209+AM287*AM209+AN287*AN209+AO287*AO209+AP287*AP209+AQ287*AQ209+AR287*AR209+AS287*AS209+AT287*AT209+AU287*AU209+AV287*AV209+AW287*AW209+AX287*AX209+AY287*AY209+AZ287*AZ209+BA287*BA209+BB287*BB209+BC287*BC209+BD287*BD209+BE287*BE209+BF287*BF209+BG287*BG209+BH287*BH209+BI287*BI209+BJ287*BJ209+BK287*BK209+BL287*BL209+BM287*BM209+BN287*BN209+BO287*BO209+BP287*BP209+BQ287*BQ209+BR287*BR209+BS287*BS209+BT287*BT209+BU287*BU209+BV287*BV209+BW287*BW209+BX287*BX209+BY287*BY209+BZ287*BZ209+CA287*CA209+CB287*CB209+CC287*CC209+CD287*CD209+CE287*CE209+CF287*CF209+CG287*CG209+CH287*CH209+CI287*CI209+CJ287*CJ209+CK287*CK209+CL287*CL209+CM287*CM209+CN287*CN209+CO287*CO209+CP287*CP209+CQ287*CQ209+CR287*CR209+CS287*CS209+CT287*CT209+CU287*CU209</f>
        <v>0</v>
      </c>
      <c r="CY209" s="2838">
        <f>E288*E209+F288*F209+G288*G209+H288*H209+I288*I209+J288*J209+K288*K209+L288*L209+M288*M209+N288*N209+O288*O209+P288*P209+Q288*Q209+R288*R209+S288*S209+T288*T209+U288*U209+V288*V209+W288*W209+X288*X209+Y288*Y209+Z288*Z209+AA288*AA209+AB288*AB209+AC288*AC209+AD288*AD209+AE288*AE209+AF288*AF209+AG288*AG209+AH288*AH209+AI288*AI209+AJ288*AJ209+AK288*AK209+AL288*AL209+AM288*AM209+AN288*AN209+AO288*AO209+AP288*AP209+AQ288*AQ209+AR288*AR209+AS288*AS209+AT288*AT209+AU288*AU209+AV288*AV209+AW288*AW209+AX288*AX209+AY288*AY209+AZ288*AZ209+BA288*BA209+BB288*BB209+BC288*BC209+BD288*BD209+BE288*BE209+BF288*BF209+BG288*BG209+BH288*BH209+BI288*BI209+BJ288*BJ209+BK288*BK209+BL288*BL209+BM288*BM209+BN288*BN209+BO288*BO209+BP288*BP209+BQ288*BQ209+BR288*BR209+BS288*BS209+BT288*BT209+BU288*BU209+BV288*BV209+BW288*BW209+BX288*BX209+BY288*BY209+BZ288*BZ209+CA288*CA209+CB288*CB209+CC288*CC209+CD288*CD209+CE288*CE209+CF288*CF209+CG288*CG209+CH288*CH209+CI288*CI209+CJ288*CJ209+CK288*CK209+CL288*CL209+CM288*CM209+CN288*CN209+CO288*CO209+CP288*CP209+CQ288*CQ209+CR288*CR209+CS288*CS209+CT288*CT209+CU288*CU209</f>
        <v>6.9388939039072284E-18</v>
      </c>
      <c r="CZ209" s="2839">
        <f>E289*E209+F289*F209+G289*G209+H289*H209+I289*I209+J289*J209+K289*K209+L289*L209+M289*M209+N289*N209+O289*O209+P289*P209+Q289*Q209+R289*R209+S289*S209+T289*T209+U289*U209+V289*V209+W289*W209+X289*X209+Y289*Y209+Z289*Z209+AA289*AA209+AB289*AB209+AC289*AC209+AD289*AD209+AE289*AE209+AF289*AF209+AG289*AG209+AH289*AH209+AI289*AI209+AJ289*AJ209+AK289*AK209+AL289*AL209+AM289*AM209+AN289*AN209+AO289*AO209+AP289*AP209+AQ289*AQ209+AR289*AR209+AS289*AS209+AT289*AT209+AU289*AU209+AV289*AV209+AW289*AW209+AX289*AX209+AY289*AY209+AZ289*AZ209+BA289*BA209+BB289*BB209+BC289*BC209+BD289*BD209+BE289*BE209+BF289*BF209+BG289*BG209+BH289*BH209+BI289*BI209+BJ289*BJ209+BK289*BK209+BL289*BL209+BM289*BM209+BN289*BN209+BO289*BO209+BP289*BP209+BQ289*BQ209+BR289*BR209+BS289*BS209+BT289*BT209+BU289*BU209+BV289*BV209+BW289*BW209+BX289*BX209+BY289*BY209+BZ289*BZ209+CA289*CA209+CB289*CB209+CC289*CC209+CD289*CD209+CE289*CE209+CF289*CF209+CG289*CG209+CH289*CH209+CI289*CI209+CJ289*CJ209+CK289*CK209+CL289*CL209+CM289*CM209+CN289*CN209+CO289*CO209+CP289*CP209+CQ289*CQ209+CR289*CR209+CS289*CS209+CT289*CT209+CU289*CU209</f>
        <v>0</v>
      </c>
      <c r="DA209" s="2840">
        <f>E290*E209+F290*F209+G290*G209+H290*H209+I290*I209+J290*J209+K290*K209+L290*L209+M290*M209+N290*N209+O290*O209+P290*P209+Q290*Q209+R290*R209+S290*S209+T290*T209+U290*U209+V290*V209+W290*W209+X290*X209+Y290*Y209+Z290*Z209+AA290*AA209+AB290*AB209+AC290*AC209+AD290*AD209+AE290*AE209+AF290*AF209+AG290*AG209+AH290*AH209+AI290*AI209+AJ290*AJ209+AK290*AK209+AL290*AL209+AM290*AM209+AN290*AN209+AO290*AO209+AP290*AP209+AQ290*AQ209+AR290*AR209+AS290*AS209+AT290*AT209+AU290*AU209+AV290*AV209+AW290*AW209+AX290*AX209+AY290*AY209+AZ290*AZ209+BA290*BA209+BB290*BB209+BC290*BC209+BD290*BD209+BE290*BE209+BF290*BF209+BG290*BG209+BH290*BH209+BI290*BI209+BJ290*BJ209+BK290*BK209+BL290*BL209+BM290*BM209+BN290*BN209+BO290*BO209+BP290*BP209+BQ290*BQ209+BR290*BR209+BS290*BS209+BT290*BT209+BU290*BU209+BV290*BV209+BW290*BW209+BX290*BX209+BY290*BY209+BZ290*BZ209+CA290*CA209+CB290*CB209+CC290*CC209+CD290*CD209+CE290*CE209+CF290*CF209+CG290*CG209+CH290*CH209+CI290*CI209+CJ290*CJ209+CK290*CK209+CL290*CL209+CM290*CM209+CN290*CN209+CO290*CO209+CP290*CP209+CQ290*CQ209+CR290*CR209+CS290*CS209+CT290*CT209+CU290*CU209</f>
        <v>0</v>
      </c>
      <c r="DB209" s="2840">
        <f>E291*E209+F291*F209+G291*G209+H291*H209+I291*I209+J291*J209+K291*K209+L291*L209+M291*M209+N291*N209+O291*O209+P291*P209+Q291*Q209+R291*R209+S291*S209+T291*T209+U291*U209+V291*V209+W291*W209+X291*X209+Y291*Y209+Z291*Z209+AA291*AA209+AB291*AB209+AC291*AC209+AD291*AD209+AE291*AE209+AF291*AF209+AG291*AG209+AH291*AH209+AI291*AI209+AJ291*AJ209+AK291*AK209+AL291*AL209+AM291*AM209+AN291*AN209+AO291*AO209+AP291*AP209+AQ291*AQ209+AR291*AR209+AS291*AS209+AT291*AT209+AU291*AU209+AV291*AV209+AW291*AW209+AX291*AX209+AY291*AY209+AZ291*AZ209+BA291*BA209+BB291*BB209+BC291*BC209+BD291*BD209+BE291*BE209+BF291*BF209+BG291*BG209+BH291*BH209+BI291*BI209+BJ291*BJ209+BK291*BK209+BL291*BL209+BM291*BM209+BN291*BN209+BO291*BO209+BP291*BP209+BQ291*BQ209+BR291*BR209+BS291*BS209+BT291*BT209+BU291*BU209+BV291*BV209+BW291*BW209+BX291*BX209+BY291*BY209+BZ291*BZ209+CA291*CA209+CB291*CB209+CC291*CC209+CD291*CD209+CE291*CE209+CF291*CF209+CG291*CG209+CH291*CH209+CI291*CI209+CJ291*CJ209+CK291*CK209+CL291*CL209+CM291*CM209+CN291*CN209+CO291*CO209+CP291*CP209+CQ291*CQ209+CR291*CR209+CS291*CS209+CT291*CT209+CU291*CU209</f>
        <v>0</v>
      </c>
      <c r="DC209" s="2840">
        <f>E292*E209+F292*F209+G292*G209+H292*H209+I292*I209+J292*J209+K292*K209+L292*L209+M292*M209+N292*N209+O292*O209+P292*P209+Q292*Q209+R292*R209+S292*S209+T292*T209+U292*U209+V292*V209+W292*W209+X292*X209+Y292*Y209+Z292*Z209+AA292*AA209+AB292*AB209+AC292*AC209+AD292*AD209+AE292*AE209+AF292*AF209+AG292*AG209+AH292*AH209+AI292*AI209+AJ292*AJ209+AK292*AK209+AL292*AL209+AM292*AM209+AN292*AN209+AO292*AO209+AP292*AP209+AQ292*AQ209+AR292*AR209+AS292*AS209+AT292*AT209+AU292*AU209+AV292*AV209+AW292*AW209+AX292*AX209+AY292*AY209+AZ292*AZ209+BA292*BA209+BB292*BB209+BC292*BC209+BD292*BD209+BE292*BE209+BF292*BF209+BG292*BG209+BH292*BH209+BI292*BI209+BJ292*BJ209+BK292*BK209+BL292*BL209+BM292*BM209+BN292*BN209+BO292*BO209+BP292*BP209+BQ292*BQ209+BR292*BR209+BS292*BS209+BT292*BT209+BU292*BU209+BV292*BV209+BW292*BW209+BX292*BX209+BY292*BY209+BZ292*BZ209+CA292*CA209+CB292*CB209+CC292*CC209+CD292*CD209+CE292*CE209+CF292*CF209+CG292*CG209+CH292*CH209+CI292*CI209+CJ292*CJ209+CK292*CK209+CL292*CL209+CM292*CM209+CN292*CN209+CO292*CO209+CP292*CP209+CQ292*CQ209+CR292*CR209+CS292*CS209+CT292*CT209+CU292*CU209</f>
        <v>0</v>
      </c>
      <c r="DD209" s="2840">
        <f>E293*E209+F293*F209+G293*G209+H293*H209+I293*I209+J293*J209+K293*K209+L293*L209+M293*M209+N293*N209+O293*O209+P293*P209+Q293*Q209+R293*R209+S293*S209+T293*T209+U293*U209+V293*V209+W293*W209+X293*X209+Y293*Y209+Z293*Z209+AA293*AA209+AB293*AB209+AC293*AC209+AD293*AD209+AE293*AE209+AF293*AF209+AG293*AG209+AH293*AH209+AI293*AI209+AJ293*AJ209+AK293*AK209+AL293*AL209+AM293*AM209+AN293*AN209+AO293*AO209+AP293*AP209+AQ293*AQ209+AR293*AR209+AS293*AS209+AT293*AT209+AU293*AU209+AV293*AV209+AW293*AW209+AX293*AX209+AY293*AY209+AZ293*AZ209+BA293*BA209+BB293*BB209+BC293*BC209+BD293*BD209+BE293*BE209+BF293*BF209+BG293*BG209+BH293*BH209+BI293*BI209+BJ293*BJ209+BK293*BK209+BL293*BL209+BM293*BM209+BN293*BN209+BO293*BO209+BP293*BP209+BQ293*BQ209+BR293*BR209+BS293*BS209+BT293*BT209+BU293*BU209+BV293*BV209+BW293*BW209+BX293*BX209+BY293*BY209+BZ293*BZ209+CA293*CA209+CB293*CB209+CC293*CC209+CD293*CD209+CE293*CE209+CF293*CF209+CG293*CG209+CH293*CH209+CI293*CI209+CJ293*CJ209+CK293*CK209+CL293*CL209+CM293*CM209+CN293*CN209+CO293*CO209+CP293*CP209+CQ293*CQ209+CR293*CR209+CS293*CS209+CT293*CT209+CU293*CU209</f>
        <v>0</v>
      </c>
      <c r="DE209" s="2840">
        <f>E294*E209+F294*F209+G294*G209+H294*H209+I294*I209+J294*J209+K294*K209+L294*L209+M294*M209+N294*N209+O294*O209+P294*P209+Q294*Q209+R294*R209+S294*S209+T294*T209+U294*U209+V294*V209+W294*W209+X294*X209+Y294*Y209+Z294*Z209+AA294*AA209+AB294*AB209+AC294*AC209+AD294*AD209+AE294*AE209+AF294*AF209+AG294*AG209+AH294*AH209+AI294*AI209+AJ294*AJ209+AK294*AK209+AL294*AL209+AM294*AM209+AN294*AN209+AO294*AO209+AP294*AP209+AQ294*AQ209+AR294*AR209+AS294*AS209+AT294*AT209+AU294*AU209+AV294*AV209+AW294*AW209+AX294*AX209+AY294*AY209+AZ294*AZ209+BA294*BA209+BB294*BB209+BC294*BC209+BD294*BD209+BE294*BE209+BF294*BF209+BG294*BG209+BH294*BH209+BI294*BI209+BJ294*BJ209+BK294*BK209+BL294*BL209+BM294*BM209+BN294*BN209+BO294*BO209+BP294*BP209+BQ294*BQ209+BR294*BR209+BS294*BS209+BT294*BT209+BU294*BU209+BV294*BV209+BW294*BW209+BX294*BX209+BY294*BY209+BZ294*BZ209+CA294*CA209+CB294*CB209+CC294*CC209+CD294*CD209+CE294*CE209+CF294*CF209+CG294*CG209+CH294*CH209+CI294*CI209+CJ294*CJ209+CK294*CK209+CL294*CL209+CM294*CM209+CN294*CN209+CO294*CO209+CP294*CP209+CQ294*CQ209+CR294*CR209+CS294*CS209+CT294*CT209+CU294*CU209</f>
        <v>0</v>
      </c>
      <c r="DF209" s="2840">
        <f>E295*E209+F295*F209+G295*G209+H295*H209+I295*I209+J295*J209+K295*K209+L295*L209+M295*M209+N295*N209+O295*O209+P295*P209+Q295*Q209+R295*R209+S295*S209+T295*T209+U295*U209+V295*V209+W295*W209+X295*X209+Y295*Y209+Z295*Z209+AA295*AA209+AB295*AB209+AC295*AC209+AD295*AD209+AE295*AE209+AF295*AF209+AG295*AG209+AH295*AH209+AI295*AI209+AJ295*AJ209+AK295*AK209+AL295*AL209+AM295*AM209+AN295*AN209+AO295*AO209+AP295*AP209+AQ295*AQ209+AR295*AR209+AS295*AS209+AT295*AT209+AU295*AU209+AV295*AV209+AW295*AW209+AX295*AX209+AY295*AY209+AZ295*AZ209+BA295*BA209+BB295*BB209+BC295*BC209+BD295*BD209+BE295*BE209+BF295*BF209+BG295*BG209+BH295*BH209+BI295*BI209+BJ295*BJ209+BK295*BK209+BL295*BL209+BM295*BM209+BN295*BN209+BO295*BO209+BP295*BP209+BQ295*BQ209+BR295*BR209+BS295*BS209+BT295*BT209+BU295*BU209+BV295*BV209+BW295*BW209+BX295*BX209+BY295*BY209+BZ295*BZ209+CA295*CA209+CB295*CB209+CC295*CC209+CD295*CD209+CE295*CE209+CF295*CF209+CG295*CG209+CH295*CH209+CI295*CI209+CJ295*CJ209+CK295*CK209+CL295*CL209+CM295*CM209+CN295*CN209+CO295*CO209+CP295*CP209+CQ295*CQ209+CR295*CR209+CS295*CS209+CT295*CT209+CU295*CU209</f>
        <v>0</v>
      </c>
      <c r="DG209" s="2840">
        <f>E296*E209+F296*F209+G296*G209+H296*H209+I296*I209+J296*J209+K296*K209+L296*L209+M296*M209+N296*N209+O296*O209+P296*P209+Q296*Q209+R296*R209+S296*S209+T296*T209+U296*U209+V296*V209+W296*W209+X296*X209+Y296*Y209+Z296*Z209+AA296*AA209+AB296*AB209+AC296*AC209+AD296*AD209+AE296*AE209+AF296*AF209+AG296*AG209+AH296*AH209+AI296*AI209+AJ296*AJ209+AK296*AK209+AL296*AL209+AM296*AM209+AN296*AN209+AO296*AO209+AP296*AP209+AQ296*AQ209+AR296*AR209+AS296*AS209+AT296*AT209+AU296*AU209+AV296*AV209+AW296*AW209+AX296*AX209+AY296*AY209+AZ296*AZ209+BA296*BA209+BB296*BB209+BC296*BC209+BD296*BD209+BE296*BE209+BF296*BF209+BG296*BG209+BH296*BH209+BI296*BI209+BJ296*BJ209+BK296*BK209+BL296*BL209+BM296*BM209+BN296*BN209+BO296*BO209+BP296*BP209+BQ296*BQ209+BR296*BR209+BS296*BS209+BT296*BT209+BU296*BU209+BV296*BV209+BW296*BW209+BX296*BX209+BY296*BY209+BZ296*BZ209+CA296*CA209+CB296*CB209+CC296*CC209+CD296*CD209+CE296*CE209+CF296*CF209+CG296*CG209+CH296*CH209+CI296*CI209+CJ296*CJ209+CK296*CK209+CL296*CL209+CM296*CM209+CN296*CN209+CO296*CO209+CP296*CP209+CQ296*CQ209+CR296*CR209+CS296*CS209+CT296*CT209+CU296*CU209</f>
        <v>0</v>
      </c>
      <c r="DH209" s="2840">
        <f>E297*E209+F297*F209+G297*G209+H297*H209+I297*I209+J297*J209+K297*K209+L297*L209+M297*M209+N297*N209+O297*O209+P297*P209+Q297*Q209+R297*R209+S297*S209+T297*T209+U297*U209+V297*V209+W297*W209+X297*X209+Y297*Y209+Z297*Z209+AA297*AA209+AB297*AB209+AC297*AC209+AD297*AD209+AE297*AE209+AF297*AF209+AG297*AG209+AH297*AH209+AI297*AI209+AJ297*AJ209+AK297*AK209+AL297*AL209+AM297*AM209+AN297*AN209+AO297*AO209+AP297*AP209+AQ297*AQ209+AR297*AR209+AS297*AS209+AT297*AT209+AU297*AU209+AV297*AV209+AW297*AW209+AX297*AX209+AY297*AY209+AZ297*AZ209+BA297*BA209+BB297*BB209+BC297*BC209+BD297*BD209+BE297*BE209+BF297*BF209+BG297*BG209+BH297*BH209+BI297*BI209+BJ297*BJ209+BK297*BK209+BL297*BL209+BM297*BM209+BN297*BN209+BO297*BO209+BP297*BP209+BQ297*BQ209+BR297*BR209+BS297*BS209+BT297*BT209+BU297*BU209+BV297*BV209+BW297*BW209+BX297*BX209+BY297*BY209+BZ297*BZ209+CA297*CA209+CB297*CB209+CC297*CC209+CD297*CD209+CE297*CE209+CF297*CF209+CG297*CG209+CH297*CH209+CI297*CI209+CJ297*CJ209+CK297*CK209+CL297*CL209+CM297*CM209+CN297*CN209+CO297*CO209+CP297*CP209+CQ297*CQ209+CR297*CR209+CS297*CS209+CT297*CT209+CU297*CU209</f>
        <v>0</v>
      </c>
      <c r="DI209" s="2840">
        <f>E298*E209+F298*F209+G298*G209+H298*H209+I298*I209+J298*J209+K298*K209+L298*L209+M298*M209+N298*N209+O298*O209+P298*P209+Q298*Q209+R298*R209+S298*S209+T298*T209+U298*U209+V298*V209+W298*W209+X298*X209+Y298*Y209+Z298*Z209+AA298*AA209+AB298*AB209+AC298*AC209+AD298*AD209+AE298*AE209+AF298*AF209+AG298*AG209+AH298*AH209+AI298*AI209+AJ298*AJ209+AK298*AK209+AL298*AL209+AM298*AM209+AN298*AN209+AO298*AO209+AP298*AP209+AQ298*AQ209+AR298*AR209+AS298*AS209+AT298*AT209+AU298*AU209+AV298*AV209+AW298*AW209+AX298*AX209+AY298*AY209+AZ298*AZ209+BA298*BA209+BB298*BB209+BC298*BC209+BD298*BD209+BE298*BE209+BF298*BF209+BG298*BG209+BH298*BH209+BI298*BI209+BJ298*BJ209+BK298*BK209+BL298*BL209+BM298*BM209+BN298*BN209+BO298*BO209+BP298*BP209+BQ298*BQ209+BR298*BR209+BS298*BS209+BT298*BT209+BU298*BU209+BV298*BV209+BW298*BW209+BX298*BX209+BY298*BY209+BZ298*BZ209+CA298*CA209+CB298*CB209+CC298*CC209+CD298*CD209+CE298*CE209+CF298*CF209+CG298*CG209+CH298*CH209+CI298*CI209+CJ298*CJ209+CK298*CK209+CL298*CL209+CM298*CM209+CN298*CN209+CO298*CO209+CP298*CP209+CQ298*CQ209+CR298*CR209+CS298*CS209+CT298*CT209+CU298*CU209</f>
        <v>0</v>
      </c>
    </row>
    <row r="210" spans="2:113" ht="18" x14ac:dyDescent="0.35">
      <c r="B210" s="2507">
        <v>57</v>
      </c>
      <c r="C210" s="2436" t="s">
        <v>2126</v>
      </c>
      <c r="D210" s="2437" t="s">
        <v>3273</v>
      </c>
      <c r="E210" s="3122">
        <f>0</f>
        <v>0</v>
      </c>
      <c r="F210" s="3122">
        <f>0</f>
        <v>0</v>
      </c>
      <c r="G210" s="3122">
        <f>0</f>
        <v>0</v>
      </c>
      <c r="H210" s="3122">
        <f>0</f>
        <v>0</v>
      </c>
      <c r="I210" s="3122">
        <f>0</f>
        <v>0</v>
      </c>
      <c r="J210" s="3122">
        <f>1-f_E</f>
        <v>0.92</v>
      </c>
      <c r="K210" s="3122">
        <f>0</f>
        <v>0</v>
      </c>
      <c r="L210" s="3122">
        <f>0</f>
        <v>0</v>
      </c>
      <c r="M210" s="3122">
        <f>0</f>
        <v>0</v>
      </c>
      <c r="N210" s="3122">
        <f>0</f>
        <v>0</v>
      </c>
      <c r="O210" s="3122">
        <f>0</f>
        <v>0</v>
      </c>
      <c r="P210" s="3122">
        <f>0</f>
        <v>0</v>
      </c>
      <c r="Q210" s="3122">
        <f>f_E</f>
        <v>0.08</v>
      </c>
      <c r="R210" s="3153">
        <f>0</f>
        <v>0</v>
      </c>
      <c r="S210" s="3122">
        <f>0</f>
        <v>0</v>
      </c>
      <c r="T210" s="3122">
        <f>0</f>
        <v>0</v>
      </c>
      <c r="U210" s="3122">
        <f>0</f>
        <v>0</v>
      </c>
      <c r="V210" s="3122">
        <f>0</f>
        <v>0</v>
      </c>
      <c r="W210" s="3122">
        <f>0</f>
        <v>0</v>
      </c>
      <c r="X210" s="3122">
        <f>0</f>
        <v>0</v>
      </c>
      <c r="Y210" s="3122">
        <f>0</f>
        <v>0</v>
      </c>
      <c r="Z210" s="3122">
        <f>0</f>
        <v>0</v>
      </c>
      <c r="AA210" s="3153">
        <f>-1</f>
        <v>-1</v>
      </c>
      <c r="AB210" s="3153">
        <f>0</f>
        <v>0</v>
      </c>
      <c r="AC210" s="3153">
        <f>0</f>
        <v>0</v>
      </c>
      <c r="AD210" s="3162">
        <f>-f_E*(i_N_XE-i_N_BIO)</f>
        <v>8.0000000000000069E-4</v>
      </c>
      <c r="AE210" s="3122">
        <f>0</f>
        <v>0</v>
      </c>
      <c r="AF210" s="3122">
        <f>0</f>
        <v>0</v>
      </c>
      <c r="AG210" s="3122">
        <f>0</f>
        <v>0</v>
      </c>
      <c r="AH210" s="3122">
        <f>0</f>
        <v>0</v>
      </c>
      <c r="AI210" s="3122">
        <f>0</f>
        <v>0</v>
      </c>
      <c r="AJ210" s="3122">
        <f>(1-f_E)*i_N_BIO</f>
        <v>6.4400000000000013E-2</v>
      </c>
      <c r="AK210" s="3122">
        <f>0</f>
        <v>0</v>
      </c>
      <c r="AL210" s="3162">
        <f>0</f>
        <v>0</v>
      </c>
      <c r="AM210" s="3122">
        <f>0</f>
        <v>0</v>
      </c>
      <c r="AN210" s="3122">
        <f>0</f>
        <v>0</v>
      </c>
      <c r="AO210" s="3122">
        <f>0</f>
        <v>0</v>
      </c>
      <c r="AP210" s="3122">
        <f>(1-f_E)*i_P_BIO</f>
        <v>1.84E-2</v>
      </c>
      <c r="AQ210" s="3122">
        <f>0</f>
        <v>0</v>
      </c>
      <c r="AR210" s="3122">
        <f>0</f>
        <v>0</v>
      </c>
      <c r="AS210" s="3122">
        <f>0</f>
        <v>0</v>
      </c>
      <c r="AT210" s="3173">
        <f>0</f>
        <v>0</v>
      </c>
      <c r="AU210" s="3122">
        <f>(1-f_E)*(i_CIT_BIO-i_CIT_XBe)</f>
        <v>6.0720000000000003E-2</v>
      </c>
      <c r="AV210" s="3122">
        <f>0</f>
        <v>0</v>
      </c>
      <c r="AW210" s="3122">
        <f>0</f>
        <v>0</v>
      </c>
      <c r="AX210" s="3122">
        <f>0</f>
        <v>0</v>
      </c>
      <c r="AY210" s="3122">
        <f>0</f>
        <v>0</v>
      </c>
      <c r="AZ210" s="3122">
        <f>0</f>
        <v>0</v>
      </c>
      <c r="BA210" s="3122">
        <f>0</f>
        <v>0</v>
      </c>
      <c r="BB210" s="3194">
        <f>0</f>
        <v>0</v>
      </c>
      <c r="BC210" s="3194">
        <f>(1-f_E)*i_S_BIO-(1-f_E)*i_S_XB</f>
        <v>7.8200000000000006E-3</v>
      </c>
      <c r="BD210" s="3162">
        <f>0</f>
        <v>0</v>
      </c>
      <c r="BE210" s="3122">
        <f>0</f>
        <v>0</v>
      </c>
      <c r="BF210" s="3122">
        <f>0</f>
        <v>0</v>
      </c>
      <c r="BG210" s="3122">
        <f>0</f>
        <v>0</v>
      </c>
      <c r="BH210" s="3122">
        <f>0</f>
        <v>0</v>
      </c>
      <c r="BI210" s="3122">
        <f>0</f>
        <v>0</v>
      </c>
      <c r="BJ210" s="3122">
        <f>0</f>
        <v>0</v>
      </c>
      <c r="BK210" s="3122">
        <f>0</f>
        <v>0</v>
      </c>
      <c r="BL210" s="3122">
        <f>0</f>
        <v>0</v>
      </c>
      <c r="BM210" s="3122">
        <f>0</f>
        <v>0</v>
      </c>
      <c r="BN210" s="3122">
        <f>0</f>
        <v>0</v>
      </c>
      <c r="BO210" s="3122">
        <f>0</f>
        <v>0</v>
      </c>
      <c r="BP210" s="3122">
        <f>0</f>
        <v>0</v>
      </c>
      <c r="BQ210" s="3122">
        <f>0</f>
        <v>0</v>
      </c>
      <c r="BR210" s="3122">
        <f>0</f>
        <v>0</v>
      </c>
      <c r="BS210" s="3122">
        <f>0</f>
        <v>0</v>
      </c>
      <c r="BT210" s="3122">
        <f>0</f>
        <v>0</v>
      </c>
      <c r="BU210" s="3122">
        <f>0</f>
        <v>0</v>
      </c>
      <c r="BV210" s="3122">
        <f>0</f>
        <v>0</v>
      </c>
      <c r="BW210" s="3122">
        <f>0</f>
        <v>0</v>
      </c>
      <c r="BX210" s="3122">
        <f>0</f>
        <v>0</v>
      </c>
      <c r="BY210" s="3122">
        <f>0</f>
        <v>0</v>
      </c>
      <c r="BZ210" s="3205">
        <f>0</f>
        <v>0</v>
      </c>
      <c r="CA210" s="3205">
        <f>0</f>
        <v>0</v>
      </c>
      <c r="CB210" s="3205">
        <f>0</f>
        <v>0</v>
      </c>
      <c r="CC210" s="3205">
        <f>0</f>
        <v>0</v>
      </c>
      <c r="CD210" s="3122">
        <f>0</f>
        <v>0</v>
      </c>
      <c r="CE210" s="3122">
        <f>0</f>
        <v>0</v>
      </c>
      <c r="CF210" s="3122">
        <f>0</f>
        <v>0</v>
      </c>
      <c r="CG210" s="3122">
        <f>0</f>
        <v>0</v>
      </c>
      <c r="CH210" s="3122">
        <f>0</f>
        <v>0</v>
      </c>
      <c r="CI210" s="3122">
        <f>0</f>
        <v>0</v>
      </c>
      <c r="CJ210" s="3122">
        <f>0</f>
        <v>0</v>
      </c>
      <c r="CK210" s="3122">
        <f>0</f>
        <v>0</v>
      </c>
      <c r="CL210" s="3122">
        <f>0</f>
        <v>0</v>
      </c>
      <c r="CM210" s="3122">
        <f>0</f>
        <v>0</v>
      </c>
      <c r="CN210" s="3122">
        <f>0</f>
        <v>0</v>
      </c>
      <c r="CO210" s="3122">
        <f>0</f>
        <v>0</v>
      </c>
      <c r="CP210" s="3122">
        <f>0</f>
        <v>0</v>
      </c>
      <c r="CQ210" s="3122">
        <f>0</f>
        <v>0</v>
      </c>
      <c r="CR210" s="3122">
        <f>0</f>
        <v>0</v>
      </c>
      <c r="CS210" s="3122">
        <f>0</f>
        <v>0</v>
      </c>
      <c r="CT210" s="3122">
        <f>0</f>
        <v>0</v>
      </c>
      <c r="CU210" s="3122">
        <f>0</f>
        <v>0</v>
      </c>
      <c r="CV210" s="3228">
        <f>b_HSRO_T*X_HSRO*(M_inhSNOx_KNOx_HSRO*M_inhSO2_KiO2_HSRO)</f>
        <v>2.3206251479990538E-3</v>
      </c>
      <c r="CX210" s="2838">
        <f>E287*E210+F287*F210+G287*G210+H287*H210+I287*I210+J287*J210+K287*K210+L287*L210+M287*M210+N287*N210+O287*O210+P287*P210+Q287*Q210+R287*R210+S287*S210+T287*T210+U287*U210+V287*V210+W287*W210+X287*X210+Y287*Y210+Z287*Z210+AA287*AA210+AB287*AB210+AC287*AC210+AD287*AD210+AE287*AE210+AF287*AF210+AG287*AG210+AH287*AH210+AI287*AI210+AJ287*AJ210+AK287*AK210+AL287*AL210+AM287*AM210+AN287*AN210+AO287*AO210+AP287*AP210+AQ287*AQ210+AR287*AR210+AS287*AS210+AT287*AT210+AU287*AU210+AV287*AV210+AW287*AW210+AX287*AX210+AY287*AY210+AZ287*AZ210+BA287*BA210+BB287*BB210+BC287*BC210+BD287*BD210+BE287*BE210+BF287*BF210+BG287*BG210+BH287*BH210+BI287*BI210+BJ287*BJ210+BK287*BK210+BL287*BL210+BM287*BM210+BN287*BN210+BO287*BO210+BP287*BP210+BQ287*BQ210+BR287*BR210+BS287*BS210+BT287*BT210+BU287*BU210+BV287*BV210+BW287*BW210+BX287*BX210+BY287*BY210+BZ287*BZ210+CA287*CA210+CB287*CB210+CC287*CC210+CD287*CD210+CE287*CE210+CF287*CF210+CG287*CG210+CH287*CH210+CI287*CI210+CJ287*CJ210+CK287*CK210+CL287*CL210+CM287*CM210+CN287*CN210+CO287*CO210+CP287*CP210+CQ287*CQ210+CR287*CR210+CS287*CS210+CT287*CT210+CU287*CU210</f>
        <v>0</v>
      </c>
      <c r="CY210" s="2838">
        <f>E288*E210+F288*F210+G288*G210+H288*H210+I288*I210+J288*J210+K288*K210+L288*L210+M288*M210+N288*N210+O288*O210+P288*P210+Q288*Q210+R288*R210+S288*S210+T288*T210+U288*U210+V288*V210+W288*W210+X288*X210+Y288*Y210+Z288*Z210+AA288*AA210+AB288*AB210+AC288*AC210+AD288*AD210+AE288*AE210+AF288*AF210+AG288*AG210+AH288*AH210+AI288*AI210+AJ288*AJ210+AK288*AK210+AL288*AL210+AM288*AM210+AN288*AN210+AO288*AO210+AP288*AP210+AQ288*AQ210+AR288*AR210+AS288*AS210+AT288*AT210+AU288*AU210+AV288*AV210+AW288*AW210+AX288*AX210+AY288*AY210+AZ288*AZ210+BA288*BA210+BB288*BB210+BC288*BC210+BD288*BD210+BE288*BE210+BF288*BF210+BG288*BG210+BH288*BH210+BI288*BI210+BJ288*BJ210+BK288*BK210+BL288*BL210+BM288*BM210+BN288*BN210+BO288*BO210+BP288*BP210+BQ288*BQ210+BR288*BR210+BS288*BS210+BT288*BT210+BU288*BU210+BV288*BV210+BW288*BW210+BX288*BX210+BY288*BY210+BZ288*BZ210+CA288*CA210+CB288*CB210+CC288*CC210+CD288*CD210+CE288*CE210+CF288*CF210+CG288*CG210+CH288*CH210+CI288*CI210+CJ288*CJ210+CK288*CK210+CL288*CL210+CM288*CM210+CN288*CN210+CO288*CO210+CP288*CP210+CQ288*CQ210+CR288*CR210+CS288*CS210+CT288*CT210+CU288*CU210</f>
        <v>6.9388939039072284E-18</v>
      </c>
      <c r="CZ210" s="2839">
        <f>E289*E210+F289*F210+G289*G210+H289*H210+I289*I210+J289*J210+K289*K210+L289*L210+M289*M210+N289*N210+O289*O210+P289*P210+Q289*Q210+R289*R210+S289*S210+T289*T210+U289*U210+V289*V210+W289*W210+X289*X210+Y289*Y210+Z289*Z210+AA289*AA210+AB289*AB210+AC289*AC210+AD289*AD210+AE289*AE210+AF289*AF210+AG289*AG210+AH289*AH210+AI289*AI210+AJ289*AJ210+AK289*AK210+AL289*AL210+AM289*AM210+AN289*AN210+AO289*AO210+AP289*AP210+AQ289*AQ210+AR289*AR210+AS289*AS210+AT289*AT210+AU289*AU210+AV289*AV210+AW289*AW210+AX289*AX210+AY289*AY210+AZ289*AZ210+BA289*BA210+BB289*BB210+BC289*BC210+BD289*BD210+BE289*BE210+BF289*BF210+BG289*BG210+BH289*BH210+BI289*BI210+BJ289*BJ210+BK289*BK210+BL289*BL210+BM289*BM210+BN289*BN210+BO289*BO210+BP289*BP210+BQ289*BQ210+BR289*BR210+BS289*BS210+BT289*BT210+BU289*BU210+BV289*BV210+BW289*BW210+BX289*BX210+BY289*BY210+BZ289*BZ210+CA289*CA210+CB289*CB210+CC289*CC210+CD289*CD210+CE289*CE210+CF289*CF210+CG289*CG210+CH289*CH210+CI289*CI210+CJ289*CJ210+CK289*CK210+CL289*CL210+CM289*CM210+CN289*CN210+CO289*CO210+CP289*CP210+CQ289*CQ210+CR289*CR210+CS289*CS210+CT289*CT210+CU289*CU210</f>
        <v>0</v>
      </c>
      <c r="DA210" s="2840">
        <f>E290*E210+F290*F210+G290*G210+H290*H210+I290*I210+J290*J210+K290*K210+L290*L210+M290*M210+N290*N210+O290*O210+P290*P210+Q290*Q210+R290*R210+S290*S210+T290*T210+U290*U210+V290*V210+W290*W210+X290*X210+Y290*Y210+Z290*Z210+AA290*AA210+AB290*AB210+AC290*AC210+AD290*AD210+AE290*AE210+AF290*AF210+AG290*AG210+AH290*AH210+AI290*AI210+AJ290*AJ210+AK290*AK210+AL290*AL210+AM290*AM210+AN290*AN210+AO290*AO210+AP290*AP210+AQ290*AQ210+AR290*AR210+AS290*AS210+AT290*AT210+AU290*AU210+AV290*AV210+AW290*AW210+AX290*AX210+AY290*AY210+AZ290*AZ210+BA290*BA210+BB290*BB210+BC290*BC210+BD290*BD210+BE290*BE210+BF290*BF210+BG290*BG210+BH290*BH210+BI290*BI210+BJ290*BJ210+BK290*BK210+BL290*BL210+BM290*BM210+BN290*BN210+BO290*BO210+BP290*BP210+BQ290*BQ210+BR290*BR210+BS290*BS210+BT290*BT210+BU290*BU210+BV290*BV210+BW290*BW210+BX290*BX210+BY290*BY210+BZ290*BZ210+CA290*CA210+CB290*CB210+CC290*CC210+CD290*CD210+CE290*CE210+CF290*CF210+CG290*CG210+CH290*CH210+CI290*CI210+CJ290*CJ210+CK290*CK210+CL290*CL210+CM290*CM210+CN290*CN210+CO290*CO210+CP290*CP210+CQ290*CQ210+CR290*CR210+CS290*CS210+CT290*CT210+CU290*CU210</f>
        <v>0</v>
      </c>
      <c r="DB210" s="2840">
        <f>E291*E210+F291*F210+G291*G210+H291*H210+I291*I210+J291*J210+K291*K210+L291*L210+M291*M210+N291*N210+O291*O210+P291*P210+Q291*Q210+R291*R210+S291*S210+T291*T210+U291*U210+V291*V210+W291*W210+X291*X210+Y291*Y210+Z291*Z210+AA291*AA210+AB291*AB210+AC291*AC210+AD291*AD210+AE291*AE210+AF291*AF210+AG291*AG210+AH291*AH210+AI291*AI210+AJ291*AJ210+AK291*AK210+AL291*AL210+AM291*AM210+AN291*AN210+AO291*AO210+AP291*AP210+AQ291*AQ210+AR291*AR210+AS291*AS210+AT291*AT210+AU291*AU210+AV291*AV210+AW291*AW210+AX291*AX210+AY291*AY210+AZ291*AZ210+BA291*BA210+BB291*BB210+BC291*BC210+BD291*BD210+BE291*BE210+BF291*BF210+BG291*BG210+BH291*BH210+BI291*BI210+BJ291*BJ210+BK291*BK210+BL291*BL210+BM291*BM210+BN291*BN210+BO291*BO210+BP291*BP210+BQ291*BQ210+BR291*BR210+BS291*BS210+BT291*BT210+BU291*BU210+BV291*BV210+BW291*BW210+BX291*BX210+BY291*BY210+BZ291*BZ210+CA291*CA210+CB291*CB210+CC291*CC210+CD291*CD210+CE291*CE210+CF291*CF210+CG291*CG210+CH291*CH210+CI291*CI210+CJ291*CJ210+CK291*CK210+CL291*CL210+CM291*CM210+CN291*CN210+CO291*CO210+CP291*CP210+CQ291*CQ210+CR291*CR210+CS291*CS210+CT291*CT210+CU291*CU210</f>
        <v>0</v>
      </c>
      <c r="DC210" s="2840">
        <f>E292*E210+F292*F210+G292*G210+H292*H210+I292*I210+J292*J210+K292*K210+L292*L210+M292*M210+N292*N210+O292*O210+P292*P210+Q292*Q210+R292*R210+S292*S210+T292*T210+U292*U210+V292*V210+W292*W210+X292*X210+Y292*Y210+Z292*Z210+AA292*AA210+AB292*AB210+AC292*AC210+AD292*AD210+AE292*AE210+AF292*AF210+AG292*AG210+AH292*AH210+AI292*AI210+AJ292*AJ210+AK292*AK210+AL292*AL210+AM292*AM210+AN292*AN210+AO292*AO210+AP292*AP210+AQ292*AQ210+AR292*AR210+AS292*AS210+AT292*AT210+AU292*AU210+AV292*AV210+AW292*AW210+AX292*AX210+AY292*AY210+AZ292*AZ210+BA292*BA210+BB292*BB210+BC292*BC210+BD292*BD210+BE292*BE210+BF292*BF210+BG292*BG210+BH292*BH210+BI292*BI210+BJ292*BJ210+BK292*BK210+BL292*BL210+BM292*BM210+BN292*BN210+BO292*BO210+BP292*BP210+BQ292*BQ210+BR292*BR210+BS292*BS210+BT292*BT210+BU292*BU210+BV292*BV210+BW292*BW210+BX292*BX210+BY292*BY210+BZ292*BZ210+CA292*CA210+CB292*CB210+CC292*CC210+CD292*CD210+CE292*CE210+CF292*CF210+CG292*CG210+CH292*CH210+CI292*CI210+CJ292*CJ210+CK292*CK210+CL292*CL210+CM292*CM210+CN292*CN210+CO292*CO210+CP292*CP210+CQ292*CQ210+CR292*CR210+CS292*CS210+CT292*CT210+CU292*CU210</f>
        <v>0</v>
      </c>
      <c r="DD210" s="2840">
        <f>E293*E210+F293*F210+G293*G210+H293*H210+I293*I210+J293*J210+K293*K210+L293*L210+M293*M210+N293*N210+O293*O210+P293*P210+Q293*Q210+R293*R210+S293*S210+T293*T210+U293*U210+V293*V210+W293*W210+X293*X210+Y293*Y210+Z293*Z210+AA293*AA210+AB293*AB210+AC293*AC210+AD293*AD210+AE293*AE210+AF293*AF210+AG293*AG210+AH293*AH210+AI293*AI210+AJ293*AJ210+AK293*AK210+AL293*AL210+AM293*AM210+AN293*AN210+AO293*AO210+AP293*AP210+AQ293*AQ210+AR293*AR210+AS293*AS210+AT293*AT210+AU293*AU210+AV293*AV210+AW293*AW210+AX293*AX210+AY293*AY210+AZ293*AZ210+BA293*BA210+BB293*BB210+BC293*BC210+BD293*BD210+BE293*BE210+BF293*BF210+BG293*BG210+BH293*BH210+BI293*BI210+BJ293*BJ210+BK293*BK210+BL293*BL210+BM293*BM210+BN293*BN210+BO293*BO210+BP293*BP210+BQ293*BQ210+BR293*BR210+BS293*BS210+BT293*BT210+BU293*BU210+BV293*BV210+BW293*BW210+BX293*BX210+BY293*BY210+BZ293*BZ210+CA293*CA210+CB293*CB210+CC293*CC210+CD293*CD210+CE293*CE210+CF293*CF210+CG293*CG210+CH293*CH210+CI293*CI210+CJ293*CJ210+CK293*CK210+CL293*CL210+CM293*CM210+CN293*CN210+CO293*CO210+CP293*CP210+CQ293*CQ210+CR293*CR210+CS293*CS210+CT293*CT210+CU293*CU210</f>
        <v>0</v>
      </c>
      <c r="DE210" s="2840">
        <f>E294*E210+F294*F210+G294*G210+H294*H210+I294*I210+J294*J210+K294*K210+L294*L210+M294*M210+N294*N210+O294*O210+P294*P210+Q294*Q210+R294*R210+S294*S210+T294*T210+U294*U210+V294*V210+W294*W210+X294*X210+Y294*Y210+Z294*Z210+AA294*AA210+AB294*AB210+AC294*AC210+AD294*AD210+AE294*AE210+AF294*AF210+AG294*AG210+AH294*AH210+AI294*AI210+AJ294*AJ210+AK294*AK210+AL294*AL210+AM294*AM210+AN294*AN210+AO294*AO210+AP294*AP210+AQ294*AQ210+AR294*AR210+AS294*AS210+AT294*AT210+AU294*AU210+AV294*AV210+AW294*AW210+AX294*AX210+AY294*AY210+AZ294*AZ210+BA294*BA210+BB294*BB210+BC294*BC210+BD294*BD210+BE294*BE210+BF294*BF210+BG294*BG210+BH294*BH210+BI294*BI210+BJ294*BJ210+BK294*BK210+BL294*BL210+BM294*BM210+BN294*BN210+BO294*BO210+BP294*BP210+BQ294*BQ210+BR294*BR210+BS294*BS210+BT294*BT210+BU294*BU210+BV294*BV210+BW294*BW210+BX294*BX210+BY294*BY210+BZ294*BZ210+CA294*CA210+CB294*CB210+CC294*CC210+CD294*CD210+CE294*CE210+CF294*CF210+CG294*CG210+CH294*CH210+CI294*CI210+CJ294*CJ210+CK294*CK210+CL294*CL210+CM294*CM210+CN294*CN210+CO294*CO210+CP294*CP210+CQ294*CQ210+CR294*CR210+CS294*CS210+CT294*CT210+CU294*CU210</f>
        <v>0</v>
      </c>
      <c r="DF210" s="2840">
        <f>E295*E210+F295*F210+G295*G210+H295*H210+I295*I210+J295*J210+K295*K210+L295*L210+M295*M210+N295*N210+O295*O210+P295*P210+Q295*Q210+R295*R210+S295*S210+T295*T210+U295*U210+V295*V210+W295*W210+X295*X210+Y295*Y210+Z295*Z210+AA295*AA210+AB295*AB210+AC295*AC210+AD295*AD210+AE295*AE210+AF295*AF210+AG295*AG210+AH295*AH210+AI295*AI210+AJ295*AJ210+AK295*AK210+AL295*AL210+AM295*AM210+AN295*AN210+AO295*AO210+AP295*AP210+AQ295*AQ210+AR295*AR210+AS295*AS210+AT295*AT210+AU295*AU210+AV295*AV210+AW295*AW210+AX295*AX210+AY295*AY210+AZ295*AZ210+BA295*BA210+BB295*BB210+BC295*BC210+BD295*BD210+BE295*BE210+BF295*BF210+BG295*BG210+BH295*BH210+BI295*BI210+BJ295*BJ210+BK295*BK210+BL295*BL210+BM295*BM210+BN295*BN210+BO295*BO210+BP295*BP210+BQ295*BQ210+BR295*BR210+BS295*BS210+BT295*BT210+BU295*BU210+BV295*BV210+BW295*BW210+BX295*BX210+BY295*BY210+BZ295*BZ210+CA295*CA210+CB295*CB210+CC295*CC210+CD295*CD210+CE295*CE210+CF295*CF210+CG295*CG210+CH295*CH210+CI295*CI210+CJ295*CJ210+CK295*CK210+CL295*CL210+CM295*CM210+CN295*CN210+CO295*CO210+CP295*CP210+CQ295*CQ210+CR295*CR210+CS295*CS210+CT295*CT210+CU295*CU210</f>
        <v>0</v>
      </c>
      <c r="DG210" s="2840">
        <f>E296*E210+F296*F210+G296*G210+H296*H210+I296*I210+J296*J210+K296*K210+L296*L210+M296*M210+N296*N210+O296*O210+P296*P210+Q296*Q210+R296*R210+S296*S210+T296*T210+U296*U210+V296*V210+W296*W210+X296*X210+Y296*Y210+Z296*Z210+AA296*AA210+AB296*AB210+AC296*AC210+AD296*AD210+AE296*AE210+AF296*AF210+AG296*AG210+AH296*AH210+AI296*AI210+AJ296*AJ210+AK296*AK210+AL296*AL210+AM296*AM210+AN296*AN210+AO296*AO210+AP296*AP210+AQ296*AQ210+AR296*AR210+AS296*AS210+AT296*AT210+AU296*AU210+AV296*AV210+AW296*AW210+AX296*AX210+AY296*AY210+AZ296*AZ210+BA296*BA210+BB296*BB210+BC296*BC210+BD296*BD210+BE296*BE210+BF296*BF210+BG296*BG210+BH296*BH210+BI296*BI210+BJ296*BJ210+BK296*BK210+BL296*BL210+BM296*BM210+BN296*BN210+BO296*BO210+BP296*BP210+BQ296*BQ210+BR296*BR210+BS296*BS210+BT296*BT210+BU296*BU210+BV296*BV210+BW296*BW210+BX296*BX210+BY296*BY210+BZ296*BZ210+CA296*CA210+CB296*CB210+CC296*CC210+CD296*CD210+CE296*CE210+CF296*CF210+CG296*CG210+CH296*CH210+CI296*CI210+CJ296*CJ210+CK296*CK210+CL296*CL210+CM296*CM210+CN296*CN210+CO296*CO210+CP296*CP210+CQ296*CQ210+CR296*CR210+CS296*CS210+CT296*CT210+CU296*CU210</f>
        <v>0</v>
      </c>
      <c r="DH210" s="2840">
        <f>E297*E210+F297*F210+G297*G210+H297*H210+I297*I210+J297*J210+K297*K210+L297*L210+M297*M210+N297*N210+O297*O210+P297*P210+Q297*Q210+R297*R210+S297*S210+T297*T210+U297*U210+V297*V210+W297*W210+X297*X210+Y297*Y210+Z297*Z210+AA297*AA210+AB297*AB210+AC297*AC210+AD297*AD210+AE297*AE210+AF297*AF210+AG297*AG210+AH297*AH210+AI297*AI210+AJ297*AJ210+AK297*AK210+AL297*AL210+AM297*AM210+AN297*AN210+AO297*AO210+AP297*AP210+AQ297*AQ210+AR297*AR210+AS297*AS210+AT297*AT210+AU297*AU210+AV297*AV210+AW297*AW210+AX297*AX210+AY297*AY210+AZ297*AZ210+BA297*BA210+BB297*BB210+BC297*BC210+BD297*BD210+BE297*BE210+BF297*BF210+BG297*BG210+BH297*BH210+BI297*BI210+BJ297*BJ210+BK297*BK210+BL297*BL210+BM297*BM210+BN297*BN210+BO297*BO210+BP297*BP210+BQ297*BQ210+BR297*BR210+BS297*BS210+BT297*BT210+BU297*BU210+BV297*BV210+BW297*BW210+BX297*BX210+BY297*BY210+BZ297*BZ210+CA297*CA210+CB297*CB210+CC297*CC210+CD297*CD210+CE297*CE210+CF297*CF210+CG297*CG210+CH297*CH210+CI297*CI210+CJ297*CJ210+CK297*CK210+CL297*CL210+CM297*CM210+CN297*CN210+CO297*CO210+CP297*CP210+CQ297*CQ210+CR297*CR210+CS297*CS210+CT297*CT210+CU297*CU210</f>
        <v>0</v>
      </c>
      <c r="DI210" s="2840">
        <f>E298*E210+F298*F210+G298*G210+H298*H210+I298*I210+J298*J210+K298*K210+L298*L210+M298*M210+N298*N210+O298*O210+P298*P210+Q298*Q210+R298*R210+S298*S210+T298*T210+U298*U210+V298*V210+W298*W210+X298*X210+Y298*Y210+Z298*Z210+AA298*AA210+AB298*AB210+AC298*AC210+AD298*AD210+AE298*AE210+AF298*AF210+AG298*AG210+AH298*AH210+AI298*AI210+AJ298*AJ210+AK298*AK210+AL298*AL210+AM298*AM210+AN298*AN210+AO298*AO210+AP298*AP210+AQ298*AQ210+AR298*AR210+AS298*AS210+AT298*AT210+AU298*AU210+AV298*AV210+AW298*AW210+AX298*AX210+AY298*AY210+AZ298*AZ210+BA298*BA210+BB298*BB210+BC298*BC210+BD298*BD210+BE298*BE210+BF298*BF210+BG298*BG210+BH298*BH210+BI298*BI210+BJ298*BJ210+BK298*BK210+BL298*BL210+BM298*BM210+BN298*BN210+BO298*BO210+BP298*BP210+BQ298*BQ210+BR298*BR210+BS298*BS210+BT298*BT210+BU298*BU210+BV298*BV210+BW298*BW210+BX298*BX210+BY298*BY210+BZ298*BZ210+CA298*CA210+CB298*CB210+CC298*CC210+CD298*CD210+CE298*CE210+CF298*CF210+CG298*CG210+CH298*CH210+CI298*CI210+CJ298*CJ210+CK298*CK210+CL298*CL210+CM298*CM210+CN298*CN210+CO298*CO210+CP298*CP210+CQ298*CQ210+CR298*CR210+CS298*CS210+CT298*CT210+CU298*CU210</f>
        <v>0</v>
      </c>
    </row>
    <row r="211" spans="2:113" ht="18" x14ac:dyDescent="0.35">
      <c r="B211" s="2389">
        <v>58</v>
      </c>
      <c r="C211" s="2390" t="s">
        <v>2160</v>
      </c>
      <c r="D211" s="2391" t="s">
        <v>3247</v>
      </c>
      <c r="E211" s="3123">
        <f>0</f>
        <v>0</v>
      </c>
      <c r="F211" s="3123">
        <f>0</f>
        <v>0</v>
      </c>
      <c r="G211" s="3123">
        <f>0</f>
        <v>0</v>
      </c>
      <c r="H211" s="3123">
        <f>0</f>
        <v>0</v>
      </c>
      <c r="I211" s="3123">
        <f>0</f>
        <v>0</v>
      </c>
      <c r="J211" s="3123">
        <f>0</f>
        <v>0</v>
      </c>
      <c r="K211" s="3123">
        <f>0</f>
        <v>0</v>
      </c>
      <c r="L211" s="3123">
        <f>0</f>
        <v>0</v>
      </c>
      <c r="M211" s="3123">
        <f>0</f>
        <v>0</v>
      </c>
      <c r="N211" s="3123">
        <f>0</f>
        <v>0</v>
      </c>
      <c r="O211" s="3123">
        <f>0</f>
        <v>0</v>
      </c>
      <c r="P211" s="3123">
        <f>0</f>
        <v>0</v>
      </c>
      <c r="Q211" s="3123">
        <f>0</f>
        <v>0</v>
      </c>
      <c r="R211" s="3154">
        <f>0</f>
        <v>0</v>
      </c>
      <c r="S211" s="3123">
        <f>0</f>
        <v>0</v>
      </c>
      <c r="T211" s="3123">
        <f>0</f>
        <v>0</v>
      </c>
      <c r="U211" s="3123">
        <f>0</f>
        <v>0</v>
      </c>
      <c r="V211" s="3123">
        <f>0</f>
        <v>0</v>
      </c>
      <c r="W211" s="3123">
        <f>0</f>
        <v>0</v>
      </c>
      <c r="X211" s="3123">
        <f>0</f>
        <v>0</v>
      </c>
      <c r="Y211" s="3123">
        <f>0</f>
        <v>0</v>
      </c>
      <c r="Z211" s="3123">
        <f>0</f>
        <v>0</v>
      </c>
      <c r="AA211" s="3154">
        <f>0</f>
        <v>0</v>
      </c>
      <c r="AB211" s="3154">
        <f>1</f>
        <v>1</v>
      </c>
      <c r="AC211" s="3154">
        <f>0</f>
        <v>0</v>
      </c>
      <c r="AD211" s="3163">
        <f>-i_N_BIO</f>
        <v>-7.0000000000000007E-2</v>
      </c>
      <c r="AE211" s="3123">
        <f>0</f>
        <v>0</v>
      </c>
      <c r="AF211" s="3123">
        <f>0</f>
        <v>0</v>
      </c>
      <c r="AG211" s="3123">
        <f>0</f>
        <v>0</v>
      </c>
      <c r="AH211" s="3123">
        <f>0</f>
        <v>0</v>
      </c>
      <c r="AI211" s="3123">
        <f>0</f>
        <v>0</v>
      </c>
      <c r="AJ211" s="3123">
        <f>0</f>
        <v>0</v>
      </c>
      <c r="AK211" s="3123">
        <f>0</f>
        <v>0</v>
      </c>
      <c r="AL211" s="3163">
        <f>-i_P_BIO</f>
        <v>-0.02</v>
      </c>
      <c r="AM211" s="3123">
        <f>0</f>
        <v>0</v>
      </c>
      <c r="AN211" s="3123">
        <f>0</f>
        <v>0</v>
      </c>
      <c r="AO211" s="3123">
        <f>0</f>
        <v>0</v>
      </c>
      <c r="AP211" s="3123">
        <f>0</f>
        <v>0</v>
      </c>
      <c r="AQ211" s="3123">
        <f>0</f>
        <v>0</v>
      </c>
      <c r="AR211" s="3154">
        <f>-(E_EQH2S-E_EQS-Y_SOO_H2S_ox)/Y_SOO_H2S_ox</f>
        <v>-12.130729521449032</v>
      </c>
      <c r="AS211" s="3123">
        <f>0</f>
        <v>0</v>
      </c>
      <c r="AT211" s="3166">
        <f>0</f>
        <v>0</v>
      </c>
      <c r="AU211" s="3154">
        <f>-i_CIT_BIO</f>
        <v>-0.35199999999999998</v>
      </c>
      <c r="AV211" s="3123">
        <f>i_INORG</f>
        <v>0.11</v>
      </c>
      <c r="AW211" s="3123">
        <f>-i_INORG*(1-i_Ca_INORG*(A_MCa+2*A_MCl)/A_MCa-i_Mg_INORG*(A_MMg+2*A_MCl)/A_MMg)*f_Na</f>
        <v>-2.8804303582798466E-2</v>
      </c>
      <c r="AX211" s="3123">
        <f>-i_INORG*(i_Ca_INORG*(2*A_MCl)/A_MCa+i_Mg_INORG*(2*A_MCl)/A_MMg)-i_INORG*(1-i_Ca_INORG*(A_MCa+2*A_MCl)/A_MCa-i_Mg_INORG*(A_MMg+2*A_MCl)/A_MMg)*(1-f_Na)</f>
        <v>-7.0195696417201539E-2</v>
      </c>
      <c r="AY211" s="3123">
        <f>-i_INORG*i_Ca_INORG</f>
        <v>-5.5000000000000005E-3</v>
      </c>
      <c r="AZ211" s="3123">
        <f>-i_INORG*i_Mg_INORG</f>
        <v>-5.5000000000000005E-3</v>
      </c>
      <c r="BA211" s="3123">
        <f>0</f>
        <v>0</v>
      </c>
      <c r="BB211" s="3163">
        <f>-1/Y_SOO_H2S_ox</f>
        <v>-26.315789473684212</v>
      </c>
      <c r="BC211" s="3163">
        <f>-i_S_BIO</f>
        <v>-0.01</v>
      </c>
      <c r="BD211" s="3163">
        <f>1/Y_SOO_H2S_ox</f>
        <v>26.315789473684212</v>
      </c>
      <c r="BE211" s="3123">
        <f>0</f>
        <v>0</v>
      </c>
      <c r="BF211" s="3123">
        <f>0</f>
        <v>0</v>
      </c>
      <c r="BG211" s="3123">
        <f>0</f>
        <v>0</v>
      </c>
      <c r="BH211" s="3123">
        <f>0</f>
        <v>0</v>
      </c>
      <c r="BI211" s="3123">
        <f>0</f>
        <v>0</v>
      </c>
      <c r="BJ211" s="3123">
        <f>0</f>
        <v>0</v>
      </c>
      <c r="BK211" s="3123">
        <f>0</f>
        <v>0</v>
      </c>
      <c r="BL211" s="3123">
        <f>0</f>
        <v>0</v>
      </c>
      <c r="BM211" s="3123">
        <f>0</f>
        <v>0</v>
      </c>
      <c r="BN211" s="3123">
        <f>0</f>
        <v>0</v>
      </c>
      <c r="BO211" s="3123">
        <f>0</f>
        <v>0</v>
      </c>
      <c r="BP211" s="3123">
        <f>0</f>
        <v>0</v>
      </c>
      <c r="BQ211" s="3123">
        <f>0</f>
        <v>0</v>
      </c>
      <c r="BR211" s="3123">
        <f>0</f>
        <v>0</v>
      </c>
      <c r="BS211" s="3123">
        <f>0</f>
        <v>0</v>
      </c>
      <c r="BT211" s="3123">
        <f>0</f>
        <v>0</v>
      </c>
      <c r="BU211" s="3123">
        <f>0</f>
        <v>0</v>
      </c>
      <c r="BV211" s="3123">
        <f>0</f>
        <v>0</v>
      </c>
      <c r="BW211" s="3123">
        <f>0</f>
        <v>0</v>
      </c>
      <c r="BX211" s="3123">
        <f>0</f>
        <v>0</v>
      </c>
      <c r="BY211" s="3123">
        <f>0</f>
        <v>0</v>
      </c>
      <c r="BZ211" s="3206">
        <f>0</f>
        <v>0</v>
      </c>
      <c r="CA211" s="3206">
        <f>0</f>
        <v>0</v>
      </c>
      <c r="CB211" s="3206">
        <f>0</f>
        <v>0</v>
      </c>
      <c r="CC211" s="3206">
        <f>0</f>
        <v>0</v>
      </c>
      <c r="CD211" s="3123">
        <f>0</f>
        <v>0</v>
      </c>
      <c r="CE211" s="3123">
        <f>0</f>
        <v>0</v>
      </c>
      <c r="CF211" s="3123">
        <f>0</f>
        <v>0</v>
      </c>
      <c r="CG211" s="3123">
        <f>0</f>
        <v>0</v>
      </c>
      <c r="CH211" s="3123">
        <f>0</f>
        <v>0</v>
      </c>
      <c r="CI211" s="3123">
        <f>0</f>
        <v>0</v>
      </c>
      <c r="CJ211" s="3123">
        <f>0</f>
        <v>0</v>
      </c>
      <c r="CK211" s="3123">
        <f>0</f>
        <v>0</v>
      </c>
      <c r="CL211" s="3123">
        <f>0</f>
        <v>0</v>
      </c>
      <c r="CM211" s="3123">
        <f>0</f>
        <v>0</v>
      </c>
      <c r="CN211" s="3123">
        <f>0</f>
        <v>0</v>
      </c>
      <c r="CO211" s="3123">
        <f>0</f>
        <v>0</v>
      </c>
      <c r="CP211" s="3123">
        <f>0</f>
        <v>0</v>
      </c>
      <c r="CQ211" s="3123">
        <f>0</f>
        <v>0</v>
      </c>
      <c r="CR211" s="3123">
        <f>0</f>
        <v>0</v>
      </c>
      <c r="CS211" s="3123">
        <f>0</f>
        <v>0</v>
      </c>
      <c r="CT211" s="3123">
        <f>0</f>
        <v>0</v>
      </c>
      <c r="CU211" s="3123">
        <f>0</f>
        <v>0</v>
      </c>
      <c r="CV211" s="3229">
        <f>µ_SOO_H2S_T*X_SOO*M_satSCO2_KCO2_BIO*M_satSO2_KO2_H2S_SOO*H_satSH2S_KH2S_SOO*M_satSNHx_KNHx_BIO*M_satSPO4_KPO4_BIO*M_satSCAT_KCAT*M_satSAN_KAN*M_satSCa_KCa*M_satSMg_KMg*M_satSSO4_KSO4_BIO*B_ellinhpH</f>
        <v>3.8482212349135776</v>
      </c>
      <c r="CX211" s="2838">
        <f>E287*E211+F287*F211+G287*G211+H287*H211+I287*I211+J287*J211+K287*K211+L287*L211+M287*M211+N287*N211+O287*O211+P287*P211+Q287*Q211+R287*R211+S287*S211+T287*T211+U287*U211+V287*V211+W287*W211+X287*X211+Y287*Y211+Z287*Z211+AA287*AA211+AB287*AB211+AC287*AC211+AD287*AD211+AE287*AE211+AF287*AF211+AG287*AG211+AH287*AH211+AI287*AI211+AJ287*AJ211+AK287*AK211+AL287*AL211+AM287*AM211+AN287*AN211+AO287*AO211+AP287*AP211+AQ287*AQ211+AR287*AR211+AS287*AS211+AT287*AT211+AU287*AU211+AV287*AV211+AW287*AW211+AX287*AX211+AY287*AY211+AZ287*AZ211+BA287*BA211+BB287*BB211+BC287*BC211+BD287*BD211+BE287*BE211+BF287*BF211+BG287*BG211+BH287*BH211+BI287*BI211+BJ287*BJ211+BK287*BK211+BL287*BL211+BM287*BM211+BN287*BN211+BO287*BO211+BP287*BP211+BQ287*BQ211+BR287*BR211+BS287*BS211+BT287*BT211+BU287*BU211+BV287*BV211+BW287*BW211+BX287*BX211+BY287*BY211+BZ287*BZ211+CA287*CA211+CB287*CB211+CC287*CC211+CD287*CD211+CE287*CE211+CF287*CF211+CG287*CG211+CH287*CH211+CI287*CI211+CJ287*CJ211+CK287*CK211+CL287*CL211+CM287*CM211+CN287*CN211+CO287*CO211+CP287*CP211+CQ287*CQ211+CR287*CR211+CS287*CS211+CT287*CT211+CU287*CU211</f>
        <v>0</v>
      </c>
      <c r="CY211" s="2838">
        <f>E288*E211+F288*F211+G288*G211+H288*H211+I288*I211+J288*J211+K288*K211+L288*L211+M288*M211+N288*N211+O288*O211+P288*P211+Q288*Q211+R288*R211+S288*S211+T288*T211+U288*U211+V288*V211+W288*W211+X288*X211+Y288*Y211+Z288*Z211+AA288*AA211+AB288*AB211+AC288*AC211+AD288*AD211+AE288*AE211+AF288*AF211+AG288*AG211+AH288*AH211+AI288*AI211+AJ288*AJ211+AK288*AK211+AL288*AL211+AM288*AM211+AN288*AN211+AO288*AO211+AP288*AP211+AQ288*AQ211+AR288*AR211+AS288*AS211+AT288*AT211+AU288*AU211+AV288*AV211+AW288*AW211+AX288*AX211+AY288*AY211+AZ288*AZ211+BA288*BA211+BB288*BB211+BC288*BC211+BD288*BD211+BE288*BE211+BF288*BF211+BG288*BG211+BH288*BH211+BI288*BI211+BJ288*BJ211+BK288*BK211+BL288*BL211+BM288*BM211+BN288*BN211+BO288*BO211+BP288*BP211+BQ288*BQ211+BR288*BR211+BS288*BS211+BT288*BT211+BU288*BU211+BV288*BV211+BW288*BW211+BX288*BX211+BY288*BY211+BZ288*BZ211+CA288*CA211+CB288*CB211+CC288*CC211+CD288*CD211+CE288*CE211+CF288*CF211+CG288*CG211+CH288*CH211+CI288*CI211+CJ288*CJ211+CK288*CK211+CL288*CL211+CM288*CM211+CN288*CN211+CO288*CO211+CP288*CP211+CQ288*CQ211+CR288*CR211+CS288*CS211+CT288*CT211+CU288*CU211</f>
        <v>0</v>
      </c>
      <c r="CZ211" s="2839">
        <f>E289*E211+F289*F211+G289*G211+H289*H211+I289*I211+J289*J211+K289*K211+L289*L211+M289*M211+N289*N211+O289*O211+P289*P211+Q289*Q211+R289*R211+S289*S211+T289*T211+U289*U211+V289*V211+W289*W211+X289*X211+Y289*Y211+Z289*Z211+AA289*AA211+AB289*AB211+AC289*AC211+AD289*AD211+AE289*AE211+AF289*AF211+AG289*AG211+AH289*AH211+AI289*AI211+AJ289*AJ211+AK289*AK211+AL289*AL211+AM289*AM211+AN289*AN211+AO289*AO211+AP289*AP211+AQ289*AQ211+AR289*AR211+AS289*AS211+AT289*AT211+AU289*AU211+AV289*AV211+AW289*AW211+AX289*AX211+AY289*AY211+AZ289*AZ211+BA289*BA211+BB289*BB211+BC289*BC211+BD289*BD211+BE289*BE211+BF289*BF211+BG289*BG211+BH289*BH211+BI289*BI211+BJ289*BJ211+BK289*BK211+BL289*BL211+BM289*BM211+BN289*BN211+BO289*BO211+BP289*BP211+BQ289*BQ211+BR289*BR211+BS289*BS211+BT289*BT211+BU289*BU211+BV289*BV211+BW289*BW211+BX289*BX211+BY289*BY211+BZ289*BZ211+CA289*CA211+CB289*CB211+CC289*CC211+CD289*CD211+CE289*CE211+CF289*CF211+CG289*CG211+CH289*CH211+CI289*CI211+CJ289*CJ211+CK289*CK211+CL289*CL211+CM289*CM211+CN289*CN211+CO289*CO211+CP289*CP211+CQ289*CQ211+CR289*CR211+CS289*CS211+CT289*CT211+CU289*CU211</f>
        <v>0</v>
      </c>
      <c r="DA211" s="2840">
        <f>E290*E211+F290*F211+G290*G211+H290*H211+I290*I211+J290*J211+K290*K211+L290*L211+M290*M211+N290*N211+O290*O211+P290*P211+Q290*Q211+R290*R211+S290*S211+T290*T211+U290*U211+V290*V211+W290*W211+X290*X211+Y290*Y211+Z290*Z211+AA290*AA211+AB290*AB211+AC290*AC211+AD290*AD211+AE290*AE211+AF290*AF211+AG290*AG211+AH290*AH211+AI290*AI211+AJ290*AJ211+AK290*AK211+AL290*AL211+AM290*AM211+AN290*AN211+AO290*AO211+AP290*AP211+AQ290*AQ211+AR290*AR211+AS290*AS211+AT290*AT211+AU290*AU211+AV290*AV211+AW290*AW211+AX290*AX211+AY290*AY211+AZ290*AZ211+BA290*BA211+BB290*BB211+BC290*BC211+BD290*BD211+BE290*BE211+BF290*BF211+BG290*BG211+BH290*BH211+BI290*BI211+BJ290*BJ211+BK290*BK211+BL290*BL211+BM290*BM211+BN290*BN211+BO290*BO211+BP290*BP211+BQ290*BQ211+BR290*BR211+BS290*BS211+BT290*BT211+BU290*BU211+BV290*BV211+BW290*BW211+BX290*BX211+BY290*BY211+BZ290*BZ211+CA290*CA211+CB290*CB211+CC290*CC211+CD290*CD211+CE290*CE211+CF290*CF211+CG290*CG211+CH290*CH211+CI290*CI211+CJ290*CJ211+CK290*CK211+CL290*CL211+CM290*CM211+CN290*CN211+CO290*CO211+CP290*CP211+CQ290*CQ211+CR290*CR211+CS290*CS211+CT290*CT211+CU290*CU211</f>
        <v>0</v>
      </c>
      <c r="DB211" s="2840">
        <f>E291*E211+F291*F211+G291*G211+H291*H211+I291*I211+J291*J211+K291*K211+L291*L211+M291*M211+N291*N211+O291*O211+P291*P211+Q291*Q211+R291*R211+S291*S211+T291*T211+U291*U211+V291*V211+W291*W211+X291*X211+Y291*Y211+Z291*Z211+AA291*AA211+AB291*AB211+AC291*AC211+AD291*AD211+AE291*AE211+AF291*AF211+AG291*AG211+AH291*AH211+AI291*AI211+AJ291*AJ211+AK291*AK211+AL291*AL211+AM291*AM211+AN291*AN211+AO291*AO211+AP291*AP211+AQ291*AQ211+AR291*AR211+AS291*AS211+AT291*AT211+AU291*AU211+AV291*AV211+AW291*AW211+AX291*AX211+AY291*AY211+AZ291*AZ211+BA291*BA211+BB291*BB211+BC291*BC211+BD291*BD211+BE291*BE211+BF291*BF211+BG291*BG211+BH291*BH211+BI291*BI211+BJ291*BJ211+BK291*BK211+BL291*BL211+BM291*BM211+BN291*BN211+BO291*BO211+BP291*BP211+BQ291*BQ211+BR291*BR211+BS291*BS211+BT291*BT211+BU291*BU211+BV291*BV211+BW291*BW211+BX291*BX211+BY291*BY211+BZ291*BZ211+CA291*CA211+CB291*CB211+CC291*CC211+CD291*CD211+CE291*CE211+CF291*CF211+CG291*CG211+CH291*CH211+CI291*CI211+CJ291*CJ211+CK291*CK211+CL291*CL211+CM291*CM211+CN291*CN211+CO291*CO211+CP291*CP211+CQ291*CQ211+CR291*CR211+CS291*CS211+CT291*CT211+CU291*CU211</f>
        <v>0</v>
      </c>
      <c r="DC211" s="2840">
        <f>E292*E211+F292*F211+G292*G211+H292*H211+I292*I211+J292*J211+K292*K211+L292*L211+M292*M211+N292*N211+O292*O211+P292*P211+Q292*Q211+R292*R211+S292*S211+T292*T211+U292*U211+V292*V211+W292*W211+X292*X211+Y292*Y211+Z292*Z211+AA292*AA211+AB292*AB211+AC292*AC211+AD292*AD211+AE292*AE211+AF292*AF211+AG292*AG211+AH292*AH211+AI292*AI211+AJ292*AJ211+AK292*AK211+AL292*AL211+AM292*AM211+AN292*AN211+AO292*AO211+AP292*AP211+AQ292*AQ211+AR292*AR211+AS292*AS211+AT292*AT211+AU292*AU211+AV292*AV211+AW292*AW211+AX292*AX211+AY292*AY211+AZ292*AZ211+BA292*BA211+BB292*BB211+BC292*BC211+BD292*BD211+BE292*BE211+BF292*BF211+BG292*BG211+BH292*BH211+BI292*BI211+BJ292*BJ211+BK292*BK211+BL292*BL211+BM292*BM211+BN292*BN211+BO292*BO211+BP292*BP211+BQ292*BQ211+BR292*BR211+BS292*BS211+BT292*BT211+BU292*BU211+BV292*BV211+BW292*BW211+BX292*BX211+BY292*BY211+BZ292*BZ211+CA292*CA211+CB292*CB211+CC292*CC211+CD292*CD211+CE292*CE211+CF292*CF211+CG292*CG211+CH292*CH211+CI292*CI211+CJ292*CJ211+CK292*CK211+CL292*CL211+CM292*CM211+CN292*CN211+CO292*CO211+CP292*CP211+CQ292*CQ211+CR292*CR211+CS292*CS211+CT292*CT211+CU292*CU211</f>
        <v>0</v>
      </c>
      <c r="DD211" s="2840">
        <f>E293*E211+F293*F211+G293*G211+H293*H211+I293*I211+J293*J211+K293*K211+L293*L211+M293*M211+N293*N211+O293*O211+P293*P211+Q293*Q211+R293*R211+S293*S211+T293*T211+U293*U211+V293*V211+W293*W211+X293*X211+Y293*Y211+Z293*Z211+AA293*AA211+AB293*AB211+AC293*AC211+AD293*AD211+AE293*AE211+AF293*AF211+AG293*AG211+AH293*AH211+AI293*AI211+AJ293*AJ211+AK293*AK211+AL293*AL211+AM293*AM211+AN293*AN211+AO293*AO211+AP293*AP211+AQ293*AQ211+AR293*AR211+AS293*AS211+AT293*AT211+AU293*AU211+AV293*AV211+AW293*AW211+AX293*AX211+AY293*AY211+AZ293*AZ211+BA293*BA211+BB293*BB211+BC293*BC211+BD293*BD211+BE293*BE211+BF293*BF211+BG293*BG211+BH293*BH211+BI293*BI211+BJ293*BJ211+BK293*BK211+BL293*BL211+BM293*BM211+BN293*BN211+BO293*BO211+BP293*BP211+BQ293*BQ211+BR293*BR211+BS293*BS211+BT293*BT211+BU293*BU211+BV293*BV211+BW293*BW211+BX293*BX211+BY293*BY211+BZ293*BZ211+CA293*CA211+CB293*CB211+CC293*CC211+CD293*CD211+CE293*CE211+CF293*CF211+CG293*CG211+CH293*CH211+CI293*CI211+CJ293*CJ211+CK293*CK211+CL293*CL211+CM293*CM211+CN293*CN211+CO293*CO211+CP293*CP211+CQ293*CQ211+CR293*CR211+CS293*CS211+CT293*CT211+CU293*CU211</f>
        <v>0</v>
      </c>
      <c r="DE211" s="2840">
        <f>E294*E211+F294*F211+G294*G211+H294*H211+I294*I211+J294*J211+K294*K211+L294*L211+M294*M211+N294*N211+O294*O211+P294*P211+Q294*Q211+R294*R211+S294*S211+T294*T211+U294*U211+V294*V211+W294*W211+X294*X211+Y294*Y211+Z294*Z211+AA294*AA211+AB294*AB211+AC294*AC211+AD294*AD211+AE294*AE211+AF294*AF211+AG294*AG211+AH294*AH211+AI294*AI211+AJ294*AJ211+AK294*AK211+AL294*AL211+AM294*AM211+AN294*AN211+AO294*AO211+AP294*AP211+AQ294*AQ211+AR294*AR211+AS294*AS211+AT294*AT211+AU294*AU211+AV294*AV211+AW294*AW211+AX294*AX211+AY294*AY211+AZ294*AZ211+BA294*BA211+BB294*BB211+BC294*BC211+BD294*BD211+BE294*BE211+BF294*BF211+BG294*BG211+BH294*BH211+BI294*BI211+BJ294*BJ211+BK294*BK211+BL294*BL211+BM294*BM211+BN294*BN211+BO294*BO211+BP294*BP211+BQ294*BQ211+BR294*BR211+BS294*BS211+BT294*BT211+BU294*BU211+BV294*BV211+BW294*BW211+BX294*BX211+BY294*BY211+BZ294*BZ211+CA294*CA211+CB294*CB211+CC294*CC211+CD294*CD211+CE294*CE211+CF294*CF211+CG294*CG211+CH294*CH211+CI294*CI211+CJ294*CJ211+CK294*CK211+CL294*CL211+CM294*CM211+CN294*CN211+CO294*CO211+CP294*CP211+CQ294*CQ211+CR294*CR211+CS294*CS211+CT294*CT211+CU294*CU211</f>
        <v>0</v>
      </c>
      <c r="DF211" s="2840">
        <f>E295*E211+F295*F211+G295*G211+H295*H211+I295*I211+J295*J211+K295*K211+L295*L211+M295*M211+N295*N211+O295*O211+P295*P211+Q295*Q211+R295*R211+S295*S211+T295*T211+U295*U211+V295*V211+W295*W211+X295*X211+Y295*Y211+Z295*Z211+AA295*AA211+AB295*AB211+AC295*AC211+AD295*AD211+AE295*AE211+AF295*AF211+AG295*AG211+AH295*AH211+AI295*AI211+AJ295*AJ211+AK295*AK211+AL295*AL211+AM295*AM211+AN295*AN211+AO295*AO211+AP295*AP211+AQ295*AQ211+AR295*AR211+AS295*AS211+AT295*AT211+AU295*AU211+AV295*AV211+AW295*AW211+AX295*AX211+AY295*AY211+AZ295*AZ211+BA295*BA211+BB295*BB211+BC295*BC211+BD295*BD211+BE295*BE211+BF295*BF211+BG295*BG211+BH295*BH211+BI295*BI211+BJ295*BJ211+BK295*BK211+BL295*BL211+BM295*BM211+BN295*BN211+BO295*BO211+BP295*BP211+BQ295*BQ211+BR295*BR211+BS295*BS211+BT295*BT211+BU295*BU211+BV295*BV211+BW295*BW211+BX295*BX211+BY295*BY211+BZ295*BZ211+CA295*CA211+CB295*CB211+CC295*CC211+CD295*CD211+CE295*CE211+CF295*CF211+CG295*CG211+CH295*CH211+CI295*CI211+CJ295*CJ211+CK295*CK211+CL295*CL211+CM295*CM211+CN295*CN211+CO295*CO211+CP295*CP211+CQ295*CQ211+CR295*CR211+CS295*CS211+CT295*CT211+CU295*CU211</f>
        <v>0</v>
      </c>
      <c r="DG211" s="2840">
        <f>E296*E211+F296*F211+G296*G211+H296*H211+I296*I211+J296*J211+K296*K211+L296*L211+M296*M211+N296*N211+O296*O211+P296*P211+Q296*Q211+R296*R211+S296*S211+T296*T211+U296*U211+V296*V211+W296*W211+X296*X211+Y296*Y211+Z296*Z211+AA296*AA211+AB296*AB211+AC296*AC211+AD296*AD211+AE296*AE211+AF296*AF211+AG296*AG211+AH296*AH211+AI296*AI211+AJ296*AJ211+AK296*AK211+AL296*AL211+AM296*AM211+AN296*AN211+AO296*AO211+AP296*AP211+AQ296*AQ211+AR296*AR211+AS296*AS211+AT296*AT211+AU296*AU211+AV296*AV211+AW296*AW211+AX296*AX211+AY296*AY211+AZ296*AZ211+BA296*BA211+BB296*BB211+BC296*BC211+BD296*BD211+BE296*BE211+BF296*BF211+BG296*BG211+BH296*BH211+BI296*BI211+BJ296*BJ211+BK296*BK211+BL296*BL211+BM296*BM211+BN296*BN211+BO296*BO211+BP296*BP211+BQ296*BQ211+BR296*BR211+BS296*BS211+BT296*BT211+BU296*BU211+BV296*BV211+BW296*BW211+BX296*BX211+BY296*BY211+BZ296*BZ211+CA296*CA211+CB296*CB211+CC296*CC211+CD296*CD211+CE296*CE211+CF296*CF211+CG296*CG211+CH296*CH211+CI296*CI211+CJ296*CJ211+CK296*CK211+CL296*CL211+CM296*CM211+CN296*CN211+CO296*CO211+CP296*CP211+CQ296*CQ211+CR296*CR211+CS296*CS211+CT296*CT211+CU296*CU211</f>
        <v>0</v>
      </c>
      <c r="DH211" s="2840">
        <f>E297*E211+F297*F211+G297*G211+H297*H211+I297*I211+J297*J211+K297*K211+L297*L211+M297*M211+N297*N211+O297*O211+P297*P211+Q297*Q211+R297*R211+S297*S211+T297*T211+U297*U211+V297*V211+W297*W211+X297*X211+Y297*Y211+Z297*Z211+AA297*AA211+AB297*AB211+AC297*AC211+AD297*AD211+AE297*AE211+AF297*AF211+AG297*AG211+AH297*AH211+AI297*AI211+AJ297*AJ211+AK297*AK211+AL297*AL211+AM297*AM211+AN297*AN211+AO297*AO211+AP297*AP211+AQ297*AQ211+AR297*AR211+AS297*AS211+AT297*AT211+AU297*AU211+AV297*AV211+AW297*AW211+AX297*AX211+AY297*AY211+AZ297*AZ211+BA297*BA211+BB297*BB211+BC297*BC211+BD297*BD211+BE297*BE211+BF297*BF211+BG297*BG211+BH297*BH211+BI297*BI211+BJ297*BJ211+BK297*BK211+BL297*BL211+BM297*BM211+BN297*BN211+BO297*BO211+BP297*BP211+BQ297*BQ211+BR297*BR211+BS297*BS211+BT297*BT211+BU297*BU211+BV297*BV211+BW297*BW211+BX297*BX211+BY297*BY211+BZ297*BZ211+CA297*CA211+CB297*CB211+CC297*CC211+CD297*CD211+CE297*CE211+CF297*CF211+CG297*CG211+CH297*CH211+CI297*CI211+CJ297*CJ211+CK297*CK211+CL297*CL211+CM297*CM211+CN297*CN211+CO297*CO211+CP297*CP211+CQ297*CQ211+CR297*CR211+CS297*CS211+CT297*CT211+CU297*CU211</f>
        <v>0</v>
      </c>
      <c r="DI211" s="2840">
        <f>E298*E211+F298*F211+G298*G211+H298*H211+I298*I211+J298*J211+K298*K211+L298*L211+M298*M211+N298*N211+O298*O211+P298*P211+Q298*Q211+R298*R211+S298*S211+T298*T211+U298*U211+V298*V211+W298*W211+X298*X211+Y298*Y211+Z298*Z211+AA298*AA211+AB298*AB211+AC298*AC211+AD298*AD211+AE298*AE211+AF298*AF211+AG298*AG211+AH298*AH211+AI298*AI211+AJ298*AJ211+AK298*AK211+AL298*AL211+AM298*AM211+AN298*AN211+AO298*AO211+AP298*AP211+AQ298*AQ211+AR298*AR211+AS298*AS211+AT298*AT211+AU298*AU211+AV298*AV211+AW298*AW211+AX298*AX211+AY298*AY211+AZ298*AZ211+BA298*BA211+BB298*BB211+BC298*BC211+BD298*BD211+BE298*BE211+BF298*BF211+BG298*BG211+BH298*BH211+BI298*BI211+BJ298*BJ211+BK298*BK211+BL298*BL211+BM298*BM211+BN298*BN211+BO298*BO211+BP298*BP211+BQ298*BQ211+BR298*BR211+BS298*BS211+BT298*BT211+BU298*BU211+BV298*BV211+BW298*BW211+BX298*BX211+BY298*BY211+BZ298*BZ211+CA298*CA211+CB298*CB211+CC298*CC211+CD298*CD211+CE298*CE211+CF298*CF211+CG298*CG211+CH298*CH211+CI298*CI211+CJ298*CJ211+CK298*CK211+CL298*CL211+CM298*CM211+CN298*CN211+CO298*CO211+CP298*CP211+CQ298*CQ211+CR298*CR211+CS298*CS211+CT298*CT211+CU298*CU211</f>
        <v>0</v>
      </c>
    </row>
    <row r="212" spans="2:113" ht="18" x14ac:dyDescent="0.35">
      <c r="B212" s="2389">
        <v>59</v>
      </c>
      <c r="C212" s="2390" t="s">
        <v>2187</v>
      </c>
      <c r="D212" s="2391" t="s">
        <v>3251</v>
      </c>
      <c r="E212" s="3123">
        <f>0</f>
        <v>0</v>
      </c>
      <c r="F212" s="3123">
        <f>0</f>
        <v>0</v>
      </c>
      <c r="G212" s="3123">
        <f>0</f>
        <v>0</v>
      </c>
      <c r="H212" s="3123">
        <f>0</f>
        <v>0</v>
      </c>
      <c r="I212" s="3123">
        <f>0</f>
        <v>0</v>
      </c>
      <c r="J212" s="3123">
        <f>0</f>
        <v>0</v>
      </c>
      <c r="K212" s="3123">
        <f>0</f>
        <v>0</v>
      </c>
      <c r="L212" s="3123">
        <f>0</f>
        <v>0</v>
      </c>
      <c r="M212" s="3123">
        <f>0</f>
        <v>0</v>
      </c>
      <c r="N212" s="3123">
        <f>0</f>
        <v>0</v>
      </c>
      <c r="O212" s="3123">
        <f>0</f>
        <v>0</v>
      </c>
      <c r="P212" s="3123">
        <f>0</f>
        <v>0</v>
      </c>
      <c r="Q212" s="3123">
        <f>0</f>
        <v>0</v>
      </c>
      <c r="R212" s="3154">
        <f>0</f>
        <v>0</v>
      </c>
      <c r="S212" s="3123">
        <f>0</f>
        <v>0</v>
      </c>
      <c r="T212" s="3123">
        <f>0</f>
        <v>0</v>
      </c>
      <c r="U212" s="3123">
        <f>0</f>
        <v>0</v>
      </c>
      <c r="V212" s="3123">
        <f>0</f>
        <v>0</v>
      </c>
      <c r="W212" s="3123">
        <f>0</f>
        <v>0</v>
      </c>
      <c r="X212" s="3123">
        <f>0</f>
        <v>0</v>
      </c>
      <c r="Y212" s="3123">
        <f>0</f>
        <v>0</v>
      </c>
      <c r="Z212" s="3123">
        <f>0</f>
        <v>0</v>
      </c>
      <c r="AA212" s="3154">
        <f>0</f>
        <v>0</v>
      </c>
      <c r="AB212" s="3154">
        <f>1</f>
        <v>1</v>
      </c>
      <c r="AC212" s="3154">
        <f>0</f>
        <v>0</v>
      </c>
      <c r="AD212" s="3163">
        <f>-i_N_BIO</f>
        <v>-7.0000000000000007E-2</v>
      </c>
      <c r="AE212" s="3154">
        <f>-(E_EQH2S-E_EQS-Y_SOO_H2S_anox)/(E_EQN2_NO2*Y_SOO_H2S_anox)</f>
        <v>-0.30421537011233529</v>
      </c>
      <c r="AF212" s="3154">
        <f>0</f>
        <v>0</v>
      </c>
      <c r="AG212" s="3154">
        <f>(E_EQH2S-E_EQS-Y_SOO_H2S_anox)/(E_EQN2_NO2*Y_SOO_H2S_anox)</f>
        <v>0.30421537011233529</v>
      </c>
      <c r="AH212" s="3123">
        <f>0</f>
        <v>0</v>
      </c>
      <c r="AI212" s="3123">
        <f>0</f>
        <v>0</v>
      </c>
      <c r="AJ212" s="3123">
        <f>0</f>
        <v>0</v>
      </c>
      <c r="AK212" s="3123">
        <f>0</f>
        <v>0</v>
      </c>
      <c r="AL212" s="3163">
        <f>-i_P_BIO</f>
        <v>-0.02</v>
      </c>
      <c r="AM212" s="3123">
        <f>0</f>
        <v>0</v>
      </c>
      <c r="AN212" s="3123">
        <f>0</f>
        <v>0</v>
      </c>
      <c r="AO212" s="3123">
        <f>0</f>
        <v>0</v>
      </c>
      <c r="AP212" s="3123">
        <f>0</f>
        <v>0</v>
      </c>
      <c r="AQ212" s="3123">
        <f>0</f>
        <v>0</v>
      </c>
      <c r="AR212" s="3123">
        <f>0</f>
        <v>0</v>
      </c>
      <c r="AS212" s="3123">
        <f>0</f>
        <v>0</v>
      </c>
      <c r="AT212" s="3166">
        <f>0</f>
        <v>0</v>
      </c>
      <c r="AU212" s="3154">
        <f>-i_CIT_BIO</f>
        <v>-0.35199999999999998</v>
      </c>
      <c r="AV212" s="3123">
        <f>i_INORG</f>
        <v>0.11</v>
      </c>
      <c r="AW212" s="3123">
        <f>-i_INORG*(1-i_Ca_INORG*(A_MCa+2*A_MCl)/A_MCa-i_Mg_INORG*(A_MMg+2*A_MCl)/A_MMg)*f_Na</f>
        <v>-2.8804303582798466E-2</v>
      </c>
      <c r="AX212" s="3123">
        <f>-i_INORG*(i_Ca_INORG*(2*A_MCl)/A_MCa+i_Mg_INORG*(2*A_MCl)/A_MMg)-i_INORG*(1-i_Ca_INORG*(A_MCa+2*A_MCl)/A_MCa-i_Mg_INORG*(A_MMg+2*A_MCl)/A_MMg)*(1-f_Na)</f>
        <v>-7.0195696417201539E-2</v>
      </c>
      <c r="AY212" s="3123">
        <f>-i_INORG*i_Ca_INORG</f>
        <v>-5.5000000000000005E-3</v>
      </c>
      <c r="AZ212" s="3123">
        <f>-i_INORG*i_Mg_INORG</f>
        <v>-5.5000000000000005E-3</v>
      </c>
      <c r="BA212" s="3123">
        <f>0</f>
        <v>0</v>
      </c>
      <c r="BB212" s="3163">
        <f>-1/Y_SOO_H2S_anox</f>
        <v>-3.0487804878048781</v>
      </c>
      <c r="BC212" s="3163">
        <f>-i_S_BIO</f>
        <v>-0.01</v>
      </c>
      <c r="BD212" s="3163">
        <f>1/Y_SOO_H2S_anox</f>
        <v>3.0487804878048781</v>
      </c>
      <c r="BE212" s="3123">
        <f>0</f>
        <v>0</v>
      </c>
      <c r="BF212" s="3123">
        <f>0</f>
        <v>0</v>
      </c>
      <c r="BG212" s="3123">
        <f>0</f>
        <v>0</v>
      </c>
      <c r="BH212" s="3123">
        <f>0</f>
        <v>0</v>
      </c>
      <c r="BI212" s="3123">
        <f>0</f>
        <v>0</v>
      </c>
      <c r="BJ212" s="3123">
        <f>0</f>
        <v>0</v>
      </c>
      <c r="BK212" s="3123">
        <f>0</f>
        <v>0</v>
      </c>
      <c r="BL212" s="3123">
        <f>0</f>
        <v>0</v>
      </c>
      <c r="BM212" s="3123">
        <f>0</f>
        <v>0</v>
      </c>
      <c r="BN212" s="3123">
        <f>0</f>
        <v>0</v>
      </c>
      <c r="BO212" s="3123">
        <f>0</f>
        <v>0</v>
      </c>
      <c r="BP212" s="3123">
        <f>0</f>
        <v>0</v>
      </c>
      <c r="BQ212" s="3123">
        <f>0</f>
        <v>0</v>
      </c>
      <c r="BR212" s="3123">
        <f>0</f>
        <v>0</v>
      </c>
      <c r="BS212" s="3123">
        <f>0</f>
        <v>0</v>
      </c>
      <c r="BT212" s="3123">
        <f>0</f>
        <v>0</v>
      </c>
      <c r="BU212" s="3123">
        <f>0</f>
        <v>0</v>
      </c>
      <c r="BV212" s="3123">
        <f>0</f>
        <v>0</v>
      </c>
      <c r="BW212" s="3123">
        <f>0</f>
        <v>0</v>
      </c>
      <c r="BX212" s="3123">
        <f>0</f>
        <v>0</v>
      </c>
      <c r="BY212" s="3123">
        <f>0</f>
        <v>0</v>
      </c>
      <c r="BZ212" s="3206">
        <f>0</f>
        <v>0</v>
      </c>
      <c r="CA212" s="3206">
        <f>0</f>
        <v>0</v>
      </c>
      <c r="CB212" s="3206">
        <f>0</f>
        <v>0</v>
      </c>
      <c r="CC212" s="3206">
        <f>0</f>
        <v>0</v>
      </c>
      <c r="CD212" s="3123">
        <f>0</f>
        <v>0</v>
      </c>
      <c r="CE212" s="3123">
        <f>0</f>
        <v>0</v>
      </c>
      <c r="CF212" s="3123">
        <f>0</f>
        <v>0</v>
      </c>
      <c r="CG212" s="3123">
        <f>0</f>
        <v>0</v>
      </c>
      <c r="CH212" s="3123">
        <f>0</f>
        <v>0</v>
      </c>
      <c r="CI212" s="3123">
        <f>0</f>
        <v>0</v>
      </c>
      <c r="CJ212" s="3123">
        <f>0</f>
        <v>0</v>
      </c>
      <c r="CK212" s="3123">
        <f>0</f>
        <v>0</v>
      </c>
      <c r="CL212" s="3123">
        <f>0</f>
        <v>0</v>
      </c>
      <c r="CM212" s="3123">
        <f>0</f>
        <v>0</v>
      </c>
      <c r="CN212" s="3123">
        <f>0</f>
        <v>0</v>
      </c>
      <c r="CO212" s="3123">
        <f>0</f>
        <v>0</v>
      </c>
      <c r="CP212" s="3123">
        <f>0</f>
        <v>0</v>
      </c>
      <c r="CQ212" s="3123">
        <f>0</f>
        <v>0</v>
      </c>
      <c r="CR212" s="3123">
        <f>0</f>
        <v>0</v>
      </c>
      <c r="CS212" s="3123">
        <f>0</f>
        <v>0</v>
      </c>
      <c r="CT212" s="3123">
        <f>0</f>
        <v>0</v>
      </c>
      <c r="CU212" s="3123">
        <f>0</f>
        <v>0</v>
      </c>
      <c r="CV212" s="3229">
        <f>µ_SOO_H2S_T*X_SOO*M_satSCO2_KCO2_BIO*M_satSNO2_KNO2_H2S_SOO*H_satSH2S_KH2S_SOO*M_satSNHx_KNHx_BIO*M_satSPO4_KPO4_BIO*M_satSCAT_KCAT*M_satSAN_KAN*M_satSCa_KCa*M_satSMg_KMg*M_satSSO4_KSO4_BIO*M_inhSO2_KO2_H2S_SOO*B_ellinhpH</f>
        <v>0.96205530872839429</v>
      </c>
      <c r="CX212" s="2838">
        <f>E287*E212+F287*F212+G287*G212+H287*H212+I287*I212+J287*J212+K287*K212+L287*L212+M287*M212+N287*N212+O287*O212+P287*P212+Q287*Q212+R287*R212+S287*S212+T287*T212+U287*U212+V287*V212+W287*W212+X287*X212+Y287*Y212+Z287*Z212+AA287*AA212+AB287*AB212+AC287*AC212+AD287*AD212+AE287*AE212+AF287*AF212+AG287*AG212+AH287*AH212+AI287*AI212+AJ287*AJ212+AK287*AK212+AL287*AL212+AM287*AM212+AN287*AN212+AO287*AO212+AP287*AP212+AQ287*AQ212+AR287*AR212+AS287*AS212+AT287*AT212+AU287*AU212+AV287*AV212+AW287*AW212+AX287*AX212+AY287*AY212+AZ287*AZ212+BA287*BA212+BB287*BB212+BC287*BC212+BD287*BD212+BE287*BE212+BF287*BF212+BG287*BG212+BH287*BH212+BI287*BI212+BJ287*BJ212+BK287*BK212+BL287*BL212+BM287*BM212+BN287*BN212+BO287*BO212+BP287*BP212+BQ287*BQ212+BR287*BR212+BS287*BS212+BT287*BT212+BU287*BU212+BV287*BV212+BW287*BW212+BX287*BX212+BY287*BY212+BZ287*BZ212+CA287*CA212+CB287*CB212+CC287*CC212+CD287*CD212+CE287*CE212+CF287*CF212+CG287*CG212+CH287*CH212+CI287*CI212+CJ287*CJ212+CK287*CK212+CL287*CL212+CM287*CM212+CN287*CN212+CO287*CO212+CP287*CP212+CQ287*CQ212+CR287*CR212+CS287*CS212+CT287*CT212+CU287*CU212</f>
        <v>0</v>
      </c>
      <c r="CY212" s="2838">
        <f>E288*E212+F288*F212+G288*G212+H288*H212+I288*I212+J288*J212+K288*K212+L288*L212+M288*M212+N288*N212+O288*O212+P288*P212+Q288*Q212+R288*R212+S288*S212+T288*T212+U288*U212+V288*V212+W288*W212+X288*X212+Y288*Y212+Z288*Z212+AA288*AA212+AB288*AB212+AC288*AC212+AD288*AD212+AE288*AE212+AF288*AF212+AG288*AG212+AH288*AH212+AI288*AI212+AJ288*AJ212+AK288*AK212+AL288*AL212+AM288*AM212+AN288*AN212+AO288*AO212+AP288*AP212+AQ288*AQ212+AR288*AR212+AS288*AS212+AT288*AT212+AU288*AU212+AV288*AV212+AW288*AW212+AX288*AX212+AY288*AY212+AZ288*AZ212+BA288*BA212+BB288*BB212+BC288*BC212+BD288*BD212+BE288*BE212+BF288*BF212+BG288*BG212+BH288*BH212+BI288*BI212+BJ288*BJ212+BK288*BK212+BL288*BL212+BM288*BM212+BN288*BN212+BO288*BO212+BP288*BP212+BQ288*BQ212+BR288*BR212+BS288*BS212+BT288*BT212+BU288*BU212+BV288*BV212+BW288*BW212+BX288*BX212+BY288*BY212+BZ288*BZ212+CA288*CA212+CB288*CB212+CC288*CC212+CD288*CD212+CE288*CE212+CF288*CF212+CG288*CG212+CH288*CH212+CI288*CI212+CJ288*CJ212+CK288*CK212+CL288*CL212+CM288*CM212+CN288*CN212+CO288*CO212+CP288*CP212+CQ288*CQ212+CR288*CR212+CS288*CS212+CT288*CT212+CU288*CU212</f>
        <v>0</v>
      </c>
      <c r="CZ212" s="2839">
        <f>E289*E212+F289*F212+G289*G212+H289*H212+I289*I212+J289*J212+K289*K212+L289*L212+M289*M212+N289*N212+O289*O212+P289*P212+Q289*Q212+R289*R212+S289*S212+T289*T212+U289*U212+V289*V212+W289*W212+X289*X212+Y289*Y212+Z289*Z212+AA289*AA212+AB289*AB212+AC289*AC212+AD289*AD212+AE289*AE212+AF289*AF212+AG289*AG212+AH289*AH212+AI289*AI212+AJ289*AJ212+AK289*AK212+AL289*AL212+AM289*AM212+AN289*AN212+AO289*AO212+AP289*AP212+AQ289*AQ212+AR289*AR212+AS289*AS212+AT289*AT212+AU289*AU212+AV289*AV212+AW289*AW212+AX289*AX212+AY289*AY212+AZ289*AZ212+BA289*BA212+BB289*BB212+BC289*BC212+BD289*BD212+BE289*BE212+BF289*BF212+BG289*BG212+BH289*BH212+BI289*BI212+BJ289*BJ212+BK289*BK212+BL289*BL212+BM289*BM212+BN289*BN212+BO289*BO212+BP289*BP212+BQ289*BQ212+BR289*BR212+BS289*BS212+BT289*BT212+BU289*BU212+BV289*BV212+BW289*BW212+BX289*BX212+BY289*BY212+BZ289*BZ212+CA289*CA212+CB289*CB212+CC289*CC212+CD289*CD212+CE289*CE212+CF289*CF212+CG289*CG212+CH289*CH212+CI289*CI212+CJ289*CJ212+CK289*CK212+CL289*CL212+CM289*CM212+CN289*CN212+CO289*CO212+CP289*CP212+CQ289*CQ212+CR289*CR212+CS289*CS212+CT289*CT212+CU289*CU212</f>
        <v>0</v>
      </c>
      <c r="DA212" s="2840">
        <f>E290*E212+F290*F212+G290*G212+H290*H212+I290*I212+J290*J212+K290*K212+L290*L212+M290*M212+N290*N212+O290*O212+P290*P212+Q290*Q212+R290*R212+S290*S212+T290*T212+U290*U212+V290*V212+W290*W212+X290*X212+Y290*Y212+Z290*Z212+AA290*AA212+AB290*AB212+AC290*AC212+AD290*AD212+AE290*AE212+AF290*AF212+AG290*AG212+AH290*AH212+AI290*AI212+AJ290*AJ212+AK290*AK212+AL290*AL212+AM290*AM212+AN290*AN212+AO290*AO212+AP290*AP212+AQ290*AQ212+AR290*AR212+AS290*AS212+AT290*AT212+AU290*AU212+AV290*AV212+AW290*AW212+AX290*AX212+AY290*AY212+AZ290*AZ212+BA290*BA212+BB290*BB212+BC290*BC212+BD290*BD212+BE290*BE212+BF290*BF212+BG290*BG212+BH290*BH212+BI290*BI212+BJ290*BJ212+BK290*BK212+BL290*BL212+BM290*BM212+BN290*BN212+BO290*BO212+BP290*BP212+BQ290*BQ212+BR290*BR212+BS290*BS212+BT290*BT212+BU290*BU212+BV290*BV212+BW290*BW212+BX290*BX212+BY290*BY212+BZ290*BZ212+CA290*CA212+CB290*CB212+CC290*CC212+CD290*CD212+CE290*CE212+CF290*CF212+CG290*CG212+CH290*CH212+CI290*CI212+CJ290*CJ212+CK290*CK212+CL290*CL212+CM290*CM212+CN290*CN212+CO290*CO212+CP290*CP212+CQ290*CQ212+CR290*CR212+CS290*CS212+CT290*CT212+CU290*CU212</f>
        <v>0</v>
      </c>
      <c r="DB212" s="2840">
        <f>E291*E212+F291*F212+G291*G212+H291*H212+I291*I212+J291*J212+K291*K212+L291*L212+M291*M212+N291*N212+O291*O212+P291*P212+Q291*Q212+R291*R212+S291*S212+T291*T212+U291*U212+V291*V212+W291*W212+X291*X212+Y291*Y212+Z291*Z212+AA291*AA212+AB291*AB212+AC291*AC212+AD291*AD212+AE291*AE212+AF291*AF212+AG291*AG212+AH291*AH212+AI291*AI212+AJ291*AJ212+AK291*AK212+AL291*AL212+AM291*AM212+AN291*AN212+AO291*AO212+AP291*AP212+AQ291*AQ212+AR291*AR212+AS291*AS212+AT291*AT212+AU291*AU212+AV291*AV212+AW291*AW212+AX291*AX212+AY291*AY212+AZ291*AZ212+BA291*BA212+BB291*BB212+BC291*BC212+BD291*BD212+BE291*BE212+BF291*BF212+BG291*BG212+BH291*BH212+BI291*BI212+BJ291*BJ212+BK291*BK212+BL291*BL212+BM291*BM212+BN291*BN212+BO291*BO212+BP291*BP212+BQ291*BQ212+BR291*BR212+BS291*BS212+BT291*BT212+BU291*BU212+BV291*BV212+BW291*BW212+BX291*BX212+BY291*BY212+BZ291*BZ212+CA291*CA212+CB291*CB212+CC291*CC212+CD291*CD212+CE291*CE212+CF291*CF212+CG291*CG212+CH291*CH212+CI291*CI212+CJ291*CJ212+CK291*CK212+CL291*CL212+CM291*CM212+CN291*CN212+CO291*CO212+CP291*CP212+CQ291*CQ212+CR291*CR212+CS291*CS212+CT291*CT212+CU291*CU212</f>
        <v>0</v>
      </c>
      <c r="DC212" s="2840">
        <f>E292*E212+F292*F212+G292*G212+H292*H212+I292*I212+J292*J212+K292*K212+L292*L212+M292*M212+N292*N212+O292*O212+P292*P212+Q292*Q212+R292*R212+S292*S212+T292*T212+U292*U212+V292*V212+W292*W212+X292*X212+Y292*Y212+Z292*Z212+AA292*AA212+AB292*AB212+AC292*AC212+AD292*AD212+AE292*AE212+AF292*AF212+AG292*AG212+AH292*AH212+AI292*AI212+AJ292*AJ212+AK292*AK212+AL292*AL212+AM292*AM212+AN292*AN212+AO292*AO212+AP292*AP212+AQ292*AQ212+AR292*AR212+AS292*AS212+AT292*AT212+AU292*AU212+AV292*AV212+AW292*AW212+AX292*AX212+AY292*AY212+AZ292*AZ212+BA292*BA212+BB292*BB212+BC292*BC212+BD292*BD212+BE292*BE212+BF292*BF212+BG292*BG212+BH292*BH212+BI292*BI212+BJ292*BJ212+BK292*BK212+BL292*BL212+BM292*BM212+BN292*BN212+BO292*BO212+BP292*BP212+BQ292*BQ212+BR292*BR212+BS292*BS212+BT292*BT212+BU292*BU212+BV292*BV212+BW292*BW212+BX292*BX212+BY292*BY212+BZ292*BZ212+CA292*CA212+CB292*CB212+CC292*CC212+CD292*CD212+CE292*CE212+CF292*CF212+CG292*CG212+CH292*CH212+CI292*CI212+CJ292*CJ212+CK292*CK212+CL292*CL212+CM292*CM212+CN292*CN212+CO292*CO212+CP292*CP212+CQ292*CQ212+CR292*CR212+CS292*CS212+CT292*CT212+CU292*CU212</f>
        <v>0</v>
      </c>
      <c r="DD212" s="2840">
        <f>E293*E212+F293*F212+G293*G212+H293*H212+I293*I212+J293*J212+K293*K212+L293*L212+M293*M212+N293*N212+O293*O212+P293*P212+Q293*Q212+R293*R212+S293*S212+T293*T212+U293*U212+V293*V212+W293*W212+X293*X212+Y293*Y212+Z293*Z212+AA293*AA212+AB293*AB212+AC293*AC212+AD293*AD212+AE293*AE212+AF293*AF212+AG293*AG212+AH293*AH212+AI293*AI212+AJ293*AJ212+AK293*AK212+AL293*AL212+AM293*AM212+AN293*AN212+AO293*AO212+AP293*AP212+AQ293*AQ212+AR293*AR212+AS293*AS212+AT293*AT212+AU293*AU212+AV293*AV212+AW293*AW212+AX293*AX212+AY293*AY212+AZ293*AZ212+BA293*BA212+BB293*BB212+BC293*BC212+BD293*BD212+BE293*BE212+BF293*BF212+BG293*BG212+BH293*BH212+BI293*BI212+BJ293*BJ212+BK293*BK212+BL293*BL212+BM293*BM212+BN293*BN212+BO293*BO212+BP293*BP212+BQ293*BQ212+BR293*BR212+BS293*BS212+BT293*BT212+BU293*BU212+BV293*BV212+BW293*BW212+BX293*BX212+BY293*BY212+BZ293*BZ212+CA293*CA212+CB293*CB212+CC293*CC212+CD293*CD212+CE293*CE212+CF293*CF212+CG293*CG212+CH293*CH212+CI293*CI212+CJ293*CJ212+CK293*CK212+CL293*CL212+CM293*CM212+CN293*CN212+CO293*CO212+CP293*CP212+CQ293*CQ212+CR293*CR212+CS293*CS212+CT293*CT212+CU293*CU212</f>
        <v>0</v>
      </c>
      <c r="DE212" s="2840">
        <f>E294*E212+F294*F212+G294*G212+H294*H212+I294*I212+J294*J212+K294*K212+L294*L212+M294*M212+N294*N212+O294*O212+P294*P212+Q294*Q212+R294*R212+S294*S212+T294*T212+U294*U212+V294*V212+W294*W212+X294*X212+Y294*Y212+Z294*Z212+AA294*AA212+AB294*AB212+AC294*AC212+AD294*AD212+AE294*AE212+AF294*AF212+AG294*AG212+AH294*AH212+AI294*AI212+AJ294*AJ212+AK294*AK212+AL294*AL212+AM294*AM212+AN294*AN212+AO294*AO212+AP294*AP212+AQ294*AQ212+AR294*AR212+AS294*AS212+AT294*AT212+AU294*AU212+AV294*AV212+AW294*AW212+AX294*AX212+AY294*AY212+AZ294*AZ212+BA294*BA212+BB294*BB212+BC294*BC212+BD294*BD212+BE294*BE212+BF294*BF212+BG294*BG212+BH294*BH212+BI294*BI212+BJ294*BJ212+BK294*BK212+BL294*BL212+BM294*BM212+BN294*BN212+BO294*BO212+BP294*BP212+BQ294*BQ212+BR294*BR212+BS294*BS212+BT294*BT212+BU294*BU212+BV294*BV212+BW294*BW212+BX294*BX212+BY294*BY212+BZ294*BZ212+CA294*CA212+CB294*CB212+CC294*CC212+CD294*CD212+CE294*CE212+CF294*CF212+CG294*CG212+CH294*CH212+CI294*CI212+CJ294*CJ212+CK294*CK212+CL294*CL212+CM294*CM212+CN294*CN212+CO294*CO212+CP294*CP212+CQ294*CQ212+CR294*CR212+CS294*CS212+CT294*CT212+CU294*CU212</f>
        <v>0</v>
      </c>
      <c r="DF212" s="2840">
        <f>E295*E212+F295*F212+G295*G212+H295*H212+I295*I212+J295*J212+K295*K212+L295*L212+M295*M212+N295*N212+O295*O212+P295*P212+Q295*Q212+R295*R212+S295*S212+T295*T212+U295*U212+V295*V212+W295*W212+X295*X212+Y295*Y212+Z295*Z212+AA295*AA212+AB295*AB212+AC295*AC212+AD295*AD212+AE295*AE212+AF295*AF212+AG295*AG212+AH295*AH212+AI295*AI212+AJ295*AJ212+AK295*AK212+AL295*AL212+AM295*AM212+AN295*AN212+AO295*AO212+AP295*AP212+AQ295*AQ212+AR295*AR212+AS295*AS212+AT295*AT212+AU295*AU212+AV295*AV212+AW295*AW212+AX295*AX212+AY295*AY212+AZ295*AZ212+BA295*BA212+BB295*BB212+BC295*BC212+BD295*BD212+BE295*BE212+BF295*BF212+BG295*BG212+BH295*BH212+BI295*BI212+BJ295*BJ212+BK295*BK212+BL295*BL212+BM295*BM212+BN295*BN212+BO295*BO212+BP295*BP212+BQ295*BQ212+BR295*BR212+BS295*BS212+BT295*BT212+BU295*BU212+BV295*BV212+BW295*BW212+BX295*BX212+BY295*BY212+BZ295*BZ212+CA295*CA212+CB295*CB212+CC295*CC212+CD295*CD212+CE295*CE212+CF295*CF212+CG295*CG212+CH295*CH212+CI295*CI212+CJ295*CJ212+CK295*CK212+CL295*CL212+CM295*CM212+CN295*CN212+CO295*CO212+CP295*CP212+CQ295*CQ212+CR295*CR212+CS295*CS212+CT295*CT212+CU295*CU212</f>
        <v>0</v>
      </c>
      <c r="DG212" s="2840">
        <f>E296*E212+F296*F212+G296*G212+H296*H212+I296*I212+J296*J212+K296*K212+L296*L212+M296*M212+N296*N212+O296*O212+P296*P212+Q296*Q212+R296*R212+S296*S212+T296*T212+U296*U212+V296*V212+W296*W212+X296*X212+Y296*Y212+Z296*Z212+AA296*AA212+AB296*AB212+AC296*AC212+AD296*AD212+AE296*AE212+AF296*AF212+AG296*AG212+AH296*AH212+AI296*AI212+AJ296*AJ212+AK296*AK212+AL296*AL212+AM296*AM212+AN296*AN212+AO296*AO212+AP296*AP212+AQ296*AQ212+AR296*AR212+AS296*AS212+AT296*AT212+AU296*AU212+AV296*AV212+AW296*AW212+AX296*AX212+AY296*AY212+AZ296*AZ212+BA296*BA212+BB296*BB212+BC296*BC212+BD296*BD212+BE296*BE212+BF296*BF212+BG296*BG212+BH296*BH212+BI296*BI212+BJ296*BJ212+BK296*BK212+BL296*BL212+BM296*BM212+BN296*BN212+BO296*BO212+BP296*BP212+BQ296*BQ212+BR296*BR212+BS296*BS212+BT296*BT212+BU296*BU212+BV296*BV212+BW296*BW212+BX296*BX212+BY296*BY212+BZ296*BZ212+CA296*CA212+CB296*CB212+CC296*CC212+CD296*CD212+CE296*CE212+CF296*CF212+CG296*CG212+CH296*CH212+CI296*CI212+CJ296*CJ212+CK296*CK212+CL296*CL212+CM296*CM212+CN296*CN212+CO296*CO212+CP296*CP212+CQ296*CQ212+CR296*CR212+CS296*CS212+CT296*CT212+CU296*CU212</f>
        <v>0</v>
      </c>
      <c r="DH212" s="2840">
        <f>E297*E212+F297*F212+G297*G212+H297*H212+I297*I212+J297*J212+K297*K212+L297*L212+M297*M212+N297*N212+O297*O212+P297*P212+Q297*Q212+R297*R212+S297*S212+T297*T212+U297*U212+V297*V212+W297*W212+X297*X212+Y297*Y212+Z297*Z212+AA297*AA212+AB297*AB212+AC297*AC212+AD297*AD212+AE297*AE212+AF297*AF212+AG297*AG212+AH297*AH212+AI297*AI212+AJ297*AJ212+AK297*AK212+AL297*AL212+AM297*AM212+AN297*AN212+AO297*AO212+AP297*AP212+AQ297*AQ212+AR297*AR212+AS297*AS212+AT297*AT212+AU297*AU212+AV297*AV212+AW297*AW212+AX297*AX212+AY297*AY212+AZ297*AZ212+BA297*BA212+BB297*BB212+BC297*BC212+BD297*BD212+BE297*BE212+BF297*BF212+BG297*BG212+BH297*BH212+BI297*BI212+BJ297*BJ212+BK297*BK212+BL297*BL212+BM297*BM212+BN297*BN212+BO297*BO212+BP297*BP212+BQ297*BQ212+BR297*BR212+BS297*BS212+BT297*BT212+BU297*BU212+BV297*BV212+BW297*BW212+BX297*BX212+BY297*BY212+BZ297*BZ212+CA297*CA212+CB297*CB212+CC297*CC212+CD297*CD212+CE297*CE212+CF297*CF212+CG297*CG212+CH297*CH212+CI297*CI212+CJ297*CJ212+CK297*CK212+CL297*CL212+CM297*CM212+CN297*CN212+CO297*CO212+CP297*CP212+CQ297*CQ212+CR297*CR212+CS297*CS212+CT297*CT212+CU297*CU212</f>
        <v>0</v>
      </c>
      <c r="DI212" s="2840">
        <f>E298*E212+F298*F212+G298*G212+H298*H212+I298*I212+J298*J212+K298*K212+L298*L212+M298*M212+N298*N212+O298*O212+P298*P212+Q298*Q212+R298*R212+S298*S212+T298*T212+U298*U212+V298*V212+W298*W212+X298*X212+Y298*Y212+Z298*Z212+AA298*AA212+AB298*AB212+AC298*AC212+AD298*AD212+AE298*AE212+AF298*AF212+AG298*AG212+AH298*AH212+AI298*AI212+AJ298*AJ212+AK298*AK212+AL298*AL212+AM298*AM212+AN298*AN212+AO298*AO212+AP298*AP212+AQ298*AQ212+AR298*AR212+AS298*AS212+AT298*AT212+AU298*AU212+AV298*AV212+AW298*AW212+AX298*AX212+AY298*AY212+AZ298*AZ212+BA298*BA212+BB298*BB212+BC298*BC212+BD298*BD212+BE298*BE212+BF298*BF212+BG298*BG212+BH298*BH212+BI298*BI212+BJ298*BJ212+BK298*BK212+BL298*BL212+BM298*BM212+BN298*BN212+BO298*BO212+BP298*BP212+BQ298*BQ212+BR298*BR212+BS298*BS212+BT298*BT212+BU298*BU212+BV298*BV212+BW298*BW212+BX298*BX212+BY298*BY212+BZ298*BZ212+CA298*CA212+CB298*CB212+CC298*CC212+CD298*CD212+CE298*CE212+CF298*CF212+CG298*CG212+CH298*CH212+CI298*CI212+CJ298*CJ212+CK298*CK212+CL298*CL212+CM298*CM212+CN298*CN212+CO298*CO212+CP298*CP212+CQ298*CQ212+CR298*CR212+CS298*CS212+CT298*CT212+CU298*CU212</f>
        <v>0</v>
      </c>
    </row>
    <row r="213" spans="2:113" ht="18" x14ac:dyDescent="0.35">
      <c r="B213" s="2389">
        <v>60</v>
      </c>
      <c r="C213" s="2390" t="s">
        <v>2411</v>
      </c>
      <c r="D213" s="2391" t="s">
        <v>3256</v>
      </c>
      <c r="E213" s="3123">
        <f>0</f>
        <v>0</v>
      </c>
      <c r="F213" s="3123">
        <f>0</f>
        <v>0</v>
      </c>
      <c r="G213" s="3123">
        <f>0</f>
        <v>0</v>
      </c>
      <c r="H213" s="3123">
        <f>0</f>
        <v>0</v>
      </c>
      <c r="I213" s="3123">
        <f>0</f>
        <v>0</v>
      </c>
      <c r="J213" s="3123">
        <f>0</f>
        <v>0</v>
      </c>
      <c r="K213" s="3123">
        <f>0</f>
        <v>0</v>
      </c>
      <c r="L213" s="3123">
        <f>0</f>
        <v>0</v>
      </c>
      <c r="M213" s="3123">
        <f>0</f>
        <v>0</v>
      </c>
      <c r="N213" s="3123">
        <f>0</f>
        <v>0</v>
      </c>
      <c r="O213" s="3123">
        <f>0</f>
        <v>0</v>
      </c>
      <c r="P213" s="3123">
        <f>0</f>
        <v>0</v>
      </c>
      <c r="Q213" s="3123">
        <f>0</f>
        <v>0</v>
      </c>
      <c r="R213" s="3154">
        <f>0</f>
        <v>0</v>
      </c>
      <c r="S213" s="3123">
        <f>0</f>
        <v>0</v>
      </c>
      <c r="T213" s="3123">
        <f>0</f>
        <v>0</v>
      </c>
      <c r="U213" s="3123">
        <f>0</f>
        <v>0</v>
      </c>
      <c r="V213" s="3123">
        <f>0</f>
        <v>0</v>
      </c>
      <c r="W213" s="3123">
        <f>0</f>
        <v>0</v>
      </c>
      <c r="X213" s="3123">
        <f>0</f>
        <v>0</v>
      </c>
      <c r="Y213" s="3123">
        <f>0</f>
        <v>0</v>
      </c>
      <c r="Z213" s="3123">
        <f>0</f>
        <v>0</v>
      </c>
      <c r="AA213" s="3154">
        <f>0</f>
        <v>0</v>
      </c>
      <c r="AB213" s="3154">
        <f>1</f>
        <v>1</v>
      </c>
      <c r="AC213" s="3154">
        <f>0</f>
        <v>0</v>
      </c>
      <c r="AD213" s="3163">
        <f>-i_N_BIO</f>
        <v>-7.0000000000000007E-2</v>
      </c>
      <c r="AE213" s="3154">
        <f>(E_EQH2S-E_EQS-Y_SOO_H2S_anox)/(E_EQNO2_NO3*Y_SOO_H2S_anox)</f>
        <v>0.45632305516850286</v>
      </c>
      <c r="AF213" s="3154">
        <f>-(E_EQH2S-E_EQS-Y_SOO_H2S_anox)/(E_EQNO2_NO3*Y_SOO_H2S_anox)</f>
        <v>-0.45632305516850286</v>
      </c>
      <c r="AG213" s="3154">
        <f>0</f>
        <v>0</v>
      </c>
      <c r="AH213" s="3123">
        <f>0</f>
        <v>0</v>
      </c>
      <c r="AI213" s="3123">
        <f>0</f>
        <v>0</v>
      </c>
      <c r="AJ213" s="3123">
        <f>0</f>
        <v>0</v>
      </c>
      <c r="AK213" s="3123">
        <f>0</f>
        <v>0</v>
      </c>
      <c r="AL213" s="3163">
        <f>-i_P_BIO</f>
        <v>-0.02</v>
      </c>
      <c r="AM213" s="3123">
        <f>0</f>
        <v>0</v>
      </c>
      <c r="AN213" s="3123">
        <f>0</f>
        <v>0</v>
      </c>
      <c r="AO213" s="3123">
        <f>0</f>
        <v>0</v>
      </c>
      <c r="AP213" s="3123">
        <f>0</f>
        <v>0</v>
      </c>
      <c r="AQ213" s="3123">
        <f>0</f>
        <v>0</v>
      </c>
      <c r="AR213" s="3123">
        <f>0</f>
        <v>0</v>
      </c>
      <c r="AS213" s="3123">
        <f>0</f>
        <v>0</v>
      </c>
      <c r="AT213" s="3166">
        <f>0</f>
        <v>0</v>
      </c>
      <c r="AU213" s="3154">
        <f>-i_CIT_BIO</f>
        <v>-0.35199999999999998</v>
      </c>
      <c r="AV213" s="3123">
        <f>i_INORG</f>
        <v>0.11</v>
      </c>
      <c r="AW213" s="3123">
        <f>-i_INORG*(1-i_Ca_INORG*(A_MCa+2*A_MCl)/A_MCa-i_Mg_INORG*(A_MMg+2*A_MCl)/A_MMg)*f_Na</f>
        <v>-2.8804303582798466E-2</v>
      </c>
      <c r="AX213" s="3123">
        <f>-i_INORG*(i_Ca_INORG*(2*A_MCl)/A_MCa+i_Mg_INORG*(2*A_MCl)/A_MMg)-i_INORG*(1-i_Ca_INORG*(A_MCa+2*A_MCl)/A_MCa-i_Mg_INORG*(A_MMg+2*A_MCl)/A_MMg)*(1-f_Na)</f>
        <v>-7.0195696417201539E-2</v>
      </c>
      <c r="AY213" s="3123">
        <f>-i_INORG*i_Ca_INORG</f>
        <v>-5.5000000000000005E-3</v>
      </c>
      <c r="AZ213" s="3123">
        <f>-i_INORG*i_Mg_INORG</f>
        <v>-5.5000000000000005E-3</v>
      </c>
      <c r="BA213" s="3123">
        <f>0</f>
        <v>0</v>
      </c>
      <c r="BB213" s="3163">
        <f>-1/Y_SOO_H2S_anox</f>
        <v>-3.0487804878048781</v>
      </c>
      <c r="BC213" s="3163">
        <f>-i_S_BIO</f>
        <v>-0.01</v>
      </c>
      <c r="BD213" s="3163">
        <f>1/Y_SOO_H2S_anox</f>
        <v>3.0487804878048781</v>
      </c>
      <c r="BE213" s="3123">
        <f>0</f>
        <v>0</v>
      </c>
      <c r="BF213" s="3123">
        <f>0</f>
        <v>0</v>
      </c>
      <c r="BG213" s="3123">
        <f>0</f>
        <v>0</v>
      </c>
      <c r="BH213" s="3123">
        <f>0</f>
        <v>0</v>
      </c>
      <c r="BI213" s="3123">
        <f>0</f>
        <v>0</v>
      </c>
      <c r="BJ213" s="3123">
        <f>0</f>
        <v>0</v>
      </c>
      <c r="BK213" s="3123">
        <f>0</f>
        <v>0</v>
      </c>
      <c r="BL213" s="3123">
        <f>0</f>
        <v>0</v>
      </c>
      <c r="BM213" s="3123">
        <f>0</f>
        <v>0</v>
      </c>
      <c r="BN213" s="3123">
        <f>0</f>
        <v>0</v>
      </c>
      <c r="BO213" s="3123">
        <f>0</f>
        <v>0</v>
      </c>
      <c r="BP213" s="3123">
        <f>0</f>
        <v>0</v>
      </c>
      <c r="BQ213" s="3123">
        <f>0</f>
        <v>0</v>
      </c>
      <c r="BR213" s="3123">
        <f>0</f>
        <v>0</v>
      </c>
      <c r="BS213" s="3123">
        <f>0</f>
        <v>0</v>
      </c>
      <c r="BT213" s="3123">
        <f>0</f>
        <v>0</v>
      </c>
      <c r="BU213" s="3123">
        <f>0</f>
        <v>0</v>
      </c>
      <c r="BV213" s="3123">
        <f>0</f>
        <v>0</v>
      </c>
      <c r="BW213" s="3123">
        <f>0</f>
        <v>0</v>
      </c>
      <c r="BX213" s="3123">
        <f>0</f>
        <v>0</v>
      </c>
      <c r="BY213" s="3123">
        <f>0</f>
        <v>0</v>
      </c>
      <c r="BZ213" s="3206">
        <f>0</f>
        <v>0</v>
      </c>
      <c r="CA213" s="3206">
        <f>0</f>
        <v>0</v>
      </c>
      <c r="CB213" s="3206">
        <f>0</f>
        <v>0</v>
      </c>
      <c r="CC213" s="3206">
        <f>0</f>
        <v>0</v>
      </c>
      <c r="CD213" s="3123">
        <f>0</f>
        <v>0</v>
      </c>
      <c r="CE213" s="3123">
        <f>0</f>
        <v>0</v>
      </c>
      <c r="CF213" s="3123">
        <f>0</f>
        <v>0</v>
      </c>
      <c r="CG213" s="3123">
        <f>0</f>
        <v>0</v>
      </c>
      <c r="CH213" s="3123">
        <f>0</f>
        <v>0</v>
      </c>
      <c r="CI213" s="3123">
        <f>0</f>
        <v>0</v>
      </c>
      <c r="CJ213" s="3123">
        <f>0</f>
        <v>0</v>
      </c>
      <c r="CK213" s="3123">
        <f>0</f>
        <v>0</v>
      </c>
      <c r="CL213" s="3123">
        <f>0</f>
        <v>0</v>
      </c>
      <c r="CM213" s="3123">
        <f>0</f>
        <v>0</v>
      </c>
      <c r="CN213" s="3123">
        <f>0</f>
        <v>0</v>
      </c>
      <c r="CO213" s="3123">
        <f>0</f>
        <v>0</v>
      </c>
      <c r="CP213" s="3123">
        <f>0</f>
        <v>0</v>
      </c>
      <c r="CQ213" s="3123">
        <f>0</f>
        <v>0</v>
      </c>
      <c r="CR213" s="3123">
        <f>0</f>
        <v>0</v>
      </c>
      <c r="CS213" s="3123">
        <f>0</f>
        <v>0</v>
      </c>
      <c r="CT213" s="3123">
        <f>0</f>
        <v>0</v>
      </c>
      <c r="CU213" s="3123">
        <f>0</f>
        <v>0</v>
      </c>
      <c r="CV213" s="3229">
        <f>µ_SOO_H2S_T*X_SOO*M_satSCO2_KCO2_BIO*M_satSNO3_KNO3_H2S_SOO*H_satSH2S_KH2S_SOO*M_satSNHx_KNHx_BIO*M_satSPO4_KPO4_BIO*M_satSCAT_KCAT*M_satSAN_KAN*M_satSCa_KCa*M_satSMg_KMg*M_satSSO4_KSO4_BIO*M_inhSO2_KO2_H2S_SOO*M_inhSNO2_KNO2_H2S_SOO*B_ellinhpH</f>
        <v>0.94319147914548473</v>
      </c>
      <c r="CX213" s="2838">
        <f>E287*E213+F287*F213+G287*G213+H287*H213+I287*I213+J287*J213+K287*K213+L287*L213+M287*M213+N287*N213+O287*O213+P287*P213+Q287*Q213+R287*R213+S287*S213+T287*T213+U287*U213+V287*V213+W287*W213+X287*X213+Y287*Y213+Z287*Z213+AA287*AA213+AB287*AB213+AC287*AC213+AD287*AD213+AE287*AE213+AF287*AF213+AG287*AG213+AH287*AH213+AI287*AI213+AJ287*AJ213+AK287*AK213+AL287*AL213+AM287*AM213+AN287*AN213+AO287*AO213+AP287*AP213+AQ287*AQ213+AR287*AR213+AS287*AS213+AT287*AT213+AU287*AU213+AV287*AV213+AW287*AW213+AX287*AX213+AY287*AY213+AZ287*AZ213+BA287*BA213+BB287*BB213+BC287*BC213+BD287*BD213+BE287*BE213+BF287*BF213+BG287*BG213+BH287*BH213+BI287*BI213+BJ287*BJ213+BK287*BK213+BL287*BL213+BM287*BM213+BN287*BN213+BO287*BO213+BP287*BP213+BQ287*BQ213+BR287*BR213+BS287*BS213+BT287*BT213+BU287*BU213+BV287*BV213+BW287*BW213+BX287*BX213+BY287*BY213+BZ287*BZ213+CA287*CA213+CB287*CB213+CC287*CC213+CD287*CD213+CE287*CE213+CF287*CF213+CG287*CG213+CH287*CH213+CI287*CI213+CJ287*CJ213+CK287*CK213+CL287*CL213+CM287*CM213+CN287*CN213+CO287*CO213+CP287*CP213+CQ287*CQ213+CR287*CR213+CS287*CS213+CT287*CT213+CU287*CU213</f>
        <v>0</v>
      </c>
      <c r="CY213" s="2838">
        <f>E288*E213+F288*F213+G288*G213+H288*H213+I288*I213+J288*J213+K288*K213+L288*L213+M288*M213+N288*N213+O288*O213+P288*P213+Q288*Q213+R288*R213+S288*S213+T288*T213+U288*U213+V288*V213+W288*W213+X288*X213+Y288*Y213+Z288*Z213+AA288*AA213+AB288*AB213+AC288*AC213+AD288*AD213+AE288*AE213+AF288*AF213+AG288*AG213+AH288*AH213+AI288*AI213+AJ288*AJ213+AK288*AK213+AL288*AL213+AM288*AM213+AN288*AN213+AO288*AO213+AP288*AP213+AQ288*AQ213+AR288*AR213+AS288*AS213+AT288*AT213+AU288*AU213+AV288*AV213+AW288*AW213+AX288*AX213+AY288*AY213+AZ288*AZ213+BA288*BA213+BB288*BB213+BC288*BC213+BD288*BD213+BE288*BE213+BF288*BF213+BG288*BG213+BH288*BH213+BI288*BI213+BJ288*BJ213+BK288*BK213+BL288*BL213+BM288*BM213+BN288*BN213+BO288*BO213+BP288*BP213+BQ288*BQ213+BR288*BR213+BS288*BS213+BT288*BT213+BU288*BU213+BV288*BV213+BW288*BW213+BX288*BX213+BY288*BY213+BZ288*BZ213+CA288*CA213+CB288*CB213+CC288*CC213+CD288*CD213+CE288*CE213+CF288*CF213+CG288*CG213+CH288*CH213+CI288*CI213+CJ288*CJ213+CK288*CK213+CL288*CL213+CM288*CM213+CN288*CN213+CO288*CO213+CP288*CP213+CQ288*CQ213+CR288*CR213+CS288*CS213+CT288*CT213+CU288*CU213</f>
        <v>0</v>
      </c>
      <c r="CZ213" s="2839">
        <f>E289*E213+F289*F213+G289*G213+H289*H213+I289*I213+J289*J213+K289*K213+L289*L213+M289*M213+N289*N213+O289*O213+P289*P213+Q289*Q213+R289*R213+S289*S213+T289*T213+U289*U213+V289*V213+W289*W213+X289*X213+Y289*Y213+Z289*Z213+AA289*AA213+AB289*AB213+AC289*AC213+AD289*AD213+AE289*AE213+AF289*AF213+AG289*AG213+AH289*AH213+AI289*AI213+AJ289*AJ213+AK289*AK213+AL289*AL213+AM289*AM213+AN289*AN213+AO289*AO213+AP289*AP213+AQ289*AQ213+AR289*AR213+AS289*AS213+AT289*AT213+AU289*AU213+AV289*AV213+AW289*AW213+AX289*AX213+AY289*AY213+AZ289*AZ213+BA289*BA213+BB289*BB213+BC289*BC213+BD289*BD213+BE289*BE213+BF289*BF213+BG289*BG213+BH289*BH213+BI289*BI213+BJ289*BJ213+BK289*BK213+BL289*BL213+BM289*BM213+BN289*BN213+BO289*BO213+BP289*BP213+BQ289*BQ213+BR289*BR213+BS289*BS213+BT289*BT213+BU289*BU213+BV289*BV213+BW289*BW213+BX289*BX213+BY289*BY213+BZ289*BZ213+CA289*CA213+CB289*CB213+CC289*CC213+CD289*CD213+CE289*CE213+CF289*CF213+CG289*CG213+CH289*CH213+CI289*CI213+CJ289*CJ213+CK289*CK213+CL289*CL213+CM289*CM213+CN289*CN213+CO289*CO213+CP289*CP213+CQ289*CQ213+CR289*CR213+CS289*CS213+CT289*CT213+CU289*CU213</f>
        <v>0</v>
      </c>
      <c r="DA213" s="2840">
        <f>E290*E213+F290*F213+G290*G213+H290*H213+I290*I213+J290*J213+K290*K213+L290*L213+M290*M213+N290*N213+O290*O213+P290*P213+Q290*Q213+R290*R213+S290*S213+T290*T213+U290*U213+V290*V213+W290*W213+X290*X213+Y290*Y213+Z290*Z213+AA290*AA213+AB290*AB213+AC290*AC213+AD290*AD213+AE290*AE213+AF290*AF213+AG290*AG213+AH290*AH213+AI290*AI213+AJ290*AJ213+AK290*AK213+AL290*AL213+AM290*AM213+AN290*AN213+AO290*AO213+AP290*AP213+AQ290*AQ213+AR290*AR213+AS290*AS213+AT290*AT213+AU290*AU213+AV290*AV213+AW290*AW213+AX290*AX213+AY290*AY213+AZ290*AZ213+BA290*BA213+BB290*BB213+BC290*BC213+BD290*BD213+BE290*BE213+BF290*BF213+BG290*BG213+BH290*BH213+BI290*BI213+BJ290*BJ213+BK290*BK213+BL290*BL213+BM290*BM213+BN290*BN213+BO290*BO213+BP290*BP213+BQ290*BQ213+BR290*BR213+BS290*BS213+BT290*BT213+BU290*BU213+BV290*BV213+BW290*BW213+BX290*BX213+BY290*BY213+BZ290*BZ213+CA290*CA213+CB290*CB213+CC290*CC213+CD290*CD213+CE290*CE213+CF290*CF213+CG290*CG213+CH290*CH213+CI290*CI213+CJ290*CJ213+CK290*CK213+CL290*CL213+CM290*CM213+CN290*CN213+CO290*CO213+CP290*CP213+CQ290*CQ213+CR290*CR213+CS290*CS213+CT290*CT213+CU290*CU213</f>
        <v>0</v>
      </c>
      <c r="DB213" s="2840">
        <f>E291*E213+F291*F213+G291*G213+H291*H213+I291*I213+J291*J213+K291*K213+L291*L213+M291*M213+N291*N213+O291*O213+P291*P213+Q291*Q213+R291*R213+S291*S213+T291*T213+U291*U213+V291*V213+W291*W213+X291*X213+Y291*Y213+Z291*Z213+AA291*AA213+AB291*AB213+AC291*AC213+AD291*AD213+AE291*AE213+AF291*AF213+AG291*AG213+AH291*AH213+AI291*AI213+AJ291*AJ213+AK291*AK213+AL291*AL213+AM291*AM213+AN291*AN213+AO291*AO213+AP291*AP213+AQ291*AQ213+AR291*AR213+AS291*AS213+AT291*AT213+AU291*AU213+AV291*AV213+AW291*AW213+AX291*AX213+AY291*AY213+AZ291*AZ213+BA291*BA213+BB291*BB213+BC291*BC213+BD291*BD213+BE291*BE213+BF291*BF213+BG291*BG213+BH291*BH213+BI291*BI213+BJ291*BJ213+BK291*BK213+BL291*BL213+BM291*BM213+BN291*BN213+BO291*BO213+BP291*BP213+BQ291*BQ213+BR291*BR213+BS291*BS213+BT291*BT213+BU291*BU213+BV291*BV213+BW291*BW213+BX291*BX213+BY291*BY213+BZ291*BZ213+CA291*CA213+CB291*CB213+CC291*CC213+CD291*CD213+CE291*CE213+CF291*CF213+CG291*CG213+CH291*CH213+CI291*CI213+CJ291*CJ213+CK291*CK213+CL291*CL213+CM291*CM213+CN291*CN213+CO291*CO213+CP291*CP213+CQ291*CQ213+CR291*CR213+CS291*CS213+CT291*CT213+CU291*CU213</f>
        <v>0</v>
      </c>
      <c r="DC213" s="2840">
        <f>E292*E213+F292*F213+G292*G213+H292*H213+I292*I213+J292*J213+K292*K213+L292*L213+M292*M213+N292*N213+O292*O213+P292*P213+Q292*Q213+R292*R213+S292*S213+T292*T213+U292*U213+V292*V213+W292*W213+X292*X213+Y292*Y213+Z292*Z213+AA292*AA213+AB292*AB213+AC292*AC213+AD292*AD213+AE292*AE213+AF292*AF213+AG292*AG213+AH292*AH213+AI292*AI213+AJ292*AJ213+AK292*AK213+AL292*AL213+AM292*AM213+AN292*AN213+AO292*AO213+AP292*AP213+AQ292*AQ213+AR292*AR213+AS292*AS213+AT292*AT213+AU292*AU213+AV292*AV213+AW292*AW213+AX292*AX213+AY292*AY213+AZ292*AZ213+BA292*BA213+BB292*BB213+BC292*BC213+BD292*BD213+BE292*BE213+BF292*BF213+BG292*BG213+BH292*BH213+BI292*BI213+BJ292*BJ213+BK292*BK213+BL292*BL213+BM292*BM213+BN292*BN213+BO292*BO213+BP292*BP213+BQ292*BQ213+BR292*BR213+BS292*BS213+BT292*BT213+BU292*BU213+BV292*BV213+BW292*BW213+BX292*BX213+BY292*BY213+BZ292*BZ213+CA292*CA213+CB292*CB213+CC292*CC213+CD292*CD213+CE292*CE213+CF292*CF213+CG292*CG213+CH292*CH213+CI292*CI213+CJ292*CJ213+CK292*CK213+CL292*CL213+CM292*CM213+CN292*CN213+CO292*CO213+CP292*CP213+CQ292*CQ213+CR292*CR213+CS292*CS213+CT292*CT213+CU292*CU213</f>
        <v>0</v>
      </c>
      <c r="DD213" s="2840">
        <f>E293*E213+F293*F213+G293*G213+H293*H213+I293*I213+J293*J213+K293*K213+L293*L213+M293*M213+N293*N213+O293*O213+P293*P213+Q293*Q213+R293*R213+S293*S213+T293*T213+U293*U213+V293*V213+W293*W213+X293*X213+Y293*Y213+Z293*Z213+AA293*AA213+AB293*AB213+AC293*AC213+AD293*AD213+AE293*AE213+AF293*AF213+AG293*AG213+AH293*AH213+AI293*AI213+AJ293*AJ213+AK293*AK213+AL293*AL213+AM293*AM213+AN293*AN213+AO293*AO213+AP293*AP213+AQ293*AQ213+AR293*AR213+AS293*AS213+AT293*AT213+AU293*AU213+AV293*AV213+AW293*AW213+AX293*AX213+AY293*AY213+AZ293*AZ213+BA293*BA213+BB293*BB213+BC293*BC213+BD293*BD213+BE293*BE213+BF293*BF213+BG293*BG213+BH293*BH213+BI293*BI213+BJ293*BJ213+BK293*BK213+BL293*BL213+BM293*BM213+BN293*BN213+BO293*BO213+BP293*BP213+BQ293*BQ213+BR293*BR213+BS293*BS213+BT293*BT213+BU293*BU213+BV293*BV213+BW293*BW213+BX293*BX213+BY293*BY213+BZ293*BZ213+CA293*CA213+CB293*CB213+CC293*CC213+CD293*CD213+CE293*CE213+CF293*CF213+CG293*CG213+CH293*CH213+CI293*CI213+CJ293*CJ213+CK293*CK213+CL293*CL213+CM293*CM213+CN293*CN213+CO293*CO213+CP293*CP213+CQ293*CQ213+CR293*CR213+CS293*CS213+CT293*CT213+CU293*CU213</f>
        <v>0</v>
      </c>
      <c r="DE213" s="2840">
        <f>E294*E213+F294*F213+G294*G213+H294*H213+I294*I213+J294*J213+K294*K213+L294*L213+M294*M213+N294*N213+O294*O213+P294*P213+Q294*Q213+R294*R213+S294*S213+T294*T213+U294*U213+V294*V213+W294*W213+X294*X213+Y294*Y213+Z294*Z213+AA294*AA213+AB294*AB213+AC294*AC213+AD294*AD213+AE294*AE213+AF294*AF213+AG294*AG213+AH294*AH213+AI294*AI213+AJ294*AJ213+AK294*AK213+AL294*AL213+AM294*AM213+AN294*AN213+AO294*AO213+AP294*AP213+AQ294*AQ213+AR294*AR213+AS294*AS213+AT294*AT213+AU294*AU213+AV294*AV213+AW294*AW213+AX294*AX213+AY294*AY213+AZ294*AZ213+BA294*BA213+BB294*BB213+BC294*BC213+BD294*BD213+BE294*BE213+BF294*BF213+BG294*BG213+BH294*BH213+BI294*BI213+BJ294*BJ213+BK294*BK213+BL294*BL213+BM294*BM213+BN294*BN213+BO294*BO213+BP294*BP213+BQ294*BQ213+BR294*BR213+BS294*BS213+BT294*BT213+BU294*BU213+BV294*BV213+BW294*BW213+BX294*BX213+BY294*BY213+BZ294*BZ213+CA294*CA213+CB294*CB213+CC294*CC213+CD294*CD213+CE294*CE213+CF294*CF213+CG294*CG213+CH294*CH213+CI294*CI213+CJ294*CJ213+CK294*CK213+CL294*CL213+CM294*CM213+CN294*CN213+CO294*CO213+CP294*CP213+CQ294*CQ213+CR294*CR213+CS294*CS213+CT294*CT213+CU294*CU213</f>
        <v>0</v>
      </c>
      <c r="DF213" s="2840">
        <f>E295*E213+F295*F213+G295*G213+H295*H213+I295*I213+J295*J213+K295*K213+L295*L213+M295*M213+N295*N213+O295*O213+P295*P213+Q295*Q213+R295*R213+S295*S213+T295*T213+U295*U213+V295*V213+W295*W213+X295*X213+Y295*Y213+Z295*Z213+AA295*AA213+AB295*AB213+AC295*AC213+AD295*AD213+AE295*AE213+AF295*AF213+AG295*AG213+AH295*AH213+AI295*AI213+AJ295*AJ213+AK295*AK213+AL295*AL213+AM295*AM213+AN295*AN213+AO295*AO213+AP295*AP213+AQ295*AQ213+AR295*AR213+AS295*AS213+AT295*AT213+AU295*AU213+AV295*AV213+AW295*AW213+AX295*AX213+AY295*AY213+AZ295*AZ213+BA295*BA213+BB295*BB213+BC295*BC213+BD295*BD213+BE295*BE213+BF295*BF213+BG295*BG213+BH295*BH213+BI295*BI213+BJ295*BJ213+BK295*BK213+BL295*BL213+BM295*BM213+BN295*BN213+BO295*BO213+BP295*BP213+BQ295*BQ213+BR295*BR213+BS295*BS213+BT295*BT213+BU295*BU213+BV295*BV213+BW295*BW213+BX295*BX213+BY295*BY213+BZ295*BZ213+CA295*CA213+CB295*CB213+CC295*CC213+CD295*CD213+CE295*CE213+CF295*CF213+CG295*CG213+CH295*CH213+CI295*CI213+CJ295*CJ213+CK295*CK213+CL295*CL213+CM295*CM213+CN295*CN213+CO295*CO213+CP295*CP213+CQ295*CQ213+CR295*CR213+CS295*CS213+CT295*CT213+CU295*CU213</f>
        <v>0</v>
      </c>
      <c r="DG213" s="2840">
        <f>E296*E213+F296*F213+G296*G213+H296*H213+I296*I213+J296*J213+K296*K213+L296*L213+M296*M213+N296*N213+O296*O213+P296*P213+Q296*Q213+R296*R213+S296*S213+T296*T213+U296*U213+V296*V213+W296*W213+X296*X213+Y296*Y213+Z296*Z213+AA296*AA213+AB296*AB213+AC296*AC213+AD296*AD213+AE296*AE213+AF296*AF213+AG296*AG213+AH296*AH213+AI296*AI213+AJ296*AJ213+AK296*AK213+AL296*AL213+AM296*AM213+AN296*AN213+AO296*AO213+AP296*AP213+AQ296*AQ213+AR296*AR213+AS296*AS213+AT296*AT213+AU296*AU213+AV296*AV213+AW296*AW213+AX296*AX213+AY296*AY213+AZ296*AZ213+BA296*BA213+BB296*BB213+BC296*BC213+BD296*BD213+BE296*BE213+BF296*BF213+BG296*BG213+BH296*BH213+BI296*BI213+BJ296*BJ213+BK296*BK213+BL296*BL213+BM296*BM213+BN296*BN213+BO296*BO213+BP296*BP213+BQ296*BQ213+BR296*BR213+BS296*BS213+BT296*BT213+BU296*BU213+BV296*BV213+BW296*BW213+BX296*BX213+BY296*BY213+BZ296*BZ213+CA296*CA213+CB296*CB213+CC296*CC213+CD296*CD213+CE296*CE213+CF296*CF213+CG296*CG213+CH296*CH213+CI296*CI213+CJ296*CJ213+CK296*CK213+CL296*CL213+CM296*CM213+CN296*CN213+CO296*CO213+CP296*CP213+CQ296*CQ213+CR296*CR213+CS296*CS213+CT296*CT213+CU296*CU213</f>
        <v>0</v>
      </c>
      <c r="DH213" s="2840">
        <f>E297*E213+F297*F213+G297*G213+H297*H213+I297*I213+J297*J213+K297*K213+L297*L213+M297*M213+N297*N213+O297*O213+P297*P213+Q297*Q213+R297*R213+S297*S213+T297*T213+U297*U213+V297*V213+W297*W213+X297*X213+Y297*Y213+Z297*Z213+AA297*AA213+AB297*AB213+AC297*AC213+AD297*AD213+AE297*AE213+AF297*AF213+AG297*AG213+AH297*AH213+AI297*AI213+AJ297*AJ213+AK297*AK213+AL297*AL213+AM297*AM213+AN297*AN213+AO297*AO213+AP297*AP213+AQ297*AQ213+AR297*AR213+AS297*AS213+AT297*AT213+AU297*AU213+AV297*AV213+AW297*AW213+AX297*AX213+AY297*AY213+AZ297*AZ213+BA297*BA213+BB297*BB213+BC297*BC213+BD297*BD213+BE297*BE213+BF297*BF213+BG297*BG213+BH297*BH213+BI297*BI213+BJ297*BJ213+BK297*BK213+BL297*BL213+BM297*BM213+BN297*BN213+BO297*BO213+BP297*BP213+BQ297*BQ213+BR297*BR213+BS297*BS213+BT297*BT213+BU297*BU213+BV297*BV213+BW297*BW213+BX297*BX213+BY297*BY213+BZ297*BZ213+CA297*CA213+CB297*CB213+CC297*CC213+CD297*CD213+CE297*CE213+CF297*CF213+CG297*CG213+CH297*CH213+CI297*CI213+CJ297*CJ213+CK297*CK213+CL297*CL213+CM297*CM213+CN297*CN213+CO297*CO213+CP297*CP213+CQ297*CQ213+CR297*CR213+CS297*CS213+CT297*CT213+CU297*CU213</f>
        <v>0</v>
      </c>
      <c r="DI213" s="2840">
        <f>E298*E213+F298*F213+G298*G213+H298*H213+I298*I213+J298*J213+K298*K213+L298*L213+M298*M213+N298*N213+O298*O213+P298*P213+Q298*Q213+R298*R213+S298*S213+T298*T213+U298*U213+V298*V213+W298*W213+X298*X213+Y298*Y213+Z298*Z213+AA298*AA213+AB298*AB213+AC298*AC213+AD298*AD213+AE298*AE213+AF298*AF213+AG298*AG213+AH298*AH213+AI298*AI213+AJ298*AJ213+AK298*AK213+AL298*AL213+AM298*AM213+AN298*AN213+AO298*AO213+AP298*AP213+AQ298*AQ213+AR298*AR213+AS298*AS213+AT298*AT213+AU298*AU213+AV298*AV213+AW298*AW213+AX298*AX213+AY298*AY213+AZ298*AZ213+BA298*BA213+BB298*BB213+BC298*BC213+BD298*BD213+BE298*BE213+BF298*BF213+BG298*BG213+BH298*BH213+BI298*BI213+BJ298*BJ213+BK298*BK213+BL298*BL213+BM298*BM213+BN298*BN213+BO298*BO213+BP298*BP213+BQ298*BQ213+BR298*BR213+BS298*BS213+BT298*BT213+BU298*BU213+BV298*BV213+BW298*BW213+BX298*BX213+BY298*BY213+BZ298*BZ213+CA298*CA213+CB298*CB213+CC298*CC213+CD298*CD213+CE298*CE213+CF298*CF213+CG298*CG213+CH298*CH213+CI298*CI213+CJ298*CJ213+CK298*CK213+CL298*CL213+CM298*CM213+CN298*CN213+CO298*CO213+CP298*CP213+CQ298*CQ213+CR298*CR213+CS298*CS213+CT298*CT213+CU298*CU213</f>
        <v>0</v>
      </c>
    </row>
    <row r="214" spans="2:113" ht="18" x14ac:dyDescent="0.35">
      <c r="B214" s="2389">
        <v>61</v>
      </c>
      <c r="C214" s="2390" t="s">
        <v>2412</v>
      </c>
      <c r="D214" s="2391" t="s">
        <v>3259</v>
      </c>
      <c r="E214" s="3123">
        <f>0</f>
        <v>0</v>
      </c>
      <c r="F214" s="3123">
        <f>0</f>
        <v>0</v>
      </c>
      <c r="G214" s="3123">
        <f>0</f>
        <v>0</v>
      </c>
      <c r="H214" s="3123">
        <f>0</f>
        <v>0</v>
      </c>
      <c r="I214" s="3123">
        <f>0</f>
        <v>0</v>
      </c>
      <c r="J214" s="3123">
        <f>0</f>
        <v>0</v>
      </c>
      <c r="K214" s="3123">
        <f>0</f>
        <v>0</v>
      </c>
      <c r="L214" s="3123">
        <f>0</f>
        <v>0</v>
      </c>
      <c r="M214" s="3123">
        <f>0</f>
        <v>0</v>
      </c>
      <c r="N214" s="3123">
        <f>0</f>
        <v>0</v>
      </c>
      <c r="O214" s="3123">
        <f>0</f>
        <v>0</v>
      </c>
      <c r="P214" s="3123">
        <f>0</f>
        <v>0</v>
      </c>
      <c r="Q214" s="3123">
        <f>0</f>
        <v>0</v>
      </c>
      <c r="R214" s="3154">
        <f>0</f>
        <v>0</v>
      </c>
      <c r="S214" s="3123">
        <f>0</f>
        <v>0</v>
      </c>
      <c r="T214" s="3123">
        <f>0</f>
        <v>0</v>
      </c>
      <c r="U214" s="3123">
        <f>0</f>
        <v>0</v>
      </c>
      <c r="V214" s="3123">
        <f>0</f>
        <v>0</v>
      </c>
      <c r="W214" s="3123">
        <f>0</f>
        <v>0</v>
      </c>
      <c r="X214" s="3123">
        <f>0</f>
        <v>0</v>
      </c>
      <c r="Y214" s="3123">
        <f>0</f>
        <v>0</v>
      </c>
      <c r="Z214" s="3123">
        <f>0</f>
        <v>0</v>
      </c>
      <c r="AA214" s="3154">
        <f>0</f>
        <v>0</v>
      </c>
      <c r="AB214" s="3154">
        <f>1</f>
        <v>1</v>
      </c>
      <c r="AC214" s="3154">
        <f>0</f>
        <v>0</v>
      </c>
      <c r="AD214" s="3163">
        <f>-i_N_BIO</f>
        <v>-7.0000000000000007E-2</v>
      </c>
      <c r="AE214" s="3123">
        <f>0</f>
        <v>0</v>
      </c>
      <c r="AF214" s="3123">
        <f>0</f>
        <v>0</v>
      </c>
      <c r="AG214" s="3123">
        <f>0</f>
        <v>0</v>
      </c>
      <c r="AH214" s="3123">
        <f>0</f>
        <v>0</v>
      </c>
      <c r="AI214" s="3123">
        <f>0</f>
        <v>0</v>
      </c>
      <c r="AJ214" s="3123">
        <f>0</f>
        <v>0</v>
      </c>
      <c r="AK214" s="3123">
        <f>0</f>
        <v>0</v>
      </c>
      <c r="AL214" s="3163">
        <f>-i_P_BIO</f>
        <v>-0.02</v>
      </c>
      <c r="AM214" s="3123">
        <f>0</f>
        <v>0</v>
      </c>
      <c r="AN214" s="3123">
        <f>0</f>
        <v>0</v>
      </c>
      <c r="AO214" s="3123">
        <f>0</f>
        <v>0</v>
      </c>
      <c r="AP214" s="3123">
        <f>0</f>
        <v>0</v>
      </c>
      <c r="AQ214" s="3123">
        <f>0</f>
        <v>0</v>
      </c>
      <c r="AR214" s="3154">
        <f>-(E_EQS-Y_SOO_S_ox)/Y_SOO_S_ox</f>
        <v>-11.904337633148183</v>
      </c>
      <c r="AS214" s="3123">
        <f>0</f>
        <v>0</v>
      </c>
      <c r="AT214" s="3166">
        <f>0</f>
        <v>0</v>
      </c>
      <c r="AU214" s="3154">
        <f>-i_CIT_BIO</f>
        <v>-0.35199999999999998</v>
      </c>
      <c r="AV214" s="3123">
        <f>i_INORG</f>
        <v>0.11</v>
      </c>
      <c r="AW214" s="3123">
        <f>-i_INORG*(1-i_Ca_INORG*(A_MCa+2*A_MCl)/A_MCa-i_Mg_INORG*(A_MMg+2*A_MCl)/A_MMg)*f_Na</f>
        <v>-2.8804303582798466E-2</v>
      </c>
      <c r="AX214" s="3123">
        <f>-i_INORG*(i_Ca_INORG*(2*A_MCl)/A_MCa+i_Mg_INORG*(2*A_MCl)/A_MMg)-i_INORG*(1-i_Ca_INORG*(A_MCa+2*A_MCl)/A_MCa-i_Mg_INORG*(A_MMg+2*A_MCl)/A_MMg)*(1-f_Na)</f>
        <v>-7.0195696417201539E-2</v>
      </c>
      <c r="AY214" s="3123">
        <f>-i_INORG*i_Ca_INORG</f>
        <v>-5.5000000000000005E-3</v>
      </c>
      <c r="AZ214" s="3123">
        <f>-i_INORG*i_Mg_INORG</f>
        <v>-5.5000000000000005E-3</v>
      </c>
      <c r="BA214" s="3123">
        <f>0</f>
        <v>0</v>
      </c>
      <c r="BB214" s="3195">
        <f>0</f>
        <v>0</v>
      </c>
      <c r="BC214" s="3195">
        <f>1/Y_SOO_S_ox-i_S_BIO</f>
        <v>8.610689655172413</v>
      </c>
      <c r="BD214" s="3163">
        <f>-1/Y_SOO_S_ox</f>
        <v>-8.6206896551724128</v>
      </c>
      <c r="BE214" s="3123">
        <f>0</f>
        <v>0</v>
      </c>
      <c r="BF214" s="3123">
        <f>0</f>
        <v>0</v>
      </c>
      <c r="BG214" s="3123">
        <f>0</f>
        <v>0</v>
      </c>
      <c r="BH214" s="3123">
        <f>0</f>
        <v>0</v>
      </c>
      <c r="BI214" s="3123">
        <f>0</f>
        <v>0</v>
      </c>
      <c r="BJ214" s="3123">
        <f>0</f>
        <v>0</v>
      </c>
      <c r="BK214" s="3123">
        <f>0</f>
        <v>0</v>
      </c>
      <c r="BL214" s="3123">
        <f>0</f>
        <v>0</v>
      </c>
      <c r="BM214" s="3123">
        <f>0</f>
        <v>0</v>
      </c>
      <c r="BN214" s="3123">
        <f>0</f>
        <v>0</v>
      </c>
      <c r="BO214" s="3123">
        <f>0</f>
        <v>0</v>
      </c>
      <c r="BP214" s="3123">
        <f>0</f>
        <v>0</v>
      </c>
      <c r="BQ214" s="3123">
        <f>0</f>
        <v>0</v>
      </c>
      <c r="BR214" s="3123">
        <f>0</f>
        <v>0</v>
      </c>
      <c r="BS214" s="3123">
        <f>0</f>
        <v>0</v>
      </c>
      <c r="BT214" s="3123">
        <f>0</f>
        <v>0</v>
      </c>
      <c r="BU214" s="3123">
        <f>0</f>
        <v>0</v>
      </c>
      <c r="BV214" s="3123">
        <f>0</f>
        <v>0</v>
      </c>
      <c r="BW214" s="3123">
        <f>0</f>
        <v>0</v>
      </c>
      <c r="BX214" s="3123">
        <f>0</f>
        <v>0</v>
      </c>
      <c r="BY214" s="3123">
        <f>0</f>
        <v>0</v>
      </c>
      <c r="BZ214" s="3206">
        <f>0</f>
        <v>0</v>
      </c>
      <c r="CA214" s="3206">
        <f>0</f>
        <v>0</v>
      </c>
      <c r="CB214" s="3206">
        <f>0</f>
        <v>0</v>
      </c>
      <c r="CC214" s="3206">
        <f>0</f>
        <v>0</v>
      </c>
      <c r="CD214" s="3123">
        <f>0</f>
        <v>0</v>
      </c>
      <c r="CE214" s="3123">
        <f>0</f>
        <v>0</v>
      </c>
      <c r="CF214" s="3123">
        <f>0</f>
        <v>0</v>
      </c>
      <c r="CG214" s="3123">
        <f>0</f>
        <v>0</v>
      </c>
      <c r="CH214" s="3123">
        <f>0</f>
        <v>0</v>
      </c>
      <c r="CI214" s="3123">
        <f>0</f>
        <v>0</v>
      </c>
      <c r="CJ214" s="3123">
        <f>0</f>
        <v>0</v>
      </c>
      <c r="CK214" s="3123">
        <f>0</f>
        <v>0</v>
      </c>
      <c r="CL214" s="3123">
        <f>0</f>
        <v>0</v>
      </c>
      <c r="CM214" s="3123">
        <f>0</f>
        <v>0</v>
      </c>
      <c r="CN214" s="3123">
        <f>0</f>
        <v>0</v>
      </c>
      <c r="CO214" s="3123">
        <f>0</f>
        <v>0</v>
      </c>
      <c r="CP214" s="3123">
        <f>0</f>
        <v>0</v>
      </c>
      <c r="CQ214" s="3123">
        <f>0</f>
        <v>0</v>
      </c>
      <c r="CR214" s="3123">
        <f>0</f>
        <v>0</v>
      </c>
      <c r="CS214" s="3123">
        <f>0</f>
        <v>0</v>
      </c>
      <c r="CT214" s="3123">
        <f>0</f>
        <v>0</v>
      </c>
      <c r="CU214" s="3123">
        <f>0</f>
        <v>0</v>
      </c>
      <c r="CV214" s="3229">
        <f>µ_SOO_S_T*X_SOO*M_satSCO2_KCO2_BIO*M_satSO2_KO2_S_SOO*M_satXS_KS_SOO*M_satSNHx_KNHx_BIO*M_satSPO4_KPO4_BIO*M_satSCAT_KCAT*M_satSAN_KAN*M_satSCa_KCa*M_satSMg_KMg*M_inhSH2S_KiH2S_SOO*B_ellinhpH</f>
        <v>4.2867790614418686</v>
      </c>
      <c r="CX214" s="2838">
        <f>E287*E214+F287*F214+G287*G214+H287*H214+I287*I214+J287*J214+K287*K214+L287*L214+M287*M214+N287*N214+O287*O214+P287*P214+Q287*Q214+R287*R214+S287*S214+T287*T214+U287*U214+V287*V214+W287*W214+X287*X214+Y287*Y214+Z287*Z214+AA287*AA214+AB287*AB214+AC287*AC214+AD287*AD214+AE287*AE214+AF287*AF214+AG287*AG214+AH287*AH214+AI287*AI214+AJ287*AJ214+AK287*AK214+AL287*AL214+AM287*AM214+AN287*AN214+AO287*AO214+AP287*AP214+AQ287*AQ214+AR287*AR214+AS287*AS214+AT287*AT214+AU287*AU214+AV287*AV214+AW287*AW214+AX287*AX214+AY287*AY214+AZ287*AZ214+BA287*BA214+BB287*BB214+BC287*BC214+BD287*BD214+BE287*BE214+BF287*BF214+BG287*BG214+BH287*BH214+BI287*BI214+BJ287*BJ214+BK287*BK214+BL287*BL214+BM287*BM214+BN287*BN214+BO287*BO214+BP287*BP214+BQ287*BQ214+BR287*BR214+BS287*BS214+BT287*BT214+BU287*BU214+BV287*BV214+BW287*BW214+BX287*BX214+BY287*BY214+BZ287*BZ214+CA287*CA214+CB287*CB214+CC287*CC214+CD287*CD214+CE287*CE214+CF287*CF214+CG287*CG214+CH287*CH214+CI287*CI214+CJ287*CJ214+CK287*CK214+CL287*CL214+CM287*CM214+CN287*CN214+CO287*CO214+CP287*CP214+CQ287*CQ214+CR287*CR214+CS287*CS214+CT287*CT214+CU287*CU214</f>
        <v>0</v>
      </c>
      <c r="CY214" s="2838">
        <f>E288*E214+F288*F214+G288*G214+H288*H214+I288*I214+J288*J214+K288*K214+L288*L214+M288*M214+N288*N214+O288*O214+P288*P214+Q288*Q214+R288*R214+S288*S214+T288*T214+U288*U214+V288*V214+W288*W214+X288*X214+Y288*Y214+Z288*Z214+AA288*AA214+AB288*AB214+AC288*AC214+AD288*AD214+AE288*AE214+AF288*AF214+AG288*AG214+AH288*AH214+AI288*AI214+AJ288*AJ214+AK288*AK214+AL288*AL214+AM288*AM214+AN288*AN214+AO288*AO214+AP288*AP214+AQ288*AQ214+AR288*AR214+AS288*AS214+AT288*AT214+AU288*AU214+AV288*AV214+AW288*AW214+AX288*AX214+AY288*AY214+AZ288*AZ214+BA288*BA214+BB288*BB214+BC288*BC214+BD288*BD214+BE288*BE214+BF288*BF214+BG288*BG214+BH288*BH214+BI288*BI214+BJ288*BJ214+BK288*BK214+BL288*BL214+BM288*BM214+BN288*BN214+BO288*BO214+BP288*BP214+BQ288*BQ214+BR288*BR214+BS288*BS214+BT288*BT214+BU288*BU214+BV288*BV214+BW288*BW214+BX288*BX214+BY288*BY214+BZ288*BZ214+CA288*CA214+CB288*CB214+CC288*CC214+CD288*CD214+CE288*CE214+CF288*CF214+CG288*CG214+CH288*CH214+CI288*CI214+CJ288*CJ214+CK288*CK214+CL288*CL214+CM288*CM214+CN288*CN214+CO288*CO214+CP288*CP214+CQ288*CQ214+CR288*CR214+CS288*CS214+CT288*CT214+CU288*CU214</f>
        <v>0</v>
      </c>
      <c r="CZ214" s="2839">
        <f>E289*E214+F289*F214+G289*G214+H289*H214+I289*I214+J289*J214+K289*K214+L289*L214+M289*M214+N289*N214+O289*O214+P289*P214+Q289*Q214+R289*R214+S289*S214+T289*T214+U289*U214+V289*V214+W289*W214+X289*X214+Y289*Y214+Z289*Z214+AA289*AA214+AB289*AB214+AC289*AC214+AD289*AD214+AE289*AE214+AF289*AF214+AG289*AG214+AH289*AH214+AI289*AI214+AJ289*AJ214+AK289*AK214+AL289*AL214+AM289*AM214+AN289*AN214+AO289*AO214+AP289*AP214+AQ289*AQ214+AR289*AR214+AS289*AS214+AT289*AT214+AU289*AU214+AV289*AV214+AW289*AW214+AX289*AX214+AY289*AY214+AZ289*AZ214+BA289*BA214+BB289*BB214+BC289*BC214+BD289*BD214+BE289*BE214+BF289*BF214+BG289*BG214+BH289*BH214+BI289*BI214+BJ289*BJ214+BK289*BK214+BL289*BL214+BM289*BM214+BN289*BN214+BO289*BO214+BP289*BP214+BQ289*BQ214+BR289*BR214+BS289*BS214+BT289*BT214+BU289*BU214+BV289*BV214+BW289*BW214+BX289*BX214+BY289*BY214+BZ289*BZ214+CA289*CA214+CB289*CB214+CC289*CC214+CD289*CD214+CE289*CE214+CF289*CF214+CG289*CG214+CH289*CH214+CI289*CI214+CJ289*CJ214+CK289*CK214+CL289*CL214+CM289*CM214+CN289*CN214+CO289*CO214+CP289*CP214+CQ289*CQ214+CR289*CR214+CS289*CS214+CT289*CT214+CU289*CU214</f>
        <v>0</v>
      </c>
      <c r="DA214" s="2840">
        <f>E290*E214+F290*F214+G290*G214+H290*H214+I290*I214+J290*J214+K290*K214+L290*L214+M290*M214+N290*N214+O290*O214+P290*P214+Q290*Q214+R290*R214+S290*S214+T290*T214+U290*U214+V290*V214+W290*W214+X290*X214+Y290*Y214+Z290*Z214+AA290*AA214+AB290*AB214+AC290*AC214+AD290*AD214+AE290*AE214+AF290*AF214+AG290*AG214+AH290*AH214+AI290*AI214+AJ290*AJ214+AK290*AK214+AL290*AL214+AM290*AM214+AN290*AN214+AO290*AO214+AP290*AP214+AQ290*AQ214+AR290*AR214+AS290*AS214+AT290*AT214+AU290*AU214+AV290*AV214+AW290*AW214+AX290*AX214+AY290*AY214+AZ290*AZ214+BA290*BA214+BB290*BB214+BC290*BC214+BD290*BD214+BE290*BE214+BF290*BF214+BG290*BG214+BH290*BH214+BI290*BI214+BJ290*BJ214+BK290*BK214+BL290*BL214+BM290*BM214+BN290*BN214+BO290*BO214+BP290*BP214+BQ290*BQ214+BR290*BR214+BS290*BS214+BT290*BT214+BU290*BU214+BV290*BV214+BW290*BW214+BX290*BX214+BY290*BY214+BZ290*BZ214+CA290*CA214+CB290*CB214+CC290*CC214+CD290*CD214+CE290*CE214+CF290*CF214+CG290*CG214+CH290*CH214+CI290*CI214+CJ290*CJ214+CK290*CK214+CL290*CL214+CM290*CM214+CN290*CN214+CO290*CO214+CP290*CP214+CQ290*CQ214+CR290*CR214+CS290*CS214+CT290*CT214+CU290*CU214</f>
        <v>0</v>
      </c>
      <c r="DB214" s="2840">
        <f>E291*E214+F291*F214+G291*G214+H291*H214+I291*I214+J291*J214+K291*K214+L291*L214+M291*M214+N291*N214+O291*O214+P291*P214+Q291*Q214+R291*R214+S291*S214+T291*T214+U291*U214+V291*V214+W291*W214+X291*X214+Y291*Y214+Z291*Z214+AA291*AA214+AB291*AB214+AC291*AC214+AD291*AD214+AE291*AE214+AF291*AF214+AG291*AG214+AH291*AH214+AI291*AI214+AJ291*AJ214+AK291*AK214+AL291*AL214+AM291*AM214+AN291*AN214+AO291*AO214+AP291*AP214+AQ291*AQ214+AR291*AR214+AS291*AS214+AT291*AT214+AU291*AU214+AV291*AV214+AW291*AW214+AX291*AX214+AY291*AY214+AZ291*AZ214+BA291*BA214+BB291*BB214+BC291*BC214+BD291*BD214+BE291*BE214+BF291*BF214+BG291*BG214+BH291*BH214+BI291*BI214+BJ291*BJ214+BK291*BK214+BL291*BL214+BM291*BM214+BN291*BN214+BO291*BO214+BP291*BP214+BQ291*BQ214+BR291*BR214+BS291*BS214+BT291*BT214+BU291*BU214+BV291*BV214+BW291*BW214+BX291*BX214+BY291*BY214+BZ291*BZ214+CA291*CA214+CB291*CB214+CC291*CC214+CD291*CD214+CE291*CE214+CF291*CF214+CG291*CG214+CH291*CH214+CI291*CI214+CJ291*CJ214+CK291*CK214+CL291*CL214+CM291*CM214+CN291*CN214+CO291*CO214+CP291*CP214+CQ291*CQ214+CR291*CR214+CS291*CS214+CT291*CT214+CU291*CU214</f>
        <v>0</v>
      </c>
      <c r="DC214" s="2840">
        <f>E292*E214+F292*F214+G292*G214+H292*H214+I292*I214+J292*J214+K292*K214+L292*L214+M292*M214+N292*N214+O292*O214+P292*P214+Q292*Q214+R292*R214+S292*S214+T292*T214+U292*U214+V292*V214+W292*W214+X292*X214+Y292*Y214+Z292*Z214+AA292*AA214+AB292*AB214+AC292*AC214+AD292*AD214+AE292*AE214+AF292*AF214+AG292*AG214+AH292*AH214+AI292*AI214+AJ292*AJ214+AK292*AK214+AL292*AL214+AM292*AM214+AN292*AN214+AO292*AO214+AP292*AP214+AQ292*AQ214+AR292*AR214+AS292*AS214+AT292*AT214+AU292*AU214+AV292*AV214+AW292*AW214+AX292*AX214+AY292*AY214+AZ292*AZ214+BA292*BA214+BB292*BB214+BC292*BC214+BD292*BD214+BE292*BE214+BF292*BF214+BG292*BG214+BH292*BH214+BI292*BI214+BJ292*BJ214+BK292*BK214+BL292*BL214+BM292*BM214+BN292*BN214+BO292*BO214+BP292*BP214+BQ292*BQ214+BR292*BR214+BS292*BS214+BT292*BT214+BU292*BU214+BV292*BV214+BW292*BW214+BX292*BX214+BY292*BY214+BZ292*BZ214+CA292*CA214+CB292*CB214+CC292*CC214+CD292*CD214+CE292*CE214+CF292*CF214+CG292*CG214+CH292*CH214+CI292*CI214+CJ292*CJ214+CK292*CK214+CL292*CL214+CM292*CM214+CN292*CN214+CO292*CO214+CP292*CP214+CQ292*CQ214+CR292*CR214+CS292*CS214+CT292*CT214+CU292*CU214</f>
        <v>0</v>
      </c>
      <c r="DD214" s="2840">
        <f>E293*E214+F293*F214+G293*G214+H293*H214+I293*I214+J293*J214+K293*K214+L293*L214+M293*M214+N293*N214+O293*O214+P293*P214+Q293*Q214+R293*R214+S293*S214+T293*T214+U293*U214+V293*V214+W293*W214+X293*X214+Y293*Y214+Z293*Z214+AA293*AA214+AB293*AB214+AC293*AC214+AD293*AD214+AE293*AE214+AF293*AF214+AG293*AG214+AH293*AH214+AI293*AI214+AJ293*AJ214+AK293*AK214+AL293*AL214+AM293*AM214+AN293*AN214+AO293*AO214+AP293*AP214+AQ293*AQ214+AR293*AR214+AS293*AS214+AT293*AT214+AU293*AU214+AV293*AV214+AW293*AW214+AX293*AX214+AY293*AY214+AZ293*AZ214+BA293*BA214+BB293*BB214+BC293*BC214+BD293*BD214+BE293*BE214+BF293*BF214+BG293*BG214+BH293*BH214+BI293*BI214+BJ293*BJ214+BK293*BK214+BL293*BL214+BM293*BM214+BN293*BN214+BO293*BO214+BP293*BP214+BQ293*BQ214+BR293*BR214+BS293*BS214+BT293*BT214+BU293*BU214+BV293*BV214+BW293*BW214+BX293*BX214+BY293*BY214+BZ293*BZ214+CA293*CA214+CB293*CB214+CC293*CC214+CD293*CD214+CE293*CE214+CF293*CF214+CG293*CG214+CH293*CH214+CI293*CI214+CJ293*CJ214+CK293*CK214+CL293*CL214+CM293*CM214+CN293*CN214+CO293*CO214+CP293*CP214+CQ293*CQ214+CR293*CR214+CS293*CS214+CT293*CT214+CU293*CU214</f>
        <v>0</v>
      </c>
      <c r="DE214" s="2840">
        <f>E294*E214+F294*F214+G294*G214+H294*H214+I294*I214+J294*J214+K294*K214+L294*L214+M294*M214+N294*N214+O294*O214+P294*P214+Q294*Q214+R294*R214+S294*S214+T294*T214+U294*U214+V294*V214+W294*W214+X294*X214+Y294*Y214+Z294*Z214+AA294*AA214+AB294*AB214+AC294*AC214+AD294*AD214+AE294*AE214+AF294*AF214+AG294*AG214+AH294*AH214+AI294*AI214+AJ294*AJ214+AK294*AK214+AL294*AL214+AM294*AM214+AN294*AN214+AO294*AO214+AP294*AP214+AQ294*AQ214+AR294*AR214+AS294*AS214+AT294*AT214+AU294*AU214+AV294*AV214+AW294*AW214+AX294*AX214+AY294*AY214+AZ294*AZ214+BA294*BA214+BB294*BB214+BC294*BC214+BD294*BD214+BE294*BE214+BF294*BF214+BG294*BG214+BH294*BH214+BI294*BI214+BJ294*BJ214+BK294*BK214+BL294*BL214+BM294*BM214+BN294*BN214+BO294*BO214+BP294*BP214+BQ294*BQ214+BR294*BR214+BS294*BS214+BT294*BT214+BU294*BU214+BV294*BV214+BW294*BW214+BX294*BX214+BY294*BY214+BZ294*BZ214+CA294*CA214+CB294*CB214+CC294*CC214+CD294*CD214+CE294*CE214+CF294*CF214+CG294*CG214+CH294*CH214+CI294*CI214+CJ294*CJ214+CK294*CK214+CL294*CL214+CM294*CM214+CN294*CN214+CO294*CO214+CP294*CP214+CQ294*CQ214+CR294*CR214+CS294*CS214+CT294*CT214+CU294*CU214</f>
        <v>0</v>
      </c>
      <c r="DF214" s="2840">
        <f>E295*E214+F295*F214+G295*G214+H295*H214+I295*I214+J295*J214+K295*K214+L295*L214+M295*M214+N295*N214+O295*O214+P295*P214+Q295*Q214+R295*R214+S295*S214+T295*T214+U295*U214+V295*V214+W295*W214+X295*X214+Y295*Y214+Z295*Z214+AA295*AA214+AB295*AB214+AC295*AC214+AD295*AD214+AE295*AE214+AF295*AF214+AG295*AG214+AH295*AH214+AI295*AI214+AJ295*AJ214+AK295*AK214+AL295*AL214+AM295*AM214+AN295*AN214+AO295*AO214+AP295*AP214+AQ295*AQ214+AR295*AR214+AS295*AS214+AT295*AT214+AU295*AU214+AV295*AV214+AW295*AW214+AX295*AX214+AY295*AY214+AZ295*AZ214+BA295*BA214+BB295*BB214+BC295*BC214+BD295*BD214+BE295*BE214+BF295*BF214+BG295*BG214+BH295*BH214+BI295*BI214+BJ295*BJ214+BK295*BK214+BL295*BL214+BM295*BM214+BN295*BN214+BO295*BO214+BP295*BP214+BQ295*BQ214+BR295*BR214+BS295*BS214+BT295*BT214+BU295*BU214+BV295*BV214+BW295*BW214+BX295*BX214+BY295*BY214+BZ295*BZ214+CA295*CA214+CB295*CB214+CC295*CC214+CD295*CD214+CE295*CE214+CF295*CF214+CG295*CG214+CH295*CH214+CI295*CI214+CJ295*CJ214+CK295*CK214+CL295*CL214+CM295*CM214+CN295*CN214+CO295*CO214+CP295*CP214+CQ295*CQ214+CR295*CR214+CS295*CS214+CT295*CT214+CU295*CU214</f>
        <v>0</v>
      </c>
      <c r="DG214" s="2840">
        <f>E296*E214+F296*F214+G296*G214+H296*H214+I296*I214+J296*J214+K296*K214+L296*L214+M296*M214+N296*N214+O296*O214+P296*P214+Q296*Q214+R296*R214+S296*S214+T296*T214+U296*U214+V296*V214+W296*W214+X296*X214+Y296*Y214+Z296*Z214+AA296*AA214+AB296*AB214+AC296*AC214+AD296*AD214+AE296*AE214+AF296*AF214+AG296*AG214+AH296*AH214+AI296*AI214+AJ296*AJ214+AK296*AK214+AL296*AL214+AM296*AM214+AN296*AN214+AO296*AO214+AP296*AP214+AQ296*AQ214+AR296*AR214+AS296*AS214+AT296*AT214+AU296*AU214+AV296*AV214+AW296*AW214+AX296*AX214+AY296*AY214+AZ296*AZ214+BA296*BA214+BB296*BB214+BC296*BC214+BD296*BD214+BE296*BE214+BF296*BF214+BG296*BG214+BH296*BH214+BI296*BI214+BJ296*BJ214+BK296*BK214+BL296*BL214+BM296*BM214+BN296*BN214+BO296*BO214+BP296*BP214+BQ296*BQ214+BR296*BR214+BS296*BS214+BT296*BT214+BU296*BU214+BV296*BV214+BW296*BW214+BX296*BX214+BY296*BY214+BZ296*BZ214+CA296*CA214+CB296*CB214+CC296*CC214+CD296*CD214+CE296*CE214+CF296*CF214+CG296*CG214+CH296*CH214+CI296*CI214+CJ296*CJ214+CK296*CK214+CL296*CL214+CM296*CM214+CN296*CN214+CO296*CO214+CP296*CP214+CQ296*CQ214+CR296*CR214+CS296*CS214+CT296*CT214+CU296*CU214</f>
        <v>0</v>
      </c>
      <c r="DH214" s="2840">
        <f>E297*E214+F297*F214+G297*G214+H297*H214+I297*I214+J297*J214+K297*K214+L297*L214+M297*M214+N297*N214+O297*O214+P297*P214+Q297*Q214+R297*R214+S297*S214+T297*T214+U297*U214+V297*V214+W297*W214+X297*X214+Y297*Y214+Z297*Z214+AA297*AA214+AB297*AB214+AC297*AC214+AD297*AD214+AE297*AE214+AF297*AF214+AG297*AG214+AH297*AH214+AI297*AI214+AJ297*AJ214+AK297*AK214+AL297*AL214+AM297*AM214+AN297*AN214+AO297*AO214+AP297*AP214+AQ297*AQ214+AR297*AR214+AS297*AS214+AT297*AT214+AU297*AU214+AV297*AV214+AW297*AW214+AX297*AX214+AY297*AY214+AZ297*AZ214+BA297*BA214+BB297*BB214+BC297*BC214+BD297*BD214+BE297*BE214+BF297*BF214+BG297*BG214+BH297*BH214+BI297*BI214+BJ297*BJ214+BK297*BK214+BL297*BL214+BM297*BM214+BN297*BN214+BO297*BO214+BP297*BP214+BQ297*BQ214+BR297*BR214+BS297*BS214+BT297*BT214+BU297*BU214+BV297*BV214+BW297*BW214+BX297*BX214+BY297*BY214+BZ297*BZ214+CA297*CA214+CB297*CB214+CC297*CC214+CD297*CD214+CE297*CE214+CF297*CF214+CG297*CG214+CH297*CH214+CI297*CI214+CJ297*CJ214+CK297*CK214+CL297*CL214+CM297*CM214+CN297*CN214+CO297*CO214+CP297*CP214+CQ297*CQ214+CR297*CR214+CS297*CS214+CT297*CT214+CU297*CU214</f>
        <v>0</v>
      </c>
      <c r="DI214" s="2840">
        <f>E298*E214+F298*F214+G298*G214+H298*H214+I298*I214+J298*J214+K298*K214+L298*L214+M298*M214+N298*N214+O298*O214+P298*P214+Q298*Q214+R298*R214+S298*S214+T298*T214+U298*U214+V298*V214+W298*W214+X298*X214+Y298*Y214+Z298*Z214+AA298*AA214+AB298*AB214+AC298*AC214+AD298*AD214+AE298*AE214+AF298*AF214+AG298*AG214+AH298*AH214+AI298*AI214+AJ298*AJ214+AK298*AK214+AL298*AL214+AM298*AM214+AN298*AN214+AO298*AO214+AP298*AP214+AQ298*AQ214+AR298*AR214+AS298*AS214+AT298*AT214+AU298*AU214+AV298*AV214+AW298*AW214+AX298*AX214+AY298*AY214+AZ298*AZ214+BA298*BA214+BB298*BB214+BC298*BC214+BD298*BD214+BE298*BE214+BF298*BF214+BG298*BG214+BH298*BH214+BI298*BI214+BJ298*BJ214+BK298*BK214+BL298*BL214+BM298*BM214+BN298*BN214+BO298*BO214+BP298*BP214+BQ298*BQ214+BR298*BR214+BS298*BS214+BT298*BT214+BU298*BU214+BV298*BV214+BW298*BW214+BX298*BX214+BY298*BY214+BZ298*BZ214+CA298*CA214+CB298*CB214+CC298*CC214+CD298*CD214+CE298*CE214+CF298*CF214+CG298*CG214+CH298*CH214+CI298*CI214+CJ298*CJ214+CK298*CK214+CL298*CL214+CM298*CM214+CN298*CN214+CO298*CO214+CP298*CP214+CQ298*CQ214+CR298*CR214+CS298*CS214+CT298*CT214+CU298*CU214</f>
        <v>0</v>
      </c>
    </row>
    <row r="215" spans="2:113" ht="18" x14ac:dyDescent="0.35">
      <c r="B215" s="2389">
        <v>62</v>
      </c>
      <c r="C215" s="2390" t="s">
        <v>2413</v>
      </c>
      <c r="D215" s="2391" t="s">
        <v>3263</v>
      </c>
      <c r="E215" s="3123">
        <f>0</f>
        <v>0</v>
      </c>
      <c r="F215" s="3123">
        <f>0</f>
        <v>0</v>
      </c>
      <c r="G215" s="3123">
        <f>0</f>
        <v>0</v>
      </c>
      <c r="H215" s="3123">
        <f>0</f>
        <v>0</v>
      </c>
      <c r="I215" s="3123">
        <f>0</f>
        <v>0</v>
      </c>
      <c r="J215" s="3123">
        <f>0</f>
        <v>0</v>
      </c>
      <c r="K215" s="3123">
        <f>0</f>
        <v>0</v>
      </c>
      <c r="L215" s="3123">
        <f>0</f>
        <v>0</v>
      </c>
      <c r="M215" s="3123">
        <f>0</f>
        <v>0</v>
      </c>
      <c r="N215" s="3123">
        <f>0</f>
        <v>0</v>
      </c>
      <c r="O215" s="3123">
        <f>0</f>
        <v>0</v>
      </c>
      <c r="P215" s="3123">
        <f>0</f>
        <v>0</v>
      </c>
      <c r="Q215" s="3123">
        <f>0</f>
        <v>0</v>
      </c>
      <c r="R215" s="3154">
        <f>0</f>
        <v>0</v>
      </c>
      <c r="S215" s="3123">
        <f>0</f>
        <v>0</v>
      </c>
      <c r="T215" s="3123">
        <f>0</f>
        <v>0</v>
      </c>
      <c r="U215" s="3123">
        <f>0</f>
        <v>0</v>
      </c>
      <c r="V215" s="3123">
        <f>0</f>
        <v>0</v>
      </c>
      <c r="W215" s="3123">
        <f>0</f>
        <v>0</v>
      </c>
      <c r="X215" s="3123">
        <f>0</f>
        <v>0</v>
      </c>
      <c r="Y215" s="3123">
        <f>0</f>
        <v>0</v>
      </c>
      <c r="Z215" s="3123">
        <f>0</f>
        <v>0</v>
      </c>
      <c r="AA215" s="3154">
        <f>0</f>
        <v>0</v>
      </c>
      <c r="AB215" s="3154">
        <f>1</f>
        <v>1</v>
      </c>
      <c r="AC215" s="3154">
        <f>0</f>
        <v>0</v>
      </c>
      <c r="AD215" s="3163">
        <f>-i_N_BIO</f>
        <v>-7.0000000000000007E-2</v>
      </c>
      <c r="AE215" s="3154">
        <f>-(E_EQS-Y_SOO_S_anox)/(E_EQN2_NO2*Y_SOO_S_anox)</f>
        <v>-2.0799148829159773</v>
      </c>
      <c r="AF215" s="3154">
        <f>0</f>
        <v>0</v>
      </c>
      <c r="AG215" s="3154">
        <f>(E_EQS-Y_SOO_S_anox)/(E_EQN2_NO2*Y_SOO_S_anox)</f>
        <v>2.0799148829159773</v>
      </c>
      <c r="AH215" s="3123">
        <f>0</f>
        <v>0</v>
      </c>
      <c r="AI215" s="3123">
        <f>0</f>
        <v>0</v>
      </c>
      <c r="AJ215" s="3123">
        <f>0</f>
        <v>0</v>
      </c>
      <c r="AK215" s="3123">
        <f>0</f>
        <v>0</v>
      </c>
      <c r="AL215" s="3163">
        <f>-i_P_BIO</f>
        <v>-0.02</v>
      </c>
      <c r="AM215" s="3123">
        <f>0</f>
        <v>0</v>
      </c>
      <c r="AN215" s="3123">
        <f>0</f>
        <v>0</v>
      </c>
      <c r="AO215" s="3123">
        <f>0</f>
        <v>0</v>
      </c>
      <c r="AP215" s="3123">
        <f>0</f>
        <v>0</v>
      </c>
      <c r="AQ215" s="3123">
        <f>0</f>
        <v>0</v>
      </c>
      <c r="AR215" s="3154">
        <f>0</f>
        <v>0</v>
      </c>
      <c r="AS215" s="3123">
        <f>0</f>
        <v>0</v>
      </c>
      <c r="AT215" s="3166">
        <f>0</f>
        <v>0</v>
      </c>
      <c r="AU215" s="3154">
        <f>-i_CIT_BIO</f>
        <v>-0.35199999999999998</v>
      </c>
      <c r="AV215" s="3123">
        <f>i_INORG</f>
        <v>0.11</v>
      </c>
      <c r="AW215" s="3123">
        <f>-i_INORG*(1-i_Ca_INORG*(A_MCa+2*A_MCl)/A_MCa-i_Mg_INORG*(A_MMg+2*A_MCl)/A_MMg)*f_Na</f>
        <v>-2.8804303582798466E-2</v>
      </c>
      <c r="AX215" s="3123">
        <f>-i_INORG*(i_Ca_INORG*(2*A_MCl)/A_MCa+i_Mg_INORG*(2*A_MCl)/A_MMg)-i_INORG*(1-i_Ca_INORG*(A_MCa+2*A_MCl)/A_MCa-i_Mg_INORG*(A_MMg+2*A_MCl)/A_MMg)*(1-f_Na)</f>
        <v>-7.0195696417201539E-2</v>
      </c>
      <c r="AY215" s="3123">
        <f>-i_INORG*i_Ca_INORG</f>
        <v>-5.5000000000000005E-3</v>
      </c>
      <c r="AZ215" s="3123">
        <f>-i_INORG*i_Mg_INORG</f>
        <v>-5.5000000000000005E-3</v>
      </c>
      <c r="BA215" s="3123">
        <f>0</f>
        <v>0</v>
      </c>
      <c r="BB215" s="3195">
        <f>0</f>
        <v>0</v>
      </c>
      <c r="BC215" s="3195">
        <f>1/Y_SOO_S_anox-i_S_BIO</f>
        <v>3.0387804878048783</v>
      </c>
      <c r="BD215" s="3163">
        <f>-1/Y_SOO_S_anox</f>
        <v>-3.0487804878048781</v>
      </c>
      <c r="BE215" s="3123">
        <f>0</f>
        <v>0</v>
      </c>
      <c r="BF215" s="3123">
        <f>0</f>
        <v>0</v>
      </c>
      <c r="BG215" s="3123">
        <f>0</f>
        <v>0</v>
      </c>
      <c r="BH215" s="3123">
        <f>0</f>
        <v>0</v>
      </c>
      <c r="BI215" s="3123">
        <f>0</f>
        <v>0</v>
      </c>
      <c r="BJ215" s="3123">
        <f>0</f>
        <v>0</v>
      </c>
      <c r="BK215" s="3123">
        <f>0</f>
        <v>0</v>
      </c>
      <c r="BL215" s="3123">
        <f>0</f>
        <v>0</v>
      </c>
      <c r="BM215" s="3123">
        <f>0</f>
        <v>0</v>
      </c>
      <c r="BN215" s="3123">
        <f>0</f>
        <v>0</v>
      </c>
      <c r="BO215" s="3123">
        <f>0</f>
        <v>0</v>
      </c>
      <c r="BP215" s="3123">
        <f>0</f>
        <v>0</v>
      </c>
      <c r="BQ215" s="3123">
        <f>0</f>
        <v>0</v>
      </c>
      <c r="BR215" s="3123">
        <f>0</f>
        <v>0</v>
      </c>
      <c r="BS215" s="3123">
        <f>0</f>
        <v>0</v>
      </c>
      <c r="BT215" s="3123">
        <f>0</f>
        <v>0</v>
      </c>
      <c r="BU215" s="3123">
        <f>0</f>
        <v>0</v>
      </c>
      <c r="BV215" s="3123">
        <f>0</f>
        <v>0</v>
      </c>
      <c r="BW215" s="3123">
        <f>0</f>
        <v>0</v>
      </c>
      <c r="BX215" s="3123">
        <f>0</f>
        <v>0</v>
      </c>
      <c r="BY215" s="3123">
        <f>0</f>
        <v>0</v>
      </c>
      <c r="BZ215" s="3206">
        <f>0</f>
        <v>0</v>
      </c>
      <c r="CA215" s="3206">
        <f>0</f>
        <v>0</v>
      </c>
      <c r="CB215" s="3206">
        <f>0</f>
        <v>0</v>
      </c>
      <c r="CC215" s="3206">
        <f>0</f>
        <v>0</v>
      </c>
      <c r="CD215" s="3123">
        <f>0</f>
        <v>0</v>
      </c>
      <c r="CE215" s="3123">
        <f>0</f>
        <v>0</v>
      </c>
      <c r="CF215" s="3123">
        <f>0</f>
        <v>0</v>
      </c>
      <c r="CG215" s="3123">
        <f>0</f>
        <v>0</v>
      </c>
      <c r="CH215" s="3123">
        <f>0</f>
        <v>0</v>
      </c>
      <c r="CI215" s="3123">
        <f>0</f>
        <v>0</v>
      </c>
      <c r="CJ215" s="3123">
        <f>0</f>
        <v>0</v>
      </c>
      <c r="CK215" s="3123">
        <f>0</f>
        <v>0</v>
      </c>
      <c r="CL215" s="3123">
        <f>0</f>
        <v>0</v>
      </c>
      <c r="CM215" s="3123">
        <f>0</f>
        <v>0</v>
      </c>
      <c r="CN215" s="3123">
        <f>0</f>
        <v>0</v>
      </c>
      <c r="CO215" s="3123">
        <f>0</f>
        <v>0</v>
      </c>
      <c r="CP215" s="3123">
        <f>0</f>
        <v>0</v>
      </c>
      <c r="CQ215" s="3123">
        <f>0</f>
        <v>0</v>
      </c>
      <c r="CR215" s="3123">
        <f>0</f>
        <v>0</v>
      </c>
      <c r="CS215" s="3123">
        <f>0</f>
        <v>0</v>
      </c>
      <c r="CT215" s="3123">
        <f>0</f>
        <v>0</v>
      </c>
      <c r="CU215" s="3123">
        <f>0</f>
        <v>0</v>
      </c>
      <c r="CV215" s="3229">
        <f>µ_SOO_S_T*X_SOO*M_satSCO2_KCO2_BIO*M_satSNO2_KNO2_S_SOO*M_satXS_KS_SOO*M_satSNHx_KNHx_BIO*M_satSPO4_KPO4_BIO*M_satSCAT_KCAT*M_satSAN_KAN*M_satSCa_KCa*M_satSMg_KMg*M_inhSH2S_KiH2S_SOO*M_inhSO2_KO2_S_SOO*B_ellinhpH</f>
        <v>1.4289263538139572</v>
      </c>
      <c r="CX215" s="2838">
        <f>E287*E215+F287*F215+G287*G215+H287*H215+I287*I215+J287*J215+K287*K215+L287*L215+M287*M215+N287*N215+O287*O215+P287*P215+Q287*Q215+R287*R215+S287*S215+T287*T215+U287*U215+V287*V215+W287*W215+X287*X215+Y287*Y215+Z287*Z215+AA287*AA215+AB287*AB215+AC287*AC215+AD287*AD215+AE287*AE215+AF287*AF215+AG287*AG215+AH287*AH215+AI287*AI215+AJ287*AJ215+AK287*AK215+AL287*AL215+AM287*AM215+AN287*AN215+AO287*AO215+AP287*AP215+AQ287*AQ215+AR287*AR215+AS287*AS215+AT287*AT215+AU287*AU215+AV287*AV215+AW287*AW215+AX287*AX215+AY287*AY215+AZ287*AZ215+BA287*BA215+BB287*BB215+BC287*BC215+BD287*BD215+BE287*BE215+BF287*BF215+BG287*BG215+BH287*BH215+BI287*BI215+BJ287*BJ215+BK287*BK215+BL287*BL215+BM287*BM215+BN287*BN215+BO287*BO215+BP287*BP215+BQ287*BQ215+BR287*BR215+BS287*BS215+BT287*BT215+BU287*BU215+BV287*BV215+BW287*BW215+BX287*BX215+BY287*BY215+BZ287*BZ215+CA287*CA215+CB287*CB215+CC287*CC215+CD287*CD215+CE287*CE215+CF287*CF215+CG287*CG215+CH287*CH215+CI287*CI215+CJ287*CJ215+CK287*CK215+CL287*CL215+CM287*CM215+CN287*CN215+CO287*CO215+CP287*CP215+CQ287*CQ215+CR287*CR215+CS287*CS215+CT287*CT215+CU287*CU215</f>
        <v>-8.8817841970012523E-16</v>
      </c>
      <c r="CY215" s="2838">
        <f>E288*E215+F288*F215+G288*G215+H288*H215+I288*I215+J288*J215+K288*K215+L288*L215+M288*M215+N288*N215+O288*O215+P288*P215+Q288*Q215+R288*R215+S288*S215+T288*T215+U288*U215+V288*V215+W288*W215+X288*X215+Y288*Y215+Z288*Z215+AA288*AA215+AB288*AB215+AC288*AC215+AD288*AD215+AE288*AE215+AF288*AF215+AG288*AG215+AH288*AH215+AI288*AI215+AJ288*AJ215+AK288*AK215+AL288*AL215+AM288*AM215+AN288*AN215+AO288*AO215+AP288*AP215+AQ288*AQ215+AR288*AR215+AS288*AS215+AT288*AT215+AU288*AU215+AV288*AV215+AW288*AW215+AX288*AX215+AY288*AY215+AZ288*AZ215+BA288*BA215+BB288*BB215+BC288*BC215+BD288*BD215+BE288*BE215+BF288*BF215+BG288*BG215+BH288*BH215+BI288*BI215+BJ288*BJ215+BK288*BK215+BL288*BL215+BM288*BM215+BN288*BN215+BO288*BO215+BP288*BP215+BQ288*BQ215+BR288*BR215+BS288*BS215+BT288*BT215+BU288*BU215+BV288*BV215+BW288*BW215+BX288*BX215+BY288*BY215+BZ288*BZ215+CA288*CA215+CB288*CB215+CC288*CC215+CD288*CD215+CE288*CE215+CF288*CF215+CG288*CG215+CH288*CH215+CI288*CI215+CJ288*CJ215+CK288*CK215+CL288*CL215+CM288*CM215+CN288*CN215+CO288*CO215+CP288*CP215+CQ288*CQ215+CR288*CR215+CS288*CS215+CT288*CT215+CU288*CU215</f>
        <v>0</v>
      </c>
      <c r="CZ215" s="2839">
        <f>E289*E215+F289*F215+G289*G215+H289*H215+I289*I215+J289*J215+K289*K215+L289*L215+M289*M215+N289*N215+O289*O215+P289*P215+Q289*Q215+R289*R215+S289*S215+T289*T215+U289*U215+V289*V215+W289*W215+X289*X215+Y289*Y215+Z289*Z215+AA289*AA215+AB289*AB215+AC289*AC215+AD289*AD215+AE289*AE215+AF289*AF215+AG289*AG215+AH289*AH215+AI289*AI215+AJ289*AJ215+AK289*AK215+AL289*AL215+AM289*AM215+AN289*AN215+AO289*AO215+AP289*AP215+AQ289*AQ215+AR289*AR215+AS289*AS215+AT289*AT215+AU289*AU215+AV289*AV215+AW289*AW215+AX289*AX215+AY289*AY215+AZ289*AZ215+BA289*BA215+BB289*BB215+BC289*BC215+BD289*BD215+BE289*BE215+BF289*BF215+BG289*BG215+BH289*BH215+BI289*BI215+BJ289*BJ215+BK289*BK215+BL289*BL215+BM289*BM215+BN289*BN215+BO289*BO215+BP289*BP215+BQ289*BQ215+BR289*BR215+BS289*BS215+BT289*BT215+BU289*BU215+BV289*BV215+BW289*BW215+BX289*BX215+BY289*BY215+BZ289*BZ215+CA289*CA215+CB289*CB215+CC289*CC215+CD289*CD215+CE289*CE215+CF289*CF215+CG289*CG215+CH289*CH215+CI289*CI215+CJ289*CJ215+CK289*CK215+CL289*CL215+CM289*CM215+CN289*CN215+CO289*CO215+CP289*CP215+CQ289*CQ215+CR289*CR215+CS289*CS215+CT289*CT215+CU289*CU215</f>
        <v>0</v>
      </c>
      <c r="DA215" s="2840">
        <f>E290*E215+F290*F215+G290*G215+H290*H215+I290*I215+J290*J215+K290*K215+L290*L215+M290*M215+N290*N215+O290*O215+P290*P215+Q290*Q215+R290*R215+S290*S215+T290*T215+U290*U215+V290*V215+W290*W215+X290*X215+Y290*Y215+Z290*Z215+AA290*AA215+AB290*AB215+AC290*AC215+AD290*AD215+AE290*AE215+AF290*AF215+AG290*AG215+AH290*AH215+AI290*AI215+AJ290*AJ215+AK290*AK215+AL290*AL215+AM290*AM215+AN290*AN215+AO290*AO215+AP290*AP215+AQ290*AQ215+AR290*AR215+AS290*AS215+AT290*AT215+AU290*AU215+AV290*AV215+AW290*AW215+AX290*AX215+AY290*AY215+AZ290*AZ215+BA290*BA215+BB290*BB215+BC290*BC215+BD290*BD215+BE290*BE215+BF290*BF215+BG290*BG215+BH290*BH215+BI290*BI215+BJ290*BJ215+BK290*BK215+BL290*BL215+BM290*BM215+BN290*BN215+BO290*BO215+BP290*BP215+BQ290*BQ215+BR290*BR215+BS290*BS215+BT290*BT215+BU290*BU215+BV290*BV215+BW290*BW215+BX290*BX215+BY290*BY215+BZ290*BZ215+CA290*CA215+CB290*CB215+CC290*CC215+CD290*CD215+CE290*CE215+CF290*CF215+CG290*CG215+CH290*CH215+CI290*CI215+CJ290*CJ215+CK290*CK215+CL290*CL215+CM290*CM215+CN290*CN215+CO290*CO215+CP290*CP215+CQ290*CQ215+CR290*CR215+CS290*CS215+CT290*CT215+CU290*CU215</f>
        <v>0</v>
      </c>
      <c r="DB215" s="2840">
        <f>E291*E215+F291*F215+G291*G215+H291*H215+I291*I215+J291*J215+K291*K215+L291*L215+M291*M215+N291*N215+O291*O215+P291*P215+Q291*Q215+R291*R215+S291*S215+T291*T215+U291*U215+V291*V215+W291*W215+X291*X215+Y291*Y215+Z291*Z215+AA291*AA215+AB291*AB215+AC291*AC215+AD291*AD215+AE291*AE215+AF291*AF215+AG291*AG215+AH291*AH215+AI291*AI215+AJ291*AJ215+AK291*AK215+AL291*AL215+AM291*AM215+AN291*AN215+AO291*AO215+AP291*AP215+AQ291*AQ215+AR291*AR215+AS291*AS215+AT291*AT215+AU291*AU215+AV291*AV215+AW291*AW215+AX291*AX215+AY291*AY215+AZ291*AZ215+BA291*BA215+BB291*BB215+BC291*BC215+BD291*BD215+BE291*BE215+BF291*BF215+BG291*BG215+BH291*BH215+BI291*BI215+BJ291*BJ215+BK291*BK215+BL291*BL215+BM291*BM215+BN291*BN215+BO291*BO215+BP291*BP215+BQ291*BQ215+BR291*BR215+BS291*BS215+BT291*BT215+BU291*BU215+BV291*BV215+BW291*BW215+BX291*BX215+BY291*BY215+BZ291*BZ215+CA291*CA215+CB291*CB215+CC291*CC215+CD291*CD215+CE291*CE215+CF291*CF215+CG291*CG215+CH291*CH215+CI291*CI215+CJ291*CJ215+CK291*CK215+CL291*CL215+CM291*CM215+CN291*CN215+CO291*CO215+CP291*CP215+CQ291*CQ215+CR291*CR215+CS291*CS215+CT291*CT215+CU291*CU215</f>
        <v>0</v>
      </c>
      <c r="DC215" s="2840">
        <f>E292*E215+F292*F215+G292*G215+H292*H215+I292*I215+J292*J215+K292*K215+L292*L215+M292*M215+N292*N215+O292*O215+P292*P215+Q292*Q215+R292*R215+S292*S215+T292*T215+U292*U215+V292*V215+W292*W215+X292*X215+Y292*Y215+Z292*Z215+AA292*AA215+AB292*AB215+AC292*AC215+AD292*AD215+AE292*AE215+AF292*AF215+AG292*AG215+AH292*AH215+AI292*AI215+AJ292*AJ215+AK292*AK215+AL292*AL215+AM292*AM215+AN292*AN215+AO292*AO215+AP292*AP215+AQ292*AQ215+AR292*AR215+AS292*AS215+AT292*AT215+AU292*AU215+AV292*AV215+AW292*AW215+AX292*AX215+AY292*AY215+AZ292*AZ215+BA292*BA215+BB292*BB215+BC292*BC215+BD292*BD215+BE292*BE215+BF292*BF215+BG292*BG215+BH292*BH215+BI292*BI215+BJ292*BJ215+BK292*BK215+BL292*BL215+BM292*BM215+BN292*BN215+BO292*BO215+BP292*BP215+BQ292*BQ215+BR292*BR215+BS292*BS215+BT292*BT215+BU292*BU215+BV292*BV215+BW292*BW215+BX292*BX215+BY292*BY215+BZ292*BZ215+CA292*CA215+CB292*CB215+CC292*CC215+CD292*CD215+CE292*CE215+CF292*CF215+CG292*CG215+CH292*CH215+CI292*CI215+CJ292*CJ215+CK292*CK215+CL292*CL215+CM292*CM215+CN292*CN215+CO292*CO215+CP292*CP215+CQ292*CQ215+CR292*CR215+CS292*CS215+CT292*CT215+CU292*CU215</f>
        <v>0</v>
      </c>
      <c r="DD215" s="2840">
        <f>E293*E215+F293*F215+G293*G215+H293*H215+I293*I215+J293*J215+K293*K215+L293*L215+M293*M215+N293*N215+O293*O215+P293*P215+Q293*Q215+R293*R215+S293*S215+T293*T215+U293*U215+V293*V215+W293*W215+X293*X215+Y293*Y215+Z293*Z215+AA293*AA215+AB293*AB215+AC293*AC215+AD293*AD215+AE293*AE215+AF293*AF215+AG293*AG215+AH293*AH215+AI293*AI215+AJ293*AJ215+AK293*AK215+AL293*AL215+AM293*AM215+AN293*AN215+AO293*AO215+AP293*AP215+AQ293*AQ215+AR293*AR215+AS293*AS215+AT293*AT215+AU293*AU215+AV293*AV215+AW293*AW215+AX293*AX215+AY293*AY215+AZ293*AZ215+BA293*BA215+BB293*BB215+BC293*BC215+BD293*BD215+BE293*BE215+BF293*BF215+BG293*BG215+BH293*BH215+BI293*BI215+BJ293*BJ215+BK293*BK215+BL293*BL215+BM293*BM215+BN293*BN215+BO293*BO215+BP293*BP215+BQ293*BQ215+BR293*BR215+BS293*BS215+BT293*BT215+BU293*BU215+BV293*BV215+BW293*BW215+BX293*BX215+BY293*BY215+BZ293*BZ215+CA293*CA215+CB293*CB215+CC293*CC215+CD293*CD215+CE293*CE215+CF293*CF215+CG293*CG215+CH293*CH215+CI293*CI215+CJ293*CJ215+CK293*CK215+CL293*CL215+CM293*CM215+CN293*CN215+CO293*CO215+CP293*CP215+CQ293*CQ215+CR293*CR215+CS293*CS215+CT293*CT215+CU293*CU215</f>
        <v>0</v>
      </c>
      <c r="DE215" s="2840">
        <f>E294*E215+F294*F215+G294*G215+H294*H215+I294*I215+J294*J215+K294*K215+L294*L215+M294*M215+N294*N215+O294*O215+P294*P215+Q294*Q215+R294*R215+S294*S215+T294*T215+U294*U215+V294*V215+W294*W215+X294*X215+Y294*Y215+Z294*Z215+AA294*AA215+AB294*AB215+AC294*AC215+AD294*AD215+AE294*AE215+AF294*AF215+AG294*AG215+AH294*AH215+AI294*AI215+AJ294*AJ215+AK294*AK215+AL294*AL215+AM294*AM215+AN294*AN215+AO294*AO215+AP294*AP215+AQ294*AQ215+AR294*AR215+AS294*AS215+AT294*AT215+AU294*AU215+AV294*AV215+AW294*AW215+AX294*AX215+AY294*AY215+AZ294*AZ215+BA294*BA215+BB294*BB215+BC294*BC215+BD294*BD215+BE294*BE215+BF294*BF215+BG294*BG215+BH294*BH215+BI294*BI215+BJ294*BJ215+BK294*BK215+BL294*BL215+BM294*BM215+BN294*BN215+BO294*BO215+BP294*BP215+BQ294*BQ215+BR294*BR215+BS294*BS215+BT294*BT215+BU294*BU215+BV294*BV215+BW294*BW215+BX294*BX215+BY294*BY215+BZ294*BZ215+CA294*CA215+CB294*CB215+CC294*CC215+CD294*CD215+CE294*CE215+CF294*CF215+CG294*CG215+CH294*CH215+CI294*CI215+CJ294*CJ215+CK294*CK215+CL294*CL215+CM294*CM215+CN294*CN215+CO294*CO215+CP294*CP215+CQ294*CQ215+CR294*CR215+CS294*CS215+CT294*CT215+CU294*CU215</f>
        <v>0</v>
      </c>
      <c r="DF215" s="2840">
        <f>E295*E215+F295*F215+G295*G215+H295*H215+I295*I215+J295*J215+K295*K215+L295*L215+M295*M215+N295*N215+O295*O215+P295*P215+Q295*Q215+R295*R215+S295*S215+T295*T215+U295*U215+V295*V215+W295*W215+X295*X215+Y295*Y215+Z295*Z215+AA295*AA215+AB295*AB215+AC295*AC215+AD295*AD215+AE295*AE215+AF295*AF215+AG295*AG215+AH295*AH215+AI295*AI215+AJ295*AJ215+AK295*AK215+AL295*AL215+AM295*AM215+AN295*AN215+AO295*AO215+AP295*AP215+AQ295*AQ215+AR295*AR215+AS295*AS215+AT295*AT215+AU295*AU215+AV295*AV215+AW295*AW215+AX295*AX215+AY295*AY215+AZ295*AZ215+BA295*BA215+BB295*BB215+BC295*BC215+BD295*BD215+BE295*BE215+BF295*BF215+BG295*BG215+BH295*BH215+BI295*BI215+BJ295*BJ215+BK295*BK215+BL295*BL215+BM295*BM215+BN295*BN215+BO295*BO215+BP295*BP215+BQ295*BQ215+BR295*BR215+BS295*BS215+BT295*BT215+BU295*BU215+BV295*BV215+BW295*BW215+BX295*BX215+BY295*BY215+BZ295*BZ215+CA295*CA215+CB295*CB215+CC295*CC215+CD295*CD215+CE295*CE215+CF295*CF215+CG295*CG215+CH295*CH215+CI295*CI215+CJ295*CJ215+CK295*CK215+CL295*CL215+CM295*CM215+CN295*CN215+CO295*CO215+CP295*CP215+CQ295*CQ215+CR295*CR215+CS295*CS215+CT295*CT215+CU295*CU215</f>
        <v>0</v>
      </c>
      <c r="DG215" s="2840">
        <f>E296*E215+F296*F215+G296*G215+H296*H215+I296*I215+J296*J215+K296*K215+L296*L215+M296*M215+N296*N215+O296*O215+P296*P215+Q296*Q215+R296*R215+S296*S215+T296*T215+U296*U215+V296*V215+W296*W215+X296*X215+Y296*Y215+Z296*Z215+AA296*AA215+AB296*AB215+AC296*AC215+AD296*AD215+AE296*AE215+AF296*AF215+AG296*AG215+AH296*AH215+AI296*AI215+AJ296*AJ215+AK296*AK215+AL296*AL215+AM296*AM215+AN296*AN215+AO296*AO215+AP296*AP215+AQ296*AQ215+AR296*AR215+AS296*AS215+AT296*AT215+AU296*AU215+AV296*AV215+AW296*AW215+AX296*AX215+AY296*AY215+AZ296*AZ215+BA296*BA215+BB296*BB215+BC296*BC215+BD296*BD215+BE296*BE215+BF296*BF215+BG296*BG215+BH296*BH215+BI296*BI215+BJ296*BJ215+BK296*BK215+BL296*BL215+BM296*BM215+BN296*BN215+BO296*BO215+BP296*BP215+BQ296*BQ215+BR296*BR215+BS296*BS215+BT296*BT215+BU296*BU215+BV296*BV215+BW296*BW215+BX296*BX215+BY296*BY215+BZ296*BZ215+CA296*CA215+CB296*CB215+CC296*CC215+CD296*CD215+CE296*CE215+CF296*CF215+CG296*CG215+CH296*CH215+CI296*CI215+CJ296*CJ215+CK296*CK215+CL296*CL215+CM296*CM215+CN296*CN215+CO296*CO215+CP296*CP215+CQ296*CQ215+CR296*CR215+CS296*CS215+CT296*CT215+CU296*CU215</f>
        <v>0</v>
      </c>
      <c r="DH215" s="2840">
        <f>E297*E215+F297*F215+G297*G215+H297*H215+I297*I215+J297*J215+K297*K215+L297*L215+M297*M215+N297*N215+O297*O215+P297*P215+Q297*Q215+R297*R215+S297*S215+T297*T215+U297*U215+V297*V215+W297*W215+X297*X215+Y297*Y215+Z297*Z215+AA297*AA215+AB297*AB215+AC297*AC215+AD297*AD215+AE297*AE215+AF297*AF215+AG297*AG215+AH297*AH215+AI297*AI215+AJ297*AJ215+AK297*AK215+AL297*AL215+AM297*AM215+AN297*AN215+AO297*AO215+AP297*AP215+AQ297*AQ215+AR297*AR215+AS297*AS215+AT297*AT215+AU297*AU215+AV297*AV215+AW297*AW215+AX297*AX215+AY297*AY215+AZ297*AZ215+BA297*BA215+BB297*BB215+BC297*BC215+BD297*BD215+BE297*BE215+BF297*BF215+BG297*BG215+BH297*BH215+BI297*BI215+BJ297*BJ215+BK297*BK215+BL297*BL215+BM297*BM215+BN297*BN215+BO297*BO215+BP297*BP215+BQ297*BQ215+BR297*BR215+BS297*BS215+BT297*BT215+BU297*BU215+BV297*BV215+BW297*BW215+BX297*BX215+BY297*BY215+BZ297*BZ215+CA297*CA215+CB297*CB215+CC297*CC215+CD297*CD215+CE297*CE215+CF297*CF215+CG297*CG215+CH297*CH215+CI297*CI215+CJ297*CJ215+CK297*CK215+CL297*CL215+CM297*CM215+CN297*CN215+CO297*CO215+CP297*CP215+CQ297*CQ215+CR297*CR215+CS297*CS215+CT297*CT215+CU297*CU215</f>
        <v>0</v>
      </c>
      <c r="DI215" s="2840">
        <f>E298*E215+F298*F215+G298*G215+H298*H215+I298*I215+J298*J215+K298*K215+L298*L215+M298*M215+N298*N215+O298*O215+P298*P215+Q298*Q215+R298*R215+S298*S215+T298*T215+U298*U215+V298*V215+W298*W215+X298*X215+Y298*Y215+Z298*Z215+AA298*AA215+AB298*AB215+AC298*AC215+AD298*AD215+AE298*AE215+AF298*AF215+AG298*AG215+AH298*AH215+AI298*AI215+AJ298*AJ215+AK298*AK215+AL298*AL215+AM298*AM215+AN298*AN215+AO298*AO215+AP298*AP215+AQ298*AQ215+AR298*AR215+AS298*AS215+AT298*AT215+AU298*AU215+AV298*AV215+AW298*AW215+AX298*AX215+AY298*AY215+AZ298*AZ215+BA298*BA215+BB298*BB215+BC298*BC215+BD298*BD215+BE298*BE215+BF298*BF215+BG298*BG215+BH298*BH215+BI298*BI215+BJ298*BJ215+BK298*BK215+BL298*BL215+BM298*BM215+BN298*BN215+BO298*BO215+BP298*BP215+BQ298*BQ215+BR298*BR215+BS298*BS215+BT298*BT215+BU298*BU215+BV298*BV215+BW298*BW215+BX298*BX215+BY298*BY215+BZ298*BZ215+CA298*CA215+CB298*CB215+CC298*CC215+CD298*CD215+CE298*CE215+CF298*CF215+CG298*CG215+CH298*CH215+CI298*CI215+CJ298*CJ215+CK298*CK215+CL298*CL215+CM298*CM215+CN298*CN215+CO298*CO215+CP298*CP215+CQ298*CQ215+CR298*CR215+CS298*CS215+CT298*CT215+CU298*CU215</f>
        <v>0</v>
      </c>
    </row>
    <row r="216" spans="2:113" ht="18" x14ac:dyDescent="0.35">
      <c r="B216" s="2389">
        <v>63</v>
      </c>
      <c r="C216" s="2390" t="s">
        <v>2414</v>
      </c>
      <c r="D216" s="2391" t="s">
        <v>3268</v>
      </c>
      <c r="E216" s="3123">
        <f>0</f>
        <v>0</v>
      </c>
      <c r="F216" s="3123">
        <f>0</f>
        <v>0</v>
      </c>
      <c r="G216" s="3123">
        <f>0</f>
        <v>0</v>
      </c>
      <c r="H216" s="3123">
        <f>0</f>
        <v>0</v>
      </c>
      <c r="I216" s="3123">
        <f>0</f>
        <v>0</v>
      </c>
      <c r="J216" s="3123">
        <f>0</f>
        <v>0</v>
      </c>
      <c r="K216" s="3123">
        <f>0</f>
        <v>0</v>
      </c>
      <c r="L216" s="3123">
        <f>0</f>
        <v>0</v>
      </c>
      <c r="M216" s="3123">
        <f>0</f>
        <v>0</v>
      </c>
      <c r="N216" s="3123">
        <f>0</f>
        <v>0</v>
      </c>
      <c r="O216" s="3123">
        <f>0</f>
        <v>0</v>
      </c>
      <c r="P216" s="3123">
        <f>0</f>
        <v>0</v>
      </c>
      <c r="Q216" s="3123">
        <f>0</f>
        <v>0</v>
      </c>
      <c r="R216" s="3154">
        <f>0</f>
        <v>0</v>
      </c>
      <c r="S216" s="3123">
        <f>0</f>
        <v>0</v>
      </c>
      <c r="T216" s="3123">
        <f>0</f>
        <v>0</v>
      </c>
      <c r="U216" s="3123">
        <f>0</f>
        <v>0</v>
      </c>
      <c r="V216" s="3123">
        <f>0</f>
        <v>0</v>
      </c>
      <c r="W216" s="3123">
        <f>0</f>
        <v>0</v>
      </c>
      <c r="X216" s="3123">
        <f>0</f>
        <v>0</v>
      </c>
      <c r="Y216" s="3123">
        <f>0</f>
        <v>0</v>
      </c>
      <c r="Z216" s="3123">
        <f>0</f>
        <v>0</v>
      </c>
      <c r="AA216" s="3154">
        <f>0</f>
        <v>0</v>
      </c>
      <c r="AB216" s="3154">
        <f>1</f>
        <v>1</v>
      </c>
      <c r="AC216" s="3154">
        <f>0</f>
        <v>0</v>
      </c>
      <c r="AD216" s="3163">
        <f>-i_N_BIO</f>
        <v>-7.0000000000000007E-2</v>
      </c>
      <c r="AE216" s="3154">
        <f>(E_EQS-Y_SOO_S_anox)/(E_EQNO2_NO3*Y_SOO_S_anox)</f>
        <v>3.1198723243739659</v>
      </c>
      <c r="AF216" s="3154">
        <f>-(E_EQS-Y_SOO_S_anox)/(E_EQNO2_NO3*Y_SOO_S_anox)</f>
        <v>-3.1198723243739659</v>
      </c>
      <c r="AG216" s="3154">
        <f>0</f>
        <v>0</v>
      </c>
      <c r="AH216" s="3123">
        <f>0</f>
        <v>0</v>
      </c>
      <c r="AI216" s="3123">
        <f>0</f>
        <v>0</v>
      </c>
      <c r="AJ216" s="3123">
        <f>0</f>
        <v>0</v>
      </c>
      <c r="AK216" s="3123">
        <f>0</f>
        <v>0</v>
      </c>
      <c r="AL216" s="3163">
        <f>-i_P_BIO</f>
        <v>-0.02</v>
      </c>
      <c r="AM216" s="3123">
        <f>0</f>
        <v>0</v>
      </c>
      <c r="AN216" s="3123">
        <f>0</f>
        <v>0</v>
      </c>
      <c r="AO216" s="3123">
        <f>0</f>
        <v>0</v>
      </c>
      <c r="AP216" s="3123">
        <f>0</f>
        <v>0</v>
      </c>
      <c r="AQ216" s="3123">
        <f>0</f>
        <v>0</v>
      </c>
      <c r="AR216" s="3154">
        <f>0</f>
        <v>0</v>
      </c>
      <c r="AS216" s="3123">
        <f>0</f>
        <v>0</v>
      </c>
      <c r="AT216" s="3166">
        <f>0</f>
        <v>0</v>
      </c>
      <c r="AU216" s="3154">
        <f>-i_CIT_BIO</f>
        <v>-0.35199999999999998</v>
      </c>
      <c r="AV216" s="3123">
        <f>i_INORG</f>
        <v>0.11</v>
      </c>
      <c r="AW216" s="3123">
        <f>-i_INORG*(1-i_Ca_INORG*(A_MCa+2*A_MCl)/A_MCa-i_Mg_INORG*(A_MMg+2*A_MCl)/A_MMg)*f_Na</f>
        <v>-2.8804303582798466E-2</v>
      </c>
      <c r="AX216" s="3123">
        <f>-i_INORG*(i_Ca_INORG*(2*A_MCl)/A_MCa+i_Mg_INORG*(2*A_MCl)/A_MMg)-i_INORG*(1-i_Ca_INORG*(A_MCa+2*A_MCl)/A_MCa-i_Mg_INORG*(A_MMg+2*A_MCl)/A_MMg)*(1-f_Na)</f>
        <v>-7.0195696417201539E-2</v>
      </c>
      <c r="AY216" s="3123">
        <f>-i_INORG*i_Ca_INORG</f>
        <v>-5.5000000000000005E-3</v>
      </c>
      <c r="AZ216" s="3123">
        <f>-i_INORG*i_Mg_INORG</f>
        <v>-5.5000000000000005E-3</v>
      </c>
      <c r="BA216" s="3123">
        <f>0</f>
        <v>0</v>
      </c>
      <c r="BB216" s="3195">
        <f>0</f>
        <v>0</v>
      </c>
      <c r="BC216" s="3195">
        <f>1/Y_SOO_S_anox-i_S_BIO</f>
        <v>3.0387804878048783</v>
      </c>
      <c r="BD216" s="3163">
        <f>-1/Y_SOO_S_anox</f>
        <v>-3.0487804878048781</v>
      </c>
      <c r="BE216" s="3123">
        <f>0</f>
        <v>0</v>
      </c>
      <c r="BF216" s="3123">
        <f>0</f>
        <v>0</v>
      </c>
      <c r="BG216" s="3123">
        <f>0</f>
        <v>0</v>
      </c>
      <c r="BH216" s="3123">
        <f>0</f>
        <v>0</v>
      </c>
      <c r="BI216" s="3123">
        <f>0</f>
        <v>0</v>
      </c>
      <c r="BJ216" s="3123">
        <f>0</f>
        <v>0</v>
      </c>
      <c r="BK216" s="3123">
        <f>0</f>
        <v>0</v>
      </c>
      <c r="BL216" s="3123">
        <f>0</f>
        <v>0</v>
      </c>
      <c r="BM216" s="3123">
        <f>0</f>
        <v>0</v>
      </c>
      <c r="BN216" s="3123">
        <f>0</f>
        <v>0</v>
      </c>
      <c r="BO216" s="3123">
        <f>0</f>
        <v>0</v>
      </c>
      <c r="BP216" s="3123">
        <f>0</f>
        <v>0</v>
      </c>
      <c r="BQ216" s="3123">
        <f>0</f>
        <v>0</v>
      </c>
      <c r="BR216" s="3123">
        <f>0</f>
        <v>0</v>
      </c>
      <c r="BS216" s="3123">
        <f>0</f>
        <v>0</v>
      </c>
      <c r="BT216" s="3123">
        <f>0</f>
        <v>0</v>
      </c>
      <c r="BU216" s="3123">
        <f>0</f>
        <v>0</v>
      </c>
      <c r="BV216" s="3123">
        <f>0</f>
        <v>0</v>
      </c>
      <c r="BW216" s="3123">
        <f>0</f>
        <v>0</v>
      </c>
      <c r="BX216" s="3123">
        <f>0</f>
        <v>0</v>
      </c>
      <c r="BY216" s="3123">
        <f>0</f>
        <v>0</v>
      </c>
      <c r="BZ216" s="3206">
        <f>0</f>
        <v>0</v>
      </c>
      <c r="CA216" s="3206">
        <f>0</f>
        <v>0</v>
      </c>
      <c r="CB216" s="3206">
        <f>0</f>
        <v>0</v>
      </c>
      <c r="CC216" s="3206">
        <f>0</f>
        <v>0</v>
      </c>
      <c r="CD216" s="3123">
        <f>0</f>
        <v>0</v>
      </c>
      <c r="CE216" s="3123">
        <f>0</f>
        <v>0</v>
      </c>
      <c r="CF216" s="3123">
        <f>0</f>
        <v>0</v>
      </c>
      <c r="CG216" s="3123">
        <f>0</f>
        <v>0</v>
      </c>
      <c r="CH216" s="3123">
        <f>0</f>
        <v>0</v>
      </c>
      <c r="CI216" s="3123">
        <f>0</f>
        <v>0</v>
      </c>
      <c r="CJ216" s="3123">
        <f>0</f>
        <v>0</v>
      </c>
      <c r="CK216" s="3123">
        <f>0</f>
        <v>0</v>
      </c>
      <c r="CL216" s="3123">
        <f>0</f>
        <v>0</v>
      </c>
      <c r="CM216" s="3123">
        <f>0</f>
        <v>0</v>
      </c>
      <c r="CN216" s="3123">
        <f>0</f>
        <v>0</v>
      </c>
      <c r="CO216" s="3123">
        <f>0</f>
        <v>0</v>
      </c>
      <c r="CP216" s="3123">
        <f>0</f>
        <v>0</v>
      </c>
      <c r="CQ216" s="3123">
        <f>0</f>
        <v>0</v>
      </c>
      <c r="CR216" s="3123">
        <f>0</f>
        <v>0</v>
      </c>
      <c r="CS216" s="3123">
        <f>0</f>
        <v>0</v>
      </c>
      <c r="CT216" s="3123">
        <f>0</f>
        <v>0</v>
      </c>
      <c r="CU216" s="3123">
        <f>0</f>
        <v>0</v>
      </c>
      <c r="CV216" s="3229">
        <f>µ_SOO_S_T*X_SOO*M_satSCO2_KCO2_BIO*M_satSNO3_KNO3_S_SOO*M_satXS_KS_SOO*M_satSNHx_KNHx_BIO*M_satSPO4_KPO4_BIO*M_satSCAT_KCAT*M_satSAN_KAN*M_satSCa_KCa*M_satSMg_KMg*M_inhSH2S_KiH2S_SOO*M_inhSO2_KO2_S_SOO*M_inhSNO2_KNO2_S_SOO*B_ellinhpH</f>
        <v>2.7479352957960708</v>
      </c>
      <c r="CX216" s="2838">
        <f>E287*E216+F287*F216+G287*G216+H287*H216+I287*I216+J287*J216+K287*K216+L287*L216+M287*M216+N287*N216+O287*O216+P287*P216+Q287*Q216+R287*R216+S287*S216+T287*T216+U287*U216+V287*V216+W287*W216+X287*X216+Y287*Y216+Z287*Z216+AA287*AA216+AB287*AB216+AC287*AC216+AD287*AD216+AE287*AE216+AF287*AF216+AG287*AG216+AH287*AH216+AI287*AI216+AJ287*AJ216+AK287*AK216+AL287*AL216+AM287*AM216+AN287*AN216+AO287*AO216+AP287*AP216+AQ287*AQ216+AR287*AR216+AS287*AS216+AT287*AT216+AU287*AU216+AV287*AV216+AW287*AW216+AX287*AX216+AY287*AY216+AZ287*AZ216+BA287*BA216+BB287*BB216+BC287*BC216+BD287*BD216+BE287*BE216+BF287*BF216+BG287*BG216+BH287*BH216+BI287*BI216+BJ287*BJ216+BK287*BK216+BL287*BL216+BM287*BM216+BN287*BN216+BO287*BO216+BP287*BP216+BQ287*BQ216+BR287*BR216+BS287*BS216+BT287*BT216+BU287*BU216+BV287*BV216+BW287*BW216+BX287*BX216+BY287*BY216+BZ287*BZ216+CA287*CA216+CB287*CB216+CC287*CC216+CD287*CD216+CE287*CE216+CF287*CF216+CG287*CG216+CH287*CH216+CI287*CI216+CJ287*CJ216+CK287*CK216+CL287*CL216+CM287*CM216+CN287*CN216+CO287*CO216+CP287*CP216+CQ287*CQ216+CR287*CR216+CS287*CS216+CT287*CT216+CU287*CU216</f>
        <v>-8.8817841970012523E-16</v>
      </c>
      <c r="CY216" s="2838">
        <f>E288*E216+F288*F216+G288*G216+H288*H216+I288*I216+J288*J216+K288*K216+L288*L216+M288*M216+N288*N216+O288*O216+P288*P216+Q288*Q216+R288*R216+S288*S216+T288*T216+U288*U216+V288*V216+W288*W216+X288*X216+Y288*Y216+Z288*Z216+AA288*AA216+AB288*AB216+AC288*AC216+AD288*AD216+AE288*AE216+AF288*AF216+AG288*AG216+AH288*AH216+AI288*AI216+AJ288*AJ216+AK288*AK216+AL288*AL216+AM288*AM216+AN288*AN216+AO288*AO216+AP288*AP216+AQ288*AQ216+AR288*AR216+AS288*AS216+AT288*AT216+AU288*AU216+AV288*AV216+AW288*AW216+AX288*AX216+AY288*AY216+AZ288*AZ216+BA288*BA216+BB288*BB216+BC288*BC216+BD288*BD216+BE288*BE216+BF288*BF216+BG288*BG216+BH288*BH216+BI288*BI216+BJ288*BJ216+BK288*BK216+BL288*BL216+BM288*BM216+BN288*BN216+BO288*BO216+BP288*BP216+BQ288*BQ216+BR288*BR216+BS288*BS216+BT288*BT216+BU288*BU216+BV288*BV216+BW288*BW216+BX288*BX216+BY288*BY216+BZ288*BZ216+CA288*CA216+CB288*CB216+CC288*CC216+CD288*CD216+CE288*CE216+CF288*CF216+CG288*CG216+CH288*CH216+CI288*CI216+CJ288*CJ216+CK288*CK216+CL288*CL216+CM288*CM216+CN288*CN216+CO288*CO216+CP288*CP216+CQ288*CQ216+CR288*CR216+CS288*CS216+CT288*CT216+CU288*CU216</f>
        <v>0</v>
      </c>
      <c r="CZ216" s="2839">
        <f>E289*E216+F289*F216+G289*G216+H289*H216+I289*I216+J289*J216+K289*K216+L289*L216+M289*M216+N289*N216+O289*O216+P289*P216+Q289*Q216+R289*R216+S289*S216+T289*T216+U289*U216+V289*V216+W289*W216+X289*X216+Y289*Y216+Z289*Z216+AA289*AA216+AB289*AB216+AC289*AC216+AD289*AD216+AE289*AE216+AF289*AF216+AG289*AG216+AH289*AH216+AI289*AI216+AJ289*AJ216+AK289*AK216+AL289*AL216+AM289*AM216+AN289*AN216+AO289*AO216+AP289*AP216+AQ289*AQ216+AR289*AR216+AS289*AS216+AT289*AT216+AU289*AU216+AV289*AV216+AW289*AW216+AX289*AX216+AY289*AY216+AZ289*AZ216+BA289*BA216+BB289*BB216+BC289*BC216+BD289*BD216+BE289*BE216+BF289*BF216+BG289*BG216+BH289*BH216+BI289*BI216+BJ289*BJ216+BK289*BK216+BL289*BL216+BM289*BM216+BN289*BN216+BO289*BO216+BP289*BP216+BQ289*BQ216+BR289*BR216+BS289*BS216+BT289*BT216+BU289*BU216+BV289*BV216+BW289*BW216+BX289*BX216+BY289*BY216+BZ289*BZ216+CA289*CA216+CB289*CB216+CC289*CC216+CD289*CD216+CE289*CE216+CF289*CF216+CG289*CG216+CH289*CH216+CI289*CI216+CJ289*CJ216+CK289*CK216+CL289*CL216+CM289*CM216+CN289*CN216+CO289*CO216+CP289*CP216+CQ289*CQ216+CR289*CR216+CS289*CS216+CT289*CT216+CU289*CU216</f>
        <v>0</v>
      </c>
      <c r="DA216" s="2840">
        <f>E290*E216+F290*F216+G290*G216+H290*H216+I290*I216+J290*J216+K290*K216+L290*L216+M290*M216+N290*N216+O290*O216+P290*P216+Q290*Q216+R290*R216+S290*S216+T290*T216+U290*U216+V290*V216+W290*W216+X290*X216+Y290*Y216+Z290*Z216+AA290*AA216+AB290*AB216+AC290*AC216+AD290*AD216+AE290*AE216+AF290*AF216+AG290*AG216+AH290*AH216+AI290*AI216+AJ290*AJ216+AK290*AK216+AL290*AL216+AM290*AM216+AN290*AN216+AO290*AO216+AP290*AP216+AQ290*AQ216+AR290*AR216+AS290*AS216+AT290*AT216+AU290*AU216+AV290*AV216+AW290*AW216+AX290*AX216+AY290*AY216+AZ290*AZ216+BA290*BA216+BB290*BB216+BC290*BC216+BD290*BD216+BE290*BE216+BF290*BF216+BG290*BG216+BH290*BH216+BI290*BI216+BJ290*BJ216+BK290*BK216+BL290*BL216+BM290*BM216+BN290*BN216+BO290*BO216+BP290*BP216+BQ290*BQ216+BR290*BR216+BS290*BS216+BT290*BT216+BU290*BU216+BV290*BV216+BW290*BW216+BX290*BX216+BY290*BY216+BZ290*BZ216+CA290*CA216+CB290*CB216+CC290*CC216+CD290*CD216+CE290*CE216+CF290*CF216+CG290*CG216+CH290*CH216+CI290*CI216+CJ290*CJ216+CK290*CK216+CL290*CL216+CM290*CM216+CN290*CN216+CO290*CO216+CP290*CP216+CQ290*CQ216+CR290*CR216+CS290*CS216+CT290*CT216+CU290*CU216</f>
        <v>0</v>
      </c>
      <c r="DB216" s="2840">
        <f>E291*E216+F291*F216+G291*G216+H291*H216+I291*I216+J291*J216+K291*K216+L291*L216+M291*M216+N291*N216+O291*O216+P291*P216+Q291*Q216+R291*R216+S291*S216+T291*T216+U291*U216+V291*V216+W291*W216+X291*X216+Y291*Y216+Z291*Z216+AA291*AA216+AB291*AB216+AC291*AC216+AD291*AD216+AE291*AE216+AF291*AF216+AG291*AG216+AH291*AH216+AI291*AI216+AJ291*AJ216+AK291*AK216+AL291*AL216+AM291*AM216+AN291*AN216+AO291*AO216+AP291*AP216+AQ291*AQ216+AR291*AR216+AS291*AS216+AT291*AT216+AU291*AU216+AV291*AV216+AW291*AW216+AX291*AX216+AY291*AY216+AZ291*AZ216+BA291*BA216+BB291*BB216+BC291*BC216+BD291*BD216+BE291*BE216+BF291*BF216+BG291*BG216+BH291*BH216+BI291*BI216+BJ291*BJ216+BK291*BK216+BL291*BL216+BM291*BM216+BN291*BN216+BO291*BO216+BP291*BP216+BQ291*BQ216+BR291*BR216+BS291*BS216+BT291*BT216+BU291*BU216+BV291*BV216+BW291*BW216+BX291*BX216+BY291*BY216+BZ291*BZ216+CA291*CA216+CB291*CB216+CC291*CC216+CD291*CD216+CE291*CE216+CF291*CF216+CG291*CG216+CH291*CH216+CI291*CI216+CJ291*CJ216+CK291*CK216+CL291*CL216+CM291*CM216+CN291*CN216+CO291*CO216+CP291*CP216+CQ291*CQ216+CR291*CR216+CS291*CS216+CT291*CT216+CU291*CU216</f>
        <v>0</v>
      </c>
      <c r="DC216" s="2840">
        <f>E292*E216+F292*F216+G292*G216+H292*H216+I292*I216+J292*J216+K292*K216+L292*L216+M292*M216+N292*N216+O292*O216+P292*P216+Q292*Q216+R292*R216+S292*S216+T292*T216+U292*U216+V292*V216+W292*W216+X292*X216+Y292*Y216+Z292*Z216+AA292*AA216+AB292*AB216+AC292*AC216+AD292*AD216+AE292*AE216+AF292*AF216+AG292*AG216+AH292*AH216+AI292*AI216+AJ292*AJ216+AK292*AK216+AL292*AL216+AM292*AM216+AN292*AN216+AO292*AO216+AP292*AP216+AQ292*AQ216+AR292*AR216+AS292*AS216+AT292*AT216+AU292*AU216+AV292*AV216+AW292*AW216+AX292*AX216+AY292*AY216+AZ292*AZ216+BA292*BA216+BB292*BB216+BC292*BC216+BD292*BD216+BE292*BE216+BF292*BF216+BG292*BG216+BH292*BH216+BI292*BI216+BJ292*BJ216+BK292*BK216+BL292*BL216+BM292*BM216+BN292*BN216+BO292*BO216+BP292*BP216+BQ292*BQ216+BR292*BR216+BS292*BS216+BT292*BT216+BU292*BU216+BV292*BV216+BW292*BW216+BX292*BX216+BY292*BY216+BZ292*BZ216+CA292*CA216+CB292*CB216+CC292*CC216+CD292*CD216+CE292*CE216+CF292*CF216+CG292*CG216+CH292*CH216+CI292*CI216+CJ292*CJ216+CK292*CK216+CL292*CL216+CM292*CM216+CN292*CN216+CO292*CO216+CP292*CP216+CQ292*CQ216+CR292*CR216+CS292*CS216+CT292*CT216+CU292*CU216</f>
        <v>0</v>
      </c>
      <c r="DD216" s="2840">
        <f>E293*E216+F293*F216+G293*G216+H293*H216+I293*I216+J293*J216+K293*K216+L293*L216+M293*M216+N293*N216+O293*O216+P293*P216+Q293*Q216+R293*R216+S293*S216+T293*T216+U293*U216+V293*V216+W293*W216+X293*X216+Y293*Y216+Z293*Z216+AA293*AA216+AB293*AB216+AC293*AC216+AD293*AD216+AE293*AE216+AF293*AF216+AG293*AG216+AH293*AH216+AI293*AI216+AJ293*AJ216+AK293*AK216+AL293*AL216+AM293*AM216+AN293*AN216+AO293*AO216+AP293*AP216+AQ293*AQ216+AR293*AR216+AS293*AS216+AT293*AT216+AU293*AU216+AV293*AV216+AW293*AW216+AX293*AX216+AY293*AY216+AZ293*AZ216+BA293*BA216+BB293*BB216+BC293*BC216+BD293*BD216+BE293*BE216+BF293*BF216+BG293*BG216+BH293*BH216+BI293*BI216+BJ293*BJ216+BK293*BK216+BL293*BL216+BM293*BM216+BN293*BN216+BO293*BO216+BP293*BP216+BQ293*BQ216+BR293*BR216+BS293*BS216+BT293*BT216+BU293*BU216+BV293*BV216+BW293*BW216+BX293*BX216+BY293*BY216+BZ293*BZ216+CA293*CA216+CB293*CB216+CC293*CC216+CD293*CD216+CE293*CE216+CF293*CF216+CG293*CG216+CH293*CH216+CI293*CI216+CJ293*CJ216+CK293*CK216+CL293*CL216+CM293*CM216+CN293*CN216+CO293*CO216+CP293*CP216+CQ293*CQ216+CR293*CR216+CS293*CS216+CT293*CT216+CU293*CU216</f>
        <v>0</v>
      </c>
      <c r="DE216" s="2840">
        <f>E294*E216+F294*F216+G294*G216+H294*H216+I294*I216+J294*J216+K294*K216+L294*L216+M294*M216+N294*N216+O294*O216+P294*P216+Q294*Q216+R294*R216+S294*S216+T294*T216+U294*U216+V294*V216+W294*W216+X294*X216+Y294*Y216+Z294*Z216+AA294*AA216+AB294*AB216+AC294*AC216+AD294*AD216+AE294*AE216+AF294*AF216+AG294*AG216+AH294*AH216+AI294*AI216+AJ294*AJ216+AK294*AK216+AL294*AL216+AM294*AM216+AN294*AN216+AO294*AO216+AP294*AP216+AQ294*AQ216+AR294*AR216+AS294*AS216+AT294*AT216+AU294*AU216+AV294*AV216+AW294*AW216+AX294*AX216+AY294*AY216+AZ294*AZ216+BA294*BA216+BB294*BB216+BC294*BC216+BD294*BD216+BE294*BE216+BF294*BF216+BG294*BG216+BH294*BH216+BI294*BI216+BJ294*BJ216+BK294*BK216+BL294*BL216+BM294*BM216+BN294*BN216+BO294*BO216+BP294*BP216+BQ294*BQ216+BR294*BR216+BS294*BS216+BT294*BT216+BU294*BU216+BV294*BV216+BW294*BW216+BX294*BX216+BY294*BY216+BZ294*BZ216+CA294*CA216+CB294*CB216+CC294*CC216+CD294*CD216+CE294*CE216+CF294*CF216+CG294*CG216+CH294*CH216+CI294*CI216+CJ294*CJ216+CK294*CK216+CL294*CL216+CM294*CM216+CN294*CN216+CO294*CO216+CP294*CP216+CQ294*CQ216+CR294*CR216+CS294*CS216+CT294*CT216+CU294*CU216</f>
        <v>0</v>
      </c>
      <c r="DF216" s="2840">
        <f>E295*E216+F295*F216+G295*G216+H295*H216+I295*I216+J295*J216+K295*K216+L295*L216+M295*M216+N295*N216+O295*O216+P295*P216+Q295*Q216+R295*R216+S295*S216+T295*T216+U295*U216+V295*V216+W295*W216+X295*X216+Y295*Y216+Z295*Z216+AA295*AA216+AB295*AB216+AC295*AC216+AD295*AD216+AE295*AE216+AF295*AF216+AG295*AG216+AH295*AH216+AI295*AI216+AJ295*AJ216+AK295*AK216+AL295*AL216+AM295*AM216+AN295*AN216+AO295*AO216+AP295*AP216+AQ295*AQ216+AR295*AR216+AS295*AS216+AT295*AT216+AU295*AU216+AV295*AV216+AW295*AW216+AX295*AX216+AY295*AY216+AZ295*AZ216+BA295*BA216+BB295*BB216+BC295*BC216+BD295*BD216+BE295*BE216+BF295*BF216+BG295*BG216+BH295*BH216+BI295*BI216+BJ295*BJ216+BK295*BK216+BL295*BL216+BM295*BM216+BN295*BN216+BO295*BO216+BP295*BP216+BQ295*BQ216+BR295*BR216+BS295*BS216+BT295*BT216+BU295*BU216+BV295*BV216+BW295*BW216+BX295*BX216+BY295*BY216+BZ295*BZ216+CA295*CA216+CB295*CB216+CC295*CC216+CD295*CD216+CE295*CE216+CF295*CF216+CG295*CG216+CH295*CH216+CI295*CI216+CJ295*CJ216+CK295*CK216+CL295*CL216+CM295*CM216+CN295*CN216+CO295*CO216+CP295*CP216+CQ295*CQ216+CR295*CR216+CS295*CS216+CT295*CT216+CU295*CU216</f>
        <v>0</v>
      </c>
      <c r="DG216" s="2840">
        <f>E296*E216+F296*F216+G296*G216+H296*H216+I296*I216+J296*J216+K296*K216+L296*L216+M296*M216+N296*N216+O296*O216+P296*P216+Q296*Q216+R296*R216+S296*S216+T296*T216+U296*U216+V296*V216+W296*W216+X296*X216+Y296*Y216+Z296*Z216+AA296*AA216+AB296*AB216+AC296*AC216+AD296*AD216+AE296*AE216+AF296*AF216+AG296*AG216+AH296*AH216+AI296*AI216+AJ296*AJ216+AK296*AK216+AL296*AL216+AM296*AM216+AN296*AN216+AO296*AO216+AP296*AP216+AQ296*AQ216+AR296*AR216+AS296*AS216+AT296*AT216+AU296*AU216+AV296*AV216+AW296*AW216+AX296*AX216+AY296*AY216+AZ296*AZ216+BA296*BA216+BB296*BB216+BC296*BC216+BD296*BD216+BE296*BE216+BF296*BF216+BG296*BG216+BH296*BH216+BI296*BI216+BJ296*BJ216+BK296*BK216+BL296*BL216+BM296*BM216+BN296*BN216+BO296*BO216+BP296*BP216+BQ296*BQ216+BR296*BR216+BS296*BS216+BT296*BT216+BU296*BU216+BV296*BV216+BW296*BW216+BX296*BX216+BY296*BY216+BZ296*BZ216+CA296*CA216+CB296*CB216+CC296*CC216+CD296*CD216+CE296*CE216+CF296*CF216+CG296*CG216+CH296*CH216+CI296*CI216+CJ296*CJ216+CK296*CK216+CL296*CL216+CM296*CM216+CN296*CN216+CO296*CO216+CP296*CP216+CQ296*CQ216+CR296*CR216+CS296*CS216+CT296*CT216+CU296*CU216</f>
        <v>0</v>
      </c>
      <c r="DH216" s="2840">
        <f>E297*E216+F297*F216+G297*G216+H297*H216+I297*I216+J297*J216+K297*K216+L297*L216+M297*M216+N297*N216+O297*O216+P297*P216+Q297*Q216+R297*R216+S297*S216+T297*T216+U297*U216+V297*V216+W297*W216+X297*X216+Y297*Y216+Z297*Z216+AA297*AA216+AB297*AB216+AC297*AC216+AD297*AD216+AE297*AE216+AF297*AF216+AG297*AG216+AH297*AH216+AI297*AI216+AJ297*AJ216+AK297*AK216+AL297*AL216+AM297*AM216+AN297*AN216+AO297*AO216+AP297*AP216+AQ297*AQ216+AR297*AR216+AS297*AS216+AT297*AT216+AU297*AU216+AV297*AV216+AW297*AW216+AX297*AX216+AY297*AY216+AZ297*AZ216+BA297*BA216+BB297*BB216+BC297*BC216+BD297*BD216+BE297*BE216+BF297*BF216+BG297*BG216+BH297*BH216+BI297*BI216+BJ297*BJ216+BK297*BK216+BL297*BL216+BM297*BM216+BN297*BN216+BO297*BO216+BP297*BP216+BQ297*BQ216+BR297*BR216+BS297*BS216+BT297*BT216+BU297*BU216+BV297*BV216+BW297*BW216+BX297*BX216+BY297*BY216+BZ297*BZ216+CA297*CA216+CB297*CB216+CC297*CC216+CD297*CD216+CE297*CE216+CF297*CF216+CG297*CG216+CH297*CH216+CI297*CI216+CJ297*CJ216+CK297*CK216+CL297*CL216+CM297*CM216+CN297*CN216+CO297*CO216+CP297*CP216+CQ297*CQ216+CR297*CR216+CS297*CS216+CT297*CT216+CU297*CU216</f>
        <v>0</v>
      </c>
      <c r="DI216" s="2840">
        <f>E298*E216+F298*F216+G298*G216+H298*H216+I298*I216+J298*J216+K298*K216+L298*L216+M298*M216+N298*N216+O298*O216+P298*P216+Q298*Q216+R298*R216+S298*S216+T298*T216+U298*U216+V298*V216+W298*W216+X298*X216+Y298*Y216+Z298*Z216+AA298*AA216+AB298*AB216+AC298*AC216+AD298*AD216+AE298*AE216+AF298*AF216+AG298*AG216+AH298*AH216+AI298*AI216+AJ298*AJ216+AK298*AK216+AL298*AL216+AM298*AM216+AN298*AN216+AO298*AO216+AP298*AP216+AQ298*AQ216+AR298*AR216+AS298*AS216+AT298*AT216+AU298*AU216+AV298*AV216+AW298*AW216+AX298*AX216+AY298*AY216+AZ298*AZ216+BA298*BA216+BB298*BB216+BC298*BC216+BD298*BD216+BE298*BE216+BF298*BF216+BG298*BG216+BH298*BH216+BI298*BI216+BJ298*BJ216+BK298*BK216+BL298*BL216+BM298*BM216+BN298*BN216+BO298*BO216+BP298*BP216+BQ298*BQ216+BR298*BR216+BS298*BS216+BT298*BT216+BU298*BU216+BV298*BV216+BW298*BW216+BX298*BX216+BY298*BY216+BZ298*BZ216+CA298*CA216+CB298*CB216+CC298*CC216+CD298*CD216+CE298*CE216+CF298*CF216+CG298*CG216+CH298*CH216+CI298*CI216+CJ298*CJ216+CK298*CK216+CL298*CL216+CM298*CM216+CN298*CN216+CO298*CO216+CP298*CP216+CQ298*CQ216+CR298*CR216+CS298*CS216+CT298*CT216+CU298*CU216</f>
        <v>0</v>
      </c>
    </row>
    <row r="217" spans="2:113" ht="18" x14ac:dyDescent="0.35">
      <c r="B217" s="2389">
        <v>64</v>
      </c>
      <c r="C217" s="2390" t="s">
        <v>2415</v>
      </c>
      <c r="D217" s="2391" t="s">
        <v>3271</v>
      </c>
      <c r="E217" s="3123">
        <f>0</f>
        <v>0</v>
      </c>
      <c r="F217" s="3123">
        <f>0</f>
        <v>0</v>
      </c>
      <c r="G217" s="3123">
        <f>0</f>
        <v>0</v>
      </c>
      <c r="H217" s="3123">
        <f>0</f>
        <v>0</v>
      </c>
      <c r="I217" s="3123">
        <f>0</f>
        <v>0</v>
      </c>
      <c r="J217" s="3123">
        <f>1-f_E</f>
        <v>0.92</v>
      </c>
      <c r="K217" s="3123">
        <f>0</f>
        <v>0</v>
      </c>
      <c r="L217" s="3123">
        <f>0</f>
        <v>0</v>
      </c>
      <c r="M217" s="3123">
        <f>0</f>
        <v>0</v>
      </c>
      <c r="N217" s="3123">
        <f>0</f>
        <v>0</v>
      </c>
      <c r="O217" s="3123">
        <f>0</f>
        <v>0</v>
      </c>
      <c r="P217" s="3123">
        <f>f_E</f>
        <v>0.08</v>
      </c>
      <c r="Q217" s="3123">
        <f>0</f>
        <v>0</v>
      </c>
      <c r="R217" s="3154">
        <f>0</f>
        <v>0</v>
      </c>
      <c r="S217" s="3123">
        <f>0</f>
        <v>0</v>
      </c>
      <c r="T217" s="3123">
        <f>0</f>
        <v>0</v>
      </c>
      <c r="U217" s="3123">
        <f>0</f>
        <v>0</v>
      </c>
      <c r="V217" s="3123">
        <f>0</f>
        <v>0</v>
      </c>
      <c r="W217" s="3123">
        <f>0</f>
        <v>0</v>
      </c>
      <c r="X217" s="3123">
        <f>0</f>
        <v>0</v>
      </c>
      <c r="Y217" s="3123">
        <f>0</f>
        <v>0</v>
      </c>
      <c r="Z217" s="3123">
        <f>0</f>
        <v>0</v>
      </c>
      <c r="AA217" s="3154">
        <f>0</f>
        <v>0</v>
      </c>
      <c r="AB217" s="3154">
        <f>-1</f>
        <v>-1</v>
      </c>
      <c r="AC217" s="3154">
        <f>0</f>
        <v>0</v>
      </c>
      <c r="AD217" s="3163">
        <f>-f_E*(i_N_XE-i_N_BIO)</f>
        <v>8.0000000000000069E-4</v>
      </c>
      <c r="AE217" s="3123">
        <f>0</f>
        <v>0</v>
      </c>
      <c r="AF217" s="3123">
        <f>0</f>
        <v>0</v>
      </c>
      <c r="AG217" s="3123">
        <f>0</f>
        <v>0</v>
      </c>
      <c r="AH217" s="3123">
        <f>0</f>
        <v>0</v>
      </c>
      <c r="AI217" s="3123">
        <f>0</f>
        <v>0</v>
      </c>
      <c r="AJ217" s="3123">
        <f>(1-f_E)*i_N_BIO</f>
        <v>6.4400000000000013E-2</v>
      </c>
      <c r="AK217" s="3123">
        <f>0</f>
        <v>0</v>
      </c>
      <c r="AL217" s="3166">
        <f>0</f>
        <v>0</v>
      </c>
      <c r="AM217" s="3123">
        <f>0</f>
        <v>0</v>
      </c>
      <c r="AN217" s="3123">
        <f>0</f>
        <v>0</v>
      </c>
      <c r="AO217" s="3123">
        <f>0</f>
        <v>0</v>
      </c>
      <c r="AP217" s="3123">
        <f>(1-f_E)*i_P_BIO</f>
        <v>1.84E-2</v>
      </c>
      <c r="AQ217" s="3123">
        <f>0</f>
        <v>0</v>
      </c>
      <c r="AR217" s="3123">
        <f>0</f>
        <v>0</v>
      </c>
      <c r="AS217" s="3123">
        <f>0</f>
        <v>0</v>
      </c>
      <c r="AT217" s="3166">
        <f>0</f>
        <v>0</v>
      </c>
      <c r="AU217" s="3123">
        <f>(1-f_E)*(i_CIT_BIO-i_CIT_XBe)</f>
        <v>6.0720000000000003E-2</v>
      </c>
      <c r="AV217" s="3123">
        <f>0</f>
        <v>0</v>
      </c>
      <c r="AW217" s="3123">
        <f>0</f>
        <v>0</v>
      </c>
      <c r="AX217" s="3123">
        <f>0</f>
        <v>0</v>
      </c>
      <c r="AY217" s="3123">
        <f>0</f>
        <v>0</v>
      </c>
      <c r="AZ217" s="3123">
        <f>0</f>
        <v>0</v>
      </c>
      <c r="BA217" s="3123">
        <f>0</f>
        <v>0</v>
      </c>
      <c r="BB217" s="3196">
        <f>0</f>
        <v>0</v>
      </c>
      <c r="BC217" s="3195">
        <f>(1-f_E)*i_S_BIO-(1-f_E)*i_S_XB</f>
        <v>7.8200000000000006E-3</v>
      </c>
      <c r="BD217" s="3166">
        <f>0</f>
        <v>0</v>
      </c>
      <c r="BE217" s="3123">
        <f>0</f>
        <v>0</v>
      </c>
      <c r="BF217" s="3123">
        <f>0</f>
        <v>0</v>
      </c>
      <c r="BG217" s="3123">
        <f>0</f>
        <v>0</v>
      </c>
      <c r="BH217" s="3123">
        <f>0</f>
        <v>0</v>
      </c>
      <c r="BI217" s="3123">
        <f>0</f>
        <v>0</v>
      </c>
      <c r="BJ217" s="3123">
        <f>0</f>
        <v>0</v>
      </c>
      <c r="BK217" s="3123">
        <f>0</f>
        <v>0</v>
      </c>
      <c r="BL217" s="3123">
        <f>0</f>
        <v>0</v>
      </c>
      <c r="BM217" s="3123">
        <f>0</f>
        <v>0</v>
      </c>
      <c r="BN217" s="3123">
        <f>0</f>
        <v>0</v>
      </c>
      <c r="BO217" s="3123">
        <f>0</f>
        <v>0</v>
      </c>
      <c r="BP217" s="3123">
        <f>0</f>
        <v>0</v>
      </c>
      <c r="BQ217" s="3123">
        <f>0</f>
        <v>0</v>
      </c>
      <c r="BR217" s="3123">
        <f>0</f>
        <v>0</v>
      </c>
      <c r="BS217" s="3123">
        <f>0</f>
        <v>0</v>
      </c>
      <c r="BT217" s="3123">
        <f>0</f>
        <v>0</v>
      </c>
      <c r="BU217" s="3123">
        <f>0</f>
        <v>0</v>
      </c>
      <c r="BV217" s="3123">
        <f>0</f>
        <v>0</v>
      </c>
      <c r="BW217" s="3123">
        <f>0</f>
        <v>0</v>
      </c>
      <c r="BX217" s="3123">
        <f>0</f>
        <v>0</v>
      </c>
      <c r="BY217" s="3123">
        <f>0</f>
        <v>0</v>
      </c>
      <c r="BZ217" s="3206">
        <f>0</f>
        <v>0</v>
      </c>
      <c r="CA217" s="3206">
        <f>0</f>
        <v>0</v>
      </c>
      <c r="CB217" s="3206">
        <f>0</f>
        <v>0</v>
      </c>
      <c r="CC217" s="3206">
        <f>0</f>
        <v>0</v>
      </c>
      <c r="CD217" s="3123">
        <f>0</f>
        <v>0</v>
      </c>
      <c r="CE217" s="3123">
        <f>0</f>
        <v>0</v>
      </c>
      <c r="CF217" s="3123">
        <f>0</f>
        <v>0</v>
      </c>
      <c r="CG217" s="3123">
        <f>0</f>
        <v>0</v>
      </c>
      <c r="CH217" s="3123">
        <f>0</f>
        <v>0</v>
      </c>
      <c r="CI217" s="3123">
        <f>0</f>
        <v>0</v>
      </c>
      <c r="CJ217" s="3123">
        <f>0</f>
        <v>0</v>
      </c>
      <c r="CK217" s="3123">
        <f>0</f>
        <v>0</v>
      </c>
      <c r="CL217" s="3123">
        <f>0</f>
        <v>0</v>
      </c>
      <c r="CM217" s="3123">
        <f>0</f>
        <v>0</v>
      </c>
      <c r="CN217" s="3123">
        <f>0</f>
        <v>0</v>
      </c>
      <c r="CO217" s="3123">
        <f>0</f>
        <v>0</v>
      </c>
      <c r="CP217" s="3123">
        <f>0</f>
        <v>0</v>
      </c>
      <c r="CQ217" s="3123">
        <f>0</f>
        <v>0</v>
      </c>
      <c r="CR217" s="3123">
        <f>0</f>
        <v>0</v>
      </c>
      <c r="CS217" s="3123">
        <f>0</f>
        <v>0</v>
      </c>
      <c r="CT217" s="3123">
        <f>0</f>
        <v>0</v>
      </c>
      <c r="CU217" s="3123">
        <f>0</f>
        <v>0</v>
      </c>
      <c r="CV217" s="3229">
        <f>b_SOO_T*X_SOO*(M_satSO2_KO2_H2S_SOO+M_satSNO2_KNO2_H2S_SOO*M_inhSO2_KO2_H2S_SOO+M_satSNO3_KNO3_H2S_SOO*M_inhSNO2_KNO2_H2S_SOO*M_inhSO2_KO2_H2S_SOO)</f>
        <v>52.328431372549012</v>
      </c>
      <c r="CX217" s="2838">
        <f>E287*E217+F287*F217+G287*G217+H287*H217+I287*I217+J287*J217+K287*K217+L287*L217+M287*M217+N287*N217+O287*O217+P287*P217+Q287*Q217+R287*R217+S287*S217+T287*T217+U287*U217+V287*V217+W287*W217+X287*X217+Y287*Y217+Z287*Z217+AA287*AA217+AB287*AB217+AC287*AC217+AD287*AD217+AE287*AE217+AF287*AF217+AG287*AG217+AH287*AH217+AI287*AI217+AJ287*AJ217+AK287*AK217+AL287*AL217+AM287*AM217+AN287*AN217+AO287*AO217+AP287*AP217+AQ287*AQ217+AR287*AR217+AS287*AS217+AT287*AT217+AU287*AU217+AV287*AV217+AW287*AW217+AX287*AX217+AY287*AY217+AZ287*AZ217+BA287*BA217+BB287*BB217+BC287*BC217+BD287*BD217+BE287*BE217+BF287*BF217+BG287*BG217+BH287*BH217+BI287*BI217+BJ287*BJ217+BK287*BK217+BL287*BL217+BM287*BM217+BN287*BN217+BO287*BO217+BP287*BP217+BQ287*BQ217+BR287*BR217+BS287*BS217+BT287*BT217+BU287*BU217+BV287*BV217+BW287*BW217+BX287*BX217+BY287*BY217+BZ287*BZ217+CA287*CA217+CB287*CB217+CC287*CC217+CD287*CD217+CE287*CE217+CF287*CF217+CG287*CG217+CH287*CH217+CI287*CI217+CJ287*CJ217+CK287*CK217+CL287*CL217+CM287*CM217+CN287*CN217+CO287*CO217+CP287*CP217+CQ287*CQ217+CR287*CR217+CS287*CS217+CT287*CT217+CU287*CU217</f>
        <v>0</v>
      </c>
      <c r="CY217" s="2838">
        <f>E288*E217+F288*F217+G288*G217+H288*H217+I288*I217+J288*J217+K288*K217+L288*L217+M288*M217+N288*N217+O288*O217+P288*P217+Q288*Q217+R288*R217+S288*S217+T288*T217+U288*U217+V288*V217+W288*W217+X288*X217+Y288*Y217+Z288*Z217+AA288*AA217+AB288*AB217+AC288*AC217+AD288*AD217+AE288*AE217+AF288*AF217+AG288*AG217+AH288*AH217+AI288*AI217+AJ288*AJ217+AK288*AK217+AL288*AL217+AM288*AM217+AN288*AN217+AO288*AO217+AP288*AP217+AQ288*AQ217+AR288*AR217+AS288*AS217+AT288*AT217+AU288*AU217+AV288*AV217+AW288*AW217+AX288*AX217+AY288*AY217+AZ288*AZ217+BA288*BA217+BB288*BB217+BC288*BC217+BD288*BD217+BE288*BE217+BF288*BF217+BG288*BG217+BH288*BH217+BI288*BI217+BJ288*BJ217+BK288*BK217+BL288*BL217+BM288*BM217+BN288*BN217+BO288*BO217+BP288*BP217+BQ288*BQ217+BR288*BR217+BS288*BS217+BT288*BT217+BU288*BU217+BV288*BV217+BW288*BW217+BX288*BX217+BY288*BY217+BZ288*BZ217+CA288*CA217+CB288*CB217+CC288*CC217+CD288*CD217+CE288*CE217+CF288*CF217+CG288*CG217+CH288*CH217+CI288*CI217+CJ288*CJ217+CK288*CK217+CL288*CL217+CM288*CM217+CN288*CN217+CO288*CO217+CP288*CP217+CQ288*CQ217+CR288*CR217+CS288*CS217+CT288*CT217+CU288*CU217</f>
        <v>6.9388939039072284E-18</v>
      </c>
      <c r="CZ217" s="2839">
        <f>E289*E217+F289*F217+G289*G217+H289*H217+I289*I217+J289*J217+K289*K217+L289*L217+M289*M217+N289*N217+O289*O217+P289*P217+Q289*Q217+R289*R217+S289*S217+T289*T217+U289*U217+V289*V217+W289*W217+X289*X217+Y289*Y217+Z289*Z217+AA289*AA217+AB289*AB217+AC289*AC217+AD289*AD217+AE289*AE217+AF289*AF217+AG289*AG217+AH289*AH217+AI289*AI217+AJ289*AJ217+AK289*AK217+AL289*AL217+AM289*AM217+AN289*AN217+AO289*AO217+AP289*AP217+AQ289*AQ217+AR289*AR217+AS289*AS217+AT289*AT217+AU289*AU217+AV289*AV217+AW289*AW217+AX289*AX217+AY289*AY217+AZ289*AZ217+BA289*BA217+BB289*BB217+BC289*BC217+BD289*BD217+BE289*BE217+BF289*BF217+BG289*BG217+BH289*BH217+BI289*BI217+BJ289*BJ217+BK289*BK217+BL289*BL217+BM289*BM217+BN289*BN217+BO289*BO217+BP289*BP217+BQ289*BQ217+BR289*BR217+BS289*BS217+BT289*BT217+BU289*BU217+BV289*BV217+BW289*BW217+BX289*BX217+BY289*BY217+BZ289*BZ217+CA289*CA217+CB289*CB217+CC289*CC217+CD289*CD217+CE289*CE217+CF289*CF217+CG289*CG217+CH289*CH217+CI289*CI217+CJ289*CJ217+CK289*CK217+CL289*CL217+CM289*CM217+CN289*CN217+CO289*CO217+CP289*CP217+CQ289*CQ217+CR289*CR217+CS289*CS217+CT289*CT217+CU289*CU217</f>
        <v>0</v>
      </c>
      <c r="DA217" s="2840">
        <f>E290*E217+F290*F217+G290*G217+H290*H217+I290*I217+J290*J217+K290*K217+L290*L217+M290*M217+N290*N217+O290*O217+P290*P217+Q290*Q217+R290*R217+S290*S217+T290*T217+U290*U217+V290*V217+W290*W217+X290*X217+Y290*Y217+Z290*Z217+AA290*AA217+AB290*AB217+AC290*AC217+AD290*AD217+AE290*AE217+AF290*AF217+AG290*AG217+AH290*AH217+AI290*AI217+AJ290*AJ217+AK290*AK217+AL290*AL217+AM290*AM217+AN290*AN217+AO290*AO217+AP290*AP217+AQ290*AQ217+AR290*AR217+AS290*AS217+AT290*AT217+AU290*AU217+AV290*AV217+AW290*AW217+AX290*AX217+AY290*AY217+AZ290*AZ217+BA290*BA217+BB290*BB217+BC290*BC217+BD290*BD217+BE290*BE217+BF290*BF217+BG290*BG217+BH290*BH217+BI290*BI217+BJ290*BJ217+BK290*BK217+BL290*BL217+BM290*BM217+BN290*BN217+BO290*BO217+BP290*BP217+BQ290*BQ217+BR290*BR217+BS290*BS217+BT290*BT217+BU290*BU217+BV290*BV217+BW290*BW217+BX290*BX217+BY290*BY217+BZ290*BZ217+CA290*CA217+CB290*CB217+CC290*CC217+CD290*CD217+CE290*CE217+CF290*CF217+CG290*CG217+CH290*CH217+CI290*CI217+CJ290*CJ217+CK290*CK217+CL290*CL217+CM290*CM217+CN290*CN217+CO290*CO217+CP290*CP217+CQ290*CQ217+CR290*CR217+CS290*CS217+CT290*CT217+CU290*CU217</f>
        <v>0</v>
      </c>
      <c r="DB217" s="2840">
        <f>E291*E217+F291*F217+G291*G217+H291*H217+I291*I217+J291*J217+K291*K217+L291*L217+M291*M217+N291*N217+O291*O217+P291*P217+Q291*Q217+R291*R217+S291*S217+T291*T217+U291*U217+V291*V217+W291*W217+X291*X217+Y291*Y217+Z291*Z217+AA291*AA217+AB291*AB217+AC291*AC217+AD291*AD217+AE291*AE217+AF291*AF217+AG291*AG217+AH291*AH217+AI291*AI217+AJ291*AJ217+AK291*AK217+AL291*AL217+AM291*AM217+AN291*AN217+AO291*AO217+AP291*AP217+AQ291*AQ217+AR291*AR217+AS291*AS217+AT291*AT217+AU291*AU217+AV291*AV217+AW291*AW217+AX291*AX217+AY291*AY217+AZ291*AZ217+BA291*BA217+BB291*BB217+BC291*BC217+BD291*BD217+BE291*BE217+BF291*BF217+BG291*BG217+BH291*BH217+BI291*BI217+BJ291*BJ217+BK291*BK217+BL291*BL217+BM291*BM217+BN291*BN217+BO291*BO217+BP291*BP217+BQ291*BQ217+BR291*BR217+BS291*BS217+BT291*BT217+BU291*BU217+BV291*BV217+BW291*BW217+BX291*BX217+BY291*BY217+BZ291*BZ217+CA291*CA217+CB291*CB217+CC291*CC217+CD291*CD217+CE291*CE217+CF291*CF217+CG291*CG217+CH291*CH217+CI291*CI217+CJ291*CJ217+CK291*CK217+CL291*CL217+CM291*CM217+CN291*CN217+CO291*CO217+CP291*CP217+CQ291*CQ217+CR291*CR217+CS291*CS217+CT291*CT217+CU291*CU217</f>
        <v>0</v>
      </c>
      <c r="DC217" s="2840">
        <f>E292*E217+F292*F217+G292*G217+H292*H217+I292*I217+J292*J217+K292*K217+L292*L217+M292*M217+N292*N217+O292*O217+P292*P217+Q292*Q217+R292*R217+S292*S217+T292*T217+U292*U217+V292*V217+W292*W217+X292*X217+Y292*Y217+Z292*Z217+AA292*AA217+AB292*AB217+AC292*AC217+AD292*AD217+AE292*AE217+AF292*AF217+AG292*AG217+AH292*AH217+AI292*AI217+AJ292*AJ217+AK292*AK217+AL292*AL217+AM292*AM217+AN292*AN217+AO292*AO217+AP292*AP217+AQ292*AQ217+AR292*AR217+AS292*AS217+AT292*AT217+AU292*AU217+AV292*AV217+AW292*AW217+AX292*AX217+AY292*AY217+AZ292*AZ217+BA292*BA217+BB292*BB217+BC292*BC217+BD292*BD217+BE292*BE217+BF292*BF217+BG292*BG217+BH292*BH217+BI292*BI217+BJ292*BJ217+BK292*BK217+BL292*BL217+BM292*BM217+BN292*BN217+BO292*BO217+BP292*BP217+BQ292*BQ217+BR292*BR217+BS292*BS217+BT292*BT217+BU292*BU217+BV292*BV217+BW292*BW217+BX292*BX217+BY292*BY217+BZ292*BZ217+CA292*CA217+CB292*CB217+CC292*CC217+CD292*CD217+CE292*CE217+CF292*CF217+CG292*CG217+CH292*CH217+CI292*CI217+CJ292*CJ217+CK292*CK217+CL292*CL217+CM292*CM217+CN292*CN217+CO292*CO217+CP292*CP217+CQ292*CQ217+CR292*CR217+CS292*CS217+CT292*CT217+CU292*CU217</f>
        <v>0</v>
      </c>
      <c r="DD217" s="2840">
        <f>E293*E217+F293*F217+G293*G217+H293*H217+I293*I217+J293*J217+K293*K217+L293*L217+M293*M217+N293*N217+O293*O217+P293*P217+Q293*Q217+R293*R217+S293*S217+T293*T217+U293*U217+V293*V217+W293*W217+X293*X217+Y293*Y217+Z293*Z217+AA293*AA217+AB293*AB217+AC293*AC217+AD293*AD217+AE293*AE217+AF293*AF217+AG293*AG217+AH293*AH217+AI293*AI217+AJ293*AJ217+AK293*AK217+AL293*AL217+AM293*AM217+AN293*AN217+AO293*AO217+AP293*AP217+AQ293*AQ217+AR293*AR217+AS293*AS217+AT293*AT217+AU293*AU217+AV293*AV217+AW293*AW217+AX293*AX217+AY293*AY217+AZ293*AZ217+BA293*BA217+BB293*BB217+BC293*BC217+BD293*BD217+BE293*BE217+BF293*BF217+BG293*BG217+BH293*BH217+BI293*BI217+BJ293*BJ217+BK293*BK217+BL293*BL217+BM293*BM217+BN293*BN217+BO293*BO217+BP293*BP217+BQ293*BQ217+BR293*BR217+BS293*BS217+BT293*BT217+BU293*BU217+BV293*BV217+BW293*BW217+BX293*BX217+BY293*BY217+BZ293*BZ217+CA293*CA217+CB293*CB217+CC293*CC217+CD293*CD217+CE293*CE217+CF293*CF217+CG293*CG217+CH293*CH217+CI293*CI217+CJ293*CJ217+CK293*CK217+CL293*CL217+CM293*CM217+CN293*CN217+CO293*CO217+CP293*CP217+CQ293*CQ217+CR293*CR217+CS293*CS217+CT293*CT217+CU293*CU217</f>
        <v>0</v>
      </c>
      <c r="DE217" s="2840">
        <f>E294*E217+F294*F217+G294*G217+H294*H217+I294*I217+J294*J217+K294*K217+L294*L217+M294*M217+N294*N217+O294*O217+P294*P217+Q294*Q217+R294*R217+S294*S217+T294*T217+U294*U217+V294*V217+W294*W217+X294*X217+Y294*Y217+Z294*Z217+AA294*AA217+AB294*AB217+AC294*AC217+AD294*AD217+AE294*AE217+AF294*AF217+AG294*AG217+AH294*AH217+AI294*AI217+AJ294*AJ217+AK294*AK217+AL294*AL217+AM294*AM217+AN294*AN217+AO294*AO217+AP294*AP217+AQ294*AQ217+AR294*AR217+AS294*AS217+AT294*AT217+AU294*AU217+AV294*AV217+AW294*AW217+AX294*AX217+AY294*AY217+AZ294*AZ217+BA294*BA217+BB294*BB217+BC294*BC217+BD294*BD217+BE294*BE217+BF294*BF217+BG294*BG217+BH294*BH217+BI294*BI217+BJ294*BJ217+BK294*BK217+BL294*BL217+BM294*BM217+BN294*BN217+BO294*BO217+BP294*BP217+BQ294*BQ217+BR294*BR217+BS294*BS217+BT294*BT217+BU294*BU217+BV294*BV217+BW294*BW217+BX294*BX217+BY294*BY217+BZ294*BZ217+CA294*CA217+CB294*CB217+CC294*CC217+CD294*CD217+CE294*CE217+CF294*CF217+CG294*CG217+CH294*CH217+CI294*CI217+CJ294*CJ217+CK294*CK217+CL294*CL217+CM294*CM217+CN294*CN217+CO294*CO217+CP294*CP217+CQ294*CQ217+CR294*CR217+CS294*CS217+CT294*CT217+CU294*CU217</f>
        <v>0</v>
      </c>
      <c r="DF217" s="2840">
        <f>E295*E217+F295*F217+G295*G217+H295*H217+I295*I217+J295*J217+K295*K217+L295*L217+M295*M217+N295*N217+O295*O217+P295*P217+Q295*Q217+R295*R217+S295*S217+T295*T217+U295*U217+V295*V217+W295*W217+X295*X217+Y295*Y217+Z295*Z217+AA295*AA217+AB295*AB217+AC295*AC217+AD295*AD217+AE295*AE217+AF295*AF217+AG295*AG217+AH295*AH217+AI295*AI217+AJ295*AJ217+AK295*AK217+AL295*AL217+AM295*AM217+AN295*AN217+AO295*AO217+AP295*AP217+AQ295*AQ217+AR295*AR217+AS295*AS217+AT295*AT217+AU295*AU217+AV295*AV217+AW295*AW217+AX295*AX217+AY295*AY217+AZ295*AZ217+BA295*BA217+BB295*BB217+BC295*BC217+BD295*BD217+BE295*BE217+BF295*BF217+BG295*BG217+BH295*BH217+BI295*BI217+BJ295*BJ217+BK295*BK217+BL295*BL217+BM295*BM217+BN295*BN217+BO295*BO217+BP295*BP217+BQ295*BQ217+BR295*BR217+BS295*BS217+BT295*BT217+BU295*BU217+BV295*BV217+BW295*BW217+BX295*BX217+BY295*BY217+BZ295*BZ217+CA295*CA217+CB295*CB217+CC295*CC217+CD295*CD217+CE295*CE217+CF295*CF217+CG295*CG217+CH295*CH217+CI295*CI217+CJ295*CJ217+CK295*CK217+CL295*CL217+CM295*CM217+CN295*CN217+CO295*CO217+CP295*CP217+CQ295*CQ217+CR295*CR217+CS295*CS217+CT295*CT217+CU295*CU217</f>
        <v>0</v>
      </c>
      <c r="DG217" s="2840">
        <f>E296*E217+F296*F217+G296*G217+H296*H217+I296*I217+J296*J217+K296*K217+L296*L217+M296*M217+N296*N217+O296*O217+P296*P217+Q296*Q217+R296*R217+S296*S217+T296*T217+U296*U217+V296*V217+W296*W217+X296*X217+Y296*Y217+Z296*Z217+AA296*AA217+AB296*AB217+AC296*AC217+AD296*AD217+AE296*AE217+AF296*AF217+AG296*AG217+AH296*AH217+AI296*AI217+AJ296*AJ217+AK296*AK217+AL296*AL217+AM296*AM217+AN296*AN217+AO296*AO217+AP296*AP217+AQ296*AQ217+AR296*AR217+AS296*AS217+AT296*AT217+AU296*AU217+AV296*AV217+AW296*AW217+AX296*AX217+AY296*AY217+AZ296*AZ217+BA296*BA217+BB296*BB217+BC296*BC217+BD296*BD217+BE296*BE217+BF296*BF217+BG296*BG217+BH296*BH217+BI296*BI217+BJ296*BJ217+BK296*BK217+BL296*BL217+BM296*BM217+BN296*BN217+BO296*BO217+BP296*BP217+BQ296*BQ217+BR296*BR217+BS296*BS217+BT296*BT217+BU296*BU217+BV296*BV217+BW296*BW217+BX296*BX217+BY296*BY217+BZ296*BZ217+CA296*CA217+CB296*CB217+CC296*CC217+CD296*CD217+CE296*CE217+CF296*CF217+CG296*CG217+CH296*CH217+CI296*CI217+CJ296*CJ217+CK296*CK217+CL296*CL217+CM296*CM217+CN296*CN217+CO296*CO217+CP296*CP217+CQ296*CQ217+CR296*CR217+CS296*CS217+CT296*CT217+CU296*CU217</f>
        <v>0</v>
      </c>
      <c r="DH217" s="2840">
        <f>E297*E217+F297*F217+G297*G217+H297*H217+I297*I217+J297*J217+K297*K217+L297*L217+M297*M217+N297*N217+O297*O217+P297*P217+Q297*Q217+R297*R217+S297*S217+T297*T217+U297*U217+V297*V217+W297*W217+X297*X217+Y297*Y217+Z297*Z217+AA297*AA217+AB297*AB217+AC297*AC217+AD297*AD217+AE297*AE217+AF297*AF217+AG297*AG217+AH297*AH217+AI297*AI217+AJ297*AJ217+AK297*AK217+AL297*AL217+AM297*AM217+AN297*AN217+AO297*AO217+AP297*AP217+AQ297*AQ217+AR297*AR217+AS297*AS217+AT297*AT217+AU297*AU217+AV297*AV217+AW297*AW217+AX297*AX217+AY297*AY217+AZ297*AZ217+BA297*BA217+BB297*BB217+BC297*BC217+BD297*BD217+BE297*BE217+BF297*BF217+BG297*BG217+BH297*BH217+BI297*BI217+BJ297*BJ217+BK297*BK217+BL297*BL217+BM297*BM217+BN297*BN217+BO297*BO217+BP297*BP217+BQ297*BQ217+BR297*BR217+BS297*BS217+BT297*BT217+BU297*BU217+BV297*BV217+BW297*BW217+BX297*BX217+BY297*BY217+BZ297*BZ217+CA297*CA217+CB297*CB217+CC297*CC217+CD297*CD217+CE297*CE217+CF297*CF217+CG297*CG217+CH297*CH217+CI297*CI217+CJ297*CJ217+CK297*CK217+CL297*CL217+CM297*CM217+CN297*CN217+CO297*CO217+CP297*CP217+CQ297*CQ217+CR297*CR217+CS297*CS217+CT297*CT217+CU297*CU217</f>
        <v>0</v>
      </c>
      <c r="DI217" s="2840">
        <f>E298*E217+F298*F217+G298*G217+H298*H217+I298*I217+J298*J217+K298*K217+L298*L217+M298*M217+N298*N217+O298*O217+P298*P217+Q298*Q217+R298*R217+S298*S217+T298*T217+U298*U217+V298*V217+W298*W217+X298*X217+Y298*Y217+Z298*Z217+AA298*AA217+AB298*AB217+AC298*AC217+AD298*AD217+AE298*AE217+AF298*AF217+AG298*AG217+AH298*AH217+AI298*AI217+AJ298*AJ217+AK298*AK217+AL298*AL217+AM298*AM217+AN298*AN217+AO298*AO217+AP298*AP217+AQ298*AQ217+AR298*AR217+AS298*AS217+AT298*AT217+AU298*AU217+AV298*AV217+AW298*AW217+AX298*AX217+AY298*AY217+AZ298*AZ217+BA298*BA217+BB298*BB217+BC298*BC217+BD298*BD217+BE298*BE217+BF298*BF217+BG298*BG217+BH298*BH217+BI298*BI217+BJ298*BJ217+BK298*BK217+BL298*BL217+BM298*BM217+BN298*BN217+BO298*BO217+BP298*BP217+BQ298*BQ217+BR298*BR217+BS298*BS217+BT298*BT217+BU298*BU217+BV298*BV217+BW298*BW217+BX298*BX217+BY298*BY217+BZ298*BZ217+CA298*CA217+CB298*CB217+CC298*CC217+CD298*CD217+CE298*CE217+CF298*CF217+CG298*CG217+CH298*CH217+CI298*CI217+CJ298*CJ217+CK298*CK217+CL298*CL217+CM298*CM217+CN298*CN217+CO298*CO217+CP298*CP217+CQ298*CQ217+CR298*CR217+CS298*CS217+CT298*CT217+CU298*CU217</f>
        <v>0</v>
      </c>
    </row>
    <row r="218" spans="2:113" ht="18" x14ac:dyDescent="0.35">
      <c r="B218" s="2389">
        <v>65</v>
      </c>
      <c r="C218" s="2390" t="s">
        <v>2416</v>
      </c>
      <c r="D218" s="2391" t="s">
        <v>3274</v>
      </c>
      <c r="E218" s="3123">
        <f>0</f>
        <v>0</v>
      </c>
      <c r="F218" s="3123">
        <f>0</f>
        <v>0</v>
      </c>
      <c r="G218" s="3123">
        <f>0</f>
        <v>0</v>
      </c>
      <c r="H218" s="3123">
        <f>0</f>
        <v>0</v>
      </c>
      <c r="I218" s="3123">
        <f>0</f>
        <v>0</v>
      </c>
      <c r="J218" s="3123">
        <f>1-f_E</f>
        <v>0.92</v>
      </c>
      <c r="K218" s="3123">
        <f>0</f>
        <v>0</v>
      </c>
      <c r="L218" s="3123">
        <f>0</f>
        <v>0</v>
      </c>
      <c r="M218" s="3123">
        <f>0</f>
        <v>0</v>
      </c>
      <c r="N218" s="3123">
        <f>0</f>
        <v>0</v>
      </c>
      <c r="O218" s="3123">
        <f>0</f>
        <v>0</v>
      </c>
      <c r="P218" s="3123">
        <f>0</f>
        <v>0</v>
      </c>
      <c r="Q218" s="3123">
        <f>f_E</f>
        <v>0.08</v>
      </c>
      <c r="R218" s="3154">
        <f>0</f>
        <v>0</v>
      </c>
      <c r="S218" s="3123">
        <f>0</f>
        <v>0</v>
      </c>
      <c r="T218" s="3123">
        <f>0</f>
        <v>0</v>
      </c>
      <c r="U218" s="3123">
        <f>0</f>
        <v>0</v>
      </c>
      <c r="V218" s="3123">
        <f>0</f>
        <v>0</v>
      </c>
      <c r="W218" s="3123">
        <f>0</f>
        <v>0</v>
      </c>
      <c r="X218" s="3123">
        <f>0</f>
        <v>0</v>
      </c>
      <c r="Y218" s="3123">
        <f>0</f>
        <v>0</v>
      </c>
      <c r="Z218" s="3123">
        <f>0</f>
        <v>0</v>
      </c>
      <c r="AA218" s="3154">
        <f>0</f>
        <v>0</v>
      </c>
      <c r="AB218" s="3154">
        <f>-1</f>
        <v>-1</v>
      </c>
      <c r="AC218" s="3154">
        <f>0</f>
        <v>0</v>
      </c>
      <c r="AD218" s="3163">
        <f>-f_E*(i_N_XE-i_N_BIO)</f>
        <v>8.0000000000000069E-4</v>
      </c>
      <c r="AE218" s="3123">
        <f>0</f>
        <v>0</v>
      </c>
      <c r="AF218" s="3123">
        <f>0</f>
        <v>0</v>
      </c>
      <c r="AG218" s="3123">
        <f>0</f>
        <v>0</v>
      </c>
      <c r="AH218" s="3123">
        <f>0</f>
        <v>0</v>
      </c>
      <c r="AI218" s="3123">
        <f>0</f>
        <v>0</v>
      </c>
      <c r="AJ218" s="3123">
        <f>(1-f_E)*i_N_BIO</f>
        <v>6.4400000000000013E-2</v>
      </c>
      <c r="AK218" s="3123">
        <f>0</f>
        <v>0</v>
      </c>
      <c r="AL218" s="3166">
        <f>0</f>
        <v>0</v>
      </c>
      <c r="AM218" s="3123">
        <f>0</f>
        <v>0</v>
      </c>
      <c r="AN218" s="3123">
        <f>0</f>
        <v>0</v>
      </c>
      <c r="AO218" s="3123">
        <f>0</f>
        <v>0</v>
      </c>
      <c r="AP218" s="3123">
        <f>(1-f_E)*i_P_BIO</f>
        <v>1.84E-2</v>
      </c>
      <c r="AQ218" s="3123">
        <f>0</f>
        <v>0</v>
      </c>
      <c r="AR218" s="3123">
        <f>0</f>
        <v>0</v>
      </c>
      <c r="AS218" s="3123">
        <f>0</f>
        <v>0</v>
      </c>
      <c r="AT218" s="3166">
        <f>0</f>
        <v>0</v>
      </c>
      <c r="AU218" s="3123">
        <f>(1-f_E)*(i_CIT_BIO-i_CIT_XBe)</f>
        <v>6.0720000000000003E-2</v>
      </c>
      <c r="AV218" s="3123">
        <f>0</f>
        <v>0</v>
      </c>
      <c r="AW218" s="3123">
        <f>0</f>
        <v>0</v>
      </c>
      <c r="AX218" s="3123">
        <f>0</f>
        <v>0</v>
      </c>
      <c r="AY218" s="3123">
        <f>0</f>
        <v>0</v>
      </c>
      <c r="AZ218" s="3123">
        <f>0</f>
        <v>0</v>
      </c>
      <c r="BA218" s="3123">
        <f>0</f>
        <v>0</v>
      </c>
      <c r="BB218" s="3196">
        <f>0</f>
        <v>0</v>
      </c>
      <c r="BC218" s="3195">
        <f>(1-f_E)*i_S_BIO-(1-f_E)*i_S_XB</f>
        <v>7.8200000000000006E-3</v>
      </c>
      <c r="BD218" s="3166">
        <f>0</f>
        <v>0</v>
      </c>
      <c r="BE218" s="3123">
        <f>0</f>
        <v>0</v>
      </c>
      <c r="BF218" s="3123">
        <f>0</f>
        <v>0</v>
      </c>
      <c r="BG218" s="3123">
        <f>0</f>
        <v>0</v>
      </c>
      <c r="BH218" s="3123">
        <f>0</f>
        <v>0</v>
      </c>
      <c r="BI218" s="3123">
        <f>0</f>
        <v>0</v>
      </c>
      <c r="BJ218" s="3123">
        <f>0</f>
        <v>0</v>
      </c>
      <c r="BK218" s="3123">
        <f>0</f>
        <v>0</v>
      </c>
      <c r="BL218" s="3123">
        <f>0</f>
        <v>0</v>
      </c>
      <c r="BM218" s="3123">
        <f>0</f>
        <v>0</v>
      </c>
      <c r="BN218" s="3123">
        <f>0</f>
        <v>0</v>
      </c>
      <c r="BO218" s="3123">
        <f>0</f>
        <v>0</v>
      </c>
      <c r="BP218" s="3123">
        <f>0</f>
        <v>0</v>
      </c>
      <c r="BQ218" s="3123">
        <f>0</f>
        <v>0</v>
      </c>
      <c r="BR218" s="3123">
        <f>0</f>
        <v>0</v>
      </c>
      <c r="BS218" s="3123">
        <f>0</f>
        <v>0</v>
      </c>
      <c r="BT218" s="3123">
        <f>0</f>
        <v>0</v>
      </c>
      <c r="BU218" s="3123">
        <f>0</f>
        <v>0</v>
      </c>
      <c r="BV218" s="3123">
        <f>0</f>
        <v>0</v>
      </c>
      <c r="BW218" s="3123">
        <f>0</f>
        <v>0</v>
      </c>
      <c r="BX218" s="3123">
        <f>0</f>
        <v>0</v>
      </c>
      <c r="BY218" s="3123">
        <f>0</f>
        <v>0</v>
      </c>
      <c r="BZ218" s="3206">
        <f>0</f>
        <v>0</v>
      </c>
      <c r="CA218" s="3206">
        <f>0</f>
        <v>0</v>
      </c>
      <c r="CB218" s="3206">
        <f>0</f>
        <v>0</v>
      </c>
      <c r="CC218" s="3206">
        <f>0</f>
        <v>0</v>
      </c>
      <c r="CD218" s="3123">
        <f>0</f>
        <v>0</v>
      </c>
      <c r="CE218" s="3123">
        <f>0</f>
        <v>0</v>
      </c>
      <c r="CF218" s="3123">
        <f>0</f>
        <v>0</v>
      </c>
      <c r="CG218" s="3123">
        <f>0</f>
        <v>0</v>
      </c>
      <c r="CH218" s="3123">
        <f>0</f>
        <v>0</v>
      </c>
      <c r="CI218" s="3123">
        <f>0</f>
        <v>0</v>
      </c>
      <c r="CJ218" s="3123">
        <f>0</f>
        <v>0</v>
      </c>
      <c r="CK218" s="3123">
        <f>0</f>
        <v>0</v>
      </c>
      <c r="CL218" s="3123">
        <f>0</f>
        <v>0</v>
      </c>
      <c r="CM218" s="3123">
        <f>0</f>
        <v>0</v>
      </c>
      <c r="CN218" s="3123">
        <f>0</f>
        <v>0</v>
      </c>
      <c r="CO218" s="3123">
        <f>0</f>
        <v>0</v>
      </c>
      <c r="CP218" s="3123">
        <f>0</f>
        <v>0</v>
      </c>
      <c r="CQ218" s="3123">
        <f>0</f>
        <v>0</v>
      </c>
      <c r="CR218" s="3123">
        <f>0</f>
        <v>0</v>
      </c>
      <c r="CS218" s="3123">
        <f>0</f>
        <v>0</v>
      </c>
      <c r="CT218" s="3123">
        <f>0</f>
        <v>0</v>
      </c>
      <c r="CU218" s="3123">
        <f>0</f>
        <v>0</v>
      </c>
      <c r="CV218" s="3229">
        <f>b_SOO_T*X_SOO*M_inhSNO2_KNO2_H2S_SOO*M_inhSNO3_KNO3_H2S_SOO*M_inhSO2_KO2_H2S_SOO</f>
        <v>0.17156862745098039</v>
      </c>
      <c r="CX218" s="2838">
        <f>E287*E218+F287*F218+G287*G218+H287*H218+I287*I218+J287*J218+K287*K218+L287*L218+M287*M218+N287*N218+O287*O218+P287*P218+Q287*Q218+R287*R218+S287*S218+T287*T218+U287*U218+V287*V218+W287*W218+X287*X218+Y287*Y218+Z287*Z218+AA287*AA218+AB287*AB218+AC287*AC218+AD287*AD218+AE287*AE218+AF287*AF218+AG287*AG218+AH287*AH218+AI287*AI218+AJ287*AJ218+AK287*AK218+AL287*AL218+AM287*AM218+AN287*AN218+AO287*AO218+AP287*AP218+AQ287*AQ218+AR287*AR218+AS287*AS218+AT287*AT218+AU287*AU218+AV287*AV218+AW287*AW218+AX287*AX218+AY287*AY218+AZ287*AZ218+BA287*BA218+BB287*BB218+BC287*BC218+BD287*BD218+BE287*BE218+BF287*BF218+BG287*BG218+BH287*BH218+BI287*BI218+BJ287*BJ218+BK287*BK218+BL287*BL218+BM287*BM218+BN287*BN218+BO287*BO218+BP287*BP218+BQ287*BQ218+BR287*BR218+BS287*BS218+BT287*BT218+BU287*BU218+BV287*BV218+BW287*BW218+BX287*BX218+BY287*BY218+BZ287*BZ218+CA287*CA218+CB287*CB218+CC287*CC218+CD287*CD218+CE287*CE218+CF287*CF218+CG287*CG218+CH287*CH218+CI287*CI218+CJ287*CJ218+CK287*CK218+CL287*CL218+CM287*CM218+CN287*CN218+CO287*CO218+CP287*CP218+CQ287*CQ218+CR287*CR218+CS287*CS218+CT287*CT218+CU287*CU218</f>
        <v>0</v>
      </c>
      <c r="CY218" s="2838">
        <f>E288*E218+F288*F218+G288*G218+H288*H218+I288*I218+J288*J218+K288*K218+L288*L218+M288*M218+N288*N218+O288*O218+P288*P218+Q288*Q218+R288*R218+S288*S218+T288*T218+U288*U218+V288*V218+W288*W218+X288*X218+Y288*Y218+Z288*Z218+AA288*AA218+AB288*AB218+AC288*AC218+AD288*AD218+AE288*AE218+AF288*AF218+AG288*AG218+AH288*AH218+AI288*AI218+AJ288*AJ218+AK288*AK218+AL288*AL218+AM288*AM218+AN288*AN218+AO288*AO218+AP288*AP218+AQ288*AQ218+AR288*AR218+AS288*AS218+AT288*AT218+AU288*AU218+AV288*AV218+AW288*AW218+AX288*AX218+AY288*AY218+AZ288*AZ218+BA288*BA218+BB288*BB218+BC288*BC218+BD288*BD218+BE288*BE218+BF288*BF218+BG288*BG218+BH288*BH218+BI288*BI218+BJ288*BJ218+BK288*BK218+BL288*BL218+BM288*BM218+BN288*BN218+BO288*BO218+BP288*BP218+BQ288*BQ218+BR288*BR218+BS288*BS218+BT288*BT218+BU288*BU218+BV288*BV218+BW288*BW218+BX288*BX218+BY288*BY218+BZ288*BZ218+CA288*CA218+CB288*CB218+CC288*CC218+CD288*CD218+CE288*CE218+CF288*CF218+CG288*CG218+CH288*CH218+CI288*CI218+CJ288*CJ218+CK288*CK218+CL288*CL218+CM288*CM218+CN288*CN218+CO288*CO218+CP288*CP218+CQ288*CQ218+CR288*CR218+CS288*CS218+CT288*CT218+CU288*CU218</f>
        <v>6.9388939039072284E-18</v>
      </c>
      <c r="CZ218" s="2839">
        <f>E289*E218+F289*F218+G289*G218+H289*H218+I289*I218+J289*J218+K289*K218+L289*L218+M289*M218+N289*N218+O289*O218+P289*P218+Q289*Q218+R289*R218+S289*S218+T289*T218+U289*U218+V289*V218+W289*W218+X289*X218+Y289*Y218+Z289*Z218+AA289*AA218+AB289*AB218+AC289*AC218+AD289*AD218+AE289*AE218+AF289*AF218+AG289*AG218+AH289*AH218+AI289*AI218+AJ289*AJ218+AK289*AK218+AL289*AL218+AM289*AM218+AN289*AN218+AO289*AO218+AP289*AP218+AQ289*AQ218+AR289*AR218+AS289*AS218+AT289*AT218+AU289*AU218+AV289*AV218+AW289*AW218+AX289*AX218+AY289*AY218+AZ289*AZ218+BA289*BA218+BB289*BB218+BC289*BC218+BD289*BD218+BE289*BE218+BF289*BF218+BG289*BG218+BH289*BH218+BI289*BI218+BJ289*BJ218+BK289*BK218+BL289*BL218+BM289*BM218+BN289*BN218+BO289*BO218+BP289*BP218+BQ289*BQ218+BR289*BR218+BS289*BS218+BT289*BT218+BU289*BU218+BV289*BV218+BW289*BW218+BX289*BX218+BY289*BY218+BZ289*BZ218+CA289*CA218+CB289*CB218+CC289*CC218+CD289*CD218+CE289*CE218+CF289*CF218+CG289*CG218+CH289*CH218+CI289*CI218+CJ289*CJ218+CK289*CK218+CL289*CL218+CM289*CM218+CN289*CN218+CO289*CO218+CP289*CP218+CQ289*CQ218+CR289*CR218+CS289*CS218+CT289*CT218+CU289*CU218</f>
        <v>0</v>
      </c>
      <c r="DA218" s="2840">
        <f>E290*E218+F290*F218+G290*G218+H290*H218+I290*I218+J290*J218+K290*K218+L290*L218+M290*M218+N290*N218+O290*O218+P290*P218+Q290*Q218+R290*R218+S290*S218+T290*T218+U290*U218+V290*V218+W290*W218+X290*X218+Y290*Y218+Z290*Z218+AA290*AA218+AB290*AB218+AC290*AC218+AD290*AD218+AE290*AE218+AF290*AF218+AG290*AG218+AH290*AH218+AI290*AI218+AJ290*AJ218+AK290*AK218+AL290*AL218+AM290*AM218+AN290*AN218+AO290*AO218+AP290*AP218+AQ290*AQ218+AR290*AR218+AS290*AS218+AT290*AT218+AU290*AU218+AV290*AV218+AW290*AW218+AX290*AX218+AY290*AY218+AZ290*AZ218+BA290*BA218+BB290*BB218+BC290*BC218+BD290*BD218+BE290*BE218+BF290*BF218+BG290*BG218+BH290*BH218+BI290*BI218+BJ290*BJ218+BK290*BK218+BL290*BL218+BM290*BM218+BN290*BN218+BO290*BO218+BP290*BP218+BQ290*BQ218+BR290*BR218+BS290*BS218+BT290*BT218+BU290*BU218+BV290*BV218+BW290*BW218+BX290*BX218+BY290*BY218+BZ290*BZ218+CA290*CA218+CB290*CB218+CC290*CC218+CD290*CD218+CE290*CE218+CF290*CF218+CG290*CG218+CH290*CH218+CI290*CI218+CJ290*CJ218+CK290*CK218+CL290*CL218+CM290*CM218+CN290*CN218+CO290*CO218+CP290*CP218+CQ290*CQ218+CR290*CR218+CS290*CS218+CT290*CT218+CU290*CU218</f>
        <v>0</v>
      </c>
      <c r="DB218" s="2840">
        <f>E291*E218+F291*F218+G291*G218+H291*H218+I291*I218+J291*J218+K291*K218+L291*L218+M291*M218+N291*N218+O291*O218+P291*P218+Q291*Q218+R291*R218+S291*S218+T291*T218+U291*U218+V291*V218+W291*W218+X291*X218+Y291*Y218+Z291*Z218+AA291*AA218+AB291*AB218+AC291*AC218+AD291*AD218+AE291*AE218+AF291*AF218+AG291*AG218+AH291*AH218+AI291*AI218+AJ291*AJ218+AK291*AK218+AL291*AL218+AM291*AM218+AN291*AN218+AO291*AO218+AP291*AP218+AQ291*AQ218+AR291*AR218+AS291*AS218+AT291*AT218+AU291*AU218+AV291*AV218+AW291*AW218+AX291*AX218+AY291*AY218+AZ291*AZ218+BA291*BA218+BB291*BB218+BC291*BC218+BD291*BD218+BE291*BE218+BF291*BF218+BG291*BG218+BH291*BH218+BI291*BI218+BJ291*BJ218+BK291*BK218+BL291*BL218+BM291*BM218+BN291*BN218+BO291*BO218+BP291*BP218+BQ291*BQ218+BR291*BR218+BS291*BS218+BT291*BT218+BU291*BU218+BV291*BV218+BW291*BW218+BX291*BX218+BY291*BY218+BZ291*BZ218+CA291*CA218+CB291*CB218+CC291*CC218+CD291*CD218+CE291*CE218+CF291*CF218+CG291*CG218+CH291*CH218+CI291*CI218+CJ291*CJ218+CK291*CK218+CL291*CL218+CM291*CM218+CN291*CN218+CO291*CO218+CP291*CP218+CQ291*CQ218+CR291*CR218+CS291*CS218+CT291*CT218+CU291*CU218</f>
        <v>0</v>
      </c>
      <c r="DC218" s="2840">
        <f>E292*E218+F292*F218+G292*G218+H292*H218+I292*I218+J292*J218+K292*K218+L292*L218+M292*M218+N292*N218+O292*O218+P292*P218+Q292*Q218+R292*R218+S292*S218+T292*T218+U292*U218+V292*V218+W292*W218+X292*X218+Y292*Y218+Z292*Z218+AA292*AA218+AB292*AB218+AC292*AC218+AD292*AD218+AE292*AE218+AF292*AF218+AG292*AG218+AH292*AH218+AI292*AI218+AJ292*AJ218+AK292*AK218+AL292*AL218+AM292*AM218+AN292*AN218+AO292*AO218+AP292*AP218+AQ292*AQ218+AR292*AR218+AS292*AS218+AT292*AT218+AU292*AU218+AV292*AV218+AW292*AW218+AX292*AX218+AY292*AY218+AZ292*AZ218+BA292*BA218+BB292*BB218+BC292*BC218+BD292*BD218+BE292*BE218+BF292*BF218+BG292*BG218+BH292*BH218+BI292*BI218+BJ292*BJ218+BK292*BK218+BL292*BL218+BM292*BM218+BN292*BN218+BO292*BO218+BP292*BP218+BQ292*BQ218+BR292*BR218+BS292*BS218+BT292*BT218+BU292*BU218+BV292*BV218+BW292*BW218+BX292*BX218+BY292*BY218+BZ292*BZ218+CA292*CA218+CB292*CB218+CC292*CC218+CD292*CD218+CE292*CE218+CF292*CF218+CG292*CG218+CH292*CH218+CI292*CI218+CJ292*CJ218+CK292*CK218+CL292*CL218+CM292*CM218+CN292*CN218+CO292*CO218+CP292*CP218+CQ292*CQ218+CR292*CR218+CS292*CS218+CT292*CT218+CU292*CU218</f>
        <v>0</v>
      </c>
      <c r="DD218" s="2840">
        <f>E293*E218+F293*F218+G293*G218+H293*H218+I293*I218+J293*J218+K293*K218+L293*L218+M293*M218+N293*N218+O293*O218+P293*P218+Q293*Q218+R293*R218+S293*S218+T293*T218+U293*U218+V293*V218+W293*W218+X293*X218+Y293*Y218+Z293*Z218+AA293*AA218+AB293*AB218+AC293*AC218+AD293*AD218+AE293*AE218+AF293*AF218+AG293*AG218+AH293*AH218+AI293*AI218+AJ293*AJ218+AK293*AK218+AL293*AL218+AM293*AM218+AN293*AN218+AO293*AO218+AP293*AP218+AQ293*AQ218+AR293*AR218+AS293*AS218+AT293*AT218+AU293*AU218+AV293*AV218+AW293*AW218+AX293*AX218+AY293*AY218+AZ293*AZ218+BA293*BA218+BB293*BB218+BC293*BC218+BD293*BD218+BE293*BE218+BF293*BF218+BG293*BG218+BH293*BH218+BI293*BI218+BJ293*BJ218+BK293*BK218+BL293*BL218+BM293*BM218+BN293*BN218+BO293*BO218+BP293*BP218+BQ293*BQ218+BR293*BR218+BS293*BS218+BT293*BT218+BU293*BU218+BV293*BV218+BW293*BW218+BX293*BX218+BY293*BY218+BZ293*BZ218+CA293*CA218+CB293*CB218+CC293*CC218+CD293*CD218+CE293*CE218+CF293*CF218+CG293*CG218+CH293*CH218+CI293*CI218+CJ293*CJ218+CK293*CK218+CL293*CL218+CM293*CM218+CN293*CN218+CO293*CO218+CP293*CP218+CQ293*CQ218+CR293*CR218+CS293*CS218+CT293*CT218+CU293*CU218</f>
        <v>0</v>
      </c>
      <c r="DE218" s="2840">
        <f>E294*E218+F294*F218+G294*G218+H294*H218+I294*I218+J294*J218+K294*K218+L294*L218+M294*M218+N294*N218+O294*O218+P294*P218+Q294*Q218+R294*R218+S294*S218+T294*T218+U294*U218+V294*V218+W294*W218+X294*X218+Y294*Y218+Z294*Z218+AA294*AA218+AB294*AB218+AC294*AC218+AD294*AD218+AE294*AE218+AF294*AF218+AG294*AG218+AH294*AH218+AI294*AI218+AJ294*AJ218+AK294*AK218+AL294*AL218+AM294*AM218+AN294*AN218+AO294*AO218+AP294*AP218+AQ294*AQ218+AR294*AR218+AS294*AS218+AT294*AT218+AU294*AU218+AV294*AV218+AW294*AW218+AX294*AX218+AY294*AY218+AZ294*AZ218+BA294*BA218+BB294*BB218+BC294*BC218+BD294*BD218+BE294*BE218+BF294*BF218+BG294*BG218+BH294*BH218+BI294*BI218+BJ294*BJ218+BK294*BK218+BL294*BL218+BM294*BM218+BN294*BN218+BO294*BO218+BP294*BP218+BQ294*BQ218+BR294*BR218+BS294*BS218+BT294*BT218+BU294*BU218+BV294*BV218+BW294*BW218+BX294*BX218+BY294*BY218+BZ294*BZ218+CA294*CA218+CB294*CB218+CC294*CC218+CD294*CD218+CE294*CE218+CF294*CF218+CG294*CG218+CH294*CH218+CI294*CI218+CJ294*CJ218+CK294*CK218+CL294*CL218+CM294*CM218+CN294*CN218+CO294*CO218+CP294*CP218+CQ294*CQ218+CR294*CR218+CS294*CS218+CT294*CT218+CU294*CU218</f>
        <v>0</v>
      </c>
      <c r="DF218" s="2840">
        <f>E295*E218+F295*F218+G295*G218+H295*H218+I295*I218+J295*J218+K295*K218+L295*L218+M295*M218+N295*N218+O295*O218+P295*P218+Q295*Q218+R295*R218+S295*S218+T295*T218+U295*U218+V295*V218+W295*W218+X295*X218+Y295*Y218+Z295*Z218+AA295*AA218+AB295*AB218+AC295*AC218+AD295*AD218+AE295*AE218+AF295*AF218+AG295*AG218+AH295*AH218+AI295*AI218+AJ295*AJ218+AK295*AK218+AL295*AL218+AM295*AM218+AN295*AN218+AO295*AO218+AP295*AP218+AQ295*AQ218+AR295*AR218+AS295*AS218+AT295*AT218+AU295*AU218+AV295*AV218+AW295*AW218+AX295*AX218+AY295*AY218+AZ295*AZ218+BA295*BA218+BB295*BB218+BC295*BC218+BD295*BD218+BE295*BE218+BF295*BF218+BG295*BG218+BH295*BH218+BI295*BI218+BJ295*BJ218+BK295*BK218+BL295*BL218+BM295*BM218+BN295*BN218+BO295*BO218+BP295*BP218+BQ295*BQ218+BR295*BR218+BS295*BS218+BT295*BT218+BU295*BU218+BV295*BV218+BW295*BW218+BX295*BX218+BY295*BY218+BZ295*BZ218+CA295*CA218+CB295*CB218+CC295*CC218+CD295*CD218+CE295*CE218+CF295*CF218+CG295*CG218+CH295*CH218+CI295*CI218+CJ295*CJ218+CK295*CK218+CL295*CL218+CM295*CM218+CN295*CN218+CO295*CO218+CP295*CP218+CQ295*CQ218+CR295*CR218+CS295*CS218+CT295*CT218+CU295*CU218</f>
        <v>0</v>
      </c>
      <c r="DG218" s="2840">
        <f>E296*E218+F296*F218+G296*G218+H296*H218+I296*I218+J296*J218+K296*K218+L296*L218+M296*M218+N296*N218+O296*O218+P296*P218+Q296*Q218+R296*R218+S296*S218+T296*T218+U296*U218+V296*V218+W296*W218+X296*X218+Y296*Y218+Z296*Z218+AA296*AA218+AB296*AB218+AC296*AC218+AD296*AD218+AE296*AE218+AF296*AF218+AG296*AG218+AH296*AH218+AI296*AI218+AJ296*AJ218+AK296*AK218+AL296*AL218+AM296*AM218+AN296*AN218+AO296*AO218+AP296*AP218+AQ296*AQ218+AR296*AR218+AS296*AS218+AT296*AT218+AU296*AU218+AV296*AV218+AW296*AW218+AX296*AX218+AY296*AY218+AZ296*AZ218+BA296*BA218+BB296*BB218+BC296*BC218+BD296*BD218+BE296*BE218+BF296*BF218+BG296*BG218+BH296*BH218+BI296*BI218+BJ296*BJ218+BK296*BK218+BL296*BL218+BM296*BM218+BN296*BN218+BO296*BO218+BP296*BP218+BQ296*BQ218+BR296*BR218+BS296*BS218+BT296*BT218+BU296*BU218+BV296*BV218+BW296*BW218+BX296*BX218+BY296*BY218+BZ296*BZ218+CA296*CA218+CB296*CB218+CC296*CC218+CD296*CD218+CE296*CE218+CF296*CF218+CG296*CG218+CH296*CH218+CI296*CI218+CJ296*CJ218+CK296*CK218+CL296*CL218+CM296*CM218+CN296*CN218+CO296*CO218+CP296*CP218+CQ296*CQ218+CR296*CR218+CS296*CS218+CT296*CT218+CU296*CU218</f>
        <v>0</v>
      </c>
      <c r="DH218" s="2840">
        <f>E297*E218+F297*F218+G297*G218+H297*H218+I297*I218+J297*J218+K297*K218+L297*L218+M297*M218+N297*N218+O297*O218+P297*P218+Q297*Q218+R297*R218+S297*S218+T297*T218+U297*U218+V297*V218+W297*W218+X297*X218+Y297*Y218+Z297*Z218+AA297*AA218+AB297*AB218+AC297*AC218+AD297*AD218+AE297*AE218+AF297*AF218+AG297*AG218+AH297*AH218+AI297*AI218+AJ297*AJ218+AK297*AK218+AL297*AL218+AM297*AM218+AN297*AN218+AO297*AO218+AP297*AP218+AQ297*AQ218+AR297*AR218+AS297*AS218+AT297*AT218+AU297*AU218+AV297*AV218+AW297*AW218+AX297*AX218+AY297*AY218+AZ297*AZ218+BA297*BA218+BB297*BB218+BC297*BC218+BD297*BD218+BE297*BE218+BF297*BF218+BG297*BG218+BH297*BH218+BI297*BI218+BJ297*BJ218+BK297*BK218+BL297*BL218+BM297*BM218+BN297*BN218+BO297*BO218+BP297*BP218+BQ297*BQ218+BR297*BR218+BS297*BS218+BT297*BT218+BU297*BU218+BV297*BV218+BW297*BW218+BX297*BX218+BY297*BY218+BZ297*BZ218+CA297*CA218+CB297*CB218+CC297*CC218+CD297*CD218+CE297*CE218+CF297*CF218+CG297*CG218+CH297*CH218+CI297*CI218+CJ297*CJ218+CK297*CK218+CL297*CL218+CM297*CM218+CN297*CN218+CO297*CO218+CP297*CP218+CQ297*CQ218+CR297*CR218+CS297*CS218+CT297*CT218+CU297*CU218</f>
        <v>0</v>
      </c>
      <c r="DI218" s="2840">
        <f>E298*E218+F298*F218+G298*G218+H298*H218+I298*I218+J298*J218+K298*K218+L298*L218+M298*M218+N298*N218+O298*O218+P298*P218+Q298*Q218+R298*R218+S298*S218+T298*T218+U298*U218+V298*V218+W298*W218+X298*X218+Y298*Y218+Z298*Z218+AA298*AA218+AB298*AB218+AC298*AC218+AD298*AD218+AE298*AE218+AF298*AF218+AG298*AG218+AH298*AH218+AI298*AI218+AJ298*AJ218+AK298*AK218+AL298*AL218+AM298*AM218+AN298*AN218+AO298*AO218+AP298*AP218+AQ298*AQ218+AR298*AR218+AS298*AS218+AT298*AT218+AU298*AU218+AV298*AV218+AW298*AW218+AX298*AX218+AY298*AY218+AZ298*AZ218+BA298*BA218+BB298*BB218+BC298*BC218+BD298*BD218+BE298*BE218+BF298*BF218+BG298*BG218+BH298*BH218+BI298*BI218+BJ298*BJ218+BK298*BK218+BL298*BL218+BM298*BM218+BN298*BN218+BO298*BO218+BP298*BP218+BQ298*BQ218+BR298*BR218+BS298*BS218+BT298*BT218+BU298*BU218+BV298*BV218+BW298*BW218+BX298*BX218+BY298*BY218+BZ298*BZ218+CA298*CA218+CB298*CB218+CC298*CC218+CD298*CD218+CE298*CE218+CF298*CF218+CG298*CG218+CH298*CH218+CI298*CI218+CJ298*CJ218+CK298*CK218+CL298*CL218+CM298*CM218+CN298*CN218+CO298*CO218+CP298*CP218+CQ298*CQ218+CR298*CR218+CS298*CS218+CT298*CT218+CU298*CU218</f>
        <v>0</v>
      </c>
    </row>
    <row r="219" spans="2:113" ht="18" x14ac:dyDescent="0.35">
      <c r="B219" s="2377">
        <v>66</v>
      </c>
      <c r="C219" s="2378" t="s">
        <v>2417</v>
      </c>
      <c r="D219" s="2376" t="s">
        <v>5261</v>
      </c>
      <c r="E219" s="3124">
        <f>0</f>
        <v>0</v>
      </c>
      <c r="F219" s="3124">
        <f>0</f>
        <v>0</v>
      </c>
      <c r="G219" s="3124">
        <f>0</f>
        <v>0</v>
      </c>
      <c r="H219" s="3124">
        <f>0</f>
        <v>0</v>
      </c>
      <c r="I219" s="3124">
        <f>0</f>
        <v>0</v>
      </c>
      <c r="J219" s="3124">
        <f>0</f>
        <v>0</v>
      </c>
      <c r="K219" s="3124">
        <f>0</f>
        <v>0</v>
      </c>
      <c r="L219" s="3124">
        <f>0</f>
        <v>0</v>
      </c>
      <c r="M219" s="3124">
        <f>0</f>
        <v>0</v>
      </c>
      <c r="N219" s="3124">
        <f>0</f>
        <v>0</v>
      </c>
      <c r="O219" s="3124">
        <f>0</f>
        <v>0</v>
      </c>
      <c r="P219" s="3124">
        <f>0</f>
        <v>0</v>
      </c>
      <c r="Q219" s="3124">
        <f>0</f>
        <v>0</v>
      </c>
      <c r="R219" s="3124">
        <f>0</f>
        <v>0</v>
      </c>
      <c r="S219" s="3124">
        <f>0</f>
        <v>0</v>
      </c>
      <c r="T219" s="3124">
        <f>0</f>
        <v>0</v>
      </c>
      <c r="U219" s="3124">
        <f>0</f>
        <v>0</v>
      </c>
      <c r="V219" s="3124">
        <f>0</f>
        <v>0</v>
      </c>
      <c r="W219" s="3124">
        <f>0</f>
        <v>0</v>
      </c>
      <c r="X219" s="3124">
        <f>0</f>
        <v>0</v>
      </c>
      <c r="Y219" s="3124">
        <f>0</f>
        <v>0</v>
      </c>
      <c r="Z219" s="3124">
        <f>0</f>
        <v>0</v>
      </c>
      <c r="AA219" s="3124">
        <f>0</f>
        <v>0</v>
      </c>
      <c r="AB219" s="3124">
        <f>0</f>
        <v>0</v>
      </c>
      <c r="AC219" s="3124">
        <f>1</f>
        <v>1</v>
      </c>
      <c r="AD219" s="3124">
        <f>0</f>
        <v>0</v>
      </c>
      <c r="AE219" s="3164">
        <f>-i_N_ALGAE*S_NO2/S_NOx</f>
        <v>-1.3725490196078434E-3</v>
      </c>
      <c r="AF219" s="3164">
        <f>-i_N_ALGAE*S_NO3/S_NOx</f>
        <v>-6.8627450980392163E-2</v>
      </c>
      <c r="AG219" s="3124">
        <f>0</f>
        <v>0</v>
      </c>
      <c r="AH219" s="3124">
        <f>0</f>
        <v>0</v>
      </c>
      <c r="AI219" s="3124">
        <f>0</f>
        <v>0</v>
      </c>
      <c r="AJ219" s="3124">
        <f>0</f>
        <v>0</v>
      </c>
      <c r="AK219" s="3124">
        <f>0</f>
        <v>0</v>
      </c>
      <c r="AL219" s="3164">
        <f>-i_P_ALGAE</f>
        <v>-0.02</v>
      </c>
      <c r="AM219" s="3124">
        <f>0</f>
        <v>0</v>
      </c>
      <c r="AN219" s="3124">
        <f>0</f>
        <v>0</v>
      </c>
      <c r="AO219" s="3124">
        <f>0</f>
        <v>0</v>
      </c>
      <c r="AP219" s="3124">
        <f>0</f>
        <v>0</v>
      </c>
      <c r="AQ219" s="3124">
        <f>0</f>
        <v>0</v>
      </c>
      <c r="AR219" s="3164">
        <f>1+i_N_ALGAE*(E_EQNO3*S_NO3/S_NOx+E_EQNO2*S_NO2/S_NOx)</f>
        <v>1.318267117823305</v>
      </c>
      <c r="AS219" s="3124">
        <f>0</f>
        <v>0</v>
      </c>
      <c r="AT219" s="3124">
        <f>0</f>
        <v>0</v>
      </c>
      <c r="AU219" s="3181">
        <f>-i_CIT_ALGAE</f>
        <v>-0.375</v>
      </c>
      <c r="AV219" s="3124">
        <f>i_INORG</f>
        <v>0.11</v>
      </c>
      <c r="AW219" s="3189">
        <f>-i_INORG*(1-i_Ca_INORG*(A_MCa+2*A_MCl)/A_MCa-i_Mg_INORG*(A_MMg+2*A_MCl)/A_MMg)*f_Na</f>
        <v>-2.8804303582798466E-2</v>
      </c>
      <c r="AX219" s="3189">
        <f>-i_INORG*(i_Ca_INORG*(2*A_MCl)/A_MCa+i_Mg_INORG*(2*A_MCl)/A_MMg)-i_INORG*(1-i_Ca_INORG*(A_MCa+2*A_MCl)/A_MCa-i_Mg_INORG*(A_MMg+2*A_MCl)/A_MMg)*(1-f_Na)</f>
        <v>-7.0195696417201539E-2</v>
      </c>
      <c r="AY219" s="3189">
        <f>-i_INORG*i_Ca_INORG</f>
        <v>-5.5000000000000005E-3</v>
      </c>
      <c r="AZ219" s="3189">
        <f>-i_INORG*i_Mg_INORG</f>
        <v>-5.5000000000000005E-3</v>
      </c>
      <c r="BA219" s="3124">
        <f>0</f>
        <v>0</v>
      </c>
      <c r="BB219" s="3124">
        <f>0</f>
        <v>0</v>
      </c>
      <c r="BC219" s="3189">
        <f>-i_S_ALGAE</f>
        <v>-0.01</v>
      </c>
      <c r="BD219" s="3124">
        <f>0</f>
        <v>0</v>
      </c>
      <c r="BE219" s="3124">
        <f>0</f>
        <v>0</v>
      </c>
      <c r="BF219" s="3124">
        <f>0</f>
        <v>0</v>
      </c>
      <c r="BG219" s="3124">
        <f>0</f>
        <v>0</v>
      </c>
      <c r="BH219" s="3124">
        <f>0</f>
        <v>0</v>
      </c>
      <c r="BI219" s="3124">
        <f>0</f>
        <v>0</v>
      </c>
      <c r="BJ219" s="3124">
        <f>0</f>
        <v>0</v>
      </c>
      <c r="BK219" s="3124">
        <f>0</f>
        <v>0</v>
      </c>
      <c r="BL219" s="3124">
        <f>0</f>
        <v>0</v>
      </c>
      <c r="BM219" s="3124">
        <f>0</f>
        <v>0</v>
      </c>
      <c r="BN219" s="3124">
        <f>0</f>
        <v>0</v>
      </c>
      <c r="BO219" s="3124">
        <f>0</f>
        <v>0</v>
      </c>
      <c r="BP219" s="3124">
        <f>0</f>
        <v>0</v>
      </c>
      <c r="BQ219" s="3124">
        <f>0</f>
        <v>0</v>
      </c>
      <c r="BR219" s="3124">
        <f>0</f>
        <v>0</v>
      </c>
      <c r="BS219" s="3124">
        <f>0</f>
        <v>0</v>
      </c>
      <c r="BT219" s="3124">
        <f>0</f>
        <v>0</v>
      </c>
      <c r="BU219" s="3124">
        <f>0</f>
        <v>0</v>
      </c>
      <c r="BV219" s="3124">
        <f>0</f>
        <v>0</v>
      </c>
      <c r="BW219" s="3124">
        <f>0</f>
        <v>0</v>
      </c>
      <c r="BX219" s="3124">
        <f>0</f>
        <v>0</v>
      </c>
      <c r="BY219" s="3124">
        <f>0</f>
        <v>0</v>
      </c>
      <c r="BZ219" s="3185">
        <f>0</f>
        <v>0</v>
      </c>
      <c r="CA219" s="3185">
        <f>0</f>
        <v>0</v>
      </c>
      <c r="CB219" s="3185">
        <f>0</f>
        <v>0</v>
      </c>
      <c r="CC219" s="3185">
        <f>0</f>
        <v>0</v>
      </c>
      <c r="CD219" s="3124">
        <f>0</f>
        <v>0</v>
      </c>
      <c r="CE219" s="3124">
        <f>0</f>
        <v>0</v>
      </c>
      <c r="CF219" s="3124">
        <f>0</f>
        <v>0</v>
      </c>
      <c r="CG219" s="3124">
        <f>0</f>
        <v>0</v>
      </c>
      <c r="CH219" s="3124">
        <f>0</f>
        <v>0</v>
      </c>
      <c r="CI219" s="3124">
        <f>0</f>
        <v>0</v>
      </c>
      <c r="CJ219" s="3124">
        <f>0</f>
        <v>0</v>
      </c>
      <c r="CK219" s="3124">
        <f>0</f>
        <v>0</v>
      </c>
      <c r="CL219" s="3124">
        <f>0</f>
        <v>0</v>
      </c>
      <c r="CM219" s="3124">
        <f>0</f>
        <v>0</v>
      </c>
      <c r="CN219" s="3124">
        <f>0</f>
        <v>0</v>
      </c>
      <c r="CO219" s="3124">
        <f>0</f>
        <v>0</v>
      </c>
      <c r="CP219" s="3124">
        <f>0</f>
        <v>0</v>
      </c>
      <c r="CQ219" s="3124">
        <f>0</f>
        <v>0</v>
      </c>
      <c r="CR219" s="3124">
        <f>0</f>
        <v>0</v>
      </c>
      <c r="CS219" s="3124">
        <f>0</f>
        <v>0</v>
      </c>
      <c r="CT219" s="3124">
        <f>0</f>
        <v>0</v>
      </c>
      <c r="CU219" s="3124">
        <f>0</f>
        <v>0</v>
      </c>
      <c r="CV219" s="3230">
        <f>µ_ALGAE_T*X_ALGAE*M_satSPO4_KPO4_BIO*M_satSCO2_KCO2_ALGAE*L_ightSwitch*M_satSNOx_KNOx_ALGAE*M_inhSNHx_KiNHx_ALGAE</f>
        <v>0</v>
      </c>
      <c r="CX219" s="2838">
        <f>E287*E219+F287*F219+G287*G219+H287*H219+I287*I219+J287*J219+K287*K219+L287*L219+M287*M219+N287*N219+O287*O219+P287*P219+Q287*Q219+R287*R219+S287*S219+T287*T219+U287*U219+V287*V219+W287*W219+X287*X219+Y287*Y219+Z287*Z219+AA287*AA219+AB287*AB219+AC287*AC219+AD287*AD219+AE287*AE219+AF287*AF219+AG287*AG219+AH287*AH219+AI287*AI219+AJ287*AJ219+AK287*AK219+AL287*AL219+AM287*AM219+AN287*AN219+AO287*AO219+AP287*AP219+AQ287*AQ219+AR287*AR219+AS287*AS219+AT287*AT219+AU287*AU219+AV287*AV219+AW287*AW219+AX287*AX219+AY287*AY219+AZ287*AZ219+BA287*BA219+BB287*BB219+BC287*BC219+BD287*BD219+BE287*BE219+BF287*BF219+BG287*BG219+BH287*BH219+BI287*BI219+BJ287*BJ219+BK287*BK219+BL287*BL219+BM287*BM219+BN287*BN219+BO287*BO219+BP287*BP219+BQ287*BQ219+BR287*BR219+BS287*BS219+BT287*BT219+BU287*BU219+BV287*BV219+BW287*BW219+BX287*BX219+BY287*BY219+BZ287*BZ219+CA287*CA219+CB287*CB219+CC287*CC219+CD287*CD219+CE287*CE219+CF287*CF219+CG287*CG219+CH287*CH219+CI287*CI219+CJ287*CJ219+CK287*CK219+CL287*CL219+CM287*CM219+CN287*CN219+CO287*CO219+CP287*CP219+CQ287*CQ219+CR287*CR219+CS287*CS219+CT287*CT219+CU287*CU219</f>
        <v>0</v>
      </c>
      <c r="CY219" s="2838">
        <f>E288*E219+F288*F219+G288*G219+H288*H219+I288*I219+J288*J219+K288*K219+L288*L219+M288*M219+N288*N219+O288*O219+P288*P219+Q288*Q219+R288*R219+S288*S219+T288*T219+U288*U219+V288*V219+W288*W219+X288*X219+Y288*Y219+Z288*Z219+AA288*AA219+AB288*AB219+AC288*AC219+AD288*AD219+AE288*AE219+AF288*AF219+AG288*AG219+AH288*AH219+AI288*AI219+AJ288*AJ219+AK288*AK219+AL288*AL219+AM288*AM219+AN288*AN219+AO288*AO219+AP288*AP219+AQ288*AQ219+AR288*AR219+AS288*AS219+AT288*AT219+AU288*AU219+AV288*AV219+AW288*AW219+AX288*AX219+AY288*AY219+AZ288*AZ219+BA288*BA219+BB288*BB219+BC288*BC219+BD288*BD219+BE288*BE219+BF288*BF219+BG288*BG219+BH288*BH219+BI288*BI219+BJ288*BJ219+BK288*BK219+BL288*BL219+BM288*BM219+BN288*BN219+BO288*BO219+BP288*BP219+BQ288*BQ219+BR288*BR219+BS288*BS219+BT288*BT219+BU288*BU219+BV288*BV219+BW288*BW219+BX288*BX219+BY288*BY219+BZ288*BZ219+CA288*CA219+CB288*CB219+CC288*CC219+CD288*CD219+CE288*CE219+CF288*CF219+CG288*CG219+CH288*CH219+CI288*CI219+CJ288*CJ219+CK288*CK219+CL288*CL219+CM288*CM219+CN288*CN219+CO288*CO219+CP288*CP219+CQ288*CQ219+CR288*CR219+CS288*CS219+CT288*CT219+CU288*CU219</f>
        <v>0</v>
      </c>
      <c r="CZ219" s="2839">
        <f>E289*E219+F289*F219+G289*G219+H289*H219+I289*I219+J289*J219+K289*K219+L289*L219+M289*M219+N289*N219+O289*O219+P289*P219+Q289*Q219+R289*R219+S289*S219+T289*T219+U289*U219+V289*V219+W289*W219+X289*X219+Y289*Y219+Z289*Z219+AA289*AA219+AB289*AB219+AC289*AC219+AD289*AD219+AE289*AE219+AF289*AF219+AG289*AG219+AH289*AH219+AI289*AI219+AJ289*AJ219+AK289*AK219+AL289*AL219+AM289*AM219+AN289*AN219+AO289*AO219+AP289*AP219+AQ289*AQ219+AR289*AR219+AS289*AS219+AT289*AT219+AU289*AU219+AV289*AV219+AW289*AW219+AX289*AX219+AY289*AY219+AZ289*AZ219+BA289*BA219+BB289*BB219+BC289*BC219+BD289*BD219+BE289*BE219+BF289*BF219+BG289*BG219+BH289*BH219+BI289*BI219+BJ289*BJ219+BK289*BK219+BL289*BL219+BM289*BM219+BN289*BN219+BO289*BO219+BP289*BP219+BQ289*BQ219+BR289*BR219+BS289*BS219+BT289*BT219+BU289*BU219+BV289*BV219+BW289*BW219+BX289*BX219+BY289*BY219+BZ289*BZ219+CA289*CA219+CB289*CB219+CC289*CC219+CD289*CD219+CE289*CE219+CF289*CF219+CG289*CG219+CH289*CH219+CI289*CI219+CJ289*CJ219+CK289*CK219+CL289*CL219+CM289*CM219+CN289*CN219+CO289*CO219+CP289*CP219+CQ289*CQ219+CR289*CR219+CS289*CS219+CT289*CT219+CU289*CU219</f>
        <v>0</v>
      </c>
      <c r="DA219" s="2840">
        <f>E290*E219+F290*F219+G290*G219+H290*H219+I290*I219+J290*J219+K290*K219+L290*L219+M290*M219+N290*N219+O290*O219+P290*P219+Q290*Q219+R290*R219+S290*S219+T290*T219+U290*U219+V290*V219+W290*W219+X290*X219+Y290*Y219+Z290*Z219+AA290*AA219+AB290*AB219+AC290*AC219+AD290*AD219+AE290*AE219+AF290*AF219+AG290*AG219+AH290*AH219+AI290*AI219+AJ290*AJ219+AK290*AK219+AL290*AL219+AM290*AM219+AN290*AN219+AO290*AO219+AP290*AP219+AQ290*AQ219+AR290*AR219+AS290*AS219+AT290*AT219+AU290*AU219+AV290*AV219+AW290*AW219+AX290*AX219+AY290*AY219+AZ290*AZ219+BA290*BA219+BB290*BB219+BC290*BC219+BD290*BD219+BE290*BE219+BF290*BF219+BG290*BG219+BH290*BH219+BI290*BI219+BJ290*BJ219+BK290*BK219+BL290*BL219+BM290*BM219+BN290*BN219+BO290*BO219+BP290*BP219+BQ290*BQ219+BR290*BR219+BS290*BS219+BT290*BT219+BU290*BU219+BV290*BV219+BW290*BW219+BX290*BX219+BY290*BY219+BZ290*BZ219+CA290*CA219+CB290*CB219+CC290*CC219+CD290*CD219+CE290*CE219+CF290*CF219+CG290*CG219+CH290*CH219+CI290*CI219+CJ290*CJ219+CK290*CK219+CL290*CL219+CM290*CM219+CN290*CN219+CO290*CO219+CP290*CP219+CQ290*CQ219+CR290*CR219+CS290*CS219+CT290*CT219+CU290*CU219</f>
        <v>0</v>
      </c>
      <c r="DB219" s="2840">
        <f>E291*E219+F291*F219+G291*G219+H291*H219+I291*I219+J291*J219+K291*K219+L291*L219+M291*M219+N291*N219+O291*O219+P291*P219+Q291*Q219+R291*R219+S291*S219+T291*T219+U291*U219+V291*V219+W291*W219+X291*X219+Y291*Y219+Z291*Z219+AA291*AA219+AB291*AB219+AC291*AC219+AD291*AD219+AE291*AE219+AF291*AF219+AG291*AG219+AH291*AH219+AI291*AI219+AJ291*AJ219+AK291*AK219+AL291*AL219+AM291*AM219+AN291*AN219+AO291*AO219+AP291*AP219+AQ291*AQ219+AR291*AR219+AS291*AS219+AT291*AT219+AU291*AU219+AV291*AV219+AW291*AW219+AX291*AX219+AY291*AY219+AZ291*AZ219+BA291*BA219+BB291*BB219+BC291*BC219+BD291*BD219+BE291*BE219+BF291*BF219+BG291*BG219+BH291*BH219+BI291*BI219+BJ291*BJ219+BK291*BK219+BL291*BL219+BM291*BM219+BN291*BN219+BO291*BO219+BP291*BP219+BQ291*BQ219+BR291*BR219+BS291*BS219+BT291*BT219+BU291*BU219+BV291*BV219+BW291*BW219+BX291*BX219+BY291*BY219+BZ291*BZ219+CA291*CA219+CB291*CB219+CC291*CC219+CD291*CD219+CE291*CE219+CF291*CF219+CG291*CG219+CH291*CH219+CI291*CI219+CJ291*CJ219+CK291*CK219+CL291*CL219+CM291*CM219+CN291*CN219+CO291*CO219+CP291*CP219+CQ291*CQ219+CR291*CR219+CS291*CS219+CT291*CT219+CU291*CU219</f>
        <v>0</v>
      </c>
      <c r="DC219" s="2840">
        <f>E292*E219+F292*F219+G292*G219+H292*H219+I292*I219+J292*J219+K292*K219+L292*L219+M292*M219+N292*N219+O292*O219+P292*P219+Q292*Q219+R292*R219+S292*S219+T292*T219+U292*U219+V292*V219+W292*W219+X292*X219+Y292*Y219+Z292*Z219+AA292*AA219+AB292*AB219+AC292*AC219+AD292*AD219+AE292*AE219+AF292*AF219+AG292*AG219+AH292*AH219+AI292*AI219+AJ292*AJ219+AK292*AK219+AL292*AL219+AM292*AM219+AN292*AN219+AO292*AO219+AP292*AP219+AQ292*AQ219+AR292*AR219+AS292*AS219+AT292*AT219+AU292*AU219+AV292*AV219+AW292*AW219+AX292*AX219+AY292*AY219+AZ292*AZ219+BA292*BA219+BB292*BB219+BC292*BC219+BD292*BD219+BE292*BE219+BF292*BF219+BG292*BG219+BH292*BH219+BI292*BI219+BJ292*BJ219+BK292*BK219+BL292*BL219+BM292*BM219+BN292*BN219+BO292*BO219+BP292*BP219+BQ292*BQ219+BR292*BR219+BS292*BS219+BT292*BT219+BU292*BU219+BV292*BV219+BW292*BW219+BX292*BX219+BY292*BY219+BZ292*BZ219+CA292*CA219+CB292*CB219+CC292*CC219+CD292*CD219+CE292*CE219+CF292*CF219+CG292*CG219+CH292*CH219+CI292*CI219+CJ292*CJ219+CK292*CK219+CL292*CL219+CM292*CM219+CN292*CN219+CO292*CO219+CP292*CP219+CQ292*CQ219+CR292*CR219+CS292*CS219+CT292*CT219+CU292*CU219</f>
        <v>0</v>
      </c>
      <c r="DD219" s="2840">
        <f>E293*E219+F293*F219+G293*G219+H293*H219+I293*I219+J293*J219+K293*K219+L293*L219+M293*M219+N293*N219+O293*O219+P293*P219+Q293*Q219+R293*R219+S293*S219+T293*T219+U293*U219+V293*V219+W293*W219+X293*X219+Y293*Y219+Z293*Z219+AA293*AA219+AB293*AB219+AC293*AC219+AD293*AD219+AE293*AE219+AF293*AF219+AG293*AG219+AH293*AH219+AI293*AI219+AJ293*AJ219+AK293*AK219+AL293*AL219+AM293*AM219+AN293*AN219+AO293*AO219+AP293*AP219+AQ293*AQ219+AR293*AR219+AS293*AS219+AT293*AT219+AU293*AU219+AV293*AV219+AW293*AW219+AX293*AX219+AY293*AY219+AZ293*AZ219+BA293*BA219+BB293*BB219+BC293*BC219+BD293*BD219+BE293*BE219+BF293*BF219+BG293*BG219+BH293*BH219+BI293*BI219+BJ293*BJ219+BK293*BK219+BL293*BL219+BM293*BM219+BN293*BN219+BO293*BO219+BP293*BP219+BQ293*BQ219+BR293*BR219+BS293*BS219+BT293*BT219+BU293*BU219+BV293*BV219+BW293*BW219+BX293*BX219+BY293*BY219+BZ293*BZ219+CA293*CA219+CB293*CB219+CC293*CC219+CD293*CD219+CE293*CE219+CF293*CF219+CG293*CG219+CH293*CH219+CI293*CI219+CJ293*CJ219+CK293*CK219+CL293*CL219+CM293*CM219+CN293*CN219+CO293*CO219+CP293*CP219+CQ293*CQ219+CR293*CR219+CS293*CS219+CT293*CT219+CU293*CU219</f>
        <v>0</v>
      </c>
      <c r="DE219" s="2840">
        <f>E294*E219+F294*F219+G294*G219+H294*H219+I294*I219+J294*J219+K294*K219+L294*L219+M294*M219+N294*N219+O294*O219+P294*P219+Q294*Q219+R294*R219+S294*S219+T294*T219+U294*U219+V294*V219+W294*W219+X294*X219+Y294*Y219+Z294*Z219+AA294*AA219+AB294*AB219+AC294*AC219+AD294*AD219+AE294*AE219+AF294*AF219+AG294*AG219+AH294*AH219+AI294*AI219+AJ294*AJ219+AK294*AK219+AL294*AL219+AM294*AM219+AN294*AN219+AO294*AO219+AP294*AP219+AQ294*AQ219+AR294*AR219+AS294*AS219+AT294*AT219+AU294*AU219+AV294*AV219+AW294*AW219+AX294*AX219+AY294*AY219+AZ294*AZ219+BA294*BA219+BB294*BB219+BC294*BC219+BD294*BD219+BE294*BE219+BF294*BF219+BG294*BG219+BH294*BH219+BI294*BI219+BJ294*BJ219+BK294*BK219+BL294*BL219+BM294*BM219+BN294*BN219+BO294*BO219+BP294*BP219+BQ294*BQ219+BR294*BR219+BS294*BS219+BT294*BT219+BU294*BU219+BV294*BV219+BW294*BW219+BX294*BX219+BY294*BY219+BZ294*BZ219+CA294*CA219+CB294*CB219+CC294*CC219+CD294*CD219+CE294*CE219+CF294*CF219+CG294*CG219+CH294*CH219+CI294*CI219+CJ294*CJ219+CK294*CK219+CL294*CL219+CM294*CM219+CN294*CN219+CO294*CO219+CP294*CP219+CQ294*CQ219+CR294*CR219+CS294*CS219+CT294*CT219+CU294*CU219</f>
        <v>0</v>
      </c>
      <c r="DF219" s="2840">
        <f>E295*E219+F295*F219+G295*G219+H295*H219+I295*I219+J295*J219+K295*K219+L295*L219+M295*M219+N295*N219+O295*O219+P295*P219+Q295*Q219+R295*R219+S295*S219+T295*T219+U295*U219+V295*V219+W295*W219+X295*X219+Y295*Y219+Z295*Z219+AA295*AA219+AB295*AB219+AC295*AC219+AD295*AD219+AE295*AE219+AF295*AF219+AG295*AG219+AH295*AH219+AI295*AI219+AJ295*AJ219+AK295*AK219+AL295*AL219+AM295*AM219+AN295*AN219+AO295*AO219+AP295*AP219+AQ295*AQ219+AR295*AR219+AS295*AS219+AT295*AT219+AU295*AU219+AV295*AV219+AW295*AW219+AX295*AX219+AY295*AY219+AZ295*AZ219+BA295*BA219+BB295*BB219+BC295*BC219+BD295*BD219+BE295*BE219+BF295*BF219+BG295*BG219+BH295*BH219+BI295*BI219+BJ295*BJ219+BK295*BK219+BL295*BL219+BM295*BM219+BN295*BN219+BO295*BO219+BP295*BP219+BQ295*BQ219+BR295*BR219+BS295*BS219+BT295*BT219+BU295*BU219+BV295*BV219+BW295*BW219+BX295*BX219+BY295*BY219+BZ295*BZ219+CA295*CA219+CB295*CB219+CC295*CC219+CD295*CD219+CE295*CE219+CF295*CF219+CG295*CG219+CH295*CH219+CI295*CI219+CJ295*CJ219+CK295*CK219+CL295*CL219+CM295*CM219+CN295*CN219+CO295*CO219+CP295*CP219+CQ295*CQ219+CR295*CR219+CS295*CS219+CT295*CT219+CU295*CU219</f>
        <v>0</v>
      </c>
      <c r="DG219" s="2840">
        <f>E296*E219+F296*F219+G296*G219+H296*H219+I296*I219+J296*J219+K296*K219+L296*L219+M296*M219+N296*N219+O296*O219+P296*P219+Q296*Q219+R296*R219+S296*S219+T296*T219+U296*U219+V296*V219+W296*W219+X296*X219+Y296*Y219+Z296*Z219+AA296*AA219+AB296*AB219+AC296*AC219+AD296*AD219+AE296*AE219+AF296*AF219+AG296*AG219+AH296*AH219+AI296*AI219+AJ296*AJ219+AK296*AK219+AL296*AL219+AM296*AM219+AN296*AN219+AO296*AO219+AP296*AP219+AQ296*AQ219+AR296*AR219+AS296*AS219+AT296*AT219+AU296*AU219+AV296*AV219+AW296*AW219+AX296*AX219+AY296*AY219+AZ296*AZ219+BA296*BA219+BB296*BB219+BC296*BC219+BD296*BD219+BE296*BE219+BF296*BF219+BG296*BG219+BH296*BH219+BI296*BI219+BJ296*BJ219+BK296*BK219+BL296*BL219+BM296*BM219+BN296*BN219+BO296*BO219+BP296*BP219+BQ296*BQ219+BR296*BR219+BS296*BS219+BT296*BT219+BU296*BU219+BV296*BV219+BW296*BW219+BX296*BX219+BY296*BY219+BZ296*BZ219+CA296*CA219+CB296*CB219+CC296*CC219+CD296*CD219+CE296*CE219+CF296*CF219+CG296*CG219+CH296*CH219+CI296*CI219+CJ296*CJ219+CK296*CK219+CL296*CL219+CM296*CM219+CN296*CN219+CO296*CO219+CP296*CP219+CQ296*CQ219+CR296*CR219+CS296*CS219+CT296*CT219+CU296*CU219</f>
        <v>0</v>
      </c>
      <c r="DH219" s="2840">
        <f>E297*E219+F297*F219+G297*G219+H297*H219+I297*I219+J297*J219+K297*K219+L297*L219+M297*M219+N297*N219+O297*O219+P297*P219+Q297*Q219+R297*R219+S297*S219+T297*T219+U297*U219+V297*V219+W297*W219+X297*X219+Y297*Y219+Z297*Z219+AA297*AA219+AB297*AB219+AC297*AC219+AD297*AD219+AE297*AE219+AF297*AF219+AG297*AG219+AH297*AH219+AI297*AI219+AJ297*AJ219+AK297*AK219+AL297*AL219+AM297*AM219+AN297*AN219+AO297*AO219+AP297*AP219+AQ297*AQ219+AR297*AR219+AS297*AS219+AT297*AT219+AU297*AU219+AV297*AV219+AW297*AW219+AX297*AX219+AY297*AY219+AZ297*AZ219+BA297*BA219+BB297*BB219+BC297*BC219+BD297*BD219+BE297*BE219+BF297*BF219+BG297*BG219+BH297*BH219+BI297*BI219+BJ297*BJ219+BK297*BK219+BL297*BL219+BM297*BM219+BN297*BN219+BO297*BO219+BP297*BP219+BQ297*BQ219+BR297*BR219+BS297*BS219+BT297*BT219+BU297*BU219+BV297*BV219+BW297*BW219+BX297*BX219+BY297*BY219+BZ297*BZ219+CA297*CA219+CB297*CB219+CC297*CC219+CD297*CD219+CE297*CE219+CF297*CF219+CG297*CG219+CH297*CH219+CI297*CI219+CJ297*CJ219+CK297*CK219+CL297*CL219+CM297*CM219+CN297*CN219+CO297*CO219+CP297*CP219+CQ297*CQ219+CR297*CR219+CS297*CS219+CT297*CT219+CU297*CU219</f>
        <v>0</v>
      </c>
      <c r="DI219" s="2840">
        <f>E298*E219+F298*F219+G298*G219+H298*H219+I298*I219+J298*J219+K298*K219+L298*L219+M298*M219+N298*N219+O298*O219+P298*P219+Q298*Q219+R298*R219+S298*S219+T298*T219+U298*U219+V298*V219+W298*W219+X298*X219+Y298*Y219+Z298*Z219+AA298*AA219+AB298*AB219+AC298*AC219+AD298*AD219+AE298*AE219+AF298*AF219+AG298*AG219+AH298*AH219+AI298*AI219+AJ298*AJ219+AK298*AK219+AL298*AL219+AM298*AM219+AN298*AN219+AO298*AO219+AP298*AP219+AQ298*AQ219+AR298*AR219+AS298*AS219+AT298*AT219+AU298*AU219+AV298*AV219+AW298*AW219+AX298*AX219+AY298*AY219+AZ298*AZ219+BA298*BA219+BB298*BB219+BC298*BC219+BD298*BD219+BE298*BE219+BF298*BF219+BG298*BG219+BH298*BH219+BI298*BI219+BJ298*BJ219+BK298*BK219+BL298*BL219+BM298*BM219+BN298*BN219+BO298*BO219+BP298*BP219+BQ298*BQ219+BR298*BR219+BS298*BS219+BT298*BT219+BU298*BU219+BV298*BV219+BW298*BW219+BX298*BX219+BY298*BY219+BZ298*BZ219+CA298*CA219+CB298*CB219+CC298*CC219+CD298*CD219+CE298*CE219+CF298*CF219+CG298*CG219+CH298*CH219+CI298*CI219+CJ298*CJ219+CK298*CK219+CL298*CL219+CM298*CM219+CN298*CN219+CO298*CO219+CP298*CP219+CQ298*CQ219+CR298*CR219+CS298*CS219+CT298*CT219+CU298*CU219</f>
        <v>0</v>
      </c>
    </row>
    <row r="220" spans="2:113" ht="18" x14ac:dyDescent="0.35">
      <c r="B220" s="2377">
        <v>67</v>
      </c>
      <c r="C220" s="2378" t="s">
        <v>2418</v>
      </c>
      <c r="D220" s="2376" t="s">
        <v>5262</v>
      </c>
      <c r="E220" s="3124">
        <f>0</f>
        <v>0</v>
      </c>
      <c r="F220" s="3124">
        <f>0</f>
        <v>0</v>
      </c>
      <c r="G220" s="3124">
        <f>0</f>
        <v>0</v>
      </c>
      <c r="H220" s="3124">
        <f>0</f>
        <v>0</v>
      </c>
      <c r="I220" s="3124">
        <f>0</f>
        <v>0</v>
      </c>
      <c r="J220" s="3124">
        <f>0</f>
        <v>0</v>
      </c>
      <c r="K220" s="3124">
        <f>0</f>
        <v>0</v>
      </c>
      <c r="L220" s="3124">
        <f>0</f>
        <v>0</v>
      </c>
      <c r="M220" s="3124">
        <f>0</f>
        <v>0</v>
      </c>
      <c r="N220" s="3124">
        <f>0</f>
        <v>0</v>
      </c>
      <c r="O220" s="3124">
        <f>0</f>
        <v>0</v>
      </c>
      <c r="P220" s="3124">
        <f>0</f>
        <v>0</v>
      </c>
      <c r="Q220" s="3124">
        <f>0</f>
        <v>0</v>
      </c>
      <c r="R220" s="3124">
        <f>0</f>
        <v>0</v>
      </c>
      <c r="S220" s="3124">
        <f>0</f>
        <v>0</v>
      </c>
      <c r="T220" s="3124">
        <f>0</f>
        <v>0</v>
      </c>
      <c r="U220" s="3124">
        <f>0</f>
        <v>0</v>
      </c>
      <c r="V220" s="3124">
        <f>0</f>
        <v>0</v>
      </c>
      <c r="W220" s="3124">
        <f>0</f>
        <v>0</v>
      </c>
      <c r="X220" s="3124">
        <f>0</f>
        <v>0</v>
      </c>
      <c r="Y220" s="3124">
        <f>0</f>
        <v>0</v>
      </c>
      <c r="Z220" s="3124">
        <f>0</f>
        <v>0</v>
      </c>
      <c r="AA220" s="3124">
        <f>0</f>
        <v>0</v>
      </c>
      <c r="AB220" s="3124">
        <f>0</f>
        <v>0</v>
      </c>
      <c r="AC220" s="3124">
        <f>1</f>
        <v>1</v>
      </c>
      <c r="AD220" s="3164">
        <f>-i_N_ALGAE</f>
        <v>-7.0000000000000007E-2</v>
      </c>
      <c r="AE220" s="3124">
        <f>0</f>
        <v>0</v>
      </c>
      <c r="AF220" s="3124">
        <f>0</f>
        <v>0</v>
      </c>
      <c r="AG220" s="3124">
        <f>0</f>
        <v>0</v>
      </c>
      <c r="AH220" s="3124">
        <f>0</f>
        <v>0</v>
      </c>
      <c r="AI220" s="3124">
        <f>0</f>
        <v>0</v>
      </c>
      <c r="AJ220" s="3124">
        <f>0</f>
        <v>0</v>
      </c>
      <c r="AK220" s="3124">
        <f>0</f>
        <v>0</v>
      </c>
      <c r="AL220" s="3164">
        <f>-i_P_ALGAE</f>
        <v>-0.02</v>
      </c>
      <c r="AM220" s="3124">
        <f>0</f>
        <v>0</v>
      </c>
      <c r="AN220" s="3124">
        <f>0</f>
        <v>0</v>
      </c>
      <c r="AO220" s="3124">
        <f>0</f>
        <v>0</v>
      </c>
      <c r="AP220" s="3124">
        <f>0</f>
        <v>0</v>
      </c>
      <c r="AQ220" s="3124">
        <f>0</f>
        <v>0</v>
      </c>
      <c r="AR220" s="3124">
        <f>1</f>
        <v>1</v>
      </c>
      <c r="AS220" s="3124">
        <f>0</f>
        <v>0</v>
      </c>
      <c r="AT220" s="3124">
        <f>0</f>
        <v>0</v>
      </c>
      <c r="AU220" s="3181">
        <f>-i_CIT_ALGAE</f>
        <v>-0.375</v>
      </c>
      <c r="AV220" s="3124">
        <f>i_INORG</f>
        <v>0.11</v>
      </c>
      <c r="AW220" s="3189">
        <f>-i_INORG*(1-i_Ca_INORG*(A_MCa+2*A_MCl)/A_MCa-i_Mg_INORG*(A_MMg+2*A_MCl)/A_MMg)*f_Na</f>
        <v>-2.8804303582798466E-2</v>
      </c>
      <c r="AX220" s="3189">
        <f>-i_INORG*(i_Ca_INORG*(2*A_MCl)/A_MCa+i_Mg_INORG*(2*A_MCl)/A_MMg)-i_INORG*(1-i_Ca_INORG*(A_MCa+2*A_MCl)/A_MCa-i_Mg_INORG*(A_MMg+2*A_MCl)/A_MMg)*(1-f_Na)</f>
        <v>-7.0195696417201539E-2</v>
      </c>
      <c r="AY220" s="3189">
        <f>-i_INORG*i_Ca_INORG</f>
        <v>-5.5000000000000005E-3</v>
      </c>
      <c r="AZ220" s="3189">
        <f>-i_INORG*i_Mg_INORG</f>
        <v>-5.5000000000000005E-3</v>
      </c>
      <c r="BA220" s="3124">
        <f>0</f>
        <v>0</v>
      </c>
      <c r="BB220" s="3124">
        <f>0</f>
        <v>0</v>
      </c>
      <c r="BC220" s="3189">
        <f>-i_S_ALGAE</f>
        <v>-0.01</v>
      </c>
      <c r="BD220" s="3124">
        <f>0</f>
        <v>0</v>
      </c>
      <c r="BE220" s="3124">
        <f>0</f>
        <v>0</v>
      </c>
      <c r="BF220" s="3124">
        <f>0</f>
        <v>0</v>
      </c>
      <c r="BG220" s="3124">
        <f>0</f>
        <v>0</v>
      </c>
      <c r="BH220" s="3124">
        <f>0</f>
        <v>0</v>
      </c>
      <c r="BI220" s="3124">
        <f>0</f>
        <v>0</v>
      </c>
      <c r="BJ220" s="3124">
        <f>0</f>
        <v>0</v>
      </c>
      <c r="BK220" s="3124">
        <f>0</f>
        <v>0</v>
      </c>
      <c r="BL220" s="3124">
        <f>0</f>
        <v>0</v>
      </c>
      <c r="BM220" s="3124">
        <f>0</f>
        <v>0</v>
      </c>
      <c r="BN220" s="3124">
        <f>0</f>
        <v>0</v>
      </c>
      <c r="BO220" s="3124">
        <f>0</f>
        <v>0</v>
      </c>
      <c r="BP220" s="3124">
        <f>0</f>
        <v>0</v>
      </c>
      <c r="BQ220" s="3124">
        <f>0</f>
        <v>0</v>
      </c>
      <c r="BR220" s="3124">
        <f>0</f>
        <v>0</v>
      </c>
      <c r="BS220" s="3124">
        <f>0</f>
        <v>0</v>
      </c>
      <c r="BT220" s="3124">
        <f>0</f>
        <v>0</v>
      </c>
      <c r="BU220" s="3124">
        <f>0</f>
        <v>0</v>
      </c>
      <c r="BV220" s="3124">
        <f>0</f>
        <v>0</v>
      </c>
      <c r="BW220" s="3124">
        <f>0</f>
        <v>0</v>
      </c>
      <c r="BX220" s="3124">
        <f>0</f>
        <v>0</v>
      </c>
      <c r="BY220" s="3124">
        <f>0</f>
        <v>0</v>
      </c>
      <c r="BZ220" s="3185">
        <f>0</f>
        <v>0</v>
      </c>
      <c r="CA220" s="3185">
        <f>0</f>
        <v>0</v>
      </c>
      <c r="CB220" s="3185">
        <f>0</f>
        <v>0</v>
      </c>
      <c r="CC220" s="3185">
        <f>0</f>
        <v>0</v>
      </c>
      <c r="CD220" s="3124">
        <f>0</f>
        <v>0</v>
      </c>
      <c r="CE220" s="3124">
        <f>0</f>
        <v>0</v>
      </c>
      <c r="CF220" s="3124">
        <f>0</f>
        <v>0</v>
      </c>
      <c r="CG220" s="3124">
        <f>0</f>
        <v>0</v>
      </c>
      <c r="CH220" s="3124">
        <f>0</f>
        <v>0</v>
      </c>
      <c r="CI220" s="3124">
        <f>0</f>
        <v>0</v>
      </c>
      <c r="CJ220" s="3124">
        <f>0</f>
        <v>0</v>
      </c>
      <c r="CK220" s="3124">
        <f>0</f>
        <v>0</v>
      </c>
      <c r="CL220" s="3124">
        <f>0</f>
        <v>0</v>
      </c>
      <c r="CM220" s="3124">
        <f>0</f>
        <v>0</v>
      </c>
      <c r="CN220" s="3124">
        <f>0</f>
        <v>0</v>
      </c>
      <c r="CO220" s="3124">
        <f>0</f>
        <v>0</v>
      </c>
      <c r="CP220" s="3124">
        <f>0</f>
        <v>0</v>
      </c>
      <c r="CQ220" s="3124">
        <f>0</f>
        <v>0</v>
      </c>
      <c r="CR220" s="3124">
        <f>0</f>
        <v>0</v>
      </c>
      <c r="CS220" s="3124">
        <f>0</f>
        <v>0</v>
      </c>
      <c r="CT220" s="3124">
        <f>0</f>
        <v>0</v>
      </c>
      <c r="CU220" s="3124">
        <f>0</f>
        <v>0</v>
      </c>
      <c r="CV220" s="3230">
        <f>µ_ALGAE_T*X_ALGAE*M_satSNHx_KNHx_ALGAE*M_satSPO4_KPO4_BIO*M_satSCO2_KCO2_ALGAE*L_ightSwitch</f>
        <v>0</v>
      </c>
      <c r="CX220" s="2838">
        <f>E287*E220+F287*F220+G287*G220+H287*H220+I287*I220+J287*J220+K287*K220+L287*L220+M287*M220+N287*N220+O287*O220+P287*P220+Q287*Q220+R287*R220+S287*S220+T287*T220+U287*U220+V287*V220+W287*W220+X287*X220+Y287*Y220+Z287*Z220+AA287*AA220+AB287*AB220+AC287*AC220+AD287*AD220+AE287*AE220+AF287*AF220+AG287*AG220+AH287*AH220+AI287*AI220+AJ287*AJ220+AK287*AK220+AL287*AL220+AM287*AM220+AN287*AN220+AO287*AO220+AP287*AP220+AQ287*AQ220+AR287*AR220+AS287*AS220+AT287*AT220+AU287*AU220+AV287*AV220+AW287*AW220+AX287*AX220+AY287*AY220+AZ287*AZ220+BA287*BA220+BB287*BB220+BC287*BC220+BD287*BD220+BE287*BE220+BF287*BF220+BG287*BG220+BH287*BH220+BI287*BI220+BJ287*BJ220+BK287*BK220+BL287*BL220+BM287*BM220+BN287*BN220+BO287*BO220+BP287*BP220+BQ287*BQ220+BR287*BR220+BS287*BS220+BT287*BT220+BU287*BU220+BV287*BV220+BW287*BW220+BX287*BX220+BY287*BY220+BZ287*BZ220+CA287*CA220+CB287*CB220+CC287*CC220+CD287*CD220+CE287*CE220+CF287*CF220+CG287*CG220+CH287*CH220+CI287*CI220+CJ287*CJ220+CK287*CK220+CL287*CL220+CM287*CM220+CN287*CN220+CO287*CO220+CP287*CP220+CQ287*CQ220+CR287*CR220+CS287*CS220+CT287*CT220+CU287*CU220</f>
        <v>0</v>
      </c>
      <c r="CY220" s="2838">
        <f>E288*E220+F288*F220+G288*G220+H288*H220+I288*I220+J288*J220+K288*K220+L288*L220+M288*M220+N288*N220+O288*O220+P288*P220+Q288*Q220+R288*R220+S288*S220+T288*T220+U288*U220+V288*V220+W288*W220+X288*X220+Y288*Y220+Z288*Z220+AA288*AA220+AB288*AB220+AC288*AC220+AD288*AD220+AE288*AE220+AF288*AF220+AG288*AG220+AH288*AH220+AI288*AI220+AJ288*AJ220+AK288*AK220+AL288*AL220+AM288*AM220+AN288*AN220+AO288*AO220+AP288*AP220+AQ288*AQ220+AR288*AR220+AS288*AS220+AT288*AT220+AU288*AU220+AV288*AV220+AW288*AW220+AX288*AX220+AY288*AY220+AZ288*AZ220+BA288*BA220+BB288*BB220+BC288*BC220+BD288*BD220+BE288*BE220+BF288*BF220+BG288*BG220+BH288*BH220+BI288*BI220+BJ288*BJ220+BK288*BK220+BL288*BL220+BM288*BM220+BN288*BN220+BO288*BO220+BP288*BP220+BQ288*BQ220+BR288*BR220+BS288*BS220+BT288*BT220+BU288*BU220+BV288*BV220+BW288*BW220+BX288*BX220+BY288*BY220+BZ288*BZ220+CA288*CA220+CB288*CB220+CC288*CC220+CD288*CD220+CE288*CE220+CF288*CF220+CG288*CG220+CH288*CH220+CI288*CI220+CJ288*CJ220+CK288*CK220+CL288*CL220+CM288*CM220+CN288*CN220+CO288*CO220+CP288*CP220+CQ288*CQ220+CR288*CR220+CS288*CS220+CT288*CT220+CU288*CU220</f>
        <v>0</v>
      </c>
      <c r="CZ220" s="2839">
        <f>E289*E220+F289*F220+G289*G220+H289*H220+I289*I220+J289*J220+K289*K220+L289*L220+M289*M220+N289*N220+O289*O220+P289*P220+Q289*Q220+R289*R220+S289*S220+T289*T220+U289*U220+V289*V220+W289*W220+X289*X220+Y289*Y220+Z289*Z220+AA289*AA220+AB289*AB220+AC289*AC220+AD289*AD220+AE289*AE220+AF289*AF220+AG289*AG220+AH289*AH220+AI289*AI220+AJ289*AJ220+AK289*AK220+AL289*AL220+AM289*AM220+AN289*AN220+AO289*AO220+AP289*AP220+AQ289*AQ220+AR289*AR220+AS289*AS220+AT289*AT220+AU289*AU220+AV289*AV220+AW289*AW220+AX289*AX220+AY289*AY220+AZ289*AZ220+BA289*BA220+BB289*BB220+BC289*BC220+BD289*BD220+BE289*BE220+BF289*BF220+BG289*BG220+BH289*BH220+BI289*BI220+BJ289*BJ220+BK289*BK220+BL289*BL220+BM289*BM220+BN289*BN220+BO289*BO220+BP289*BP220+BQ289*BQ220+BR289*BR220+BS289*BS220+BT289*BT220+BU289*BU220+BV289*BV220+BW289*BW220+BX289*BX220+BY289*BY220+BZ289*BZ220+CA289*CA220+CB289*CB220+CC289*CC220+CD289*CD220+CE289*CE220+CF289*CF220+CG289*CG220+CH289*CH220+CI289*CI220+CJ289*CJ220+CK289*CK220+CL289*CL220+CM289*CM220+CN289*CN220+CO289*CO220+CP289*CP220+CQ289*CQ220+CR289*CR220+CS289*CS220+CT289*CT220+CU289*CU220</f>
        <v>0</v>
      </c>
      <c r="DA220" s="2840">
        <f>E290*E220+F290*F220+G290*G220+H290*H220+I290*I220+J290*J220+K290*K220+L290*L220+M290*M220+N290*N220+O290*O220+P290*P220+Q290*Q220+R290*R220+S290*S220+T290*T220+U290*U220+V290*V220+W290*W220+X290*X220+Y290*Y220+Z290*Z220+AA290*AA220+AB290*AB220+AC290*AC220+AD290*AD220+AE290*AE220+AF290*AF220+AG290*AG220+AH290*AH220+AI290*AI220+AJ290*AJ220+AK290*AK220+AL290*AL220+AM290*AM220+AN290*AN220+AO290*AO220+AP290*AP220+AQ290*AQ220+AR290*AR220+AS290*AS220+AT290*AT220+AU290*AU220+AV290*AV220+AW290*AW220+AX290*AX220+AY290*AY220+AZ290*AZ220+BA290*BA220+BB290*BB220+BC290*BC220+BD290*BD220+BE290*BE220+BF290*BF220+BG290*BG220+BH290*BH220+BI290*BI220+BJ290*BJ220+BK290*BK220+BL290*BL220+BM290*BM220+BN290*BN220+BO290*BO220+BP290*BP220+BQ290*BQ220+BR290*BR220+BS290*BS220+BT290*BT220+BU290*BU220+BV290*BV220+BW290*BW220+BX290*BX220+BY290*BY220+BZ290*BZ220+CA290*CA220+CB290*CB220+CC290*CC220+CD290*CD220+CE290*CE220+CF290*CF220+CG290*CG220+CH290*CH220+CI290*CI220+CJ290*CJ220+CK290*CK220+CL290*CL220+CM290*CM220+CN290*CN220+CO290*CO220+CP290*CP220+CQ290*CQ220+CR290*CR220+CS290*CS220+CT290*CT220+CU290*CU220</f>
        <v>0</v>
      </c>
      <c r="DB220" s="2840">
        <f>E291*E220+F291*F220+G291*G220+H291*H220+I291*I220+J291*J220+K291*K220+L291*L220+M291*M220+N291*N220+O291*O220+P291*P220+Q291*Q220+R291*R220+S291*S220+T291*T220+U291*U220+V291*V220+W291*W220+X291*X220+Y291*Y220+Z291*Z220+AA291*AA220+AB291*AB220+AC291*AC220+AD291*AD220+AE291*AE220+AF291*AF220+AG291*AG220+AH291*AH220+AI291*AI220+AJ291*AJ220+AK291*AK220+AL291*AL220+AM291*AM220+AN291*AN220+AO291*AO220+AP291*AP220+AQ291*AQ220+AR291*AR220+AS291*AS220+AT291*AT220+AU291*AU220+AV291*AV220+AW291*AW220+AX291*AX220+AY291*AY220+AZ291*AZ220+BA291*BA220+BB291*BB220+BC291*BC220+BD291*BD220+BE291*BE220+BF291*BF220+BG291*BG220+BH291*BH220+BI291*BI220+BJ291*BJ220+BK291*BK220+BL291*BL220+BM291*BM220+BN291*BN220+BO291*BO220+BP291*BP220+BQ291*BQ220+BR291*BR220+BS291*BS220+BT291*BT220+BU291*BU220+BV291*BV220+BW291*BW220+BX291*BX220+BY291*BY220+BZ291*BZ220+CA291*CA220+CB291*CB220+CC291*CC220+CD291*CD220+CE291*CE220+CF291*CF220+CG291*CG220+CH291*CH220+CI291*CI220+CJ291*CJ220+CK291*CK220+CL291*CL220+CM291*CM220+CN291*CN220+CO291*CO220+CP291*CP220+CQ291*CQ220+CR291*CR220+CS291*CS220+CT291*CT220+CU291*CU220</f>
        <v>0</v>
      </c>
      <c r="DC220" s="2840">
        <f>E292*E220+F292*F220+G292*G220+H292*H220+I292*I220+J292*J220+K292*K220+L292*L220+M292*M220+N292*N220+O292*O220+P292*P220+Q292*Q220+R292*R220+S292*S220+T292*T220+U292*U220+V292*V220+W292*W220+X292*X220+Y292*Y220+Z292*Z220+AA292*AA220+AB292*AB220+AC292*AC220+AD292*AD220+AE292*AE220+AF292*AF220+AG292*AG220+AH292*AH220+AI292*AI220+AJ292*AJ220+AK292*AK220+AL292*AL220+AM292*AM220+AN292*AN220+AO292*AO220+AP292*AP220+AQ292*AQ220+AR292*AR220+AS292*AS220+AT292*AT220+AU292*AU220+AV292*AV220+AW292*AW220+AX292*AX220+AY292*AY220+AZ292*AZ220+BA292*BA220+BB292*BB220+BC292*BC220+BD292*BD220+BE292*BE220+BF292*BF220+BG292*BG220+BH292*BH220+BI292*BI220+BJ292*BJ220+BK292*BK220+BL292*BL220+BM292*BM220+BN292*BN220+BO292*BO220+BP292*BP220+BQ292*BQ220+BR292*BR220+BS292*BS220+BT292*BT220+BU292*BU220+BV292*BV220+BW292*BW220+BX292*BX220+BY292*BY220+BZ292*BZ220+CA292*CA220+CB292*CB220+CC292*CC220+CD292*CD220+CE292*CE220+CF292*CF220+CG292*CG220+CH292*CH220+CI292*CI220+CJ292*CJ220+CK292*CK220+CL292*CL220+CM292*CM220+CN292*CN220+CO292*CO220+CP292*CP220+CQ292*CQ220+CR292*CR220+CS292*CS220+CT292*CT220+CU292*CU220</f>
        <v>0</v>
      </c>
      <c r="DD220" s="2840">
        <f>E293*E220+F293*F220+G293*G220+H293*H220+I293*I220+J293*J220+K293*K220+L293*L220+M293*M220+N293*N220+O293*O220+P293*P220+Q293*Q220+R293*R220+S293*S220+T293*T220+U293*U220+V293*V220+W293*W220+X293*X220+Y293*Y220+Z293*Z220+AA293*AA220+AB293*AB220+AC293*AC220+AD293*AD220+AE293*AE220+AF293*AF220+AG293*AG220+AH293*AH220+AI293*AI220+AJ293*AJ220+AK293*AK220+AL293*AL220+AM293*AM220+AN293*AN220+AO293*AO220+AP293*AP220+AQ293*AQ220+AR293*AR220+AS293*AS220+AT293*AT220+AU293*AU220+AV293*AV220+AW293*AW220+AX293*AX220+AY293*AY220+AZ293*AZ220+BA293*BA220+BB293*BB220+BC293*BC220+BD293*BD220+BE293*BE220+BF293*BF220+BG293*BG220+BH293*BH220+BI293*BI220+BJ293*BJ220+BK293*BK220+BL293*BL220+BM293*BM220+BN293*BN220+BO293*BO220+BP293*BP220+BQ293*BQ220+BR293*BR220+BS293*BS220+BT293*BT220+BU293*BU220+BV293*BV220+BW293*BW220+BX293*BX220+BY293*BY220+BZ293*BZ220+CA293*CA220+CB293*CB220+CC293*CC220+CD293*CD220+CE293*CE220+CF293*CF220+CG293*CG220+CH293*CH220+CI293*CI220+CJ293*CJ220+CK293*CK220+CL293*CL220+CM293*CM220+CN293*CN220+CO293*CO220+CP293*CP220+CQ293*CQ220+CR293*CR220+CS293*CS220+CT293*CT220+CU293*CU220</f>
        <v>0</v>
      </c>
      <c r="DE220" s="2840">
        <f>E294*E220+F294*F220+G294*G220+H294*H220+I294*I220+J294*J220+K294*K220+L294*L220+M294*M220+N294*N220+O294*O220+P294*P220+Q294*Q220+R294*R220+S294*S220+T294*T220+U294*U220+V294*V220+W294*W220+X294*X220+Y294*Y220+Z294*Z220+AA294*AA220+AB294*AB220+AC294*AC220+AD294*AD220+AE294*AE220+AF294*AF220+AG294*AG220+AH294*AH220+AI294*AI220+AJ294*AJ220+AK294*AK220+AL294*AL220+AM294*AM220+AN294*AN220+AO294*AO220+AP294*AP220+AQ294*AQ220+AR294*AR220+AS294*AS220+AT294*AT220+AU294*AU220+AV294*AV220+AW294*AW220+AX294*AX220+AY294*AY220+AZ294*AZ220+BA294*BA220+BB294*BB220+BC294*BC220+BD294*BD220+BE294*BE220+BF294*BF220+BG294*BG220+BH294*BH220+BI294*BI220+BJ294*BJ220+BK294*BK220+BL294*BL220+BM294*BM220+BN294*BN220+BO294*BO220+BP294*BP220+BQ294*BQ220+BR294*BR220+BS294*BS220+BT294*BT220+BU294*BU220+BV294*BV220+BW294*BW220+BX294*BX220+BY294*BY220+BZ294*BZ220+CA294*CA220+CB294*CB220+CC294*CC220+CD294*CD220+CE294*CE220+CF294*CF220+CG294*CG220+CH294*CH220+CI294*CI220+CJ294*CJ220+CK294*CK220+CL294*CL220+CM294*CM220+CN294*CN220+CO294*CO220+CP294*CP220+CQ294*CQ220+CR294*CR220+CS294*CS220+CT294*CT220+CU294*CU220</f>
        <v>0</v>
      </c>
      <c r="DF220" s="2840">
        <f>E295*E220+F295*F220+G295*G220+H295*H220+I295*I220+J295*J220+K295*K220+L295*L220+M295*M220+N295*N220+O295*O220+P295*P220+Q295*Q220+R295*R220+S295*S220+T295*T220+U295*U220+V295*V220+W295*W220+X295*X220+Y295*Y220+Z295*Z220+AA295*AA220+AB295*AB220+AC295*AC220+AD295*AD220+AE295*AE220+AF295*AF220+AG295*AG220+AH295*AH220+AI295*AI220+AJ295*AJ220+AK295*AK220+AL295*AL220+AM295*AM220+AN295*AN220+AO295*AO220+AP295*AP220+AQ295*AQ220+AR295*AR220+AS295*AS220+AT295*AT220+AU295*AU220+AV295*AV220+AW295*AW220+AX295*AX220+AY295*AY220+AZ295*AZ220+BA295*BA220+BB295*BB220+BC295*BC220+BD295*BD220+BE295*BE220+BF295*BF220+BG295*BG220+BH295*BH220+BI295*BI220+BJ295*BJ220+BK295*BK220+BL295*BL220+BM295*BM220+BN295*BN220+BO295*BO220+BP295*BP220+BQ295*BQ220+BR295*BR220+BS295*BS220+BT295*BT220+BU295*BU220+BV295*BV220+BW295*BW220+BX295*BX220+BY295*BY220+BZ295*BZ220+CA295*CA220+CB295*CB220+CC295*CC220+CD295*CD220+CE295*CE220+CF295*CF220+CG295*CG220+CH295*CH220+CI295*CI220+CJ295*CJ220+CK295*CK220+CL295*CL220+CM295*CM220+CN295*CN220+CO295*CO220+CP295*CP220+CQ295*CQ220+CR295*CR220+CS295*CS220+CT295*CT220+CU295*CU220</f>
        <v>0</v>
      </c>
      <c r="DG220" s="2840">
        <f>E296*E220+F296*F220+G296*G220+H296*H220+I296*I220+J296*J220+K296*K220+L296*L220+M296*M220+N296*N220+O296*O220+P296*P220+Q296*Q220+R296*R220+S296*S220+T296*T220+U296*U220+V296*V220+W296*W220+X296*X220+Y296*Y220+Z296*Z220+AA296*AA220+AB296*AB220+AC296*AC220+AD296*AD220+AE296*AE220+AF296*AF220+AG296*AG220+AH296*AH220+AI296*AI220+AJ296*AJ220+AK296*AK220+AL296*AL220+AM296*AM220+AN296*AN220+AO296*AO220+AP296*AP220+AQ296*AQ220+AR296*AR220+AS296*AS220+AT296*AT220+AU296*AU220+AV296*AV220+AW296*AW220+AX296*AX220+AY296*AY220+AZ296*AZ220+BA296*BA220+BB296*BB220+BC296*BC220+BD296*BD220+BE296*BE220+BF296*BF220+BG296*BG220+BH296*BH220+BI296*BI220+BJ296*BJ220+BK296*BK220+BL296*BL220+BM296*BM220+BN296*BN220+BO296*BO220+BP296*BP220+BQ296*BQ220+BR296*BR220+BS296*BS220+BT296*BT220+BU296*BU220+BV296*BV220+BW296*BW220+BX296*BX220+BY296*BY220+BZ296*BZ220+CA296*CA220+CB296*CB220+CC296*CC220+CD296*CD220+CE296*CE220+CF296*CF220+CG296*CG220+CH296*CH220+CI296*CI220+CJ296*CJ220+CK296*CK220+CL296*CL220+CM296*CM220+CN296*CN220+CO296*CO220+CP296*CP220+CQ296*CQ220+CR296*CR220+CS296*CS220+CT296*CT220+CU296*CU220</f>
        <v>0</v>
      </c>
      <c r="DH220" s="2840">
        <f>E297*E220+F297*F220+G297*G220+H297*H220+I297*I220+J297*J220+K297*K220+L297*L220+M297*M220+N297*N220+O297*O220+P297*P220+Q297*Q220+R297*R220+S297*S220+T297*T220+U297*U220+V297*V220+W297*W220+X297*X220+Y297*Y220+Z297*Z220+AA297*AA220+AB297*AB220+AC297*AC220+AD297*AD220+AE297*AE220+AF297*AF220+AG297*AG220+AH297*AH220+AI297*AI220+AJ297*AJ220+AK297*AK220+AL297*AL220+AM297*AM220+AN297*AN220+AO297*AO220+AP297*AP220+AQ297*AQ220+AR297*AR220+AS297*AS220+AT297*AT220+AU297*AU220+AV297*AV220+AW297*AW220+AX297*AX220+AY297*AY220+AZ297*AZ220+BA297*BA220+BB297*BB220+BC297*BC220+BD297*BD220+BE297*BE220+BF297*BF220+BG297*BG220+BH297*BH220+BI297*BI220+BJ297*BJ220+BK297*BK220+BL297*BL220+BM297*BM220+BN297*BN220+BO297*BO220+BP297*BP220+BQ297*BQ220+BR297*BR220+BS297*BS220+BT297*BT220+BU297*BU220+BV297*BV220+BW297*BW220+BX297*BX220+BY297*BY220+BZ297*BZ220+CA297*CA220+CB297*CB220+CC297*CC220+CD297*CD220+CE297*CE220+CF297*CF220+CG297*CG220+CH297*CH220+CI297*CI220+CJ297*CJ220+CK297*CK220+CL297*CL220+CM297*CM220+CN297*CN220+CO297*CO220+CP297*CP220+CQ297*CQ220+CR297*CR220+CS297*CS220+CT297*CT220+CU297*CU220</f>
        <v>0</v>
      </c>
      <c r="DI220" s="2840">
        <f>E298*E220+F298*F220+G298*G220+H298*H220+I298*I220+J298*J220+K298*K220+L298*L220+M298*M220+N298*N220+O298*O220+P298*P220+Q298*Q220+R298*R220+S298*S220+T298*T220+U298*U220+V298*V220+W298*W220+X298*X220+Y298*Y220+Z298*Z220+AA298*AA220+AB298*AB220+AC298*AC220+AD298*AD220+AE298*AE220+AF298*AF220+AG298*AG220+AH298*AH220+AI298*AI220+AJ298*AJ220+AK298*AK220+AL298*AL220+AM298*AM220+AN298*AN220+AO298*AO220+AP298*AP220+AQ298*AQ220+AR298*AR220+AS298*AS220+AT298*AT220+AU298*AU220+AV298*AV220+AW298*AW220+AX298*AX220+AY298*AY220+AZ298*AZ220+BA298*BA220+BB298*BB220+BC298*BC220+BD298*BD220+BE298*BE220+BF298*BF220+BG298*BG220+BH298*BH220+BI298*BI220+BJ298*BJ220+BK298*BK220+BL298*BL220+BM298*BM220+BN298*BN220+BO298*BO220+BP298*BP220+BQ298*BQ220+BR298*BR220+BS298*BS220+BT298*BT220+BU298*BU220+BV298*BV220+BW298*BW220+BX298*BX220+BY298*BY220+BZ298*BZ220+CA298*CA220+CB298*CB220+CC298*CC220+CD298*CD220+CE298*CE220+CF298*CF220+CG298*CG220+CH298*CH220+CI298*CI220+CJ298*CJ220+CK298*CK220+CL298*CL220+CM298*CM220+CN298*CN220+CO298*CO220+CP298*CP220+CQ298*CQ220+CR298*CR220+CS298*CS220+CT298*CT220+CU298*CU220</f>
        <v>0</v>
      </c>
    </row>
    <row r="221" spans="2:113" ht="18" x14ac:dyDescent="0.35">
      <c r="B221" s="2377">
        <v>68</v>
      </c>
      <c r="C221" s="2378" t="s">
        <v>2419</v>
      </c>
      <c r="D221" s="2376" t="s">
        <v>5263</v>
      </c>
      <c r="E221" s="3124">
        <f>0</f>
        <v>0</v>
      </c>
      <c r="F221" s="3124">
        <f>0</f>
        <v>0</v>
      </c>
      <c r="G221" s="3124">
        <f>0</f>
        <v>0</v>
      </c>
      <c r="H221" s="3124">
        <f>0</f>
        <v>0</v>
      </c>
      <c r="I221" s="3124">
        <f>0</f>
        <v>0</v>
      </c>
      <c r="J221" s="3124">
        <f>0</f>
        <v>0</v>
      </c>
      <c r="K221" s="3124">
        <f>0</f>
        <v>0</v>
      </c>
      <c r="L221" s="3124">
        <f>0</f>
        <v>0</v>
      </c>
      <c r="M221" s="3124">
        <f>0</f>
        <v>0</v>
      </c>
      <c r="N221" s="3124">
        <f>0</f>
        <v>0</v>
      </c>
      <c r="O221" s="3124">
        <f>0</f>
        <v>0</v>
      </c>
      <c r="P221" s="3124">
        <f>0</f>
        <v>0</v>
      </c>
      <c r="Q221" s="3124">
        <f>0</f>
        <v>0</v>
      </c>
      <c r="R221" s="3124">
        <f>0</f>
        <v>0</v>
      </c>
      <c r="S221" s="3124">
        <f>0</f>
        <v>0</v>
      </c>
      <c r="T221" s="3124">
        <f>0</f>
        <v>0</v>
      </c>
      <c r="U221" s="3124">
        <f>0</f>
        <v>0</v>
      </c>
      <c r="V221" s="3124">
        <f>0</f>
        <v>0</v>
      </c>
      <c r="W221" s="3124">
        <f>0</f>
        <v>0</v>
      </c>
      <c r="X221" s="3124">
        <f>0</f>
        <v>0</v>
      </c>
      <c r="Y221" s="3124">
        <f>0</f>
        <v>0</v>
      </c>
      <c r="Z221" s="3124">
        <f>0</f>
        <v>0</v>
      </c>
      <c r="AA221" s="3124">
        <f>0</f>
        <v>0</v>
      </c>
      <c r="AB221" s="3124">
        <f>0</f>
        <v>0</v>
      </c>
      <c r="AC221" s="3124">
        <f>-1</f>
        <v>-1</v>
      </c>
      <c r="AD221" s="3164">
        <f>i_N_ALGAE</f>
        <v>7.0000000000000007E-2</v>
      </c>
      <c r="AE221" s="3124">
        <f>0</f>
        <v>0</v>
      </c>
      <c r="AF221" s="3124">
        <f>0</f>
        <v>0</v>
      </c>
      <c r="AG221" s="3124">
        <f>0</f>
        <v>0</v>
      </c>
      <c r="AH221" s="3124">
        <f>0</f>
        <v>0</v>
      </c>
      <c r="AI221" s="3124">
        <f>0</f>
        <v>0</v>
      </c>
      <c r="AJ221" s="3124">
        <f>0</f>
        <v>0</v>
      </c>
      <c r="AK221" s="3124">
        <f>0</f>
        <v>0</v>
      </c>
      <c r="AL221" s="3164">
        <f>i_P_ALGAE</f>
        <v>0.02</v>
      </c>
      <c r="AM221" s="3124">
        <f>0</f>
        <v>0</v>
      </c>
      <c r="AN221" s="3124">
        <f>0</f>
        <v>0</v>
      </c>
      <c r="AO221" s="3124">
        <f>0</f>
        <v>0</v>
      </c>
      <c r="AP221" s="3124">
        <f>0</f>
        <v>0</v>
      </c>
      <c r="AQ221" s="3124">
        <f>0</f>
        <v>0</v>
      </c>
      <c r="AR221" s="3124">
        <f>-1</f>
        <v>-1</v>
      </c>
      <c r="AS221" s="3124">
        <f>0</f>
        <v>0</v>
      </c>
      <c r="AT221" s="3124">
        <f>0</f>
        <v>0</v>
      </c>
      <c r="AU221" s="3182">
        <f>i_CIT_ALGAE</f>
        <v>0.375</v>
      </c>
      <c r="AV221" s="3185">
        <f>0</f>
        <v>0</v>
      </c>
      <c r="AW221" s="3190">
        <f>0</f>
        <v>0</v>
      </c>
      <c r="AX221" s="3190">
        <f>0</f>
        <v>0</v>
      </c>
      <c r="AY221" s="3190">
        <f>0</f>
        <v>0</v>
      </c>
      <c r="AZ221" s="3190">
        <f>0</f>
        <v>0</v>
      </c>
      <c r="BA221" s="3124">
        <f>0</f>
        <v>0</v>
      </c>
      <c r="BB221" s="3124">
        <f>0</f>
        <v>0</v>
      </c>
      <c r="BC221" s="3189">
        <f>i_S_ALGAE</f>
        <v>0.01</v>
      </c>
      <c r="BD221" s="3124">
        <f>0</f>
        <v>0</v>
      </c>
      <c r="BE221" s="3124">
        <f>0</f>
        <v>0</v>
      </c>
      <c r="BF221" s="3124">
        <f>0</f>
        <v>0</v>
      </c>
      <c r="BG221" s="3124">
        <f>0</f>
        <v>0</v>
      </c>
      <c r="BH221" s="3124">
        <f>0</f>
        <v>0</v>
      </c>
      <c r="BI221" s="3124">
        <f>0</f>
        <v>0</v>
      </c>
      <c r="BJ221" s="3124">
        <f>0</f>
        <v>0</v>
      </c>
      <c r="BK221" s="3124">
        <f>0</f>
        <v>0</v>
      </c>
      <c r="BL221" s="3124">
        <f>0</f>
        <v>0</v>
      </c>
      <c r="BM221" s="3124">
        <f>0</f>
        <v>0</v>
      </c>
      <c r="BN221" s="3124">
        <f>0</f>
        <v>0</v>
      </c>
      <c r="BO221" s="3124">
        <f>0</f>
        <v>0</v>
      </c>
      <c r="BP221" s="3124">
        <f>0</f>
        <v>0</v>
      </c>
      <c r="BQ221" s="3124">
        <f>0</f>
        <v>0</v>
      </c>
      <c r="BR221" s="3124">
        <f>0</f>
        <v>0</v>
      </c>
      <c r="BS221" s="3124">
        <f>0</f>
        <v>0</v>
      </c>
      <c r="BT221" s="3124">
        <f>0</f>
        <v>0</v>
      </c>
      <c r="BU221" s="3124">
        <f>0</f>
        <v>0</v>
      </c>
      <c r="BV221" s="3124">
        <f>0</f>
        <v>0</v>
      </c>
      <c r="BW221" s="3124">
        <f>0</f>
        <v>0</v>
      </c>
      <c r="BX221" s="3124">
        <f>0</f>
        <v>0</v>
      </c>
      <c r="BY221" s="3124">
        <f>0</f>
        <v>0</v>
      </c>
      <c r="BZ221" s="3185">
        <f>0</f>
        <v>0</v>
      </c>
      <c r="CA221" s="3185">
        <f>0</f>
        <v>0</v>
      </c>
      <c r="CB221" s="3185">
        <f>0</f>
        <v>0</v>
      </c>
      <c r="CC221" s="3185">
        <f>0</f>
        <v>0</v>
      </c>
      <c r="CD221" s="3124">
        <f>0</f>
        <v>0</v>
      </c>
      <c r="CE221" s="3124">
        <f>0</f>
        <v>0</v>
      </c>
      <c r="CF221" s="3124">
        <f>0</f>
        <v>0</v>
      </c>
      <c r="CG221" s="3124">
        <f>0</f>
        <v>0</v>
      </c>
      <c r="CH221" s="3124">
        <f>0</f>
        <v>0</v>
      </c>
      <c r="CI221" s="3124">
        <f>0</f>
        <v>0</v>
      </c>
      <c r="CJ221" s="3124">
        <f>0</f>
        <v>0</v>
      </c>
      <c r="CK221" s="3124">
        <f>0</f>
        <v>0</v>
      </c>
      <c r="CL221" s="3124">
        <f>0</f>
        <v>0</v>
      </c>
      <c r="CM221" s="3124">
        <f>0</f>
        <v>0</v>
      </c>
      <c r="CN221" s="3124">
        <f>0</f>
        <v>0</v>
      </c>
      <c r="CO221" s="3124">
        <f>0</f>
        <v>0</v>
      </c>
      <c r="CP221" s="3124">
        <f>0</f>
        <v>0</v>
      </c>
      <c r="CQ221" s="3124">
        <f>0</f>
        <v>0</v>
      </c>
      <c r="CR221" s="3124">
        <f>0</f>
        <v>0</v>
      </c>
      <c r="CS221" s="3124">
        <f>0</f>
        <v>0</v>
      </c>
      <c r="CT221" s="3124">
        <f>0</f>
        <v>0</v>
      </c>
      <c r="CU221" s="3124">
        <f>0</f>
        <v>0</v>
      </c>
      <c r="CV221" s="3231">
        <f>b_ALGAE_T*X_ALGAE*M_satSO2_KO2_ALGAE</f>
        <v>0</v>
      </c>
      <c r="CX221" s="2838">
        <f>E287*E221+F287*F221+G287*G221+H287*H221+I287*I221+J287*J221+K287*K221+L287*L221+M287*M221+N287*N221+O287*O221+P287*P221+Q287*Q221+R287*R221+S287*S221+T287*T221+U287*U221+V287*V221+W287*W221+X287*X221+Y287*Y221+Z287*Z221+AA287*AA221+AB287*AB221+AC287*AC221+AD287*AD221+AE287*AE221+AF287*AF221+AG287*AG221+AH287*AH221+AI287*AI221+AJ287*AJ221+AK287*AK221+AL287*AL221+AM287*AM221+AN287*AN221+AO287*AO221+AP287*AP221+AQ287*AQ221+AR287*AR221+AS287*AS221+AT287*AT221+AU287*AU221+AV287*AV221+AW287*AW221+AX287*AX221+AY287*AY221+AZ287*AZ221+BA287*BA221+BB287*BB221+BC287*BC221+BD287*BD221+BE287*BE221+BF287*BF221+BG287*BG221+BH287*BH221+BI287*BI221+BJ287*BJ221+BK287*BK221+BL287*BL221+BM287*BM221+BN287*BN221+BO287*BO221+BP287*BP221+BQ287*BQ221+BR287*BR221+BS287*BS221+BT287*BT221+BU287*BU221+BV287*BV221+BW287*BW221+BX287*BX221+BY287*BY221+BZ287*BZ221+CA287*CA221+CB287*CB221+CC287*CC221+CD287*CD221+CE287*CE221+CF287*CF221+CG287*CG221+CH287*CH221+CI287*CI221+CJ287*CJ221+CK287*CK221+CL287*CL221+CM287*CM221+CN287*CN221+CO287*CO221+CP287*CP221+CQ287*CQ221+CR287*CR221+CS287*CS221+CT287*CT221+CU287*CU221</f>
        <v>0</v>
      </c>
      <c r="CY221" s="2838">
        <f>E288*E221+F288*F221+G288*G221+H288*H221+I288*I221+J288*J221+K288*K221+L288*L221+M288*M221+N288*N221+O288*O221+P288*P221+Q288*Q221+R288*R221+S288*S221+T288*T221+U288*U221+V288*V221+W288*W221+X288*X221+Y288*Y221+Z288*Z221+AA288*AA221+AB288*AB221+AC288*AC221+AD288*AD221+AE288*AE221+AF288*AF221+AG288*AG221+AH288*AH221+AI288*AI221+AJ288*AJ221+AK288*AK221+AL288*AL221+AM288*AM221+AN288*AN221+AO288*AO221+AP288*AP221+AQ288*AQ221+AR288*AR221+AS288*AS221+AT288*AT221+AU288*AU221+AV288*AV221+AW288*AW221+AX288*AX221+AY288*AY221+AZ288*AZ221+BA288*BA221+BB288*BB221+BC288*BC221+BD288*BD221+BE288*BE221+BF288*BF221+BG288*BG221+BH288*BH221+BI288*BI221+BJ288*BJ221+BK288*BK221+BL288*BL221+BM288*BM221+BN288*BN221+BO288*BO221+BP288*BP221+BQ288*BQ221+BR288*BR221+BS288*BS221+BT288*BT221+BU288*BU221+BV288*BV221+BW288*BW221+BX288*BX221+BY288*BY221+BZ288*BZ221+CA288*CA221+CB288*CB221+CC288*CC221+CD288*CD221+CE288*CE221+CF288*CF221+CG288*CG221+CH288*CH221+CI288*CI221+CJ288*CJ221+CK288*CK221+CL288*CL221+CM288*CM221+CN288*CN221+CO288*CO221+CP288*CP221+CQ288*CQ221+CR288*CR221+CS288*CS221+CT288*CT221+CU288*CU221</f>
        <v>0</v>
      </c>
      <c r="CZ221" s="2839">
        <f>E289*E221+F289*F221+G289*G221+H289*H221+I289*I221+J289*J221+K289*K221+L289*L221+M289*M221+N289*N221+O289*O221+P289*P221+Q289*Q221+R289*R221+S289*S221+T289*T221+U289*U221+V289*V221+W289*W221+X289*X221+Y289*Y221+Z289*Z221+AA289*AA221+AB289*AB221+AC289*AC221+AD289*AD221+AE289*AE221+AF289*AF221+AG289*AG221+AH289*AH221+AI289*AI221+AJ289*AJ221+AK289*AK221+AL289*AL221+AM289*AM221+AN289*AN221+AO289*AO221+AP289*AP221+AQ289*AQ221+AR289*AR221+AS289*AS221+AT289*AT221+AU289*AU221+AV289*AV221+AW289*AW221+AX289*AX221+AY289*AY221+AZ289*AZ221+BA289*BA221+BB289*BB221+BC289*BC221+BD289*BD221+BE289*BE221+BF289*BF221+BG289*BG221+BH289*BH221+BI289*BI221+BJ289*BJ221+BK289*BK221+BL289*BL221+BM289*BM221+BN289*BN221+BO289*BO221+BP289*BP221+BQ289*BQ221+BR289*BR221+BS289*BS221+BT289*BT221+BU289*BU221+BV289*BV221+BW289*BW221+BX289*BX221+BY289*BY221+BZ289*BZ221+CA289*CA221+CB289*CB221+CC289*CC221+CD289*CD221+CE289*CE221+CF289*CF221+CG289*CG221+CH289*CH221+CI289*CI221+CJ289*CJ221+CK289*CK221+CL289*CL221+CM289*CM221+CN289*CN221+CO289*CO221+CP289*CP221+CQ289*CQ221+CR289*CR221+CS289*CS221+CT289*CT221+CU289*CU221</f>
        <v>0</v>
      </c>
      <c r="DA221" s="2840">
        <f>E290*E221+F290*F221+G290*G221+H290*H221+I290*I221+J290*J221+K290*K221+L290*L221+M290*M221+N290*N221+O290*O221+P290*P221+Q290*Q221+R290*R221+S290*S221+T290*T221+U290*U221+V290*V221+W290*W221+X290*X221+Y290*Y221+Z290*Z221+AA290*AA221+AB290*AB221+AC290*AC221+AD290*AD221+AE290*AE221+AF290*AF221+AG290*AG221+AH290*AH221+AI290*AI221+AJ290*AJ221+AK290*AK221+AL290*AL221+AM290*AM221+AN290*AN221+AO290*AO221+AP290*AP221+AQ290*AQ221+AR290*AR221+AS290*AS221+AT290*AT221+AU290*AU221+AV290*AV221+AW290*AW221+AX290*AX221+AY290*AY221+AZ290*AZ221+BA290*BA221+BB290*BB221+BC290*BC221+BD290*BD221+BE290*BE221+BF290*BF221+BG290*BG221+BH290*BH221+BI290*BI221+BJ290*BJ221+BK290*BK221+BL290*BL221+BM290*BM221+BN290*BN221+BO290*BO221+BP290*BP221+BQ290*BQ221+BR290*BR221+BS290*BS221+BT290*BT221+BU290*BU221+BV290*BV221+BW290*BW221+BX290*BX221+BY290*BY221+BZ290*BZ221+CA290*CA221+CB290*CB221+CC290*CC221+CD290*CD221+CE290*CE221+CF290*CF221+CG290*CG221+CH290*CH221+CI290*CI221+CJ290*CJ221+CK290*CK221+CL290*CL221+CM290*CM221+CN290*CN221+CO290*CO221+CP290*CP221+CQ290*CQ221+CR290*CR221+CS290*CS221+CT290*CT221+CU290*CU221</f>
        <v>0</v>
      </c>
      <c r="DB221" s="2840">
        <f>E291*E221+F291*F221+G291*G221+H291*H221+I291*I221+J291*J221+K291*K221+L291*L221+M291*M221+N291*N221+O291*O221+P291*P221+Q291*Q221+R291*R221+S291*S221+T291*T221+U291*U221+V291*V221+W291*W221+X291*X221+Y291*Y221+Z291*Z221+AA291*AA221+AB291*AB221+AC291*AC221+AD291*AD221+AE291*AE221+AF291*AF221+AG291*AG221+AH291*AH221+AI291*AI221+AJ291*AJ221+AK291*AK221+AL291*AL221+AM291*AM221+AN291*AN221+AO291*AO221+AP291*AP221+AQ291*AQ221+AR291*AR221+AS291*AS221+AT291*AT221+AU291*AU221+AV291*AV221+AW291*AW221+AX291*AX221+AY291*AY221+AZ291*AZ221+BA291*BA221+BB291*BB221+BC291*BC221+BD291*BD221+BE291*BE221+BF291*BF221+BG291*BG221+BH291*BH221+BI291*BI221+BJ291*BJ221+BK291*BK221+BL291*BL221+BM291*BM221+BN291*BN221+BO291*BO221+BP291*BP221+BQ291*BQ221+BR291*BR221+BS291*BS221+BT291*BT221+BU291*BU221+BV291*BV221+BW291*BW221+BX291*BX221+BY291*BY221+BZ291*BZ221+CA291*CA221+CB291*CB221+CC291*CC221+CD291*CD221+CE291*CE221+CF291*CF221+CG291*CG221+CH291*CH221+CI291*CI221+CJ291*CJ221+CK291*CK221+CL291*CL221+CM291*CM221+CN291*CN221+CO291*CO221+CP291*CP221+CQ291*CQ221+CR291*CR221+CS291*CS221+CT291*CT221+CU291*CU221</f>
        <v>0</v>
      </c>
      <c r="DC221" s="2840">
        <f>E292*E221+F292*F221+G292*G221+H292*H221+I292*I221+J292*J221+K292*K221+L292*L221+M292*M221+N292*N221+O292*O221+P292*P221+Q292*Q221+R292*R221+S292*S221+T292*T221+U292*U221+V292*V221+W292*W221+X292*X221+Y292*Y221+Z292*Z221+AA292*AA221+AB292*AB221+AC292*AC221+AD292*AD221+AE292*AE221+AF292*AF221+AG292*AG221+AH292*AH221+AI292*AI221+AJ292*AJ221+AK292*AK221+AL292*AL221+AM292*AM221+AN292*AN221+AO292*AO221+AP292*AP221+AQ292*AQ221+AR292*AR221+AS292*AS221+AT292*AT221+AU292*AU221+AV292*AV221+AW292*AW221+AX292*AX221+AY292*AY221+AZ292*AZ221+BA292*BA221+BB292*BB221+BC292*BC221+BD292*BD221+BE292*BE221+BF292*BF221+BG292*BG221+BH292*BH221+BI292*BI221+BJ292*BJ221+BK292*BK221+BL292*BL221+BM292*BM221+BN292*BN221+BO292*BO221+BP292*BP221+BQ292*BQ221+BR292*BR221+BS292*BS221+BT292*BT221+BU292*BU221+BV292*BV221+BW292*BW221+BX292*BX221+BY292*BY221+BZ292*BZ221+CA292*CA221+CB292*CB221+CC292*CC221+CD292*CD221+CE292*CE221+CF292*CF221+CG292*CG221+CH292*CH221+CI292*CI221+CJ292*CJ221+CK292*CK221+CL292*CL221+CM292*CM221+CN292*CN221+CO292*CO221+CP292*CP221+CQ292*CQ221+CR292*CR221+CS292*CS221+CT292*CT221+CU292*CU221</f>
        <v>0</v>
      </c>
      <c r="DD221" s="2840">
        <f>E293*E221+F293*F221+G293*G221+H293*H221+I293*I221+J293*J221+K293*K221+L293*L221+M293*M221+N293*N221+O293*O221+P293*P221+Q293*Q221+R293*R221+S293*S221+T293*T221+U293*U221+V293*V221+W293*W221+X293*X221+Y293*Y221+Z293*Z221+AA293*AA221+AB293*AB221+AC293*AC221+AD293*AD221+AE293*AE221+AF293*AF221+AG293*AG221+AH293*AH221+AI293*AI221+AJ293*AJ221+AK293*AK221+AL293*AL221+AM293*AM221+AN293*AN221+AO293*AO221+AP293*AP221+AQ293*AQ221+AR293*AR221+AS293*AS221+AT293*AT221+AU293*AU221+AV293*AV221+AW293*AW221+AX293*AX221+AY293*AY221+AZ293*AZ221+BA293*BA221+BB293*BB221+BC293*BC221+BD293*BD221+BE293*BE221+BF293*BF221+BG293*BG221+BH293*BH221+BI293*BI221+BJ293*BJ221+BK293*BK221+BL293*BL221+BM293*BM221+BN293*BN221+BO293*BO221+BP293*BP221+BQ293*BQ221+BR293*BR221+BS293*BS221+BT293*BT221+BU293*BU221+BV293*BV221+BW293*BW221+BX293*BX221+BY293*BY221+BZ293*BZ221+CA293*CA221+CB293*CB221+CC293*CC221+CD293*CD221+CE293*CE221+CF293*CF221+CG293*CG221+CH293*CH221+CI293*CI221+CJ293*CJ221+CK293*CK221+CL293*CL221+CM293*CM221+CN293*CN221+CO293*CO221+CP293*CP221+CQ293*CQ221+CR293*CR221+CS293*CS221+CT293*CT221+CU293*CU221</f>
        <v>0</v>
      </c>
      <c r="DE221" s="2840">
        <f>E294*E221+F294*F221+G294*G221+H294*H221+I294*I221+J294*J221+K294*K221+L294*L221+M294*M221+N294*N221+O294*O221+P294*P221+Q294*Q221+R294*R221+S294*S221+T294*T221+U294*U221+V294*V221+W294*W221+X294*X221+Y294*Y221+Z294*Z221+AA294*AA221+AB294*AB221+AC294*AC221+AD294*AD221+AE294*AE221+AF294*AF221+AG294*AG221+AH294*AH221+AI294*AI221+AJ294*AJ221+AK294*AK221+AL294*AL221+AM294*AM221+AN294*AN221+AO294*AO221+AP294*AP221+AQ294*AQ221+AR294*AR221+AS294*AS221+AT294*AT221+AU294*AU221+AV294*AV221+AW294*AW221+AX294*AX221+AY294*AY221+AZ294*AZ221+BA294*BA221+BB294*BB221+BC294*BC221+BD294*BD221+BE294*BE221+BF294*BF221+BG294*BG221+BH294*BH221+BI294*BI221+BJ294*BJ221+BK294*BK221+BL294*BL221+BM294*BM221+BN294*BN221+BO294*BO221+BP294*BP221+BQ294*BQ221+BR294*BR221+BS294*BS221+BT294*BT221+BU294*BU221+BV294*BV221+BW294*BW221+BX294*BX221+BY294*BY221+BZ294*BZ221+CA294*CA221+CB294*CB221+CC294*CC221+CD294*CD221+CE294*CE221+CF294*CF221+CG294*CG221+CH294*CH221+CI294*CI221+CJ294*CJ221+CK294*CK221+CL294*CL221+CM294*CM221+CN294*CN221+CO294*CO221+CP294*CP221+CQ294*CQ221+CR294*CR221+CS294*CS221+CT294*CT221+CU294*CU221</f>
        <v>0</v>
      </c>
      <c r="DF221" s="2840">
        <f>E295*E221+F295*F221+G295*G221+H295*H221+I295*I221+J295*J221+K295*K221+L295*L221+M295*M221+N295*N221+O295*O221+P295*P221+Q295*Q221+R295*R221+S295*S221+T295*T221+U295*U221+V295*V221+W295*W221+X295*X221+Y295*Y221+Z295*Z221+AA295*AA221+AB295*AB221+AC295*AC221+AD295*AD221+AE295*AE221+AF295*AF221+AG295*AG221+AH295*AH221+AI295*AI221+AJ295*AJ221+AK295*AK221+AL295*AL221+AM295*AM221+AN295*AN221+AO295*AO221+AP295*AP221+AQ295*AQ221+AR295*AR221+AS295*AS221+AT295*AT221+AU295*AU221+AV295*AV221+AW295*AW221+AX295*AX221+AY295*AY221+AZ295*AZ221+BA295*BA221+BB295*BB221+BC295*BC221+BD295*BD221+BE295*BE221+BF295*BF221+BG295*BG221+BH295*BH221+BI295*BI221+BJ295*BJ221+BK295*BK221+BL295*BL221+BM295*BM221+BN295*BN221+BO295*BO221+BP295*BP221+BQ295*BQ221+BR295*BR221+BS295*BS221+BT295*BT221+BU295*BU221+BV295*BV221+BW295*BW221+BX295*BX221+BY295*BY221+BZ295*BZ221+CA295*CA221+CB295*CB221+CC295*CC221+CD295*CD221+CE295*CE221+CF295*CF221+CG295*CG221+CH295*CH221+CI295*CI221+CJ295*CJ221+CK295*CK221+CL295*CL221+CM295*CM221+CN295*CN221+CO295*CO221+CP295*CP221+CQ295*CQ221+CR295*CR221+CS295*CS221+CT295*CT221+CU295*CU221</f>
        <v>0</v>
      </c>
      <c r="DG221" s="2840">
        <f>E296*E221+F296*F221+G296*G221+H296*H221+I296*I221+J296*J221+K296*K221+L296*L221+M296*M221+N296*N221+O296*O221+P296*P221+Q296*Q221+R296*R221+S296*S221+T296*T221+U296*U221+V296*V221+W296*W221+X296*X221+Y296*Y221+Z296*Z221+AA296*AA221+AB296*AB221+AC296*AC221+AD296*AD221+AE296*AE221+AF296*AF221+AG296*AG221+AH296*AH221+AI296*AI221+AJ296*AJ221+AK296*AK221+AL296*AL221+AM296*AM221+AN296*AN221+AO296*AO221+AP296*AP221+AQ296*AQ221+AR296*AR221+AS296*AS221+AT296*AT221+AU296*AU221+AV296*AV221+AW296*AW221+AX296*AX221+AY296*AY221+AZ296*AZ221+BA296*BA221+BB296*BB221+BC296*BC221+BD296*BD221+BE296*BE221+BF296*BF221+BG296*BG221+BH296*BH221+BI296*BI221+BJ296*BJ221+BK296*BK221+BL296*BL221+BM296*BM221+BN296*BN221+BO296*BO221+BP296*BP221+BQ296*BQ221+BR296*BR221+BS296*BS221+BT296*BT221+BU296*BU221+BV296*BV221+BW296*BW221+BX296*BX221+BY296*BY221+BZ296*BZ221+CA296*CA221+CB296*CB221+CC296*CC221+CD296*CD221+CE296*CE221+CF296*CF221+CG296*CG221+CH296*CH221+CI296*CI221+CJ296*CJ221+CK296*CK221+CL296*CL221+CM296*CM221+CN296*CN221+CO296*CO221+CP296*CP221+CQ296*CQ221+CR296*CR221+CS296*CS221+CT296*CT221+CU296*CU221</f>
        <v>0</v>
      </c>
      <c r="DH221" s="2840">
        <f>E297*E221+F297*F221+G297*G221+H297*H221+I297*I221+J297*J221+K297*K221+L297*L221+M297*M221+N297*N221+O297*O221+P297*P221+Q297*Q221+R297*R221+S297*S221+T297*T221+U297*U221+V297*V221+W297*W221+X297*X221+Y297*Y221+Z297*Z221+AA297*AA221+AB297*AB221+AC297*AC221+AD297*AD221+AE297*AE221+AF297*AF221+AG297*AG221+AH297*AH221+AI297*AI221+AJ297*AJ221+AK297*AK221+AL297*AL221+AM297*AM221+AN297*AN221+AO297*AO221+AP297*AP221+AQ297*AQ221+AR297*AR221+AS297*AS221+AT297*AT221+AU297*AU221+AV297*AV221+AW297*AW221+AX297*AX221+AY297*AY221+AZ297*AZ221+BA297*BA221+BB297*BB221+BC297*BC221+BD297*BD221+BE297*BE221+BF297*BF221+BG297*BG221+BH297*BH221+BI297*BI221+BJ297*BJ221+BK297*BK221+BL297*BL221+BM297*BM221+BN297*BN221+BO297*BO221+BP297*BP221+BQ297*BQ221+BR297*BR221+BS297*BS221+BT297*BT221+BU297*BU221+BV297*BV221+BW297*BW221+BX297*BX221+BY297*BY221+BZ297*BZ221+CA297*CA221+CB297*CB221+CC297*CC221+CD297*CD221+CE297*CE221+CF297*CF221+CG297*CG221+CH297*CH221+CI297*CI221+CJ297*CJ221+CK297*CK221+CL297*CL221+CM297*CM221+CN297*CN221+CO297*CO221+CP297*CP221+CQ297*CQ221+CR297*CR221+CS297*CS221+CT297*CT221+CU297*CU221</f>
        <v>0</v>
      </c>
      <c r="DI221" s="2840">
        <f>E298*E221+F298*F221+G298*G221+H298*H221+I298*I221+J298*J221+K298*K221+L298*L221+M298*M221+N298*N221+O298*O221+P298*P221+Q298*Q221+R298*R221+S298*S221+T298*T221+U298*U221+V298*V221+W298*W221+X298*X221+Y298*Y221+Z298*Z221+AA298*AA221+AB298*AB221+AC298*AC221+AD298*AD221+AE298*AE221+AF298*AF221+AG298*AG221+AH298*AH221+AI298*AI221+AJ298*AJ221+AK298*AK221+AL298*AL221+AM298*AM221+AN298*AN221+AO298*AO221+AP298*AP221+AQ298*AQ221+AR298*AR221+AS298*AS221+AT298*AT221+AU298*AU221+AV298*AV221+AW298*AW221+AX298*AX221+AY298*AY221+AZ298*AZ221+BA298*BA221+BB298*BB221+BC298*BC221+BD298*BD221+BE298*BE221+BF298*BF221+BG298*BG221+BH298*BH221+BI298*BI221+BJ298*BJ221+BK298*BK221+BL298*BL221+BM298*BM221+BN298*BN221+BO298*BO221+BP298*BP221+BQ298*BQ221+BR298*BR221+BS298*BS221+BT298*BT221+BU298*BU221+BV298*BV221+BW298*BW221+BX298*BX221+BY298*BY221+BZ298*BZ221+CA298*CA221+CB298*CB221+CC298*CC221+CD298*CD221+CE298*CE221+CF298*CF221+CG298*CG221+CH298*CH221+CI298*CI221+CJ298*CJ221+CK298*CK221+CL298*CL221+CM298*CM221+CN298*CN221+CO298*CO221+CP298*CP221+CQ298*CQ221+CR298*CR221+CS298*CS221+CT298*CT221+CU298*CU221</f>
        <v>0</v>
      </c>
    </row>
    <row r="222" spans="2:113" ht="18" x14ac:dyDescent="0.35">
      <c r="B222" s="2377">
        <v>69</v>
      </c>
      <c r="C222" s="2378" t="s">
        <v>2420</v>
      </c>
      <c r="D222" s="2376" t="s">
        <v>5264</v>
      </c>
      <c r="E222" s="3124">
        <f>0</f>
        <v>0</v>
      </c>
      <c r="F222" s="3124">
        <f>0</f>
        <v>0</v>
      </c>
      <c r="G222" s="3124">
        <f>0</f>
        <v>0</v>
      </c>
      <c r="H222" s="3124">
        <f>0</f>
        <v>0</v>
      </c>
      <c r="I222" s="3124">
        <f>0</f>
        <v>0</v>
      </c>
      <c r="J222" s="3124">
        <f>1-f_E</f>
        <v>0.92</v>
      </c>
      <c r="K222" s="3124">
        <f>0</f>
        <v>0</v>
      </c>
      <c r="L222" s="3124">
        <f>0</f>
        <v>0</v>
      </c>
      <c r="M222" s="3124">
        <f>0</f>
        <v>0</v>
      </c>
      <c r="N222" s="3124">
        <f>0</f>
        <v>0</v>
      </c>
      <c r="O222" s="3124">
        <f>0</f>
        <v>0</v>
      </c>
      <c r="P222" s="3124">
        <f>f_E</f>
        <v>0.08</v>
      </c>
      <c r="Q222" s="3124">
        <f>0</f>
        <v>0</v>
      </c>
      <c r="R222" s="3124">
        <f>0</f>
        <v>0</v>
      </c>
      <c r="S222" s="3124">
        <f>0</f>
        <v>0</v>
      </c>
      <c r="T222" s="3124">
        <f>0</f>
        <v>0</v>
      </c>
      <c r="U222" s="3124">
        <f>0</f>
        <v>0</v>
      </c>
      <c r="V222" s="3124">
        <f>0</f>
        <v>0</v>
      </c>
      <c r="W222" s="3124">
        <f>0</f>
        <v>0</v>
      </c>
      <c r="X222" s="3124">
        <f>0</f>
        <v>0</v>
      </c>
      <c r="Y222" s="3124">
        <f>0</f>
        <v>0</v>
      </c>
      <c r="Z222" s="3124">
        <f>0</f>
        <v>0</v>
      </c>
      <c r="AA222" s="3124">
        <f>0</f>
        <v>0</v>
      </c>
      <c r="AB222" s="3124">
        <f>0</f>
        <v>0</v>
      </c>
      <c r="AC222" s="3124">
        <f>-1</f>
        <v>-1</v>
      </c>
      <c r="AD222" s="3164">
        <f>-f_E*(i_N_XE-i_N_BIO)</f>
        <v>8.0000000000000069E-4</v>
      </c>
      <c r="AE222" s="3124">
        <f>0</f>
        <v>0</v>
      </c>
      <c r="AF222" s="3124">
        <f>0</f>
        <v>0</v>
      </c>
      <c r="AG222" s="3124">
        <f>0</f>
        <v>0</v>
      </c>
      <c r="AH222" s="3124">
        <f>0</f>
        <v>0</v>
      </c>
      <c r="AI222" s="3124">
        <f>0</f>
        <v>0</v>
      </c>
      <c r="AJ222" s="3124">
        <f>(1-f_E)*i_N_BIO</f>
        <v>6.4400000000000013E-2</v>
      </c>
      <c r="AK222" s="3124">
        <f>0</f>
        <v>0</v>
      </c>
      <c r="AL222" s="3164">
        <f>i_P_ALGAE-i_P_BIO</f>
        <v>0</v>
      </c>
      <c r="AM222" s="3124">
        <f>0</f>
        <v>0</v>
      </c>
      <c r="AN222" s="3124">
        <f>0</f>
        <v>0</v>
      </c>
      <c r="AO222" s="3124">
        <f>0</f>
        <v>0</v>
      </c>
      <c r="AP222" s="3124">
        <f>(1-f_E)*i_P_BIO</f>
        <v>1.84E-2</v>
      </c>
      <c r="AQ222" s="3124">
        <f>0</f>
        <v>0</v>
      </c>
      <c r="AR222" s="3124">
        <f>0</f>
        <v>0</v>
      </c>
      <c r="AS222" s="3124">
        <f>0</f>
        <v>0</v>
      </c>
      <c r="AT222" s="3124">
        <f>0</f>
        <v>0</v>
      </c>
      <c r="AU222" s="3182">
        <f>i_CIT_ALGAE-(1-f_E)*i_CIT_XBe-f_E*i_CIT_BIO</f>
        <v>8.3720000000000044E-2</v>
      </c>
      <c r="AV222" s="3185">
        <f>0</f>
        <v>0</v>
      </c>
      <c r="AW222" s="3190">
        <f>0</f>
        <v>0</v>
      </c>
      <c r="AX222" s="3190">
        <f>0</f>
        <v>0</v>
      </c>
      <c r="AY222" s="3190">
        <f>0</f>
        <v>0</v>
      </c>
      <c r="AZ222" s="3190">
        <f>0</f>
        <v>0</v>
      </c>
      <c r="BA222" s="3124">
        <f>0</f>
        <v>0</v>
      </c>
      <c r="BB222" s="3124">
        <f>0</f>
        <v>0</v>
      </c>
      <c r="BC222" s="3181">
        <f>i_S_ALGAE-(1-f_E)*i_S_SB-f_E*i_S_BIO</f>
        <v>7.8199999999999988E-3</v>
      </c>
      <c r="BD222" s="3124">
        <f>0</f>
        <v>0</v>
      </c>
      <c r="BE222" s="3124">
        <f>0</f>
        <v>0</v>
      </c>
      <c r="BF222" s="3124">
        <f>0</f>
        <v>0</v>
      </c>
      <c r="BG222" s="3124">
        <f>0</f>
        <v>0</v>
      </c>
      <c r="BH222" s="3124">
        <f>0</f>
        <v>0</v>
      </c>
      <c r="BI222" s="3124">
        <f>0</f>
        <v>0</v>
      </c>
      <c r="BJ222" s="3124">
        <f>0</f>
        <v>0</v>
      </c>
      <c r="BK222" s="3124">
        <f>0</f>
        <v>0</v>
      </c>
      <c r="BL222" s="3124">
        <f>0</f>
        <v>0</v>
      </c>
      <c r="BM222" s="3124">
        <f>0</f>
        <v>0</v>
      </c>
      <c r="BN222" s="3124">
        <f>0</f>
        <v>0</v>
      </c>
      <c r="BO222" s="3124">
        <f>0</f>
        <v>0</v>
      </c>
      <c r="BP222" s="3124">
        <f>0</f>
        <v>0</v>
      </c>
      <c r="BQ222" s="3124">
        <f>0</f>
        <v>0</v>
      </c>
      <c r="BR222" s="3124">
        <f>0</f>
        <v>0</v>
      </c>
      <c r="BS222" s="3124">
        <f>0</f>
        <v>0</v>
      </c>
      <c r="BT222" s="3124">
        <f>0</f>
        <v>0</v>
      </c>
      <c r="BU222" s="3124">
        <f>0</f>
        <v>0</v>
      </c>
      <c r="BV222" s="3124">
        <f>0</f>
        <v>0</v>
      </c>
      <c r="BW222" s="3124">
        <f>0</f>
        <v>0</v>
      </c>
      <c r="BX222" s="3124">
        <f>0</f>
        <v>0</v>
      </c>
      <c r="BY222" s="3124">
        <f>0</f>
        <v>0</v>
      </c>
      <c r="BZ222" s="3185">
        <f>0</f>
        <v>0</v>
      </c>
      <c r="CA222" s="3185">
        <f>0</f>
        <v>0</v>
      </c>
      <c r="CB222" s="3185">
        <f>0</f>
        <v>0</v>
      </c>
      <c r="CC222" s="3185">
        <f>0</f>
        <v>0</v>
      </c>
      <c r="CD222" s="3124">
        <f>0</f>
        <v>0</v>
      </c>
      <c r="CE222" s="3124">
        <f>0</f>
        <v>0</v>
      </c>
      <c r="CF222" s="3124">
        <f>0</f>
        <v>0</v>
      </c>
      <c r="CG222" s="3124">
        <f>0</f>
        <v>0</v>
      </c>
      <c r="CH222" s="3124">
        <f>0</f>
        <v>0</v>
      </c>
      <c r="CI222" s="3124">
        <f>0</f>
        <v>0</v>
      </c>
      <c r="CJ222" s="3124">
        <f>0</f>
        <v>0</v>
      </c>
      <c r="CK222" s="3124">
        <f>0</f>
        <v>0</v>
      </c>
      <c r="CL222" s="3124">
        <f>0</f>
        <v>0</v>
      </c>
      <c r="CM222" s="3124">
        <f>0</f>
        <v>0</v>
      </c>
      <c r="CN222" s="3124">
        <f>0</f>
        <v>0</v>
      </c>
      <c r="CO222" s="3124">
        <f>0</f>
        <v>0</v>
      </c>
      <c r="CP222" s="3124">
        <f>0</f>
        <v>0</v>
      </c>
      <c r="CQ222" s="3124">
        <f>0</f>
        <v>0</v>
      </c>
      <c r="CR222" s="3124">
        <f>0</f>
        <v>0</v>
      </c>
      <c r="CS222" s="3124">
        <f>0</f>
        <v>0</v>
      </c>
      <c r="CT222" s="3124">
        <f>0</f>
        <v>0</v>
      </c>
      <c r="CU222" s="3124">
        <f>0</f>
        <v>0</v>
      </c>
      <c r="CV222" s="3231">
        <f>b_ALGAE_T*X_ALGAE*M_inhSO2_KO2_ALGAE</f>
        <v>0</v>
      </c>
      <c r="CX222" s="2838">
        <f>E287*E222+F287*F222+G287*G222+H287*H222+I287*I222+J287*J222+K287*K222+L287*L222+M287*M222+N287*N222+O287*O222+P287*P222+Q287*Q222+R287*R222+S287*S222+T287*T222+U287*U222+V287*V222+W287*W222+X287*X222+Y287*Y222+Z287*Z222+AA287*AA222+AB287*AB222+AC287*AC222+AD287*AD222+AE287*AE222+AF287*AF222+AG287*AG222+AH287*AH222+AI287*AI222+AJ287*AJ222+AK287*AK222+AL287*AL222+AM287*AM222+AN287*AN222+AO287*AO222+AP287*AP222+AQ287*AQ222+AR287*AR222+AS287*AS222+AT287*AT222+AU287*AU222+AV287*AV222+AW287*AW222+AX287*AX222+AY287*AY222+AZ287*AZ222+BA287*BA222+BB287*BB222+BC287*BC222+BD287*BD222+BE287*BE222+BF287*BF222+BG287*BG222+BH287*BH222+BI287*BI222+BJ287*BJ222+BK287*BK222+BL287*BL222+BM287*BM222+BN287*BN222+BO287*BO222+BP287*BP222+BQ287*BQ222+BR287*BR222+BS287*BS222+BT287*BT222+BU287*BU222+BV287*BV222+BW287*BW222+BX287*BX222+BY287*BY222+BZ287*BZ222+CA287*CA222+CB287*CB222+CC287*CC222+CD287*CD222+CE287*CE222+CF287*CF222+CG287*CG222+CH287*CH222+CI287*CI222+CJ287*CJ222+CK287*CK222+CL287*CL222+CM287*CM222+CN287*CN222+CO287*CO222+CP287*CP222+CQ287*CQ222+CR287*CR222+CS287*CS222+CT287*CT222+CU287*CU222</f>
        <v>0</v>
      </c>
      <c r="CY222" s="2838">
        <f>E288*E222+F288*F222+G288*G222+H288*H222+I288*I222+J288*J222+K288*K222+L288*L222+M288*M222+N288*N222+O288*O222+P288*P222+Q288*Q222+R288*R222+S288*S222+T288*T222+U288*U222+V288*V222+W288*W222+X288*X222+Y288*Y222+Z288*Z222+AA288*AA222+AB288*AB222+AC288*AC222+AD288*AD222+AE288*AE222+AF288*AF222+AG288*AG222+AH288*AH222+AI288*AI222+AJ288*AJ222+AK288*AK222+AL288*AL222+AM288*AM222+AN288*AN222+AO288*AO222+AP288*AP222+AQ288*AQ222+AR288*AR222+AS288*AS222+AT288*AT222+AU288*AU222+AV288*AV222+AW288*AW222+AX288*AX222+AY288*AY222+AZ288*AZ222+BA288*BA222+BB288*BB222+BC288*BC222+BD288*BD222+BE288*BE222+BF288*BF222+BG288*BG222+BH288*BH222+BI288*BI222+BJ288*BJ222+BK288*BK222+BL288*BL222+BM288*BM222+BN288*BN222+BO288*BO222+BP288*BP222+BQ288*BQ222+BR288*BR222+BS288*BS222+BT288*BT222+BU288*BU222+BV288*BV222+BW288*BW222+BX288*BX222+BY288*BY222+BZ288*BZ222+CA288*CA222+CB288*CB222+CC288*CC222+CD288*CD222+CE288*CE222+CF288*CF222+CG288*CG222+CH288*CH222+CI288*CI222+CJ288*CJ222+CK288*CK222+CL288*CL222+CM288*CM222+CN288*CN222+CO288*CO222+CP288*CP222+CQ288*CQ222+CR288*CR222+CS288*CS222+CT288*CT222+CU288*CU222</f>
        <v>2.7755575615628914E-17</v>
      </c>
      <c r="CZ222" s="2839">
        <f>E289*E222+F289*F222+G289*G222+H289*H222+I289*I222+J289*J222+K289*K222+L289*L222+M289*M222+N289*N222+O289*O222+P289*P222+Q289*Q222+R289*R222+S289*S222+T289*T222+U289*U222+V289*V222+W289*W222+X289*X222+Y289*Y222+Z289*Z222+AA289*AA222+AB289*AB222+AC289*AC222+AD289*AD222+AE289*AE222+AF289*AF222+AG289*AG222+AH289*AH222+AI289*AI222+AJ289*AJ222+AK289*AK222+AL289*AL222+AM289*AM222+AN289*AN222+AO289*AO222+AP289*AP222+AQ289*AQ222+AR289*AR222+AS289*AS222+AT289*AT222+AU289*AU222+AV289*AV222+AW289*AW222+AX289*AX222+AY289*AY222+AZ289*AZ222+BA289*BA222+BB289*BB222+BC289*BC222+BD289*BD222+BE289*BE222+BF289*BF222+BG289*BG222+BH289*BH222+BI289*BI222+BJ289*BJ222+BK289*BK222+BL289*BL222+BM289*BM222+BN289*BN222+BO289*BO222+BP289*BP222+BQ289*BQ222+BR289*BR222+BS289*BS222+BT289*BT222+BU289*BU222+BV289*BV222+BW289*BW222+BX289*BX222+BY289*BY222+BZ289*BZ222+CA289*CA222+CB289*CB222+CC289*CC222+CD289*CD222+CE289*CE222+CF289*CF222+CG289*CG222+CH289*CH222+CI289*CI222+CJ289*CJ222+CK289*CK222+CL289*CL222+CM289*CM222+CN289*CN222+CO289*CO222+CP289*CP222+CQ289*CQ222+CR289*CR222+CS289*CS222+CT289*CT222+CU289*CU222</f>
        <v>0</v>
      </c>
      <c r="DA222" s="2840">
        <f>E290*E222+F290*F222+G290*G222+H290*H222+I290*I222+J290*J222+K290*K222+L290*L222+M290*M222+N290*N222+O290*O222+P290*P222+Q290*Q222+R290*R222+S290*S222+T290*T222+U290*U222+V290*V222+W290*W222+X290*X222+Y290*Y222+Z290*Z222+AA290*AA222+AB290*AB222+AC290*AC222+AD290*AD222+AE290*AE222+AF290*AF222+AG290*AG222+AH290*AH222+AI290*AI222+AJ290*AJ222+AK290*AK222+AL290*AL222+AM290*AM222+AN290*AN222+AO290*AO222+AP290*AP222+AQ290*AQ222+AR290*AR222+AS290*AS222+AT290*AT222+AU290*AU222+AV290*AV222+AW290*AW222+AX290*AX222+AY290*AY222+AZ290*AZ222+BA290*BA222+BB290*BB222+BC290*BC222+BD290*BD222+BE290*BE222+BF290*BF222+BG290*BG222+BH290*BH222+BI290*BI222+BJ290*BJ222+BK290*BK222+BL290*BL222+BM290*BM222+BN290*BN222+BO290*BO222+BP290*BP222+BQ290*BQ222+BR290*BR222+BS290*BS222+BT290*BT222+BU290*BU222+BV290*BV222+BW290*BW222+BX290*BX222+BY290*BY222+BZ290*BZ222+CA290*CA222+CB290*CB222+CC290*CC222+CD290*CD222+CE290*CE222+CF290*CF222+CG290*CG222+CH290*CH222+CI290*CI222+CJ290*CJ222+CK290*CK222+CL290*CL222+CM290*CM222+CN290*CN222+CO290*CO222+CP290*CP222+CQ290*CQ222+CR290*CR222+CS290*CS222+CT290*CT222+CU290*CU222</f>
        <v>0</v>
      </c>
      <c r="DB222" s="2840">
        <f>E291*E222+F291*F222+G291*G222+H291*H222+I291*I222+J291*J222+K291*K222+L291*L222+M291*M222+N291*N222+O291*O222+P291*P222+Q291*Q222+R291*R222+S291*S222+T291*T222+U291*U222+V291*V222+W291*W222+X291*X222+Y291*Y222+Z291*Z222+AA291*AA222+AB291*AB222+AC291*AC222+AD291*AD222+AE291*AE222+AF291*AF222+AG291*AG222+AH291*AH222+AI291*AI222+AJ291*AJ222+AK291*AK222+AL291*AL222+AM291*AM222+AN291*AN222+AO291*AO222+AP291*AP222+AQ291*AQ222+AR291*AR222+AS291*AS222+AT291*AT222+AU291*AU222+AV291*AV222+AW291*AW222+AX291*AX222+AY291*AY222+AZ291*AZ222+BA291*BA222+BB291*BB222+BC291*BC222+BD291*BD222+BE291*BE222+BF291*BF222+BG291*BG222+BH291*BH222+BI291*BI222+BJ291*BJ222+BK291*BK222+BL291*BL222+BM291*BM222+BN291*BN222+BO291*BO222+BP291*BP222+BQ291*BQ222+BR291*BR222+BS291*BS222+BT291*BT222+BU291*BU222+BV291*BV222+BW291*BW222+BX291*BX222+BY291*BY222+BZ291*BZ222+CA291*CA222+CB291*CB222+CC291*CC222+CD291*CD222+CE291*CE222+CF291*CF222+CG291*CG222+CH291*CH222+CI291*CI222+CJ291*CJ222+CK291*CK222+CL291*CL222+CM291*CM222+CN291*CN222+CO291*CO222+CP291*CP222+CQ291*CQ222+CR291*CR222+CS291*CS222+CT291*CT222+CU291*CU222</f>
        <v>-1.7347234759768071E-18</v>
      </c>
      <c r="DC222" s="2840">
        <f>E292*E222+F292*F222+G292*G222+H292*H222+I292*I222+J292*J222+K292*K222+L292*L222+M292*M222+N292*N222+O292*O222+P292*P222+Q292*Q222+R292*R222+S292*S222+T292*T222+U292*U222+V292*V222+W292*W222+X292*X222+Y292*Y222+Z292*Z222+AA292*AA222+AB292*AB222+AC292*AC222+AD292*AD222+AE292*AE222+AF292*AF222+AG292*AG222+AH292*AH222+AI292*AI222+AJ292*AJ222+AK292*AK222+AL292*AL222+AM292*AM222+AN292*AN222+AO292*AO222+AP292*AP222+AQ292*AQ222+AR292*AR222+AS292*AS222+AT292*AT222+AU292*AU222+AV292*AV222+AW292*AW222+AX292*AX222+AY292*AY222+AZ292*AZ222+BA292*BA222+BB292*BB222+BC292*BC222+BD292*BD222+BE292*BE222+BF292*BF222+BG292*BG222+BH292*BH222+BI292*BI222+BJ292*BJ222+BK292*BK222+BL292*BL222+BM292*BM222+BN292*BN222+BO292*BO222+BP292*BP222+BQ292*BQ222+BR292*BR222+BS292*BS222+BT292*BT222+BU292*BU222+BV292*BV222+BW292*BW222+BX292*BX222+BY292*BY222+BZ292*BZ222+CA292*CA222+CB292*CB222+CC292*CC222+CD292*CD222+CE292*CE222+CF292*CF222+CG292*CG222+CH292*CH222+CI292*CI222+CJ292*CJ222+CK292*CK222+CL292*CL222+CM292*CM222+CN292*CN222+CO292*CO222+CP292*CP222+CQ292*CQ222+CR292*CR222+CS292*CS222+CT292*CT222+CU292*CU222</f>
        <v>0</v>
      </c>
      <c r="DD222" s="2840">
        <f>E293*E222+F293*F222+G293*G222+H293*H222+I293*I222+J293*J222+K293*K222+L293*L222+M293*M222+N293*N222+O293*O222+P293*P222+Q293*Q222+R293*R222+S293*S222+T293*T222+U293*U222+V293*V222+W293*W222+X293*X222+Y293*Y222+Z293*Z222+AA293*AA222+AB293*AB222+AC293*AC222+AD293*AD222+AE293*AE222+AF293*AF222+AG293*AG222+AH293*AH222+AI293*AI222+AJ293*AJ222+AK293*AK222+AL293*AL222+AM293*AM222+AN293*AN222+AO293*AO222+AP293*AP222+AQ293*AQ222+AR293*AR222+AS293*AS222+AT293*AT222+AU293*AU222+AV293*AV222+AW293*AW222+AX293*AX222+AY293*AY222+AZ293*AZ222+BA293*BA222+BB293*BB222+BC293*BC222+BD293*BD222+BE293*BE222+BF293*BF222+BG293*BG222+BH293*BH222+BI293*BI222+BJ293*BJ222+BK293*BK222+BL293*BL222+BM293*BM222+BN293*BN222+BO293*BO222+BP293*BP222+BQ293*BQ222+BR293*BR222+BS293*BS222+BT293*BT222+BU293*BU222+BV293*BV222+BW293*BW222+BX293*BX222+BY293*BY222+BZ293*BZ222+CA293*CA222+CB293*CB222+CC293*CC222+CD293*CD222+CE293*CE222+CF293*CF222+CG293*CG222+CH293*CH222+CI293*CI222+CJ293*CJ222+CK293*CK222+CL293*CL222+CM293*CM222+CN293*CN222+CO293*CO222+CP293*CP222+CQ293*CQ222+CR293*CR222+CS293*CS222+CT293*CT222+CU293*CU222</f>
        <v>0</v>
      </c>
      <c r="DE222" s="2840">
        <f>E294*E222+F294*F222+G294*G222+H294*H222+I294*I222+J294*J222+K294*K222+L294*L222+M294*M222+N294*N222+O294*O222+P294*P222+Q294*Q222+R294*R222+S294*S222+T294*T222+U294*U222+V294*V222+W294*W222+X294*X222+Y294*Y222+Z294*Z222+AA294*AA222+AB294*AB222+AC294*AC222+AD294*AD222+AE294*AE222+AF294*AF222+AG294*AG222+AH294*AH222+AI294*AI222+AJ294*AJ222+AK294*AK222+AL294*AL222+AM294*AM222+AN294*AN222+AO294*AO222+AP294*AP222+AQ294*AQ222+AR294*AR222+AS294*AS222+AT294*AT222+AU294*AU222+AV294*AV222+AW294*AW222+AX294*AX222+AY294*AY222+AZ294*AZ222+BA294*BA222+BB294*BB222+BC294*BC222+BD294*BD222+BE294*BE222+BF294*BF222+BG294*BG222+BH294*BH222+BI294*BI222+BJ294*BJ222+BK294*BK222+BL294*BL222+BM294*BM222+BN294*BN222+BO294*BO222+BP294*BP222+BQ294*BQ222+BR294*BR222+BS294*BS222+BT294*BT222+BU294*BU222+BV294*BV222+BW294*BW222+BX294*BX222+BY294*BY222+BZ294*BZ222+CA294*CA222+CB294*CB222+CC294*CC222+CD294*CD222+CE294*CE222+CF294*CF222+CG294*CG222+CH294*CH222+CI294*CI222+CJ294*CJ222+CK294*CK222+CL294*CL222+CM294*CM222+CN294*CN222+CO294*CO222+CP294*CP222+CQ294*CQ222+CR294*CR222+CS294*CS222+CT294*CT222+CU294*CU222</f>
        <v>0</v>
      </c>
      <c r="DF222" s="2840">
        <f>E295*E222+F295*F222+G295*G222+H295*H222+I295*I222+J295*J222+K295*K222+L295*L222+M295*M222+N295*N222+O295*O222+P295*P222+Q295*Q222+R295*R222+S295*S222+T295*T222+U295*U222+V295*V222+W295*W222+X295*X222+Y295*Y222+Z295*Z222+AA295*AA222+AB295*AB222+AC295*AC222+AD295*AD222+AE295*AE222+AF295*AF222+AG295*AG222+AH295*AH222+AI295*AI222+AJ295*AJ222+AK295*AK222+AL295*AL222+AM295*AM222+AN295*AN222+AO295*AO222+AP295*AP222+AQ295*AQ222+AR295*AR222+AS295*AS222+AT295*AT222+AU295*AU222+AV295*AV222+AW295*AW222+AX295*AX222+AY295*AY222+AZ295*AZ222+BA295*BA222+BB295*BB222+BC295*BC222+BD295*BD222+BE295*BE222+BF295*BF222+BG295*BG222+BH295*BH222+BI295*BI222+BJ295*BJ222+BK295*BK222+BL295*BL222+BM295*BM222+BN295*BN222+BO295*BO222+BP295*BP222+BQ295*BQ222+BR295*BR222+BS295*BS222+BT295*BT222+BU295*BU222+BV295*BV222+BW295*BW222+BX295*BX222+BY295*BY222+BZ295*BZ222+CA295*CA222+CB295*CB222+CC295*CC222+CD295*CD222+CE295*CE222+CF295*CF222+CG295*CG222+CH295*CH222+CI295*CI222+CJ295*CJ222+CK295*CK222+CL295*CL222+CM295*CM222+CN295*CN222+CO295*CO222+CP295*CP222+CQ295*CQ222+CR295*CR222+CS295*CS222+CT295*CT222+CU295*CU222</f>
        <v>0</v>
      </c>
      <c r="DG222" s="2840">
        <f>E296*E222+F296*F222+G296*G222+H296*H222+I296*I222+J296*J222+K296*K222+L296*L222+M296*M222+N296*N222+O296*O222+P296*P222+Q296*Q222+R296*R222+S296*S222+T296*T222+U296*U222+V296*V222+W296*W222+X296*X222+Y296*Y222+Z296*Z222+AA296*AA222+AB296*AB222+AC296*AC222+AD296*AD222+AE296*AE222+AF296*AF222+AG296*AG222+AH296*AH222+AI296*AI222+AJ296*AJ222+AK296*AK222+AL296*AL222+AM296*AM222+AN296*AN222+AO296*AO222+AP296*AP222+AQ296*AQ222+AR296*AR222+AS296*AS222+AT296*AT222+AU296*AU222+AV296*AV222+AW296*AW222+AX296*AX222+AY296*AY222+AZ296*AZ222+BA296*BA222+BB296*BB222+BC296*BC222+BD296*BD222+BE296*BE222+BF296*BF222+BG296*BG222+BH296*BH222+BI296*BI222+BJ296*BJ222+BK296*BK222+BL296*BL222+BM296*BM222+BN296*BN222+BO296*BO222+BP296*BP222+BQ296*BQ222+BR296*BR222+BS296*BS222+BT296*BT222+BU296*BU222+BV296*BV222+BW296*BW222+BX296*BX222+BY296*BY222+BZ296*BZ222+CA296*CA222+CB296*CB222+CC296*CC222+CD296*CD222+CE296*CE222+CF296*CF222+CG296*CG222+CH296*CH222+CI296*CI222+CJ296*CJ222+CK296*CK222+CL296*CL222+CM296*CM222+CN296*CN222+CO296*CO222+CP296*CP222+CQ296*CQ222+CR296*CR222+CS296*CS222+CT296*CT222+CU296*CU222</f>
        <v>0</v>
      </c>
      <c r="DH222" s="2840">
        <f>E297*E222+F297*F222+G297*G222+H297*H222+I297*I222+J297*J222+K297*K222+L297*L222+M297*M222+N297*N222+O297*O222+P297*P222+Q297*Q222+R297*R222+S297*S222+T297*T222+U297*U222+V297*V222+W297*W222+X297*X222+Y297*Y222+Z297*Z222+AA297*AA222+AB297*AB222+AC297*AC222+AD297*AD222+AE297*AE222+AF297*AF222+AG297*AG222+AH297*AH222+AI297*AI222+AJ297*AJ222+AK297*AK222+AL297*AL222+AM297*AM222+AN297*AN222+AO297*AO222+AP297*AP222+AQ297*AQ222+AR297*AR222+AS297*AS222+AT297*AT222+AU297*AU222+AV297*AV222+AW297*AW222+AX297*AX222+AY297*AY222+AZ297*AZ222+BA297*BA222+BB297*BB222+BC297*BC222+BD297*BD222+BE297*BE222+BF297*BF222+BG297*BG222+BH297*BH222+BI297*BI222+BJ297*BJ222+BK297*BK222+BL297*BL222+BM297*BM222+BN297*BN222+BO297*BO222+BP297*BP222+BQ297*BQ222+BR297*BR222+BS297*BS222+BT297*BT222+BU297*BU222+BV297*BV222+BW297*BW222+BX297*BX222+BY297*BY222+BZ297*BZ222+CA297*CA222+CB297*CB222+CC297*CC222+CD297*CD222+CE297*CE222+CF297*CF222+CG297*CG222+CH297*CH222+CI297*CI222+CJ297*CJ222+CK297*CK222+CL297*CL222+CM297*CM222+CN297*CN222+CO297*CO222+CP297*CP222+CQ297*CQ222+CR297*CR222+CS297*CS222+CT297*CT222+CU297*CU222</f>
        <v>0</v>
      </c>
      <c r="DI222" s="2840">
        <f>E298*E222+F298*F222+G298*G222+H298*H222+I298*I222+J298*J222+K298*K222+L298*L222+M298*M222+N298*N222+O298*O222+P298*P222+Q298*Q222+R298*R222+S298*S222+T298*T222+U298*U222+V298*V222+W298*W222+X298*X222+Y298*Y222+Z298*Z222+AA298*AA222+AB298*AB222+AC298*AC222+AD298*AD222+AE298*AE222+AF298*AF222+AG298*AG222+AH298*AH222+AI298*AI222+AJ298*AJ222+AK298*AK222+AL298*AL222+AM298*AM222+AN298*AN222+AO298*AO222+AP298*AP222+AQ298*AQ222+AR298*AR222+AS298*AS222+AT298*AT222+AU298*AU222+AV298*AV222+AW298*AW222+AX298*AX222+AY298*AY222+AZ298*AZ222+BA298*BA222+BB298*BB222+BC298*BC222+BD298*BD222+BE298*BE222+BF298*BF222+BG298*BG222+BH298*BH222+BI298*BI222+BJ298*BJ222+BK298*BK222+BL298*BL222+BM298*BM222+BN298*BN222+BO298*BO222+BP298*BP222+BQ298*BQ222+BR298*BR222+BS298*BS222+BT298*BT222+BU298*BU222+BV298*BV222+BW298*BW222+BX298*BX222+BY298*BY222+BZ298*BZ222+CA298*CA222+CB298*CB222+CC298*CC222+CD298*CD222+CE298*CE222+CF298*CF222+CG298*CG222+CH298*CH222+CI298*CI222+CJ298*CJ222+CK298*CK222+CL298*CL222+CM298*CM222+CN298*CN222+CO298*CO222+CP298*CP222+CQ298*CQ222+CR298*CR222+CS298*CS222+CT298*CT222+CU298*CU222</f>
        <v>0</v>
      </c>
    </row>
    <row r="223" spans="2:113" ht="18" x14ac:dyDescent="0.25">
      <c r="B223" s="2510">
        <v>70</v>
      </c>
      <c r="C223" s="2444" t="s">
        <v>2421</v>
      </c>
      <c r="D223" s="2445" t="s">
        <v>1675</v>
      </c>
      <c r="E223" s="3125">
        <f>0</f>
        <v>0</v>
      </c>
      <c r="F223" s="3125">
        <f>0</f>
        <v>0</v>
      </c>
      <c r="G223" s="3125">
        <f>0</f>
        <v>0</v>
      </c>
      <c r="H223" s="3125">
        <f>-1</f>
        <v>-1</v>
      </c>
      <c r="I223" s="3125">
        <f>1</f>
        <v>1</v>
      </c>
      <c r="J223" s="3126">
        <f>0</f>
        <v>0</v>
      </c>
      <c r="K223" s="3125">
        <f>0</f>
        <v>0</v>
      </c>
      <c r="L223" s="3125">
        <f>0</f>
        <v>0</v>
      </c>
      <c r="M223" s="3125">
        <f>0</f>
        <v>0</v>
      </c>
      <c r="N223" s="3125">
        <f>0</f>
        <v>0</v>
      </c>
      <c r="O223" s="3125">
        <f>0</f>
        <v>0</v>
      </c>
      <c r="P223" s="3125">
        <f>0</f>
        <v>0</v>
      </c>
      <c r="Q223" s="3125">
        <f>0</f>
        <v>0</v>
      </c>
      <c r="R223" s="3125">
        <f>0</f>
        <v>0</v>
      </c>
      <c r="S223" s="3125">
        <f>0</f>
        <v>0</v>
      </c>
      <c r="T223" s="3125">
        <f>0</f>
        <v>0</v>
      </c>
      <c r="U223" s="3125">
        <f>0</f>
        <v>0</v>
      </c>
      <c r="V223" s="3125">
        <f>0</f>
        <v>0</v>
      </c>
      <c r="W223" s="3125">
        <f>0</f>
        <v>0</v>
      </c>
      <c r="X223" s="3125">
        <f>0</f>
        <v>0</v>
      </c>
      <c r="Y223" s="3125">
        <f>0</f>
        <v>0</v>
      </c>
      <c r="Z223" s="3125">
        <f>0</f>
        <v>0</v>
      </c>
      <c r="AA223" s="3125">
        <f>0</f>
        <v>0</v>
      </c>
      <c r="AB223" s="3125">
        <f>0</f>
        <v>0</v>
      </c>
      <c r="AC223" s="3125">
        <f>0</f>
        <v>0</v>
      </c>
      <c r="AD223" s="3125">
        <f>0</f>
        <v>0</v>
      </c>
      <c r="AE223" s="3125">
        <f>0</f>
        <v>0</v>
      </c>
      <c r="AF223" s="3125">
        <f>0</f>
        <v>0</v>
      </c>
      <c r="AG223" s="3125">
        <f>0</f>
        <v>0</v>
      </c>
      <c r="AH223" s="3125">
        <f>0</f>
        <v>0</v>
      </c>
      <c r="AI223" s="3125">
        <f>i_N_CB</f>
        <v>0.01</v>
      </c>
      <c r="AJ223" s="3126">
        <f>0</f>
        <v>0</v>
      </c>
      <c r="AK223" s="3125">
        <f>0</f>
        <v>0</v>
      </c>
      <c r="AL223" s="3125">
        <f>0</f>
        <v>0</v>
      </c>
      <c r="AM223" s="3125">
        <f>0</f>
        <v>0</v>
      </c>
      <c r="AN223" s="3125">
        <f>0</f>
        <v>0</v>
      </c>
      <c r="AO223" s="3125">
        <f>i_P_CB</f>
        <v>2E-3</v>
      </c>
      <c r="AP223" s="3126">
        <f>0</f>
        <v>0</v>
      </c>
      <c r="AQ223" s="3125">
        <f>0</f>
        <v>0</v>
      </c>
      <c r="AR223" s="3125">
        <f>0</f>
        <v>0</v>
      </c>
      <c r="AS223" s="3125">
        <f>0</f>
        <v>0</v>
      </c>
      <c r="AT223" s="3125">
        <f>0</f>
        <v>0</v>
      </c>
      <c r="AU223" s="3125">
        <f>0</f>
        <v>0</v>
      </c>
      <c r="AV223" s="3125">
        <f>0</f>
        <v>0</v>
      </c>
      <c r="AW223" s="3125">
        <f>0</f>
        <v>0</v>
      </c>
      <c r="AX223" s="3125">
        <f>0</f>
        <v>0</v>
      </c>
      <c r="AY223" s="3125">
        <f>0</f>
        <v>0</v>
      </c>
      <c r="AZ223" s="3125">
        <f>0</f>
        <v>0</v>
      </c>
      <c r="BA223" s="3125">
        <f>0</f>
        <v>0</v>
      </c>
      <c r="BB223" s="3125">
        <f>0</f>
        <v>0</v>
      </c>
      <c r="BC223" s="3125">
        <f>i_S_CB-i_S_XB</f>
        <v>0</v>
      </c>
      <c r="BD223" s="3125">
        <f>0</f>
        <v>0</v>
      </c>
      <c r="BE223" s="3125">
        <f>0</f>
        <v>0</v>
      </c>
      <c r="BF223" s="3125">
        <f>0</f>
        <v>0</v>
      </c>
      <c r="BG223" s="3125">
        <f>0</f>
        <v>0</v>
      </c>
      <c r="BH223" s="3125">
        <f>0</f>
        <v>0</v>
      </c>
      <c r="BI223" s="3125">
        <f>0</f>
        <v>0</v>
      </c>
      <c r="BJ223" s="3125">
        <f>0</f>
        <v>0</v>
      </c>
      <c r="BK223" s="3125">
        <f>0</f>
        <v>0</v>
      </c>
      <c r="BL223" s="3125">
        <f>0</f>
        <v>0</v>
      </c>
      <c r="BM223" s="3125">
        <f>0</f>
        <v>0</v>
      </c>
      <c r="BN223" s="3125">
        <f>0</f>
        <v>0</v>
      </c>
      <c r="BO223" s="3125">
        <f>0</f>
        <v>0</v>
      </c>
      <c r="BP223" s="3125">
        <f>0</f>
        <v>0</v>
      </c>
      <c r="BQ223" s="3125">
        <f>0</f>
        <v>0</v>
      </c>
      <c r="BR223" s="3125">
        <f>0</f>
        <v>0</v>
      </c>
      <c r="BS223" s="3125">
        <f>0</f>
        <v>0</v>
      </c>
      <c r="BT223" s="3125">
        <f>0</f>
        <v>0</v>
      </c>
      <c r="BU223" s="3125">
        <f>0</f>
        <v>0</v>
      </c>
      <c r="BV223" s="3125">
        <f>0</f>
        <v>0</v>
      </c>
      <c r="BW223" s="3125">
        <f>0</f>
        <v>0</v>
      </c>
      <c r="BX223" s="3125">
        <f>0</f>
        <v>0</v>
      </c>
      <c r="BY223" s="3125">
        <f>0</f>
        <v>0</v>
      </c>
      <c r="BZ223" s="3126">
        <f>0</f>
        <v>0</v>
      </c>
      <c r="CA223" s="3126">
        <f>0</f>
        <v>0</v>
      </c>
      <c r="CB223" s="3126">
        <f>0</f>
        <v>0</v>
      </c>
      <c r="CC223" s="3126">
        <f>0</f>
        <v>0</v>
      </c>
      <c r="CD223" s="3125">
        <f>0</f>
        <v>0</v>
      </c>
      <c r="CE223" s="3125">
        <f>0</f>
        <v>0</v>
      </c>
      <c r="CF223" s="3125">
        <f>0</f>
        <v>0</v>
      </c>
      <c r="CG223" s="3125">
        <f>0</f>
        <v>0</v>
      </c>
      <c r="CH223" s="3125">
        <f>0</f>
        <v>0</v>
      </c>
      <c r="CI223" s="3125">
        <f>0</f>
        <v>0</v>
      </c>
      <c r="CJ223" s="3125">
        <f>0</f>
        <v>0</v>
      </c>
      <c r="CK223" s="3125">
        <f>0</f>
        <v>0</v>
      </c>
      <c r="CL223" s="3125">
        <f>0</f>
        <v>0</v>
      </c>
      <c r="CM223" s="3125">
        <f>0</f>
        <v>0</v>
      </c>
      <c r="CN223" s="3125">
        <f>0</f>
        <v>0</v>
      </c>
      <c r="CO223" s="3125">
        <f>0</f>
        <v>0</v>
      </c>
      <c r="CP223" s="3125">
        <f>0</f>
        <v>0</v>
      </c>
      <c r="CQ223" s="3125">
        <f>0</f>
        <v>0</v>
      </c>
      <c r="CR223" s="3125">
        <f>0</f>
        <v>0</v>
      </c>
      <c r="CS223" s="3125">
        <f>0</f>
        <v>0</v>
      </c>
      <c r="CT223" s="3125">
        <f>0</f>
        <v>0</v>
      </c>
      <c r="CU223" s="3125">
        <f>0</f>
        <v>0</v>
      </c>
      <c r="CV223" s="3232">
        <f>q_FLOC_T*X_BIO*M_satCB_KCB_FLOC+q_FLOC_HFO_T*X_HFO*M_satCB_KCB_FLOC_HFO*B_ellinhpH_FLOC_HFO+q_FLOC_HAO_T*X_HAO*M_satCB_KCB_FLOC_HAO*B_ellinhpH_FLOC_HAO</f>
        <v>1.2788578158496486</v>
      </c>
      <c r="CX223" s="2838">
        <f>E287*E223+F287*F223+G287*G223+H287*H223+I287*I223+J287*J223+K287*K223+L287*L223+M287*M223+N287*N223+O287*O223+P287*P223+Q287*Q223+R287*R223+S287*S223+T287*T223+U287*U223+V287*V223+W287*W223+X287*X223+Y287*Y223+Z287*Z223+AA287*AA223+AB287*AB223+AC287*AC223+AD287*AD223+AE287*AE223+AF287*AF223+AG287*AG223+AH287*AH223+AI287*AI223+AJ287*AJ223+AK287*AK223+AL287*AL223+AM287*AM223+AN287*AN223+AO287*AO223+AP287*AP223+AQ287*AQ223+AR287*AR223+AS287*AS223+AT287*AT223+AU287*AU223+AV287*AV223+AW287*AW223+AX287*AX223+AY287*AY223+AZ287*AZ223+BA287*BA223+BB287*BB223+BC287*BC223+BD287*BD223+BE287*BE223+BF287*BF223+BG287*BG223+BH287*BH223+BI287*BI223+BJ287*BJ223+BK287*BK223+BL287*BL223+BM287*BM223+BN287*BN223+BO287*BO223+BP287*BP223+BQ287*BQ223+BR287*BR223+BS287*BS223+BT287*BT223+BU287*BU223+BV287*BV223+BW287*BW223+BX287*BX223+BY287*BY223+BZ287*BZ223+CA287*CA223+CB287*CB223+CC287*CC223+CD287*CD223+CE287*CE223+CF287*CF223+CG287*CG223+CH287*CH223+CI287*CI223+CJ287*CJ223+CK287*CK223+CL287*CL223+CM287*CM223+CN287*CN223+CO287*CO223+CP287*CP223+CQ287*CQ223+CR287*CR223+CS287*CS223+CT287*CT223+CU287*CU223</f>
        <v>0</v>
      </c>
      <c r="CY223" s="2838">
        <f>E288*E223+F288*F223+G288*G223+H288*H223+I288*I223+J288*J223+K288*K223+L288*L223+M288*M223+N288*N223+O288*O223+P288*P223+Q288*Q223+R288*R223+S288*S223+T288*T223+U288*U223+V288*V223+W288*W223+X288*X223+Y288*Y223+Z288*Z223+AA288*AA223+AB288*AB223+AC288*AC223+AD288*AD223+AE288*AE223+AF288*AF223+AG288*AG223+AH288*AH223+AI288*AI223+AJ288*AJ223+AK288*AK223+AL288*AL223+AM288*AM223+AN288*AN223+AO288*AO223+AP288*AP223+AQ288*AQ223+AR288*AR223+AS288*AS223+AT288*AT223+AU288*AU223+AV288*AV223+AW288*AW223+AX288*AX223+AY288*AY223+AZ288*AZ223+BA288*BA223+BB288*BB223+BC288*BC223+BD288*BD223+BE288*BE223+BF288*BF223+BG288*BG223+BH288*BH223+BI288*BI223+BJ288*BJ223+BK288*BK223+BL288*BL223+BM288*BM223+BN288*BN223+BO288*BO223+BP288*BP223+BQ288*BQ223+BR288*BR223+BS288*BS223+BT288*BT223+BU288*BU223+BV288*BV223+BW288*BW223+BX288*BX223+BY288*BY223+BZ288*BZ223+CA288*CA223+CB288*CB223+CC288*CC223+CD288*CD223+CE288*CE223+CF288*CF223+CG288*CG223+CH288*CH223+CI288*CI223+CJ288*CJ223+CK288*CK223+CL288*CL223+CM288*CM223+CN288*CN223+CO288*CO223+CP288*CP223+CQ288*CQ223+CR288*CR223+CS288*CS223+CT288*CT223+CU288*CU223</f>
        <v>0</v>
      </c>
      <c r="CZ223" s="2839">
        <f>E289*E223+F289*F223+G289*G223+H289*H223+I289*I223+J289*J223+K289*K223+L289*L223+M289*M223+N289*N223+O289*O223+P289*P223+Q289*Q223+R289*R223+S289*S223+T289*T223+U289*U223+V289*V223+W289*W223+X289*X223+Y289*Y223+Z289*Z223+AA289*AA223+AB289*AB223+AC289*AC223+AD289*AD223+AE289*AE223+AF289*AF223+AG289*AG223+AH289*AH223+AI289*AI223+AJ289*AJ223+AK289*AK223+AL289*AL223+AM289*AM223+AN289*AN223+AO289*AO223+AP289*AP223+AQ289*AQ223+AR289*AR223+AS289*AS223+AT289*AT223+AU289*AU223+AV289*AV223+AW289*AW223+AX289*AX223+AY289*AY223+AZ289*AZ223+BA289*BA223+BB289*BB223+BC289*BC223+BD289*BD223+BE289*BE223+BF289*BF223+BG289*BG223+BH289*BH223+BI289*BI223+BJ289*BJ223+BK289*BK223+BL289*BL223+BM289*BM223+BN289*BN223+BO289*BO223+BP289*BP223+BQ289*BQ223+BR289*BR223+BS289*BS223+BT289*BT223+BU289*BU223+BV289*BV223+BW289*BW223+BX289*BX223+BY289*BY223+BZ289*BZ223+CA289*CA223+CB289*CB223+CC289*CC223+CD289*CD223+CE289*CE223+CF289*CF223+CG289*CG223+CH289*CH223+CI289*CI223+CJ289*CJ223+CK289*CK223+CL289*CL223+CM289*CM223+CN289*CN223+CO289*CO223+CP289*CP223+CQ289*CQ223+CR289*CR223+CS289*CS223+CT289*CT223+CU289*CU223</f>
        <v>0</v>
      </c>
      <c r="DA223" s="2840">
        <f>E290*E223+F290*F223+G290*G223+H290*H223+I290*I223+J290*J223+K290*K223+L290*L223+M290*M223+N290*N223+O290*O223+P290*P223+Q290*Q223+R290*R223+S290*S223+T290*T223+U290*U223+V290*V223+W290*W223+X290*X223+Y290*Y223+Z290*Z223+AA290*AA223+AB290*AB223+AC290*AC223+AD290*AD223+AE290*AE223+AF290*AF223+AG290*AG223+AH290*AH223+AI290*AI223+AJ290*AJ223+AK290*AK223+AL290*AL223+AM290*AM223+AN290*AN223+AO290*AO223+AP290*AP223+AQ290*AQ223+AR290*AR223+AS290*AS223+AT290*AT223+AU290*AU223+AV290*AV223+AW290*AW223+AX290*AX223+AY290*AY223+AZ290*AZ223+BA290*BA223+BB290*BB223+BC290*BC223+BD290*BD223+BE290*BE223+BF290*BF223+BG290*BG223+BH290*BH223+BI290*BI223+BJ290*BJ223+BK290*BK223+BL290*BL223+BM290*BM223+BN290*BN223+BO290*BO223+BP290*BP223+BQ290*BQ223+BR290*BR223+BS290*BS223+BT290*BT223+BU290*BU223+BV290*BV223+BW290*BW223+BX290*BX223+BY290*BY223+BZ290*BZ223+CA290*CA223+CB290*CB223+CC290*CC223+CD290*CD223+CE290*CE223+CF290*CF223+CG290*CG223+CH290*CH223+CI290*CI223+CJ290*CJ223+CK290*CK223+CL290*CL223+CM290*CM223+CN290*CN223+CO290*CO223+CP290*CP223+CQ290*CQ223+CR290*CR223+CS290*CS223+CT290*CT223+CU290*CU223</f>
        <v>0</v>
      </c>
      <c r="DB223" s="2840">
        <f>E291*E223+F291*F223+G291*G223+H291*H223+I291*I223+J291*J223+K291*K223+L291*L223+M291*M223+N291*N223+O291*O223+P291*P223+Q291*Q223+R291*R223+S291*S223+T291*T223+U291*U223+V291*V223+W291*W223+X291*X223+Y291*Y223+Z291*Z223+AA291*AA223+AB291*AB223+AC291*AC223+AD291*AD223+AE291*AE223+AF291*AF223+AG291*AG223+AH291*AH223+AI291*AI223+AJ291*AJ223+AK291*AK223+AL291*AL223+AM291*AM223+AN291*AN223+AO291*AO223+AP291*AP223+AQ291*AQ223+AR291*AR223+AS291*AS223+AT291*AT223+AU291*AU223+AV291*AV223+AW291*AW223+AX291*AX223+AY291*AY223+AZ291*AZ223+BA291*BA223+BB291*BB223+BC291*BC223+BD291*BD223+BE291*BE223+BF291*BF223+BG291*BG223+BH291*BH223+BI291*BI223+BJ291*BJ223+BK291*BK223+BL291*BL223+BM291*BM223+BN291*BN223+BO291*BO223+BP291*BP223+BQ291*BQ223+BR291*BR223+BS291*BS223+BT291*BT223+BU291*BU223+BV291*BV223+BW291*BW223+BX291*BX223+BY291*BY223+BZ291*BZ223+CA291*CA223+CB291*CB223+CC291*CC223+CD291*CD223+CE291*CE223+CF291*CF223+CG291*CG223+CH291*CH223+CI291*CI223+CJ291*CJ223+CK291*CK223+CL291*CL223+CM291*CM223+CN291*CN223+CO291*CO223+CP291*CP223+CQ291*CQ223+CR291*CR223+CS291*CS223+CT291*CT223+CU291*CU223</f>
        <v>0</v>
      </c>
      <c r="DC223" s="2840">
        <f>E292*E223+F292*F223+G292*G223+H292*H223+I292*I223+J292*J223+K292*K223+L292*L223+M292*M223+N292*N223+O292*O223+P292*P223+Q292*Q223+R292*R223+S292*S223+T292*T223+U292*U223+V292*V223+W292*W223+X292*X223+Y292*Y223+Z292*Z223+AA292*AA223+AB292*AB223+AC292*AC223+AD292*AD223+AE292*AE223+AF292*AF223+AG292*AG223+AH292*AH223+AI292*AI223+AJ292*AJ223+AK292*AK223+AL292*AL223+AM292*AM223+AN292*AN223+AO292*AO223+AP292*AP223+AQ292*AQ223+AR292*AR223+AS292*AS223+AT292*AT223+AU292*AU223+AV292*AV223+AW292*AW223+AX292*AX223+AY292*AY223+AZ292*AZ223+BA292*BA223+BB292*BB223+BC292*BC223+BD292*BD223+BE292*BE223+BF292*BF223+BG292*BG223+BH292*BH223+BI292*BI223+BJ292*BJ223+BK292*BK223+BL292*BL223+BM292*BM223+BN292*BN223+BO292*BO223+BP292*BP223+BQ292*BQ223+BR292*BR223+BS292*BS223+BT292*BT223+BU292*BU223+BV292*BV223+BW292*BW223+BX292*BX223+BY292*BY223+BZ292*BZ223+CA292*CA223+CB292*CB223+CC292*CC223+CD292*CD223+CE292*CE223+CF292*CF223+CG292*CG223+CH292*CH223+CI292*CI223+CJ292*CJ223+CK292*CK223+CL292*CL223+CM292*CM223+CN292*CN223+CO292*CO223+CP292*CP223+CQ292*CQ223+CR292*CR223+CS292*CS223+CT292*CT223+CU292*CU223</f>
        <v>0</v>
      </c>
      <c r="DD223" s="2840">
        <f>E293*E223+F293*F223+G293*G223+H293*H223+I293*I223+J293*J223+K293*K223+L293*L223+M293*M223+N293*N223+O293*O223+P293*P223+Q293*Q223+R293*R223+S293*S223+T293*T223+U293*U223+V293*V223+W293*W223+X293*X223+Y293*Y223+Z293*Z223+AA293*AA223+AB293*AB223+AC293*AC223+AD293*AD223+AE293*AE223+AF293*AF223+AG293*AG223+AH293*AH223+AI293*AI223+AJ293*AJ223+AK293*AK223+AL293*AL223+AM293*AM223+AN293*AN223+AO293*AO223+AP293*AP223+AQ293*AQ223+AR293*AR223+AS293*AS223+AT293*AT223+AU293*AU223+AV293*AV223+AW293*AW223+AX293*AX223+AY293*AY223+AZ293*AZ223+BA293*BA223+BB293*BB223+BC293*BC223+BD293*BD223+BE293*BE223+BF293*BF223+BG293*BG223+BH293*BH223+BI293*BI223+BJ293*BJ223+BK293*BK223+BL293*BL223+BM293*BM223+BN293*BN223+BO293*BO223+BP293*BP223+BQ293*BQ223+BR293*BR223+BS293*BS223+BT293*BT223+BU293*BU223+BV293*BV223+BW293*BW223+BX293*BX223+BY293*BY223+BZ293*BZ223+CA293*CA223+CB293*CB223+CC293*CC223+CD293*CD223+CE293*CE223+CF293*CF223+CG293*CG223+CH293*CH223+CI293*CI223+CJ293*CJ223+CK293*CK223+CL293*CL223+CM293*CM223+CN293*CN223+CO293*CO223+CP293*CP223+CQ293*CQ223+CR293*CR223+CS293*CS223+CT293*CT223+CU293*CU223</f>
        <v>0</v>
      </c>
      <c r="DE223" s="2840">
        <f>E294*E223+F294*F223+G294*G223+H294*H223+I294*I223+J294*J223+K294*K223+L294*L223+M294*M223+N294*N223+O294*O223+P294*P223+Q294*Q223+R294*R223+S294*S223+T294*T223+U294*U223+V294*V223+W294*W223+X294*X223+Y294*Y223+Z294*Z223+AA294*AA223+AB294*AB223+AC294*AC223+AD294*AD223+AE294*AE223+AF294*AF223+AG294*AG223+AH294*AH223+AI294*AI223+AJ294*AJ223+AK294*AK223+AL294*AL223+AM294*AM223+AN294*AN223+AO294*AO223+AP294*AP223+AQ294*AQ223+AR294*AR223+AS294*AS223+AT294*AT223+AU294*AU223+AV294*AV223+AW294*AW223+AX294*AX223+AY294*AY223+AZ294*AZ223+BA294*BA223+BB294*BB223+BC294*BC223+BD294*BD223+BE294*BE223+BF294*BF223+BG294*BG223+BH294*BH223+BI294*BI223+BJ294*BJ223+BK294*BK223+BL294*BL223+BM294*BM223+BN294*BN223+BO294*BO223+BP294*BP223+BQ294*BQ223+BR294*BR223+BS294*BS223+BT294*BT223+BU294*BU223+BV294*BV223+BW294*BW223+BX294*BX223+BY294*BY223+BZ294*BZ223+CA294*CA223+CB294*CB223+CC294*CC223+CD294*CD223+CE294*CE223+CF294*CF223+CG294*CG223+CH294*CH223+CI294*CI223+CJ294*CJ223+CK294*CK223+CL294*CL223+CM294*CM223+CN294*CN223+CO294*CO223+CP294*CP223+CQ294*CQ223+CR294*CR223+CS294*CS223+CT294*CT223+CU294*CU223</f>
        <v>0</v>
      </c>
      <c r="DF223" s="2840">
        <f>E295*E223+F295*F223+G295*G223+H295*H223+I295*I223+J295*J223+K295*K223+L295*L223+M295*M223+N295*N223+O295*O223+P295*P223+Q295*Q223+R295*R223+S295*S223+T295*T223+U295*U223+V295*V223+W295*W223+X295*X223+Y295*Y223+Z295*Z223+AA295*AA223+AB295*AB223+AC295*AC223+AD295*AD223+AE295*AE223+AF295*AF223+AG295*AG223+AH295*AH223+AI295*AI223+AJ295*AJ223+AK295*AK223+AL295*AL223+AM295*AM223+AN295*AN223+AO295*AO223+AP295*AP223+AQ295*AQ223+AR295*AR223+AS295*AS223+AT295*AT223+AU295*AU223+AV295*AV223+AW295*AW223+AX295*AX223+AY295*AY223+AZ295*AZ223+BA295*BA223+BB295*BB223+BC295*BC223+BD295*BD223+BE295*BE223+BF295*BF223+BG295*BG223+BH295*BH223+BI295*BI223+BJ295*BJ223+BK295*BK223+BL295*BL223+BM295*BM223+BN295*BN223+BO295*BO223+BP295*BP223+BQ295*BQ223+BR295*BR223+BS295*BS223+BT295*BT223+BU295*BU223+BV295*BV223+BW295*BW223+BX295*BX223+BY295*BY223+BZ295*BZ223+CA295*CA223+CB295*CB223+CC295*CC223+CD295*CD223+CE295*CE223+CF295*CF223+CG295*CG223+CH295*CH223+CI295*CI223+CJ295*CJ223+CK295*CK223+CL295*CL223+CM295*CM223+CN295*CN223+CO295*CO223+CP295*CP223+CQ295*CQ223+CR295*CR223+CS295*CS223+CT295*CT223+CU295*CU223</f>
        <v>0</v>
      </c>
      <c r="DG223" s="2840">
        <f>E296*E223+F296*F223+G296*G223+H296*H223+I296*I223+J296*J223+K296*K223+L296*L223+M296*M223+N296*N223+O296*O223+P296*P223+Q296*Q223+R296*R223+S296*S223+T296*T223+U296*U223+V296*V223+W296*W223+X296*X223+Y296*Y223+Z296*Z223+AA296*AA223+AB296*AB223+AC296*AC223+AD296*AD223+AE296*AE223+AF296*AF223+AG296*AG223+AH296*AH223+AI296*AI223+AJ296*AJ223+AK296*AK223+AL296*AL223+AM296*AM223+AN296*AN223+AO296*AO223+AP296*AP223+AQ296*AQ223+AR296*AR223+AS296*AS223+AT296*AT223+AU296*AU223+AV296*AV223+AW296*AW223+AX296*AX223+AY296*AY223+AZ296*AZ223+BA296*BA223+BB296*BB223+BC296*BC223+BD296*BD223+BE296*BE223+BF296*BF223+BG296*BG223+BH296*BH223+BI296*BI223+BJ296*BJ223+BK296*BK223+BL296*BL223+BM296*BM223+BN296*BN223+BO296*BO223+BP296*BP223+BQ296*BQ223+BR296*BR223+BS296*BS223+BT296*BT223+BU296*BU223+BV296*BV223+BW296*BW223+BX296*BX223+BY296*BY223+BZ296*BZ223+CA296*CA223+CB296*CB223+CC296*CC223+CD296*CD223+CE296*CE223+CF296*CF223+CG296*CG223+CH296*CH223+CI296*CI223+CJ296*CJ223+CK296*CK223+CL296*CL223+CM296*CM223+CN296*CN223+CO296*CO223+CP296*CP223+CQ296*CQ223+CR296*CR223+CS296*CS223+CT296*CT223+CU296*CU223</f>
        <v>0</v>
      </c>
      <c r="DH223" s="2840">
        <f>E297*E223+F297*F223+G297*G223+H297*H223+I297*I223+J297*J223+K297*K223+L297*L223+M297*M223+N297*N223+O297*O223+P297*P223+Q297*Q223+R297*R223+S297*S223+T297*T223+U297*U223+V297*V223+W297*W223+X297*X223+Y297*Y223+Z297*Z223+AA297*AA223+AB297*AB223+AC297*AC223+AD297*AD223+AE297*AE223+AF297*AF223+AG297*AG223+AH297*AH223+AI297*AI223+AJ297*AJ223+AK297*AK223+AL297*AL223+AM297*AM223+AN297*AN223+AO297*AO223+AP297*AP223+AQ297*AQ223+AR297*AR223+AS297*AS223+AT297*AT223+AU297*AU223+AV297*AV223+AW297*AW223+AX297*AX223+AY297*AY223+AZ297*AZ223+BA297*BA223+BB297*BB223+BC297*BC223+BD297*BD223+BE297*BE223+BF297*BF223+BG297*BG223+BH297*BH223+BI297*BI223+BJ297*BJ223+BK297*BK223+BL297*BL223+BM297*BM223+BN297*BN223+BO297*BO223+BP297*BP223+BQ297*BQ223+BR297*BR223+BS297*BS223+BT297*BT223+BU297*BU223+BV297*BV223+BW297*BW223+BX297*BX223+BY297*BY223+BZ297*BZ223+CA297*CA223+CB297*CB223+CC297*CC223+CD297*CD223+CE297*CE223+CF297*CF223+CG297*CG223+CH297*CH223+CI297*CI223+CJ297*CJ223+CK297*CK223+CL297*CL223+CM297*CM223+CN297*CN223+CO297*CO223+CP297*CP223+CQ297*CQ223+CR297*CR223+CS297*CS223+CT297*CT223+CU297*CU223</f>
        <v>0</v>
      </c>
      <c r="DI223" s="2840">
        <f>E298*E223+F298*F223+G298*G223+H298*H223+I298*I223+J298*J223+K298*K223+L298*L223+M298*M223+N298*N223+O298*O223+P298*P223+Q298*Q223+R298*R223+S298*S223+T298*T223+U298*U223+V298*V223+W298*W223+X298*X223+Y298*Y223+Z298*Z223+AA298*AA223+AB298*AB223+AC298*AC223+AD298*AD223+AE298*AE223+AF298*AF223+AG298*AG223+AH298*AH223+AI298*AI223+AJ298*AJ223+AK298*AK223+AL298*AL223+AM298*AM223+AN298*AN223+AO298*AO223+AP298*AP223+AQ298*AQ223+AR298*AR223+AS298*AS223+AT298*AT223+AU298*AU223+AV298*AV223+AW298*AW223+AX298*AX223+AY298*AY223+AZ298*AZ223+BA298*BA223+BB298*BB223+BC298*BC223+BD298*BD223+BE298*BE223+BF298*BF223+BG298*BG223+BH298*BH223+BI298*BI223+BJ298*BJ223+BK298*BK223+BL298*BL223+BM298*BM223+BN298*BN223+BO298*BO223+BP298*BP223+BQ298*BQ223+BR298*BR223+BS298*BS223+BT298*BT223+BU298*BU223+BV298*BV223+BW298*BW223+BX298*BX223+BY298*BY223+BZ298*BZ223+CA298*CA223+CB298*CB223+CC298*CC223+CD298*CD223+CE298*CE223+CF298*CF223+CG298*CG223+CH298*CH223+CI298*CI223+CJ298*CJ223+CK298*CK223+CL298*CL223+CM298*CM223+CN298*CN223+CO298*CO223+CP298*CP223+CQ298*CQ223+CR298*CR223+CS298*CS223+CT298*CT223+CU298*CU223</f>
        <v>0</v>
      </c>
    </row>
    <row r="224" spans="2:113" ht="18" x14ac:dyDescent="0.25">
      <c r="B224" s="2510">
        <v>71</v>
      </c>
      <c r="C224" s="2444" t="s">
        <v>2432</v>
      </c>
      <c r="D224" s="2445" t="s">
        <v>1678</v>
      </c>
      <c r="E224" s="3125">
        <f>0</f>
        <v>0</v>
      </c>
      <c r="F224" s="3125">
        <f>0</f>
        <v>0</v>
      </c>
      <c r="G224" s="3125">
        <f>0</f>
        <v>0</v>
      </c>
      <c r="H224" s="3125">
        <f>0</f>
        <v>0</v>
      </c>
      <c r="I224" s="3125">
        <f>0</f>
        <v>0</v>
      </c>
      <c r="J224" s="3126">
        <f>0</f>
        <v>0</v>
      </c>
      <c r="K224" s="3125">
        <f>0</f>
        <v>0</v>
      </c>
      <c r="L224" s="3125">
        <f>-1</f>
        <v>-1</v>
      </c>
      <c r="M224" s="3125">
        <f>1</f>
        <v>1</v>
      </c>
      <c r="N224" s="3125">
        <f>0</f>
        <v>0</v>
      </c>
      <c r="O224" s="3125">
        <f>0</f>
        <v>0</v>
      </c>
      <c r="P224" s="3125">
        <f>0</f>
        <v>0</v>
      </c>
      <c r="Q224" s="3125">
        <f>0</f>
        <v>0</v>
      </c>
      <c r="R224" s="3125">
        <f>0</f>
        <v>0</v>
      </c>
      <c r="S224" s="3125">
        <f>0</f>
        <v>0</v>
      </c>
      <c r="T224" s="3125">
        <f>0</f>
        <v>0</v>
      </c>
      <c r="U224" s="3125">
        <f>0</f>
        <v>0</v>
      </c>
      <c r="V224" s="3125">
        <f>0</f>
        <v>0</v>
      </c>
      <c r="W224" s="3125">
        <f>0</f>
        <v>0</v>
      </c>
      <c r="X224" s="3125">
        <f>0</f>
        <v>0</v>
      </c>
      <c r="Y224" s="3125">
        <f>0</f>
        <v>0</v>
      </c>
      <c r="Z224" s="3125">
        <f>0</f>
        <v>0</v>
      </c>
      <c r="AA224" s="3125">
        <f>0</f>
        <v>0</v>
      </c>
      <c r="AB224" s="3125">
        <f>0</f>
        <v>0</v>
      </c>
      <c r="AC224" s="3125">
        <f>0</f>
        <v>0</v>
      </c>
      <c r="AD224" s="3125">
        <f>0</f>
        <v>0</v>
      </c>
      <c r="AE224" s="3125">
        <f>0</f>
        <v>0</v>
      </c>
      <c r="AF224" s="3125">
        <f>0</f>
        <v>0</v>
      </c>
      <c r="AG224" s="3125">
        <f>0</f>
        <v>0</v>
      </c>
      <c r="AH224" s="3125">
        <f>0</f>
        <v>0</v>
      </c>
      <c r="AI224" s="3125">
        <f>0</f>
        <v>0</v>
      </c>
      <c r="AJ224" s="3126">
        <f>0</f>
        <v>0</v>
      </c>
      <c r="AK224" s="3125">
        <f>i_N_CU</f>
        <v>0.01</v>
      </c>
      <c r="AL224" s="3125">
        <f>0</f>
        <v>0</v>
      </c>
      <c r="AM224" s="3125">
        <f>0</f>
        <v>0</v>
      </c>
      <c r="AN224" s="3125">
        <f>0</f>
        <v>0</v>
      </c>
      <c r="AO224" s="3125">
        <f>0</f>
        <v>0</v>
      </c>
      <c r="AP224" s="3126">
        <f>0</f>
        <v>0</v>
      </c>
      <c r="AQ224" s="3125">
        <f>i_P_CU</f>
        <v>2E-3</v>
      </c>
      <c r="AR224" s="3125">
        <f>0</f>
        <v>0</v>
      </c>
      <c r="AS224" s="3125">
        <f>0</f>
        <v>0</v>
      </c>
      <c r="AT224" s="3125">
        <f>0</f>
        <v>0</v>
      </c>
      <c r="AU224" s="3125">
        <f>0</f>
        <v>0</v>
      </c>
      <c r="AV224" s="3125">
        <f>0</f>
        <v>0</v>
      </c>
      <c r="AW224" s="3125">
        <f>0</f>
        <v>0</v>
      </c>
      <c r="AX224" s="3125">
        <f>0</f>
        <v>0</v>
      </c>
      <c r="AY224" s="3125">
        <f>0</f>
        <v>0</v>
      </c>
      <c r="AZ224" s="3125">
        <f>0</f>
        <v>0</v>
      </c>
      <c r="BA224" s="3125">
        <f>0</f>
        <v>0</v>
      </c>
      <c r="BB224" s="3125">
        <f>0</f>
        <v>0</v>
      </c>
      <c r="BC224" s="3125">
        <f>i_S_CU-i_S_XU</f>
        <v>0</v>
      </c>
      <c r="BD224" s="3125">
        <f>0</f>
        <v>0</v>
      </c>
      <c r="BE224" s="3125">
        <f>0</f>
        <v>0</v>
      </c>
      <c r="BF224" s="3125">
        <f>0</f>
        <v>0</v>
      </c>
      <c r="BG224" s="3125">
        <f>0</f>
        <v>0</v>
      </c>
      <c r="BH224" s="3125">
        <f>0</f>
        <v>0</v>
      </c>
      <c r="BI224" s="3125">
        <f>0</f>
        <v>0</v>
      </c>
      <c r="BJ224" s="3125">
        <f>0</f>
        <v>0</v>
      </c>
      <c r="BK224" s="3125">
        <f>0</f>
        <v>0</v>
      </c>
      <c r="BL224" s="3125">
        <f>0</f>
        <v>0</v>
      </c>
      <c r="BM224" s="3125">
        <f>0</f>
        <v>0</v>
      </c>
      <c r="BN224" s="3125">
        <f>0</f>
        <v>0</v>
      </c>
      <c r="BO224" s="3125">
        <f>0</f>
        <v>0</v>
      </c>
      <c r="BP224" s="3125">
        <f>0</f>
        <v>0</v>
      </c>
      <c r="BQ224" s="3125">
        <f>0</f>
        <v>0</v>
      </c>
      <c r="BR224" s="3125">
        <f>0</f>
        <v>0</v>
      </c>
      <c r="BS224" s="3125">
        <f>0</f>
        <v>0</v>
      </c>
      <c r="BT224" s="3125">
        <f>0</f>
        <v>0</v>
      </c>
      <c r="BU224" s="3125">
        <f>0</f>
        <v>0</v>
      </c>
      <c r="BV224" s="3125">
        <f>0</f>
        <v>0</v>
      </c>
      <c r="BW224" s="3125">
        <f>0</f>
        <v>0</v>
      </c>
      <c r="BX224" s="3125">
        <f>0</f>
        <v>0</v>
      </c>
      <c r="BY224" s="3125">
        <f>0</f>
        <v>0</v>
      </c>
      <c r="BZ224" s="3126">
        <f>0</f>
        <v>0</v>
      </c>
      <c r="CA224" s="3126">
        <f>0</f>
        <v>0</v>
      </c>
      <c r="CB224" s="3126">
        <f>0</f>
        <v>0</v>
      </c>
      <c r="CC224" s="3126">
        <f>0</f>
        <v>0</v>
      </c>
      <c r="CD224" s="3125">
        <f>0</f>
        <v>0</v>
      </c>
      <c r="CE224" s="3125">
        <f>0</f>
        <v>0</v>
      </c>
      <c r="CF224" s="3125">
        <f>0</f>
        <v>0</v>
      </c>
      <c r="CG224" s="3125">
        <f>0</f>
        <v>0</v>
      </c>
      <c r="CH224" s="3125">
        <f>0</f>
        <v>0</v>
      </c>
      <c r="CI224" s="3125">
        <f>0</f>
        <v>0</v>
      </c>
      <c r="CJ224" s="3125">
        <f>0</f>
        <v>0</v>
      </c>
      <c r="CK224" s="3125">
        <f>0</f>
        <v>0</v>
      </c>
      <c r="CL224" s="3125">
        <f>0</f>
        <v>0</v>
      </c>
      <c r="CM224" s="3125">
        <f>0</f>
        <v>0</v>
      </c>
      <c r="CN224" s="3125">
        <f>0</f>
        <v>0</v>
      </c>
      <c r="CO224" s="3125">
        <f>0</f>
        <v>0</v>
      </c>
      <c r="CP224" s="3125">
        <f>0</f>
        <v>0</v>
      </c>
      <c r="CQ224" s="3125">
        <f>0</f>
        <v>0</v>
      </c>
      <c r="CR224" s="3125">
        <f>0</f>
        <v>0</v>
      </c>
      <c r="CS224" s="3125">
        <f>0</f>
        <v>0</v>
      </c>
      <c r="CT224" s="3125">
        <f>0</f>
        <v>0</v>
      </c>
      <c r="CU224" s="3125">
        <f>0</f>
        <v>0</v>
      </c>
      <c r="CV224" s="3232">
        <f>q_FLOC_T*X_BIO*M_satCU_KCU_FLOC+q_FLOC_HFO_T*X_HFO*M_satCU_KCU_FLOC_HFO*B_ellinhpH_FLOC_HFO+q_FLOC_HAO_T*X_HAO*M_satCU_KCU_FLOC_HAO*B_ellinhpH_FLOC_HAO</f>
        <v>6.3436412449571673</v>
      </c>
      <c r="CX224" s="2838">
        <f>E287*E224+F287*F224+G287*G224+H287*H224+I287*I224+J287*J224+K287*K224+L287*L224+M287*M224+N287*N224+O287*O224+P287*P224+Q287*Q224+R287*R224+S287*S224+T287*T224+U287*U224+V287*V224+W287*W224+X287*X224+Y287*Y224+Z287*Z224+AA287*AA224+AB287*AB224+AC287*AC224+AD287*AD224+AE287*AE224+AF287*AF224+AG287*AG224+AH287*AH224+AI287*AI224+AJ287*AJ224+AK287*AK224+AL287*AL224+AM287*AM224+AN287*AN224+AO287*AO224+AP287*AP224+AQ287*AQ224+AR287*AR224+AS287*AS224+AT287*AT224+AU287*AU224+AV287*AV224+AW287*AW224+AX287*AX224+AY287*AY224+AZ287*AZ224+BA287*BA224+BB287*BB224+BC287*BC224+BD287*BD224+BE287*BE224+BF287*BF224+BG287*BG224+BH287*BH224+BI287*BI224+BJ287*BJ224+BK287*BK224+BL287*BL224+BM287*BM224+BN287*BN224+BO287*BO224+BP287*BP224+BQ287*BQ224+BR287*BR224+BS287*BS224+BT287*BT224+BU287*BU224+BV287*BV224+BW287*BW224+BX287*BX224+BY287*BY224+BZ287*BZ224+CA287*CA224+CB287*CB224+CC287*CC224+CD287*CD224+CE287*CE224+CF287*CF224+CG287*CG224+CH287*CH224+CI287*CI224+CJ287*CJ224+CK287*CK224+CL287*CL224+CM287*CM224+CN287*CN224+CO287*CO224+CP287*CP224+CQ287*CQ224+CR287*CR224+CS287*CS224+CT287*CT224+CU287*CU224</f>
        <v>0</v>
      </c>
      <c r="CY224" s="2838">
        <f>E288*E224+F288*F224+G288*G224+H288*H224+I288*I224+J288*J224+K288*K224+L288*L224+M288*M224+N288*N224+O288*O224+P288*P224+Q288*Q224+R288*R224+S288*S224+T288*T224+U288*U224+V288*V224+W288*W224+X288*X224+Y288*Y224+Z288*Z224+AA288*AA224+AB288*AB224+AC288*AC224+AD288*AD224+AE288*AE224+AF288*AF224+AG288*AG224+AH288*AH224+AI288*AI224+AJ288*AJ224+AK288*AK224+AL288*AL224+AM288*AM224+AN288*AN224+AO288*AO224+AP288*AP224+AQ288*AQ224+AR288*AR224+AS288*AS224+AT288*AT224+AU288*AU224+AV288*AV224+AW288*AW224+AX288*AX224+AY288*AY224+AZ288*AZ224+BA288*BA224+BB288*BB224+BC288*BC224+BD288*BD224+BE288*BE224+BF288*BF224+BG288*BG224+BH288*BH224+BI288*BI224+BJ288*BJ224+BK288*BK224+BL288*BL224+BM288*BM224+BN288*BN224+BO288*BO224+BP288*BP224+BQ288*BQ224+BR288*BR224+BS288*BS224+BT288*BT224+BU288*BU224+BV288*BV224+BW288*BW224+BX288*BX224+BY288*BY224+BZ288*BZ224+CA288*CA224+CB288*CB224+CC288*CC224+CD288*CD224+CE288*CE224+CF288*CF224+CG288*CG224+CH288*CH224+CI288*CI224+CJ288*CJ224+CK288*CK224+CL288*CL224+CM288*CM224+CN288*CN224+CO288*CO224+CP288*CP224+CQ288*CQ224+CR288*CR224+CS288*CS224+CT288*CT224+CU288*CU224</f>
        <v>0</v>
      </c>
      <c r="CZ224" s="2839">
        <f>E289*E224+F289*F224+G289*G224+H289*H224+I289*I224+J289*J224+K289*K224+L289*L224+M289*M224+N289*N224+O289*O224+P289*P224+Q289*Q224+R289*R224+S289*S224+T289*T224+U289*U224+V289*V224+W289*W224+X289*X224+Y289*Y224+Z289*Z224+AA289*AA224+AB289*AB224+AC289*AC224+AD289*AD224+AE289*AE224+AF289*AF224+AG289*AG224+AH289*AH224+AI289*AI224+AJ289*AJ224+AK289*AK224+AL289*AL224+AM289*AM224+AN289*AN224+AO289*AO224+AP289*AP224+AQ289*AQ224+AR289*AR224+AS289*AS224+AT289*AT224+AU289*AU224+AV289*AV224+AW289*AW224+AX289*AX224+AY289*AY224+AZ289*AZ224+BA289*BA224+BB289*BB224+BC289*BC224+BD289*BD224+BE289*BE224+BF289*BF224+BG289*BG224+BH289*BH224+BI289*BI224+BJ289*BJ224+BK289*BK224+BL289*BL224+BM289*BM224+BN289*BN224+BO289*BO224+BP289*BP224+BQ289*BQ224+BR289*BR224+BS289*BS224+BT289*BT224+BU289*BU224+BV289*BV224+BW289*BW224+BX289*BX224+BY289*BY224+BZ289*BZ224+CA289*CA224+CB289*CB224+CC289*CC224+CD289*CD224+CE289*CE224+CF289*CF224+CG289*CG224+CH289*CH224+CI289*CI224+CJ289*CJ224+CK289*CK224+CL289*CL224+CM289*CM224+CN289*CN224+CO289*CO224+CP289*CP224+CQ289*CQ224+CR289*CR224+CS289*CS224+CT289*CT224+CU289*CU224</f>
        <v>0</v>
      </c>
      <c r="DA224" s="2840">
        <f>E290*E224+F290*F224+G290*G224+H290*H224+I290*I224+J290*J224+K290*K224+L290*L224+M290*M224+N290*N224+O290*O224+P290*P224+Q290*Q224+R290*R224+S290*S224+T290*T224+U290*U224+V290*V224+W290*W224+X290*X224+Y290*Y224+Z290*Z224+AA290*AA224+AB290*AB224+AC290*AC224+AD290*AD224+AE290*AE224+AF290*AF224+AG290*AG224+AH290*AH224+AI290*AI224+AJ290*AJ224+AK290*AK224+AL290*AL224+AM290*AM224+AN290*AN224+AO290*AO224+AP290*AP224+AQ290*AQ224+AR290*AR224+AS290*AS224+AT290*AT224+AU290*AU224+AV290*AV224+AW290*AW224+AX290*AX224+AY290*AY224+AZ290*AZ224+BA290*BA224+BB290*BB224+BC290*BC224+BD290*BD224+BE290*BE224+BF290*BF224+BG290*BG224+BH290*BH224+BI290*BI224+BJ290*BJ224+BK290*BK224+BL290*BL224+BM290*BM224+BN290*BN224+BO290*BO224+BP290*BP224+BQ290*BQ224+BR290*BR224+BS290*BS224+BT290*BT224+BU290*BU224+BV290*BV224+BW290*BW224+BX290*BX224+BY290*BY224+BZ290*BZ224+CA290*CA224+CB290*CB224+CC290*CC224+CD290*CD224+CE290*CE224+CF290*CF224+CG290*CG224+CH290*CH224+CI290*CI224+CJ290*CJ224+CK290*CK224+CL290*CL224+CM290*CM224+CN290*CN224+CO290*CO224+CP290*CP224+CQ290*CQ224+CR290*CR224+CS290*CS224+CT290*CT224+CU290*CU224</f>
        <v>0</v>
      </c>
      <c r="DB224" s="2840">
        <f>E291*E224+F291*F224+G291*G224+H291*H224+I291*I224+J291*J224+K291*K224+L291*L224+M291*M224+N291*N224+O291*O224+P291*P224+Q291*Q224+R291*R224+S291*S224+T291*T224+U291*U224+V291*V224+W291*W224+X291*X224+Y291*Y224+Z291*Z224+AA291*AA224+AB291*AB224+AC291*AC224+AD291*AD224+AE291*AE224+AF291*AF224+AG291*AG224+AH291*AH224+AI291*AI224+AJ291*AJ224+AK291*AK224+AL291*AL224+AM291*AM224+AN291*AN224+AO291*AO224+AP291*AP224+AQ291*AQ224+AR291*AR224+AS291*AS224+AT291*AT224+AU291*AU224+AV291*AV224+AW291*AW224+AX291*AX224+AY291*AY224+AZ291*AZ224+BA291*BA224+BB291*BB224+BC291*BC224+BD291*BD224+BE291*BE224+BF291*BF224+BG291*BG224+BH291*BH224+BI291*BI224+BJ291*BJ224+BK291*BK224+BL291*BL224+BM291*BM224+BN291*BN224+BO291*BO224+BP291*BP224+BQ291*BQ224+BR291*BR224+BS291*BS224+BT291*BT224+BU291*BU224+BV291*BV224+BW291*BW224+BX291*BX224+BY291*BY224+BZ291*BZ224+CA291*CA224+CB291*CB224+CC291*CC224+CD291*CD224+CE291*CE224+CF291*CF224+CG291*CG224+CH291*CH224+CI291*CI224+CJ291*CJ224+CK291*CK224+CL291*CL224+CM291*CM224+CN291*CN224+CO291*CO224+CP291*CP224+CQ291*CQ224+CR291*CR224+CS291*CS224+CT291*CT224+CU291*CU224</f>
        <v>0</v>
      </c>
      <c r="DC224" s="2840">
        <f>E292*E224+F292*F224+G292*G224+H292*H224+I292*I224+J292*J224+K292*K224+L292*L224+M292*M224+N292*N224+O292*O224+P292*P224+Q292*Q224+R292*R224+S292*S224+T292*T224+U292*U224+V292*V224+W292*W224+X292*X224+Y292*Y224+Z292*Z224+AA292*AA224+AB292*AB224+AC292*AC224+AD292*AD224+AE292*AE224+AF292*AF224+AG292*AG224+AH292*AH224+AI292*AI224+AJ292*AJ224+AK292*AK224+AL292*AL224+AM292*AM224+AN292*AN224+AO292*AO224+AP292*AP224+AQ292*AQ224+AR292*AR224+AS292*AS224+AT292*AT224+AU292*AU224+AV292*AV224+AW292*AW224+AX292*AX224+AY292*AY224+AZ292*AZ224+BA292*BA224+BB292*BB224+BC292*BC224+BD292*BD224+BE292*BE224+BF292*BF224+BG292*BG224+BH292*BH224+BI292*BI224+BJ292*BJ224+BK292*BK224+BL292*BL224+BM292*BM224+BN292*BN224+BO292*BO224+BP292*BP224+BQ292*BQ224+BR292*BR224+BS292*BS224+BT292*BT224+BU292*BU224+BV292*BV224+BW292*BW224+BX292*BX224+BY292*BY224+BZ292*BZ224+CA292*CA224+CB292*CB224+CC292*CC224+CD292*CD224+CE292*CE224+CF292*CF224+CG292*CG224+CH292*CH224+CI292*CI224+CJ292*CJ224+CK292*CK224+CL292*CL224+CM292*CM224+CN292*CN224+CO292*CO224+CP292*CP224+CQ292*CQ224+CR292*CR224+CS292*CS224+CT292*CT224+CU292*CU224</f>
        <v>0</v>
      </c>
      <c r="DD224" s="2840">
        <f>E293*E224+F293*F224+G293*G224+H293*H224+I293*I224+J293*J224+K293*K224+L293*L224+M293*M224+N293*N224+O293*O224+P293*P224+Q293*Q224+R293*R224+S293*S224+T293*T224+U293*U224+V293*V224+W293*W224+X293*X224+Y293*Y224+Z293*Z224+AA293*AA224+AB293*AB224+AC293*AC224+AD293*AD224+AE293*AE224+AF293*AF224+AG293*AG224+AH293*AH224+AI293*AI224+AJ293*AJ224+AK293*AK224+AL293*AL224+AM293*AM224+AN293*AN224+AO293*AO224+AP293*AP224+AQ293*AQ224+AR293*AR224+AS293*AS224+AT293*AT224+AU293*AU224+AV293*AV224+AW293*AW224+AX293*AX224+AY293*AY224+AZ293*AZ224+BA293*BA224+BB293*BB224+BC293*BC224+BD293*BD224+BE293*BE224+BF293*BF224+BG293*BG224+BH293*BH224+BI293*BI224+BJ293*BJ224+BK293*BK224+BL293*BL224+BM293*BM224+BN293*BN224+BO293*BO224+BP293*BP224+BQ293*BQ224+BR293*BR224+BS293*BS224+BT293*BT224+BU293*BU224+BV293*BV224+BW293*BW224+BX293*BX224+BY293*BY224+BZ293*BZ224+CA293*CA224+CB293*CB224+CC293*CC224+CD293*CD224+CE293*CE224+CF293*CF224+CG293*CG224+CH293*CH224+CI293*CI224+CJ293*CJ224+CK293*CK224+CL293*CL224+CM293*CM224+CN293*CN224+CO293*CO224+CP293*CP224+CQ293*CQ224+CR293*CR224+CS293*CS224+CT293*CT224+CU293*CU224</f>
        <v>0</v>
      </c>
      <c r="DE224" s="2840">
        <f>E294*E224+F294*F224+G294*G224+H294*H224+I294*I224+J294*J224+K294*K224+L294*L224+M294*M224+N294*N224+O294*O224+P294*P224+Q294*Q224+R294*R224+S294*S224+T294*T224+U294*U224+V294*V224+W294*W224+X294*X224+Y294*Y224+Z294*Z224+AA294*AA224+AB294*AB224+AC294*AC224+AD294*AD224+AE294*AE224+AF294*AF224+AG294*AG224+AH294*AH224+AI294*AI224+AJ294*AJ224+AK294*AK224+AL294*AL224+AM294*AM224+AN294*AN224+AO294*AO224+AP294*AP224+AQ294*AQ224+AR294*AR224+AS294*AS224+AT294*AT224+AU294*AU224+AV294*AV224+AW294*AW224+AX294*AX224+AY294*AY224+AZ294*AZ224+BA294*BA224+BB294*BB224+BC294*BC224+BD294*BD224+BE294*BE224+BF294*BF224+BG294*BG224+BH294*BH224+BI294*BI224+BJ294*BJ224+BK294*BK224+BL294*BL224+BM294*BM224+BN294*BN224+BO294*BO224+BP294*BP224+BQ294*BQ224+BR294*BR224+BS294*BS224+BT294*BT224+BU294*BU224+BV294*BV224+BW294*BW224+BX294*BX224+BY294*BY224+BZ294*BZ224+CA294*CA224+CB294*CB224+CC294*CC224+CD294*CD224+CE294*CE224+CF294*CF224+CG294*CG224+CH294*CH224+CI294*CI224+CJ294*CJ224+CK294*CK224+CL294*CL224+CM294*CM224+CN294*CN224+CO294*CO224+CP294*CP224+CQ294*CQ224+CR294*CR224+CS294*CS224+CT294*CT224+CU294*CU224</f>
        <v>0</v>
      </c>
      <c r="DF224" s="2840">
        <f>E295*E224+F295*F224+G295*G224+H295*H224+I295*I224+J295*J224+K295*K224+L295*L224+M295*M224+N295*N224+O295*O224+P295*P224+Q295*Q224+R295*R224+S295*S224+T295*T224+U295*U224+V295*V224+W295*W224+X295*X224+Y295*Y224+Z295*Z224+AA295*AA224+AB295*AB224+AC295*AC224+AD295*AD224+AE295*AE224+AF295*AF224+AG295*AG224+AH295*AH224+AI295*AI224+AJ295*AJ224+AK295*AK224+AL295*AL224+AM295*AM224+AN295*AN224+AO295*AO224+AP295*AP224+AQ295*AQ224+AR295*AR224+AS295*AS224+AT295*AT224+AU295*AU224+AV295*AV224+AW295*AW224+AX295*AX224+AY295*AY224+AZ295*AZ224+BA295*BA224+BB295*BB224+BC295*BC224+BD295*BD224+BE295*BE224+BF295*BF224+BG295*BG224+BH295*BH224+BI295*BI224+BJ295*BJ224+BK295*BK224+BL295*BL224+BM295*BM224+BN295*BN224+BO295*BO224+BP295*BP224+BQ295*BQ224+BR295*BR224+BS295*BS224+BT295*BT224+BU295*BU224+BV295*BV224+BW295*BW224+BX295*BX224+BY295*BY224+BZ295*BZ224+CA295*CA224+CB295*CB224+CC295*CC224+CD295*CD224+CE295*CE224+CF295*CF224+CG295*CG224+CH295*CH224+CI295*CI224+CJ295*CJ224+CK295*CK224+CL295*CL224+CM295*CM224+CN295*CN224+CO295*CO224+CP295*CP224+CQ295*CQ224+CR295*CR224+CS295*CS224+CT295*CT224+CU295*CU224</f>
        <v>0</v>
      </c>
      <c r="DG224" s="2840">
        <f>E296*E224+F296*F224+G296*G224+H296*H224+I296*I224+J296*J224+K296*K224+L296*L224+M296*M224+N296*N224+O296*O224+P296*P224+Q296*Q224+R296*R224+S296*S224+T296*T224+U296*U224+V296*V224+W296*W224+X296*X224+Y296*Y224+Z296*Z224+AA296*AA224+AB296*AB224+AC296*AC224+AD296*AD224+AE296*AE224+AF296*AF224+AG296*AG224+AH296*AH224+AI296*AI224+AJ296*AJ224+AK296*AK224+AL296*AL224+AM296*AM224+AN296*AN224+AO296*AO224+AP296*AP224+AQ296*AQ224+AR296*AR224+AS296*AS224+AT296*AT224+AU296*AU224+AV296*AV224+AW296*AW224+AX296*AX224+AY296*AY224+AZ296*AZ224+BA296*BA224+BB296*BB224+BC296*BC224+BD296*BD224+BE296*BE224+BF296*BF224+BG296*BG224+BH296*BH224+BI296*BI224+BJ296*BJ224+BK296*BK224+BL296*BL224+BM296*BM224+BN296*BN224+BO296*BO224+BP296*BP224+BQ296*BQ224+BR296*BR224+BS296*BS224+BT296*BT224+BU296*BU224+BV296*BV224+BW296*BW224+BX296*BX224+BY296*BY224+BZ296*BZ224+CA296*CA224+CB296*CB224+CC296*CC224+CD296*CD224+CE296*CE224+CF296*CF224+CG296*CG224+CH296*CH224+CI296*CI224+CJ296*CJ224+CK296*CK224+CL296*CL224+CM296*CM224+CN296*CN224+CO296*CO224+CP296*CP224+CQ296*CQ224+CR296*CR224+CS296*CS224+CT296*CT224+CU296*CU224</f>
        <v>0</v>
      </c>
      <c r="DH224" s="2840">
        <f>E297*E224+F297*F224+G297*G224+H297*H224+I297*I224+J297*J224+K297*K224+L297*L224+M297*M224+N297*N224+O297*O224+P297*P224+Q297*Q224+R297*R224+S297*S224+T297*T224+U297*U224+V297*V224+W297*W224+X297*X224+Y297*Y224+Z297*Z224+AA297*AA224+AB297*AB224+AC297*AC224+AD297*AD224+AE297*AE224+AF297*AF224+AG297*AG224+AH297*AH224+AI297*AI224+AJ297*AJ224+AK297*AK224+AL297*AL224+AM297*AM224+AN297*AN224+AO297*AO224+AP297*AP224+AQ297*AQ224+AR297*AR224+AS297*AS224+AT297*AT224+AU297*AU224+AV297*AV224+AW297*AW224+AX297*AX224+AY297*AY224+AZ297*AZ224+BA297*BA224+BB297*BB224+BC297*BC224+BD297*BD224+BE297*BE224+BF297*BF224+BG297*BG224+BH297*BH224+BI297*BI224+BJ297*BJ224+BK297*BK224+BL297*BL224+BM297*BM224+BN297*BN224+BO297*BO224+BP297*BP224+BQ297*BQ224+BR297*BR224+BS297*BS224+BT297*BT224+BU297*BU224+BV297*BV224+BW297*BW224+BX297*BX224+BY297*BY224+BZ297*BZ224+CA297*CA224+CB297*CB224+CC297*CC224+CD297*CD224+CE297*CE224+CF297*CF224+CG297*CG224+CH297*CH224+CI297*CI224+CJ297*CJ224+CK297*CK224+CL297*CL224+CM297*CM224+CN297*CN224+CO297*CO224+CP297*CP224+CQ297*CQ224+CR297*CR224+CS297*CS224+CT297*CT224+CU297*CU224</f>
        <v>0</v>
      </c>
      <c r="DI224" s="2840">
        <f>E298*E224+F298*F224+G298*G224+H298*H224+I298*I224+J298*J224+K298*K224+L298*L224+M298*M224+N298*N224+O298*O224+P298*P224+Q298*Q224+R298*R224+S298*S224+T298*T224+U298*U224+V298*V224+W298*W224+X298*X224+Y298*Y224+Z298*Z224+AA298*AA224+AB298*AB224+AC298*AC224+AD298*AD224+AE298*AE224+AF298*AF224+AG298*AG224+AH298*AH224+AI298*AI224+AJ298*AJ224+AK298*AK224+AL298*AL224+AM298*AM224+AN298*AN224+AO298*AO224+AP298*AP224+AQ298*AQ224+AR298*AR224+AS298*AS224+AT298*AT224+AU298*AU224+AV298*AV224+AW298*AW224+AX298*AX224+AY298*AY224+AZ298*AZ224+BA298*BA224+BB298*BB224+BC298*BC224+BD298*BD224+BE298*BE224+BF298*BF224+BG298*BG224+BH298*BH224+BI298*BI224+BJ298*BJ224+BK298*BK224+BL298*BL224+BM298*BM224+BN298*BN224+BO298*BO224+BP298*BP224+BQ298*BQ224+BR298*BR224+BS298*BS224+BT298*BT224+BU298*BU224+BV298*BV224+BW298*BW224+BX298*BX224+BY298*BY224+BZ298*BZ224+CA298*CA224+CB298*CB224+CC298*CC224+CD298*CD224+CE298*CE224+CF298*CF224+CG298*CG224+CH298*CH224+CI298*CI224+CJ298*CJ224+CK298*CK224+CL298*CL224+CM298*CM224+CN298*CN224+CO298*CO224+CP298*CP224+CQ298*CQ224+CR298*CR224+CS298*CS224+CT298*CT224+CU298*CU224</f>
        <v>0</v>
      </c>
    </row>
    <row r="225" spans="2:113" ht="18" x14ac:dyDescent="0.25">
      <c r="B225" s="2510">
        <v>72</v>
      </c>
      <c r="C225" s="2444" t="s">
        <v>2433</v>
      </c>
      <c r="D225" s="2445" t="s">
        <v>3877</v>
      </c>
      <c r="E225" s="3125">
        <f>0</f>
        <v>0</v>
      </c>
      <c r="F225" s="3125">
        <f>0</f>
        <v>0</v>
      </c>
      <c r="G225" s="3125">
        <f>0</f>
        <v>0</v>
      </c>
      <c r="H225" s="3125">
        <f>-1</f>
        <v>-1</v>
      </c>
      <c r="I225" s="3125">
        <f>1</f>
        <v>1</v>
      </c>
      <c r="J225" s="3126">
        <f>0</f>
        <v>0</v>
      </c>
      <c r="K225" s="3125">
        <f>0</f>
        <v>0</v>
      </c>
      <c r="L225" s="3125">
        <f>0</f>
        <v>0</v>
      </c>
      <c r="M225" s="3125">
        <f>0</f>
        <v>0</v>
      </c>
      <c r="N225" s="3125">
        <f>0</f>
        <v>0</v>
      </c>
      <c r="O225" s="3125">
        <f>0</f>
        <v>0</v>
      </c>
      <c r="P225" s="3125">
        <f>0</f>
        <v>0</v>
      </c>
      <c r="Q225" s="3125">
        <f>0</f>
        <v>0</v>
      </c>
      <c r="R225" s="3125">
        <f>0</f>
        <v>0</v>
      </c>
      <c r="S225" s="3125">
        <f>0</f>
        <v>0</v>
      </c>
      <c r="T225" s="3125">
        <f>0</f>
        <v>0</v>
      </c>
      <c r="U225" s="3125">
        <f>0</f>
        <v>0</v>
      </c>
      <c r="V225" s="3125">
        <f>0</f>
        <v>0</v>
      </c>
      <c r="W225" s="3125">
        <f>0</f>
        <v>0</v>
      </c>
      <c r="X225" s="3125">
        <f>0</f>
        <v>0</v>
      </c>
      <c r="Y225" s="3125">
        <f>0</f>
        <v>0</v>
      </c>
      <c r="Z225" s="3125">
        <f>0</f>
        <v>0</v>
      </c>
      <c r="AA225" s="3125">
        <f>0</f>
        <v>0</v>
      </c>
      <c r="AB225" s="3125">
        <f>0</f>
        <v>0</v>
      </c>
      <c r="AC225" s="3125">
        <f>0</f>
        <v>0</v>
      </c>
      <c r="AD225" s="3125">
        <f>0</f>
        <v>0</v>
      </c>
      <c r="AE225" s="3125">
        <f>0</f>
        <v>0</v>
      </c>
      <c r="AF225" s="3125">
        <f>0</f>
        <v>0</v>
      </c>
      <c r="AG225" s="3125">
        <f>0</f>
        <v>0</v>
      </c>
      <c r="AH225" s="3125">
        <f>0</f>
        <v>0</v>
      </c>
      <c r="AI225" s="3125">
        <f>i_N_CB</f>
        <v>0.01</v>
      </c>
      <c r="AJ225" s="3126">
        <f>0</f>
        <v>0</v>
      </c>
      <c r="AK225" s="3125">
        <f>0</f>
        <v>0</v>
      </c>
      <c r="AL225" s="3125">
        <f>0</f>
        <v>0</v>
      </c>
      <c r="AM225" s="3125">
        <f>0</f>
        <v>0</v>
      </c>
      <c r="AN225" s="3125">
        <f>0</f>
        <v>0</v>
      </c>
      <c r="AO225" s="3125">
        <f>i_P_CB</f>
        <v>2E-3</v>
      </c>
      <c r="AP225" s="3126">
        <f>0</f>
        <v>0</v>
      </c>
      <c r="AQ225" s="3125">
        <f>0</f>
        <v>0</v>
      </c>
      <c r="AR225" s="3125">
        <f>0</f>
        <v>0</v>
      </c>
      <c r="AS225" s="3125">
        <f>0</f>
        <v>0</v>
      </c>
      <c r="AT225" s="3125">
        <f>0</f>
        <v>0</v>
      </c>
      <c r="AU225" s="3125">
        <f>0</f>
        <v>0</v>
      </c>
      <c r="AV225" s="3125">
        <f>0</f>
        <v>0</v>
      </c>
      <c r="AW225" s="3125">
        <f>0</f>
        <v>0</v>
      </c>
      <c r="AX225" s="3125">
        <f>0</f>
        <v>0</v>
      </c>
      <c r="AY225" s="3125">
        <f>0</f>
        <v>0</v>
      </c>
      <c r="AZ225" s="3125">
        <f>0</f>
        <v>0</v>
      </c>
      <c r="BA225" s="3125">
        <f>0</f>
        <v>0</v>
      </c>
      <c r="BB225" s="3125">
        <f>0</f>
        <v>0</v>
      </c>
      <c r="BC225" s="3125">
        <f>i_S_CB-i_S_XB</f>
        <v>0</v>
      </c>
      <c r="BD225" s="3125">
        <f>0</f>
        <v>0</v>
      </c>
      <c r="BE225" s="3125">
        <f>0</f>
        <v>0</v>
      </c>
      <c r="BF225" s="3125">
        <f>0</f>
        <v>0</v>
      </c>
      <c r="BG225" s="3125">
        <f>0</f>
        <v>0</v>
      </c>
      <c r="BH225" s="3125">
        <f>0</f>
        <v>0</v>
      </c>
      <c r="BI225" s="3125">
        <f>0</f>
        <v>0</v>
      </c>
      <c r="BJ225" s="3125">
        <f>0</f>
        <v>0</v>
      </c>
      <c r="BK225" s="3125">
        <f>0</f>
        <v>0</v>
      </c>
      <c r="BL225" s="3125">
        <f>0</f>
        <v>0</v>
      </c>
      <c r="BM225" s="3125">
        <f>0</f>
        <v>0</v>
      </c>
      <c r="BN225" s="3125">
        <f>0</f>
        <v>0</v>
      </c>
      <c r="BO225" s="3125">
        <f>0</f>
        <v>0</v>
      </c>
      <c r="BP225" s="3125">
        <f>0</f>
        <v>0</v>
      </c>
      <c r="BQ225" s="3125">
        <f>0</f>
        <v>0</v>
      </c>
      <c r="BR225" s="3125">
        <f>0</f>
        <v>0</v>
      </c>
      <c r="BS225" s="3125">
        <f>0</f>
        <v>0</v>
      </c>
      <c r="BT225" s="3125">
        <f>0</f>
        <v>0</v>
      </c>
      <c r="BU225" s="3125">
        <f>0</f>
        <v>0</v>
      </c>
      <c r="BV225" s="3125">
        <f>0</f>
        <v>0</v>
      </c>
      <c r="BW225" s="3125">
        <f>0</f>
        <v>0</v>
      </c>
      <c r="BX225" s="3125">
        <f>0</f>
        <v>0</v>
      </c>
      <c r="BY225" s="3125">
        <f>0</f>
        <v>0</v>
      </c>
      <c r="BZ225" s="3126">
        <f>0</f>
        <v>0</v>
      </c>
      <c r="CA225" s="3126">
        <f>0</f>
        <v>0</v>
      </c>
      <c r="CB225" s="3126">
        <f>0</f>
        <v>0</v>
      </c>
      <c r="CC225" s="3126">
        <f>0</f>
        <v>0</v>
      </c>
      <c r="CD225" s="3125">
        <f>0</f>
        <v>0</v>
      </c>
      <c r="CE225" s="3125">
        <f>0</f>
        <v>0</v>
      </c>
      <c r="CF225" s="3125">
        <f>0</f>
        <v>0</v>
      </c>
      <c r="CG225" s="3125">
        <f>0</f>
        <v>0</v>
      </c>
      <c r="CH225" s="3125">
        <f>0</f>
        <v>0</v>
      </c>
      <c r="CI225" s="3125">
        <f>0</f>
        <v>0</v>
      </c>
      <c r="CJ225" s="3125">
        <f>0</f>
        <v>0</v>
      </c>
      <c r="CK225" s="3125">
        <f>0</f>
        <v>0</v>
      </c>
      <c r="CL225" s="3125">
        <f>0</f>
        <v>0</v>
      </c>
      <c r="CM225" s="3125">
        <f>0</f>
        <v>0</v>
      </c>
      <c r="CN225" s="3125">
        <f>0</f>
        <v>0</v>
      </c>
      <c r="CO225" s="3125">
        <f>0</f>
        <v>0</v>
      </c>
      <c r="CP225" s="3125">
        <f>0</f>
        <v>0</v>
      </c>
      <c r="CQ225" s="3125">
        <f>0</f>
        <v>0</v>
      </c>
      <c r="CR225" s="3125">
        <f>0</f>
        <v>0</v>
      </c>
      <c r="CS225" s="3125">
        <f>0</f>
        <v>0</v>
      </c>
      <c r="CT225" s="3125">
        <f>0</f>
        <v>0</v>
      </c>
      <c r="CU225" s="3125">
        <f>0</f>
        <v>0</v>
      </c>
      <c r="CV225" s="3233">
        <f>r_ateFLOC_CB_polymer</f>
        <v>0</v>
      </c>
      <c r="CX225" s="2838">
        <f>E287*E225+F287*F225+G287*G225+H287*H225+I287*I225+J287*J225+K287*K225+L287*L225+M287*M225+N287*N225+O287*O225+P287*P225+Q287*Q225+R287*R225+S287*S225+T287*T225+U287*U225+V287*V225+W287*W225+X287*X225+Y287*Y225+Z287*Z225+AA287*AA225+AB287*AB225+AC287*AC225+AD287*AD225+AE287*AE225+AF287*AF225+AG287*AG225+AH287*AH225+AI287*AI225+AJ287*AJ225+AK287*AK225+AL287*AL225+AM287*AM225+AN287*AN225+AO287*AO225+AP287*AP225+AQ287*AQ225+AR287*AR225+AS287*AS225+AT287*AT225+AU287*AU225+AV287*AV225+AW287*AW225+AX287*AX225+AY287*AY225+AZ287*AZ225+BA287*BA225+BB287*BB225+BC287*BC225+BD287*BD225+BE287*BE225+BF287*BF225+BG287*BG225+BH287*BH225+BI287*BI225+BJ287*BJ225+BK287*BK225+BL287*BL225+BM287*BM225+BN287*BN225+BO287*BO225+BP287*BP225+BQ287*BQ225+BR287*BR225+BS287*BS225+BT287*BT225+BU287*BU225+BV287*BV225+BW287*BW225+BX287*BX225+BY287*BY225+BZ287*BZ225+CA287*CA225+CB287*CB225+CC287*CC225+CD287*CD225+CE287*CE225+CF287*CF225+CG287*CG225+CH287*CH225+CI287*CI225+CJ287*CJ225+CK287*CK225+CL287*CL225+CM287*CM225+CN287*CN225+CO287*CO225+CP287*CP225+CQ287*CQ225+CR287*CR225+CS287*CS225+CT287*CT225+CU287*CU225</f>
        <v>0</v>
      </c>
      <c r="CY225" s="2838">
        <f>E288*E225+F288*F225+G288*G225+H288*H225+I288*I225+J288*J225+K288*K225+L288*L225+M288*M225+N288*N225+O288*O225+P288*P225+Q288*Q225+R288*R225+S288*S225+T288*T225+U288*U225+V288*V225+W288*W225+X288*X225+Y288*Y225+Z288*Z225+AA288*AA225+AB288*AB225+AC288*AC225+AD288*AD225+AE288*AE225+AF288*AF225+AG288*AG225+AH288*AH225+AI288*AI225+AJ288*AJ225+AK288*AK225+AL288*AL225+AM288*AM225+AN288*AN225+AO288*AO225+AP288*AP225+AQ288*AQ225+AR288*AR225+AS288*AS225+AT288*AT225+AU288*AU225+AV288*AV225+AW288*AW225+AX288*AX225+AY288*AY225+AZ288*AZ225+BA288*BA225+BB288*BB225+BC288*BC225+BD288*BD225+BE288*BE225+BF288*BF225+BG288*BG225+BH288*BH225+BI288*BI225+BJ288*BJ225+BK288*BK225+BL288*BL225+BM288*BM225+BN288*BN225+BO288*BO225+BP288*BP225+BQ288*BQ225+BR288*BR225+BS288*BS225+BT288*BT225+BU288*BU225+BV288*BV225+BW288*BW225+BX288*BX225+BY288*BY225+BZ288*BZ225+CA288*CA225+CB288*CB225+CC288*CC225+CD288*CD225+CE288*CE225+CF288*CF225+CG288*CG225+CH288*CH225+CI288*CI225+CJ288*CJ225+CK288*CK225+CL288*CL225+CM288*CM225+CN288*CN225+CO288*CO225+CP288*CP225+CQ288*CQ225+CR288*CR225+CS288*CS225+CT288*CT225+CU288*CU225</f>
        <v>0</v>
      </c>
      <c r="CZ225" s="2839">
        <f>E289*E225+F289*F225+G289*G225+H289*H225+I289*I225+J289*J225+K289*K225+L289*L225+M289*M225+N289*N225+O289*O225+P289*P225+Q289*Q225+R289*R225+S289*S225+T289*T225+U289*U225+V289*V225+W289*W225+X289*X225+Y289*Y225+Z289*Z225+AA289*AA225+AB289*AB225+AC289*AC225+AD289*AD225+AE289*AE225+AF289*AF225+AG289*AG225+AH289*AH225+AI289*AI225+AJ289*AJ225+AK289*AK225+AL289*AL225+AM289*AM225+AN289*AN225+AO289*AO225+AP289*AP225+AQ289*AQ225+AR289*AR225+AS289*AS225+AT289*AT225+AU289*AU225+AV289*AV225+AW289*AW225+AX289*AX225+AY289*AY225+AZ289*AZ225+BA289*BA225+BB289*BB225+BC289*BC225+BD289*BD225+BE289*BE225+BF289*BF225+BG289*BG225+BH289*BH225+BI289*BI225+BJ289*BJ225+BK289*BK225+BL289*BL225+BM289*BM225+BN289*BN225+BO289*BO225+BP289*BP225+BQ289*BQ225+BR289*BR225+BS289*BS225+BT289*BT225+BU289*BU225+BV289*BV225+BW289*BW225+BX289*BX225+BY289*BY225+BZ289*BZ225+CA289*CA225+CB289*CB225+CC289*CC225+CD289*CD225+CE289*CE225+CF289*CF225+CG289*CG225+CH289*CH225+CI289*CI225+CJ289*CJ225+CK289*CK225+CL289*CL225+CM289*CM225+CN289*CN225+CO289*CO225+CP289*CP225+CQ289*CQ225+CR289*CR225+CS289*CS225+CT289*CT225+CU289*CU225</f>
        <v>0</v>
      </c>
      <c r="DA225" s="2840">
        <f>E290*E225+F290*F225+G290*G225+H290*H225+I290*I225+J290*J225+K290*K225+L290*L225+M290*M225+N290*N225+O290*O225+P290*P225+Q290*Q225+R290*R225+S290*S225+T290*T225+U290*U225+V290*V225+W290*W225+X290*X225+Y290*Y225+Z290*Z225+AA290*AA225+AB290*AB225+AC290*AC225+AD290*AD225+AE290*AE225+AF290*AF225+AG290*AG225+AH290*AH225+AI290*AI225+AJ290*AJ225+AK290*AK225+AL290*AL225+AM290*AM225+AN290*AN225+AO290*AO225+AP290*AP225+AQ290*AQ225+AR290*AR225+AS290*AS225+AT290*AT225+AU290*AU225+AV290*AV225+AW290*AW225+AX290*AX225+AY290*AY225+AZ290*AZ225+BA290*BA225+BB290*BB225+BC290*BC225+BD290*BD225+BE290*BE225+BF290*BF225+BG290*BG225+BH290*BH225+BI290*BI225+BJ290*BJ225+BK290*BK225+BL290*BL225+BM290*BM225+BN290*BN225+BO290*BO225+BP290*BP225+BQ290*BQ225+BR290*BR225+BS290*BS225+BT290*BT225+BU290*BU225+BV290*BV225+BW290*BW225+BX290*BX225+BY290*BY225+BZ290*BZ225+CA290*CA225+CB290*CB225+CC290*CC225+CD290*CD225+CE290*CE225+CF290*CF225+CG290*CG225+CH290*CH225+CI290*CI225+CJ290*CJ225+CK290*CK225+CL290*CL225+CM290*CM225+CN290*CN225+CO290*CO225+CP290*CP225+CQ290*CQ225+CR290*CR225+CS290*CS225+CT290*CT225+CU290*CU225</f>
        <v>0</v>
      </c>
      <c r="DB225" s="2840">
        <f>E291*E225+F291*F225+G291*G225+H291*H225+I291*I225+J291*J225+K291*K225+L291*L225+M291*M225+N291*N225+O291*O225+P291*P225+Q291*Q225+R291*R225+S291*S225+T291*T225+U291*U225+V291*V225+W291*W225+X291*X225+Y291*Y225+Z291*Z225+AA291*AA225+AB291*AB225+AC291*AC225+AD291*AD225+AE291*AE225+AF291*AF225+AG291*AG225+AH291*AH225+AI291*AI225+AJ291*AJ225+AK291*AK225+AL291*AL225+AM291*AM225+AN291*AN225+AO291*AO225+AP291*AP225+AQ291*AQ225+AR291*AR225+AS291*AS225+AT291*AT225+AU291*AU225+AV291*AV225+AW291*AW225+AX291*AX225+AY291*AY225+AZ291*AZ225+BA291*BA225+BB291*BB225+BC291*BC225+BD291*BD225+BE291*BE225+BF291*BF225+BG291*BG225+BH291*BH225+BI291*BI225+BJ291*BJ225+BK291*BK225+BL291*BL225+BM291*BM225+BN291*BN225+BO291*BO225+BP291*BP225+BQ291*BQ225+BR291*BR225+BS291*BS225+BT291*BT225+BU291*BU225+BV291*BV225+BW291*BW225+BX291*BX225+BY291*BY225+BZ291*BZ225+CA291*CA225+CB291*CB225+CC291*CC225+CD291*CD225+CE291*CE225+CF291*CF225+CG291*CG225+CH291*CH225+CI291*CI225+CJ291*CJ225+CK291*CK225+CL291*CL225+CM291*CM225+CN291*CN225+CO291*CO225+CP291*CP225+CQ291*CQ225+CR291*CR225+CS291*CS225+CT291*CT225+CU291*CU225</f>
        <v>0</v>
      </c>
      <c r="DC225" s="2840">
        <f>E292*E225+F292*F225+G292*G225+H292*H225+I292*I225+J292*J225+K292*K225+L292*L225+M292*M225+N292*N225+O292*O225+P292*P225+Q292*Q225+R292*R225+S292*S225+T292*T225+U292*U225+V292*V225+W292*W225+X292*X225+Y292*Y225+Z292*Z225+AA292*AA225+AB292*AB225+AC292*AC225+AD292*AD225+AE292*AE225+AF292*AF225+AG292*AG225+AH292*AH225+AI292*AI225+AJ292*AJ225+AK292*AK225+AL292*AL225+AM292*AM225+AN292*AN225+AO292*AO225+AP292*AP225+AQ292*AQ225+AR292*AR225+AS292*AS225+AT292*AT225+AU292*AU225+AV292*AV225+AW292*AW225+AX292*AX225+AY292*AY225+AZ292*AZ225+BA292*BA225+BB292*BB225+BC292*BC225+BD292*BD225+BE292*BE225+BF292*BF225+BG292*BG225+BH292*BH225+BI292*BI225+BJ292*BJ225+BK292*BK225+BL292*BL225+BM292*BM225+BN292*BN225+BO292*BO225+BP292*BP225+BQ292*BQ225+BR292*BR225+BS292*BS225+BT292*BT225+BU292*BU225+BV292*BV225+BW292*BW225+BX292*BX225+BY292*BY225+BZ292*BZ225+CA292*CA225+CB292*CB225+CC292*CC225+CD292*CD225+CE292*CE225+CF292*CF225+CG292*CG225+CH292*CH225+CI292*CI225+CJ292*CJ225+CK292*CK225+CL292*CL225+CM292*CM225+CN292*CN225+CO292*CO225+CP292*CP225+CQ292*CQ225+CR292*CR225+CS292*CS225+CT292*CT225+CU292*CU225</f>
        <v>0</v>
      </c>
      <c r="DD225" s="2840">
        <f>E293*E225+F293*F225+G293*G225+H293*H225+I293*I225+J293*J225+K293*K225+L293*L225+M293*M225+N293*N225+O293*O225+P293*P225+Q293*Q225+R293*R225+S293*S225+T293*T225+U293*U225+V293*V225+W293*W225+X293*X225+Y293*Y225+Z293*Z225+AA293*AA225+AB293*AB225+AC293*AC225+AD293*AD225+AE293*AE225+AF293*AF225+AG293*AG225+AH293*AH225+AI293*AI225+AJ293*AJ225+AK293*AK225+AL293*AL225+AM293*AM225+AN293*AN225+AO293*AO225+AP293*AP225+AQ293*AQ225+AR293*AR225+AS293*AS225+AT293*AT225+AU293*AU225+AV293*AV225+AW293*AW225+AX293*AX225+AY293*AY225+AZ293*AZ225+BA293*BA225+BB293*BB225+BC293*BC225+BD293*BD225+BE293*BE225+BF293*BF225+BG293*BG225+BH293*BH225+BI293*BI225+BJ293*BJ225+BK293*BK225+BL293*BL225+BM293*BM225+BN293*BN225+BO293*BO225+BP293*BP225+BQ293*BQ225+BR293*BR225+BS293*BS225+BT293*BT225+BU293*BU225+BV293*BV225+BW293*BW225+BX293*BX225+BY293*BY225+BZ293*BZ225+CA293*CA225+CB293*CB225+CC293*CC225+CD293*CD225+CE293*CE225+CF293*CF225+CG293*CG225+CH293*CH225+CI293*CI225+CJ293*CJ225+CK293*CK225+CL293*CL225+CM293*CM225+CN293*CN225+CO293*CO225+CP293*CP225+CQ293*CQ225+CR293*CR225+CS293*CS225+CT293*CT225+CU293*CU225</f>
        <v>0</v>
      </c>
      <c r="DE225" s="2840">
        <f>E294*E225+F294*F225+G294*G225+H294*H225+I294*I225+J294*J225+K294*K225+L294*L225+M294*M225+N294*N225+O294*O225+P294*P225+Q294*Q225+R294*R225+S294*S225+T294*T225+U294*U225+V294*V225+W294*W225+X294*X225+Y294*Y225+Z294*Z225+AA294*AA225+AB294*AB225+AC294*AC225+AD294*AD225+AE294*AE225+AF294*AF225+AG294*AG225+AH294*AH225+AI294*AI225+AJ294*AJ225+AK294*AK225+AL294*AL225+AM294*AM225+AN294*AN225+AO294*AO225+AP294*AP225+AQ294*AQ225+AR294*AR225+AS294*AS225+AT294*AT225+AU294*AU225+AV294*AV225+AW294*AW225+AX294*AX225+AY294*AY225+AZ294*AZ225+BA294*BA225+BB294*BB225+BC294*BC225+BD294*BD225+BE294*BE225+BF294*BF225+BG294*BG225+BH294*BH225+BI294*BI225+BJ294*BJ225+BK294*BK225+BL294*BL225+BM294*BM225+BN294*BN225+BO294*BO225+BP294*BP225+BQ294*BQ225+BR294*BR225+BS294*BS225+BT294*BT225+BU294*BU225+BV294*BV225+BW294*BW225+BX294*BX225+BY294*BY225+BZ294*BZ225+CA294*CA225+CB294*CB225+CC294*CC225+CD294*CD225+CE294*CE225+CF294*CF225+CG294*CG225+CH294*CH225+CI294*CI225+CJ294*CJ225+CK294*CK225+CL294*CL225+CM294*CM225+CN294*CN225+CO294*CO225+CP294*CP225+CQ294*CQ225+CR294*CR225+CS294*CS225+CT294*CT225+CU294*CU225</f>
        <v>0</v>
      </c>
      <c r="DF225" s="2840">
        <f>E295*E225+F295*F225+G295*G225+H295*H225+I295*I225+J295*J225+K295*K225+L295*L225+M295*M225+N295*N225+O295*O225+P295*P225+Q295*Q225+R295*R225+S295*S225+T295*T225+U295*U225+V295*V225+W295*W225+X295*X225+Y295*Y225+Z295*Z225+AA295*AA225+AB295*AB225+AC295*AC225+AD295*AD225+AE295*AE225+AF295*AF225+AG295*AG225+AH295*AH225+AI295*AI225+AJ295*AJ225+AK295*AK225+AL295*AL225+AM295*AM225+AN295*AN225+AO295*AO225+AP295*AP225+AQ295*AQ225+AR295*AR225+AS295*AS225+AT295*AT225+AU295*AU225+AV295*AV225+AW295*AW225+AX295*AX225+AY295*AY225+AZ295*AZ225+BA295*BA225+BB295*BB225+BC295*BC225+BD295*BD225+BE295*BE225+BF295*BF225+BG295*BG225+BH295*BH225+BI295*BI225+BJ295*BJ225+BK295*BK225+BL295*BL225+BM295*BM225+BN295*BN225+BO295*BO225+BP295*BP225+BQ295*BQ225+BR295*BR225+BS295*BS225+BT295*BT225+BU295*BU225+BV295*BV225+BW295*BW225+BX295*BX225+BY295*BY225+BZ295*BZ225+CA295*CA225+CB295*CB225+CC295*CC225+CD295*CD225+CE295*CE225+CF295*CF225+CG295*CG225+CH295*CH225+CI295*CI225+CJ295*CJ225+CK295*CK225+CL295*CL225+CM295*CM225+CN295*CN225+CO295*CO225+CP295*CP225+CQ295*CQ225+CR295*CR225+CS295*CS225+CT295*CT225+CU295*CU225</f>
        <v>0</v>
      </c>
      <c r="DG225" s="2840">
        <f>E296*E225+F296*F225+G296*G225+H296*H225+I296*I225+J296*J225+K296*K225+L296*L225+M296*M225+N296*N225+O296*O225+P296*P225+Q296*Q225+R296*R225+S296*S225+T296*T225+U296*U225+V296*V225+W296*W225+X296*X225+Y296*Y225+Z296*Z225+AA296*AA225+AB296*AB225+AC296*AC225+AD296*AD225+AE296*AE225+AF296*AF225+AG296*AG225+AH296*AH225+AI296*AI225+AJ296*AJ225+AK296*AK225+AL296*AL225+AM296*AM225+AN296*AN225+AO296*AO225+AP296*AP225+AQ296*AQ225+AR296*AR225+AS296*AS225+AT296*AT225+AU296*AU225+AV296*AV225+AW296*AW225+AX296*AX225+AY296*AY225+AZ296*AZ225+BA296*BA225+BB296*BB225+BC296*BC225+BD296*BD225+BE296*BE225+BF296*BF225+BG296*BG225+BH296*BH225+BI296*BI225+BJ296*BJ225+BK296*BK225+BL296*BL225+BM296*BM225+BN296*BN225+BO296*BO225+BP296*BP225+BQ296*BQ225+BR296*BR225+BS296*BS225+BT296*BT225+BU296*BU225+BV296*BV225+BW296*BW225+BX296*BX225+BY296*BY225+BZ296*BZ225+CA296*CA225+CB296*CB225+CC296*CC225+CD296*CD225+CE296*CE225+CF296*CF225+CG296*CG225+CH296*CH225+CI296*CI225+CJ296*CJ225+CK296*CK225+CL296*CL225+CM296*CM225+CN296*CN225+CO296*CO225+CP296*CP225+CQ296*CQ225+CR296*CR225+CS296*CS225+CT296*CT225+CU296*CU225</f>
        <v>0</v>
      </c>
      <c r="DH225" s="2840">
        <f>E297*E225+F297*F225+G297*G225+H297*H225+I297*I225+J297*J225+K297*K225+L297*L225+M297*M225+N297*N225+O297*O225+P297*P225+Q297*Q225+R297*R225+S297*S225+T297*T225+U297*U225+V297*V225+W297*W225+X297*X225+Y297*Y225+Z297*Z225+AA297*AA225+AB297*AB225+AC297*AC225+AD297*AD225+AE297*AE225+AF297*AF225+AG297*AG225+AH297*AH225+AI297*AI225+AJ297*AJ225+AK297*AK225+AL297*AL225+AM297*AM225+AN297*AN225+AO297*AO225+AP297*AP225+AQ297*AQ225+AR297*AR225+AS297*AS225+AT297*AT225+AU297*AU225+AV297*AV225+AW297*AW225+AX297*AX225+AY297*AY225+AZ297*AZ225+BA297*BA225+BB297*BB225+BC297*BC225+BD297*BD225+BE297*BE225+BF297*BF225+BG297*BG225+BH297*BH225+BI297*BI225+BJ297*BJ225+BK297*BK225+BL297*BL225+BM297*BM225+BN297*BN225+BO297*BO225+BP297*BP225+BQ297*BQ225+BR297*BR225+BS297*BS225+BT297*BT225+BU297*BU225+BV297*BV225+BW297*BW225+BX297*BX225+BY297*BY225+BZ297*BZ225+CA297*CA225+CB297*CB225+CC297*CC225+CD297*CD225+CE297*CE225+CF297*CF225+CG297*CG225+CH297*CH225+CI297*CI225+CJ297*CJ225+CK297*CK225+CL297*CL225+CM297*CM225+CN297*CN225+CO297*CO225+CP297*CP225+CQ297*CQ225+CR297*CR225+CS297*CS225+CT297*CT225+CU297*CU225</f>
        <v>0</v>
      </c>
      <c r="DI225" s="2840">
        <f>E298*E225+F298*F225+G298*G225+H298*H225+I298*I225+J298*J225+K298*K225+L298*L225+M298*M225+N298*N225+O298*O225+P298*P225+Q298*Q225+R298*R225+S298*S225+T298*T225+U298*U225+V298*V225+W298*W225+X298*X225+Y298*Y225+Z298*Z225+AA298*AA225+AB298*AB225+AC298*AC225+AD298*AD225+AE298*AE225+AF298*AF225+AG298*AG225+AH298*AH225+AI298*AI225+AJ298*AJ225+AK298*AK225+AL298*AL225+AM298*AM225+AN298*AN225+AO298*AO225+AP298*AP225+AQ298*AQ225+AR298*AR225+AS298*AS225+AT298*AT225+AU298*AU225+AV298*AV225+AW298*AW225+AX298*AX225+AY298*AY225+AZ298*AZ225+BA298*BA225+BB298*BB225+BC298*BC225+BD298*BD225+BE298*BE225+BF298*BF225+BG298*BG225+BH298*BH225+BI298*BI225+BJ298*BJ225+BK298*BK225+BL298*BL225+BM298*BM225+BN298*BN225+BO298*BO225+BP298*BP225+BQ298*BQ225+BR298*BR225+BS298*BS225+BT298*BT225+BU298*BU225+BV298*BV225+BW298*BW225+BX298*BX225+BY298*BY225+BZ298*BZ225+CA298*CA225+CB298*CB225+CC298*CC225+CD298*CD225+CE298*CE225+CF298*CF225+CG298*CG225+CH298*CH225+CI298*CI225+CJ298*CJ225+CK298*CK225+CL298*CL225+CM298*CM225+CN298*CN225+CO298*CO225+CP298*CP225+CQ298*CQ225+CR298*CR225+CS298*CS225+CT298*CT225+CU298*CU225</f>
        <v>0</v>
      </c>
    </row>
    <row r="226" spans="2:113" ht="18" x14ac:dyDescent="0.25">
      <c r="B226" s="2510">
        <v>73</v>
      </c>
      <c r="C226" s="2444" t="s">
        <v>2859</v>
      </c>
      <c r="D226" s="2445" t="s">
        <v>3878</v>
      </c>
      <c r="E226" s="3125">
        <f>0</f>
        <v>0</v>
      </c>
      <c r="F226" s="3125">
        <f>0</f>
        <v>0</v>
      </c>
      <c r="G226" s="3125">
        <f>0</f>
        <v>0</v>
      </c>
      <c r="H226" s="3125">
        <f>0</f>
        <v>0</v>
      </c>
      <c r="I226" s="3125">
        <f>0</f>
        <v>0</v>
      </c>
      <c r="J226" s="3126">
        <f>0</f>
        <v>0</v>
      </c>
      <c r="K226" s="3125">
        <f>0</f>
        <v>0</v>
      </c>
      <c r="L226" s="3125">
        <f>-1</f>
        <v>-1</v>
      </c>
      <c r="M226" s="3125">
        <f>1</f>
        <v>1</v>
      </c>
      <c r="N226" s="3125">
        <f>0</f>
        <v>0</v>
      </c>
      <c r="O226" s="3125">
        <f>0</f>
        <v>0</v>
      </c>
      <c r="P226" s="3125">
        <f>0</f>
        <v>0</v>
      </c>
      <c r="Q226" s="3125">
        <f>0</f>
        <v>0</v>
      </c>
      <c r="R226" s="3125">
        <f>0</f>
        <v>0</v>
      </c>
      <c r="S226" s="3125">
        <f>0</f>
        <v>0</v>
      </c>
      <c r="T226" s="3125">
        <f>0</f>
        <v>0</v>
      </c>
      <c r="U226" s="3125">
        <f>0</f>
        <v>0</v>
      </c>
      <c r="V226" s="3125">
        <f>0</f>
        <v>0</v>
      </c>
      <c r="W226" s="3125">
        <f>0</f>
        <v>0</v>
      </c>
      <c r="X226" s="3125">
        <f>0</f>
        <v>0</v>
      </c>
      <c r="Y226" s="3125">
        <f>0</f>
        <v>0</v>
      </c>
      <c r="Z226" s="3125">
        <f>0</f>
        <v>0</v>
      </c>
      <c r="AA226" s="3125">
        <f>0</f>
        <v>0</v>
      </c>
      <c r="AB226" s="3125">
        <f>0</f>
        <v>0</v>
      </c>
      <c r="AC226" s="3125">
        <f>0</f>
        <v>0</v>
      </c>
      <c r="AD226" s="3125">
        <f>0</f>
        <v>0</v>
      </c>
      <c r="AE226" s="3125">
        <f>0</f>
        <v>0</v>
      </c>
      <c r="AF226" s="3125">
        <f>0</f>
        <v>0</v>
      </c>
      <c r="AG226" s="3125">
        <f>0</f>
        <v>0</v>
      </c>
      <c r="AH226" s="3125">
        <f>0</f>
        <v>0</v>
      </c>
      <c r="AI226" s="3125">
        <f>0</f>
        <v>0</v>
      </c>
      <c r="AJ226" s="3126">
        <f>0</f>
        <v>0</v>
      </c>
      <c r="AK226" s="3125">
        <f>i_N_CU</f>
        <v>0.01</v>
      </c>
      <c r="AL226" s="3125">
        <f>0</f>
        <v>0</v>
      </c>
      <c r="AM226" s="3125">
        <f>0</f>
        <v>0</v>
      </c>
      <c r="AN226" s="3125">
        <f>0</f>
        <v>0</v>
      </c>
      <c r="AO226" s="3125">
        <f>0</f>
        <v>0</v>
      </c>
      <c r="AP226" s="3126">
        <f>0</f>
        <v>0</v>
      </c>
      <c r="AQ226" s="3125">
        <f>i_P_CU</f>
        <v>2E-3</v>
      </c>
      <c r="AR226" s="3125">
        <f>0</f>
        <v>0</v>
      </c>
      <c r="AS226" s="3125">
        <f>0</f>
        <v>0</v>
      </c>
      <c r="AT226" s="3125">
        <f>0</f>
        <v>0</v>
      </c>
      <c r="AU226" s="3125">
        <f>0</f>
        <v>0</v>
      </c>
      <c r="AV226" s="3125">
        <f>0</f>
        <v>0</v>
      </c>
      <c r="AW226" s="3125">
        <f>0</f>
        <v>0</v>
      </c>
      <c r="AX226" s="3125">
        <f>0</f>
        <v>0</v>
      </c>
      <c r="AY226" s="3125">
        <f>0</f>
        <v>0</v>
      </c>
      <c r="AZ226" s="3125">
        <f>0</f>
        <v>0</v>
      </c>
      <c r="BA226" s="3125">
        <f>0</f>
        <v>0</v>
      </c>
      <c r="BB226" s="3125">
        <f>0</f>
        <v>0</v>
      </c>
      <c r="BC226" s="3125">
        <f>i_S_CU-i_S_XU</f>
        <v>0</v>
      </c>
      <c r="BD226" s="3125">
        <f>0</f>
        <v>0</v>
      </c>
      <c r="BE226" s="3125">
        <f>0</f>
        <v>0</v>
      </c>
      <c r="BF226" s="3125">
        <f>0</f>
        <v>0</v>
      </c>
      <c r="BG226" s="3125">
        <f>0</f>
        <v>0</v>
      </c>
      <c r="BH226" s="3125">
        <f>0</f>
        <v>0</v>
      </c>
      <c r="BI226" s="3125">
        <f>0</f>
        <v>0</v>
      </c>
      <c r="BJ226" s="3125">
        <f>0</f>
        <v>0</v>
      </c>
      <c r="BK226" s="3125">
        <f>0</f>
        <v>0</v>
      </c>
      <c r="BL226" s="3125">
        <f>0</f>
        <v>0</v>
      </c>
      <c r="BM226" s="3125">
        <f>0</f>
        <v>0</v>
      </c>
      <c r="BN226" s="3125">
        <f>0</f>
        <v>0</v>
      </c>
      <c r="BO226" s="3125">
        <f>0</f>
        <v>0</v>
      </c>
      <c r="BP226" s="3125">
        <f>0</f>
        <v>0</v>
      </c>
      <c r="BQ226" s="3125">
        <f>0</f>
        <v>0</v>
      </c>
      <c r="BR226" s="3125">
        <f>0</f>
        <v>0</v>
      </c>
      <c r="BS226" s="3125">
        <f>0</f>
        <v>0</v>
      </c>
      <c r="BT226" s="3125">
        <f>0</f>
        <v>0</v>
      </c>
      <c r="BU226" s="3125">
        <f>0</f>
        <v>0</v>
      </c>
      <c r="BV226" s="3125">
        <f>0</f>
        <v>0</v>
      </c>
      <c r="BW226" s="3125">
        <f>0</f>
        <v>0</v>
      </c>
      <c r="BX226" s="3125">
        <f>0</f>
        <v>0</v>
      </c>
      <c r="BY226" s="3125">
        <f>0</f>
        <v>0</v>
      </c>
      <c r="BZ226" s="3126">
        <f>0</f>
        <v>0</v>
      </c>
      <c r="CA226" s="3126">
        <f>0</f>
        <v>0</v>
      </c>
      <c r="CB226" s="3126">
        <f>0</f>
        <v>0</v>
      </c>
      <c r="CC226" s="3126">
        <f>0</f>
        <v>0</v>
      </c>
      <c r="CD226" s="3125">
        <f>0</f>
        <v>0</v>
      </c>
      <c r="CE226" s="3125">
        <f>0</f>
        <v>0</v>
      </c>
      <c r="CF226" s="3125">
        <f>0</f>
        <v>0</v>
      </c>
      <c r="CG226" s="3125">
        <f>0</f>
        <v>0</v>
      </c>
      <c r="CH226" s="3125">
        <f>0</f>
        <v>0</v>
      </c>
      <c r="CI226" s="3125">
        <f>0</f>
        <v>0</v>
      </c>
      <c r="CJ226" s="3125">
        <f>0</f>
        <v>0</v>
      </c>
      <c r="CK226" s="3125">
        <f>0</f>
        <v>0</v>
      </c>
      <c r="CL226" s="3125">
        <f>0</f>
        <v>0</v>
      </c>
      <c r="CM226" s="3125">
        <f>0</f>
        <v>0</v>
      </c>
      <c r="CN226" s="3125">
        <f>0</f>
        <v>0</v>
      </c>
      <c r="CO226" s="3125">
        <f>0</f>
        <v>0</v>
      </c>
      <c r="CP226" s="3125">
        <f>0</f>
        <v>0</v>
      </c>
      <c r="CQ226" s="3125">
        <f>0</f>
        <v>0</v>
      </c>
      <c r="CR226" s="3125">
        <f>0</f>
        <v>0</v>
      </c>
      <c r="CS226" s="3125">
        <f>0</f>
        <v>0</v>
      </c>
      <c r="CT226" s="3125">
        <f>0</f>
        <v>0</v>
      </c>
      <c r="CU226" s="3125">
        <f>0</f>
        <v>0</v>
      </c>
      <c r="CV226" s="3233">
        <f>r_ateFLOC_CU_polymer</f>
        <v>0</v>
      </c>
      <c r="CX226" s="2838">
        <f>E287*E226+F287*F226+G287*G226+H287*H226+I287*I226+J287*J226+K287*K226+L287*L226+M287*M226+N287*N226+O287*O226+P287*P226+Q287*Q226+R287*R226+S287*S226+T287*T226+U287*U226+V287*V226+W287*W226+X287*X226+Y287*Y226+Z287*Z226+AA287*AA226+AB287*AB226+AC287*AC226+AD287*AD226+AE287*AE226+AF287*AF226+AG287*AG226+AH287*AH226+AI287*AI226+AJ287*AJ226+AK287*AK226+AL287*AL226+AM287*AM226+AN287*AN226+AO287*AO226+AP287*AP226+AQ287*AQ226+AR287*AR226+AS287*AS226+AT287*AT226+AU287*AU226+AV287*AV226+AW287*AW226+AX287*AX226+AY287*AY226+AZ287*AZ226+BA287*BA226+BB287*BB226+BC287*BC226+BD287*BD226+BE287*BE226+BF287*BF226+BG287*BG226+BH287*BH226+BI287*BI226+BJ287*BJ226+BK287*BK226+BL287*BL226+BM287*BM226+BN287*BN226+BO287*BO226+BP287*BP226+BQ287*BQ226+BR287*BR226+BS287*BS226+BT287*BT226+BU287*BU226+BV287*BV226+BW287*BW226+BX287*BX226+BY287*BY226+BZ287*BZ226+CA287*CA226+CB287*CB226+CC287*CC226+CD287*CD226+CE287*CE226+CF287*CF226+CG287*CG226+CH287*CH226+CI287*CI226+CJ287*CJ226+CK287*CK226+CL287*CL226+CM287*CM226+CN287*CN226+CO287*CO226+CP287*CP226+CQ287*CQ226+CR287*CR226+CS287*CS226+CT287*CT226+CU287*CU226</f>
        <v>0</v>
      </c>
      <c r="CY226" s="2838">
        <f>E288*E226+F288*F226+G288*G226+H288*H226+I288*I226+J288*J226+K288*K226+L288*L226+M288*M226+N288*N226+O288*O226+P288*P226+Q288*Q226+R288*R226+S288*S226+T288*T226+U288*U226+V288*V226+W288*W226+X288*X226+Y288*Y226+Z288*Z226+AA288*AA226+AB288*AB226+AC288*AC226+AD288*AD226+AE288*AE226+AF288*AF226+AG288*AG226+AH288*AH226+AI288*AI226+AJ288*AJ226+AK288*AK226+AL288*AL226+AM288*AM226+AN288*AN226+AO288*AO226+AP288*AP226+AQ288*AQ226+AR288*AR226+AS288*AS226+AT288*AT226+AU288*AU226+AV288*AV226+AW288*AW226+AX288*AX226+AY288*AY226+AZ288*AZ226+BA288*BA226+BB288*BB226+BC288*BC226+BD288*BD226+BE288*BE226+BF288*BF226+BG288*BG226+BH288*BH226+BI288*BI226+BJ288*BJ226+BK288*BK226+BL288*BL226+BM288*BM226+BN288*BN226+BO288*BO226+BP288*BP226+BQ288*BQ226+BR288*BR226+BS288*BS226+BT288*BT226+BU288*BU226+BV288*BV226+BW288*BW226+BX288*BX226+BY288*BY226+BZ288*BZ226+CA288*CA226+CB288*CB226+CC288*CC226+CD288*CD226+CE288*CE226+CF288*CF226+CG288*CG226+CH288*CH226+CI288*CI226+CJ288*CJ226+CK288*CK226+CL288*CL226+CM288*CM226+CN288*CN226+CO288*CO226+CP288*CP226+CQ288*CQ226+CR288*CR226+CS288*CS226+CT288*CT226+CU288*CU226</f>
        <v>0</v>
      </c>
      <c r="CZ226" s="2839">
        <f>E289*E226+F289*F226+G289*G226+H289*H226+I289*I226+J289*J226+K289*K226+L289*L226+M289*M226+N289*N226+O289*O226+P289*P226+Q289*Q226+R289*R226+S289*S226+T289*T226+U289*U226+V289*V226+W289*W226+X289*X226+Y289*Y226+Z289*Z226+AA289*AA226+AB289*AB226+AC289*AC226+AD289*AD226+AE289*AE226+AF289*AF226+AG289*AG226+AH289*AH226+AI289*AI226+AJ289*AJ226+AK289*AK226+AL289*AL226+AM289*AM226+AN289*AN226+AO289*AO226+AP289*AP226+AQ289*AQ226+AR289*AR226+AS289*AS226+AT289*AT226+AU289*AU226+AV289*AV226+AW289*AW226+AX289*AX226+AY289*AY226+AZ289*AZ226+BA289*BA226+BB289*BB226+BC289*BC226+BD289*BD226+BE289*BE226+BF289*BF226+BG289*BG226+BH289*BH226+BI289*BI226+BJ289*BJ226+BK289*BK226+BL289*BL226+BM289*BM226+BN289*BN226+BO289*BO226+BP289*BP226+BQ289*BQ226+BR289*BR226+BS289*BS226+BT289*BT226+BU289*BU226+BV289*BV226+BW289*BW226+BX289*BX226+BY289*BY226+BZ289*BZ226+CA289*CA226+CB289*CB226+CC289*CC226+CD289*CD226+CE289*CE226+CF289*CF226+CG289*CG226+CH289*CH226+CI289*CI226+CJ289*CJ226+CK289*CK226+CL289*CL226+CM289*CM226+CN289*CN226+CO289*CO226+CP289*CP226+CQ289*CQ226+CR289*CR226+CS289*CS226+CT289*CT226+CU289*CU226</f>
        <v>0</v>
      </c>
      <c r="DA226" s="2840">
        <f>E290*E226+F290*F226+G290*G226+H290*H226+I290*I226+J290*J226+K290*K226+L290*L226+M290*M226+N290*N226+O290*O226+P290*P226+Q290*Q226+R290*R226+S290*S226+T290*T226+U290*U226+V290*V226+W290*W226+X290*X226+Y290*Y226+Z290*Z226+AA290*AA226+AB290*AB226+AC290*AC226+AD290*AD226+AE290*AE226+AF290*AF226+AG290*AG226+AH290*AH226+AI290*AI226+AJ290*AJ226+AK290*AK226+AL290*AL226+AM290*AM226+AN290*AN226+AO290*AO226+AP290*AP226+AQ290*AQ226+AR290*AR226+AS290*AS226+AT290*AT226+AU290*AU226+AV290*AV226+AW290*AW226+AX290*AX226+AY290*AY226+AZ290*AZ226+BA290*BA226+BB290*BB226+BC290*BC226+BD290*BD226+BE290*BE226+BF290*BF226+BG290*BG226+BH290*BH226+BI290*BI226+BJ290*BJ226+BK290*BK226+BL290*BL226+BM290*BM226+BN290*BN226+BO290*BO226+BP290*BP226+BQ290*BQ226+BR290*BR226+BS290*BS226+BT290*BT226+BU290*BU226+BV290*BV226+BW290*BW226+BX290*BX226+BY290*BY226+BZ290*BZ226+CA290*CA226+CB290*CB226+CC290*CC226+CD290*CD226+CE290*CE226+CF290*CF226+CG290*CG226+CH290*CH226+CI290*CI226+CJ290*CJ226+CK290*CK226+CL290*CL226+CM290*CM226+CN290*CN226+CO290*CO226+CP290*CP226+CQ290*CQ226+CR290*CR226+CS290*CS226+CT290*CT226+CU290*CU226</f>
        <v>0</v>
      </c>
      <c r="DB226" s="2840">
        <f>E291*E226+F291*F226+G291*G226+H291*H226+I291*I226+J291*J226+K291*K226+L291*L226+M291*M226+N291*N226+O291*O226+P291*P226+Q291*Q226+R291*R226+S291*S226+T291*T226+U291*U226+V291*V226+W291*W226+X291*X226+Y291*Y226+Z291*Z226+AA291*AA226+AB291*AB226+AC291*AC226+AD291*AD226+AE291*AE226+AF291*AF226+AG291*AG226+AH291*AH226+AI291*AI226+AJ291*AJ226+AK291*AK226+AL291*AL226+AM291*AM226+AN291*AN226+AO291*AO226+AP291*AP226+AQ291*AQ226+AR291*AR226+AS291*AS226+AT291*AT226+AU291*AU226+AV291*AV226+AW291*AW226+AX291*AX226+AY291*AY226+AZ291*AZ226+BA291*BA226+BB291*BB226+BC291*BC226+BD291*BD226+BE291*BE226+BF291*BF226+BG291*BG226+BH291*BH226+BI291*BI226+BJ291*BJ226+BK291*BK226+BL291*BL226+BM291*BM226+BN291*BN226+BO291*BO226+BP291*BP226+BQ291*BQ226+BR291*BR226+BS291*BS226+BT291*BT226+BU291*BU226+BV291*BV226+BW291*BW226+BX291*BX226+BY291*BY226+BZ291*BZ226+CA291*CA226+CB291*CB226+CC291*CC226+CD291*CD226+CE291*CE226+CF291*CF226+CG291*CG226+CH291*CH226+CI291*CI226+CJ291*CJ226+CK291*CK226+CL291*CL226+CM291*CM226+CN291*CN226+CO291*CO226+CP291*CP226+CQ291*CQ226+CR291*CR226+CS291*CS226+CT291*CT226+CU291*CU226</f>
        <v>0</v>
      </c>
      <c r="DC226" s="2840">
        <f>E292*E226+F292*F226+G292*G226+H292*H226+I292*I226+J292*J226+K292*K226+L292*L226+M292*M226+N292*N226+O292*O226+P292*P226+Q292*Q226+R292*R226+S292*S226+T292*T226+U292*U226+V292*V226+W292*W226+X292*X226+Y292*Y226+Z292*Z226+AA292*AA226+AB292*AB226+AC292*AC226+AD292*AD226+AE292*AE226+AF292*AF226+AG292*AG226+AH292*AH226+AI292*AI226+AJ292*AJ226+AK292*AK226+AL292*AL226+AM292*AM226+AN292*AN226+AO292*AO226+AP292*AP226+AQ292*AQ226+AR292*AR226+AS292*AS226+AT292*AT226+AU292*AU226+AV292*AV226+AW292*AW226+AX292*AX226+AY292*AY226+AZ292*AZ226+BA292*BA226+BB292*BB226+BC292*BC226+BD292*BD226+BE292*BE226+BF292*BF226+BG292*BG226+BH292*BH226+BI292*BI226+BJ292*BJ226+BK292*BK226+BL292*BL226+BM292*BM226+BN292*BN226+BO292*BO226+BP292*BP226+BQ292*BQ226+BR292*BR226+BS292*BS226+BT292*BT226+BU292*BU226+BV292*BV226+BW292*BW226+BX292*BX226+BY292*BY226+BZ292*BZ226+CA292*CA226+CB292*CB226+CC292*CC226+CD292*CD226+CE292*CE226+CF292*CF226+CG292*CG226+CH292*CH226+CI292*CI226+CJ292*CJ226+CK292*CK226+CL292*CL226+CM292*CM226+CN292*CN226+CO292*CO226+CP292*CP226+CQ292*CQ226+CR292*CR226+CS292*CS226+CT292*CT226+CU292*CU226</f>
        <v>0</v>
      </c>
      <c r="DD226" s="2840">
        <f>E293*E226+F293*F226+G293*G226+H293*H226+I293*I226+J293*J226+K293*K226+L293*L226+M293*M226+N293*N226+O293*O226+P293*P226+Q293*Q226+R293*R226+S293*S226+T293*T226+U293*U226+V293*V226+W293*W226+X293*X226+Y293*Y226+Z293*Z226+AA293*AA226+AB293*AB226+AC293*AC226+AD293*AD226+AE293*AE226+AF293*AF226+AG293*AG226+AH293*AH226+AI293*AI226+AJ293*AJ226+AK293*AK226+AL293*AL226+AM293*AM226+AN293*AN226+AO293*AO226+AP293*AP226+AQ293*AQ226+AR293*AR226+AS293*AS226+AT293*AT226+AU293*AU226+AV293*AV226+AW293*AW226+AX293*AX226+AY293*AY226+AZ293*AZ226+BA293*BA226+BB293*BB226+BC293*BC226+BD293*BD226+BE293*BE226+BF293*BF226+BG293*BG226+BH293*BH226+BI293*BI226+BJ293*BJ226+BK293*BK226+BL293*BL226+BM293*BM226+BN293*BN226+BO293*BO226+BP293*BP226+BQ293*BQ226+BR293*BR226+BS293*BS226+BT293*BT226+BU293*BU226+BV293*BV226+BW293*BW226+BX293*BX226+BY293*BY226+BZ293*BZ226+CA293*CA226+CB293*CB226+CC293*CC226+CD293*CD226+CE293*CE226+CF293*CF226+CG293*CG226+CH293*CH226+CI293*CI226+CJ293*CJ226+CK293*CK226+CL293*CL226+CM293*CM226+CN293*CN226+CO293*CO226+CP293*CP226+CQ293*CQ226+CR293*CR226+CS293*CS226+CT293*CT226+CU293*CU226</f>
        <v>0</v>
      </c>
      <c r="DE226" s="2840">
        <f>E294*E226+F294*F226+G294*G226+H294*H226+I294*I226+J294*J226+K294*K226+L294*L226+M294*M226+N294*N226+O294*O226+P294*P226+Q294*Q226+R294*R226+S294*S226+T294*T226+U294*U226+V294*V226+W294*W226+X294*X226+Y294*Y226+Z294*Z226+AA294*AA226+AB294*AB226+AC294*AC226+AD294*AD226+AE294*AE226+AF294*AF226+AG294*AG226+AH294*AH226+AI294*AI226+AJ294*AJ226+AK294*AK226+AL294*AL226+AM294*AM226+AN294*AN226+AO294*AO226+AP294*AP226+AQ294*AQ226+AR294*AR226+AS294*AS226+AT294*AT226+AU294*AU226+AV294*AV226+AW294*AW226+AX294*AX226+AY294*AY226+AZ294*AZ226+BA294*BA226+BB294*BB226+BC294*BC226+BD294*BD226+BE294*BE226+BF294*BF226+BG294*BG226+BH294*BH226+BI294*BI226+BJ294*BJ226+BK294*BK226+BL294*BL226+BM294*BM226+BN294*BN226+BO294*BO226+BP294*BP226+BQ294*BQ226+BR294*BR226+BS294*BS226+BT294*BT226+BU294*BU226+BV294*BV226+BW294*BW226+BX294*BX226+BY294*BY226+BZ294*BZ226+CA294*CA226+CB294*CB226+CC294*CC226+CD294*CD226+CE294*CE226+CF294*CF226+CG294*CG226+CH294*CH226+CI294*CI226+CJ294*CJ226+CK294*CK226+CL294*CL226+CM294*CM226+CN294*CN226+CO294*CO226+CP294*CP226+CQ294*CQ226+CR294*CR226+CS294*CS226+CT294*CT226+CU294*CU226</f>
        <v>0</v>
      </c>
      <c r="DF226" s="2840">
        <f>E295*E226+F295*F226+G295*G226+H295*H226+I295*I226+J295*J226+K295*K226+L295*L226+M295*M226+N295*N226+O295*O226+P295*P226+Q295*Q226+R295*R226+S295*S226+T295*T226+U295*U226+V295*V226+W295*W226+X295*X226+Y295*Y226+Z295*Z226+AA295*AA226+AB295*AB226+AC295*AC226+AD295*AD226+AE295*AE226+AF295*AF226+AG295*AG226+AH295*AH226+AI295*AI226+AJ295*AJ226+AK295*AK226+AL295*AL226+AM295*AM226+AN295*AN226+AO295*AO226+AP295*AP226+AQ295*AQ226+AR295*AR226+AS295*AS226+AT295*AT226+AU295*AU226+AV295*AV226+AW295*AW226+AX295*AX226+AY295*AY226+AZ295*AZ226+BA295*BA226+BB295*BB226+BC295*BC226+BD295*BD226+BE295*BE226+BF295*BF226+BG295*BG226+BH295*BH226+BI295*BI226+BJ295*BJ226+BK295*BK226+BL295*BL226+BM295*BM226+BN295*BN226+BO295*BO226+BP295*BP226+BQ295*BQ226+BR295*BR226+BS295*BS226+BT295*BT226+BU295*BU226+BV295*BV226+BW295*BW226+BX295*BX226+BY295*BY226+BZ295*BZ226+CA295*CA226+CB295*CB226+CC295*CC226+CD295*CD226+CE295*CE226+CF295*CF226+CG295*CG226+CH295*CH226+CI295*CI226+CJ295*CJ226+CK295*CK226+CL295*CL226+CM295*CM226+CN295*CN226+CO295*CO226+CP295*CP226+CQ295*CQ226+CR295*CR226+CS295*CS226+CT295*CT226+CU295*CU226</f>
        <v>0</v>
      </c>
      <c r="DG226" s="2840">
        <f>E296*E226+F296*F226+G296*G226+H296*H226+I296*I226+J296*J226+K296*K226+L296*L226+M296*M226+N296*N226+O296*O226+P296*P226+Q296*Q226+R296*R226+S296*S226+T296*T226+U296*U226+V296*V226+W296*W226+X296*X226+Y296*Y226+Z296*Z226+AA296*AA226+AB296*AB226+AC296*AC226+AD296*AD226+AE296*AE226+AF296*AF226+AG296*AG226+AH296*AH226+AI296*AI226+AJ296*AJ226+AK296*AK226+AL296*AL226+AM296*AM226+AN296*AN226+AO296*AO226+AP296*AP226+AQ296*AQ226+AR296*AR226+AS296*AS226+AT296*AT226+AU296*AU226+AV296*AV226+AW296*AW226+AX296*AX226+AY296*AY226+AZ296*AZ226+BA296*BA226+BB296*BB226+BC296*BC226+BD296*BD226+BE296*BE226+BF296*BF226+BG296*BG226+BH296*BH226+BI296*BI226+BJ296*BJ226+BK296*BK226+BL296*BL226+BM296*BM226+BN296*BN226+BO296*BO226+BP296*BP226+BQ296*BQ226+BR296*BR226+BS296*BS226+BT296*BT226+BU296*BU226+BV296*BV226+BW296*BW226+BX296*BX226+BY296*BY226+BZ296*BZ226+CA296*CA226+CB296*CB226+CC296*CC226+CD296*CD226+CE296*CE226+CF296*CF226+CG296*CG226+CH296*CH226+CI296*CI226+CJ296*CJ226+CK296*CK226+CL296*CL226+CM296*CM226+CN296*CN226+CO296*CO226+CP296*CP226+CQ296*CQ226+CR296*CR226+CS296*CS226+CT296*CT226+CU296*CU226</f>
        <v>0</v>
      </c>
      <c r="DH226" s="2840">
        <f>E297*E226+F297*F226+G297*G226+H297*H226+I297*I226+J297*J226+K297*K226+L297*L226+M297*M226+N297*N226+O297*O226+P297*P226+Q297*Q226+R297*R226+S297*S226+T297*T226+U297*U226+V297*V226+W297*W226+X297*X226+Y297*Y226+Z297*Z226+AA297*AA226+AB297*AB226+AC297*AC226+AD297*AD226+AE297*AE226+AF297*AF226+AG297*AG226+AH297*AH226+AI297*AI226+AJ297*AJ226+AK297*AK226+AL297*AL226+AM297*AM226+AN297*AN226+AO297*AO226+AP297*AP226+AQ297*AQ226+AR297*AR226+AS297*AS226+AT297*AT226+AU297*AU226+AV297*AV226+AW297*AW226+AX297*AX226+AY297*AY226+AZ297*AZ226+BA297*BA226+BB297*BB226+BC297*BC226+BD297*BD226+BE297*BE226+BF297*BF226+BG297*BG226+BH297*BH226+BI297*BI226+BJ297*BJ226+BK297*BK226+BL297*BL226+BM297*BM226+BN297*BN226+BO297*BO226+BP297*BP226+BQ297*BQ226+BR297*BR226+BS297*BS226+BT297*BT226+BU297*BU226+BV297*BV226+BW297*BW226+BX297*BX226+BY297*BY226+BZ297*BZ226+CA297*CA226+CB297*CB226+CC297*CC226+CD297*CD226+CE297*CE226+CF297*CF226+CG297*CG226+CH297*CH226+CI297*CI226+CJ297*CJ226+CK297*CK226+CL297*CL226+CM297*CM226+CN297*CN226+CO297*CO226+CP297*CP226+CQ297*CQ226+CR297*CR226+CS297*CS226+CT297*CT226+CU297*CU226</f>
        <v>0</v>
      </c>
      <c r="DI226" s="2840">
        <f>E298*E226+F298*F226+G298*G226+H298*H226+I298*I226+J298*J226+K298*K226+L298*L226+M298*M226+N298*N226+O298*O226+P298*P226+Q298*Q226+R298*R226+S298*S226+T298*T226+U298*U226+V298*V226+W298*W226+X298*X226+Y298*Y226+Z298*Z226+AA298*AA226+AB298*AB226+AC298*AC226+AD298*AD226+AE298*AE226+AF298*AF226+AG298*AG226+AH298*AH226+AI298*AI226+AJ298*AJ226+AK298*AK226+AL298*AL226+AM298*AM226+AN298*AN226+AO298*AO226+AP298*AP226+AQ298*AQ226+AR298*AR226+AS298*AS226+AT298*AT226+AU298*AU226+AV298*AV226+AW298*AW226+AX298*AX226+AY298*AY226+AZ298*AZ226+BA298*BA226+BB298*BB226+BC298*BC226+BD298*BD226+BE298*BE226+BF298*BF226+BG298*BG226+BH298*BH226+BI298*BI226+BJ298*BJ226+BK298*BK226+BL298*BL226+BM298*BM226+BN298*BN226+BO298*BO226+BP298*BP226+BQ298*BQ226+BR298*BR226+BS298*BS226+BT298*BT226+BU298*BU226+BV298*BV226+BW298*BW226+BX298*BX226+BY298*BY226+BZ298*BZ226+CA298*CA226+CB298*CB226+CC298*CC226+CD298*CD226+CE298*CE226+CF298*CF226+CG298*CG226+CH298*CH226+CI298*CI226+CJ298*CJ226+CK298*CK226+CL298*CL226+CM298*CM226+CN298*CN226+CO298*CO226+CP298*CP226+CQ298*CQ226+CR298*CR226+CS298*CS226+CT298*CT226+CU298*CU226</f>
        <v>0</v>
      </c>
    </row>
    <row r="227" spans="2:113" ht="18" x14ac:dyDescent="0.25">
      <c r="B227" s="2510">
        <v>74</v>
      </c>
      <c r="C227" s="2444" t="s">
        <v>2860</v>
      </c>
      <c r="D227" s="2445" t="s">
        <v>5933</v>
      </c>
      <c r="E227" s="3125">
        <f>0</f>
        <v>0</v>
      </c>
      <c r="F227" s="3125">
        <f>1</f>
        <v>1</v>
      </c>
      <c r="G227" s="3125">
        <f>0</f>
        <v>0</v>
      </c>
      <c r="H227" s="3125">
        <f>0</f>
        <v>0</v>
      </c>
      <c r="I227" s="3125">
        <f>-1</f>
        <v>-1</v>
      </c>
      <c r="J227" s="3126">
        <f>0</f>
        <v>0</v>
      </c>
      <c r="K227" s="3125">
        <f>0</f>
        <v>0</v>
      </c>
      <c r="L227" s="3125">
        <f>0</f>
        <v>0</v>
      </c>
      <c r="M227" s="3125">
        <f>0</f>
        <v>0</v>
      </c>
      <c r="N227" s="3125">
        <f>0</f>
        <v>0</v>
      </c>
      <c r="O227" s="3125">
        <f>0</f>
        <v>0</v>
      </c>
      <c r="P227" s="3125">
        <f>0</f>
        <v>0</v>
      </c>
      <c r="Q227" s="3125">
        <f>0</f>
        <v>0</v>
      </c>
      <c r="R227" s="3125">
        <f>0</f>
        <v>0</v>
      </c>
      <c r="S227" s="3125">
        <f>0</f>
        <v>0</v>
      </c>
      <c r="T227" s="3125">
        <f>0</f>
        <v>0</v>
      </c>
      <c r="U227" s="3125">
        <f>0</f>
        <v>0</v>
      </c>
      <c r="V227" s="3125">
        <f>0</f>
        <v>0</v>
      </c>
      <c r="W227" s="3125">
        <f>0</f>
        <v>0</v>
      </c>
      <c r="X227" s="3125">
        <f>0</f>
        <v>0</v>
      </c>
      <c r="Y227" s="3125">
        <f>0</f>
        <v>0</v>
      </c>
      <c r="Z227" s="3125">
        <f>0</f>
        <v>0</v>
      </c>
      <c r="AA227" s="3125">
        <f>0</f>
        <v>0</v>
      </c>
      <c r="AB227" s="3125">
        <f>0</f>
        <v>0</v>
      </c>
      <c r="AC227" s="3125">
        <f>0</f>
        <v>0</v>
      </c>
      <c r="AD227" s="3125">
        <f>0</f>
        <v>0</v>
      </c>
      <c r="AE227" s="3125">
        <f>0</f>
        <v>0</v>
      </c>
      <c r="AF227" s="3125">
        <f>0</f>
        <v>0</v>
      </c>
      <c r="AG227" s="3125">
        <f>0</f>
        <v>0</v>
      </c>
      <c r="AH227" s="3127">
        <f>X_N_B/X_B</f>
        <v>3.5714285714285712E-2</v>
      </c>
      <c r="AI227" s="3127">
        <f>-X_N_B/X_B</f>
        <v>-3.5714285714285712E-2</v>
      </c>
      <c r="AJ227" s="3165">
        <f>0</f>
        <v>0</v>
      </c>
      <c r="AK227" s="3125">
        <f>0</f>
        <v>0</v>
      </c>
      <c r="AL227" s="3125">
        <f>0</f>
        <v>0</v>
      </c>
      <c r="AM227" s="3125">
        <f>0</f>
        <v>0</v>
      </c>
      <c r="AN227" s="3127">
        <f>X_P_B/X_B</f>
        <v>7.1428571428571435E-3</v>
      </c>
      <c r="AO227" s="3127">
        <f>-X_P_B/X_B</f>
        <v>-7.1428571428571435E-3</v>
      </c>
      <c r="AP227" s="3165">
        <f>0</f>
        <v>0</v>
      </c>
      <c r="AQ227" s="3125">
        <f>0</f>
        <v>0</v>
      </c>
      <c r="AR227" s="3125">
        <f>0</f>
        <v>0</v>
      </c>
      <c r="AS227" s="3125">
        <f>0</f>
        <v>0</v>
      </c>
      <c r="AT227" s="3125">
        <f>0</f>
        <v>0</v>
      </c>
      <c r="AU227" s="3125">
        <f>0</f>
        <v>0</v>
      </c>
      <c r="AV227" s="3125">
        <f>0</f>
        <v>0</v>
      </c>
      <c r="AW227" s="3125">
        <f>0</f>
        <v>0</v>
      </c>
      <c r="AX227" s="3125">
        <f>0</f>
        <v>0</v>
      </c>
      <c r="AY227" s="3125">
        <f>0</f>
        <v>0</v>
      </c>
      <c r="AZ227" s="3125">
        <f>0</f>
        <v>0</v>
      </c>
      <c r="BA227" s="3125">
        <f>0</f>
        <v>0</v>
      </c>
      <c r="BB227" s="3125">
        <f>0</f>
        <v>0</v>
      </c>
      <c r="BC227" s="3125">
        <f>i_S_XB-i_S_SB</f>
        <v>0</v>
      </c>
      <c r="BD227" s="3125">
        <f>0</f>
        <v>0</v>
      </c>
      <c r="BE227" s="3125">
        <f>0</f>
        <v>0</v>
      </c>
      <c r="BF227" s="3125">
        <f>0</f>
        <v>0</v>
      </c>
      <c r="BG227" s="3125">
        <f>0</f>
        <v>0</v>
      </c>
      <c r="BH227" s="3125">
        <f>0</f>
        <v>0</v>
      </c>
      <c r="BI227" s="3125">
        <f>0</f>
        <v>0</v>
      </c>
      <c r="BJ227" s="3125">
        <f>0</f>
        <v>0</v>
      </c>
      <c r="BK227" s="3125">
        <f>0</f>
        <v>0</v>
      </c>
      <c r="BL227" s="3125">
        <f>0</f>
        <v>0</v>
      </c>
      <c r="BM227" s="3125">
        <f>0</f>
        <v>0</v>
      </c>
      <c r="BN227" s="3125">
        <f>0</f>
        <v>0</v>
      </c>
      <c r="BO227" s="3125">
        <f>0</f>
        <v>0</v>
      </c>
      <c r="BP227" s="3125">
        <f>0</f>
        <v>0</v>
      </c>
      <c r="BQ227" s="3125">
        <f>0</f>
        <v>0</v>
      </c>
      <c r="BR227" s="3125">
        <f>0</f>
        <v>0</v>
      </c>
      <c r="BS227" s="3125">
        <f>0</f>
        <v>0</v>
      </c>
      <c r="BT227" s="3125">
        <f>0</f>
        <v>0</v>
      </c>
      <c r="BU227" s="3125">
        <f>0</f>
        <v>0</v>
      </c>
      <c r="BV227" s="3125">
        <f>0</f>
        <v>0</v>
      </c>
      <c r="BW227" s="3125">
        <f>0</f>
        <v>0</v>
      </c>
      <c r="BX227" s="3125">
        <f>0</f>
        <v>0</v>
      </c>
      <c r="BY227" s="3125">
        <f>0</f>
        <v>0</v>
      </c>
      <c r="BZ227" s="3126">
        <f>0</f>
        <v>0</v>
      </c>
      <c r="CA227" s="3126">
        <f>0</f>
        <v>0</v>
      </c>
      <c r="CB227" s="3126">
        <f>0</f>
        <v>0</v>
      </c>
      <c r="CC227" s="3126">
        <f>0</f>
        <v>0</v>
      </c>
      <c r="CD227" s="3125">
        <f>0</f>
        <v>0</v>
      </c>
      <c r="CE227" s="3125">
        <f>0</f>
        <v>0</v>
      </c>
      <c r="CF227" s="3125">
        <f>0</f>
        <v>0</v>
      </c>
      <c r="CG227" s="3125">
        <f>0</f>
        <v>0</v>
      </c>
      <c r="CH227" s="3125">
        <f>0</f>
        <v>0</v>
      </c>
      <c r="CI227" s="3125">
        <f>0</f>
        <v>0</v>
      </c>
      <c r="CJ227" s="3125">
        <f>0</f>
        <v>0</v>
      </c>
      <c r="CK227" s="3125">
        <f>0</f>
        <v>0</v>
      </c>
      <c r="CL227" s="3125">
        <f>0</f>
        <v>0</v>
      </c>
      <c r="CM227" s="3125">
        <f>0</f>
        <v>0</v>
      </c>
      <c r="CN227" s="3125">
        <f>0</f>
        <v>0</v>
      </c>
      <c r="CO227" s="3125">
        <f>0</f>
        <v>0</v>
      </c>
      <c r="CP227" s="3125">
        <f>0</f>
        <v>0</v>
      </c>
      <c r="CQ227" s="3125">
        <f>0</f>
        <v>0</v>
      </c>
      <c r="CR227" s="3125">
        <f>0</f>
        <v>0</v>
      </c>
      <c r="CS227" s="3125">
        <f>0</f>
        <v>0</v>
      </c>
      <c r="CT227" s="3125">
        <f>0</f>
        <v>0</v>
      </c>
      <c r="CU227" s="3125">
        <f>0</f>
        <v>0</v>
      </c>
      <c r="CV227" s="3233">
        <f>q_HYD_XB_T*X_HET*(L_ogsatXHET_HYD_lim*M_RsatXB_XHET_KHYD+L_oginhXHET_HYD_lim*M_satXB_KXB_HYD)*(M_satSO2_KO2_OHO+η_HYD_anox*(M_satSNO2_KNO2_OHO+M_satSNO3_KNO3_OHO*M_inhSNO2_KNO2_OHO)*M_inhSO2_KO2_OHO+η_HYD_ana*M_inhSNO3_KNO3_OHO*M_inhSNO2_KNO2_OHO*M_inhSO2_KO2_OHO)</f>
        <v>632.48335473698933</v>
      </c>
      <c r="CX227" s="2838">
        <f>E287*E227+F287*F227+G287*G227+H287*H227+I287*I227+J287*J227+K287*K227+L287*L227+M287*M227+N287*N227+O287*O227+P287*P227+Q287*Q227+R287*R227+S287*S227+T287*T227+U287*U227+V287*V227+W287*W227+X287*X227+Y287*Y227+Z287*Z227+AA287*AA227+AB287*AB227+AC287*AC227+AD287*AD227+AE287*AE227+AF287*AF227+AG287*AG227+AH287*AH227+AI287*AI227+AJ287*AJ227+AK287*AK227+AL287*AL227+AM287*AM227+AN287*AN227+AO287*AO227+AP287*AP227+AQ287*AQ227+AR287*AR227+AS287*AS227+AT287*AT227+AU287*AU227+AV287*AV227+AW287*AW227+AX287*AX227+AY287*AY227+AZ287*AZ227+BA287*BA227+BB287*BB227+BC287*BC227+BD287*BD227+BE287*BE227+BF287*BF227+BG287*BG227+BH287*BH227+BI287*BI227+BJ287*BJ227+BK287*BK227+BL287*BL227+BM287*BM227+BN287*BN227+BO287*BO227+BP287*BP227+BQ287*BQ227+BR287*BR227+BS287*BS227+BT287*BT227+BU287*BU227+BV287*BV227+BW287*BW227+BX287*BX227+BY287*BY227+BZ287*BZ227+CA287*CA227+CB287*CB227+CC287*CC227+CD287*CD227+CE287*CE227+CF287*CF227+CG287*CG227+CH287*CH227+CI287*CI227+CJ287*CJ227+CK287*CK227+CL287*CL227+CM287*CM227+CN287*CN227+CO287*CO227+CP287*CP227+CQ287*CQ227+CR287*CR227+CS287*CS227+CT287*CT227+CU287*CU227</f>
        <v>0</v>
      </c>
      <c r="CY227" s="2838">
        <f>E288*E227+F288*F227+G288*G227+H288*H227+I288*I227+J288*J227+K288*K227+L288*L227+M288*M227+N288*N227+O288*O227+P288*P227+Q288*Q227+R288*R227+S288*S227+T288*T227+U288*U227+V288*V227+W288*W227+X288*X227+Y288*Y227+Z288*Z227+AA288*AA227+AB288*AB227+AC288*AC227+AD288*AD227+AE288*AE227+AF288*AF227+AG288*AG227+AH288*AH227+AI288*AI227+AJ288*AJ227+AK288*AK227+AL288*AL227+AM288*AM227+AN288*AN227+AO288*AO227+AP288*AP227+AQ288*AQ227+AR288*AR227+AS288*AS227+AT288*AT227+AU288*AU227+AV288*AV227+AW288*AW227+AX288*AX227+AY288*AY227+AZ288*AZ227+BA288*BA227+BB288*BB227+BC288*BC227+BD288*BD227+BE288*BE227+BF288*BF227+BG288*BG227+BH288*BH227+BI288*BI227+BJ288*BJ227+BK288*BK227+BL288*BL227+BM288*BM227+BN288*BN227+BO288*BO227+BP288*BP227+BQ288*BQ227+BR288*BR227+BS288*BS227+BT288*BT227+BU288*BU227+BV288*BV227+BW288*BW227+BX288*BX227+BY288*BY227+BZ288*BZ227+CA288*CA227+CB288*CB227+CC288*CC227+CD288*CD227+CE288*CE227+CF288*CF227+CG288*CG227+CH288*CH227+CI288*CI227+CJ288*CJ227+CK288*CK227+CL288*CL227+CM288*CM227+CN288*CN227+CO288*CO227+CP288*CP227+CQ288*CQ227+CR288*CR227+CS288*CS227+CT288*CT227+CU288*CU227</f>
        <v>0</v>
      </c>
      <c r="CZ227" s="2839">
        <f>E289*E227+F289*F227+G289*G227+H289*H227+I289*I227+J289*J227+K289*K227+L289*L227+M289*M227+N289*N227+O289*O227+P289*P227+Q289*Q227+R289*R227+S289*S227+T289*T227+U289*U227+V289*V227+W289*W227+X289*X227+Y289*Y227+Z289*Z227+AA289*AA227+AB289*AB227+AC289*AC227+AD289*AD227+AE289*AE227+AF289*AF227+AG289*AG227+AH289*AH227+AI289*AI227+AJ289*AJ227+AK289*AK227+AL289*AL227+AM289*AM227+AN289*AN227+AO289*AO227+AP289*AP227+AQ289*AQ227+AR289*AR227+AS289*AS227+AT289*AT227+AU289*AU227+AV289*AV227+AW289*AW227+AX289*AX227+AY289*AY227+AZ289*AZ227+BA289*BA227+BB289*BB227+BC289*BC227+BD289*BD227+BE289*BE227+BF289*BF227+BG289*BG227+BH289*BH227+BI289*BI227+BJ289*BJ227+BK289*BK227+BL289*BL227+BM289*BM227+BN289*BN227+BO289*BO227+BP289*BP227+BQ289*BQ227+BR289*BR227+BS289*BS227+BT289*BT227+BU289*BU227+BV289*BV227+BW289*BW227+BX289*BX227+BY289*BY227+BZ289*BZ227+CA289*CA227+CB289*CB227+CC289*CC227+CD289*CD227+CE289*CE227+CF289*CF227+CG289*CG227+CH289*CH227+CI289*CI227+CJ289*CJ227+CK289*CK227+CL289*CL227+CM289*CM227+CN289*CN227+CO289*CO227+CP289*CP227+CQ289*CQ227+CR289*CR227+CS289*CS227+CT289*CT227+CU289*CU227</f>
        <v>0</v>
      </c>
      <c r="DA227" s="2840">
        <f>E290*E227+F290*F227+G290*G227+H290*H227+I290*I227+J290*J227+K290*K227+L290*L227+M290*M227+N290*N227+O290*O227+P290*P227+Q290*Q227+R290*R227+S290*S227+T290*T227+U290*U227+V290*V227+W290*W227+X290*X227+Y290*Y227+Z290*Z227+AA290*AA227+AB290*AB227+AC290*AC227+AD290*AD227+AE290*AE227+AF290*AF227+AG290*AG227+AH290*AH227+AI290*AI227+AJ290*AJ227+AK290*AK227+AL290*AL227+AM290*AM227+AN290*AN227+AO290*AO227+AP290*AP227+AQ290*AQ227+AR290*AR227+AS290*AS227+AT290*AT227+AU290*AU227+AV290*AV227+AW290*AW227+AX290*AX227+AY290*AY227+AZ290*AZ227+BA290*BA227+BB290*BB227+BC290*BC227+BD290*BD227+BE290*BE227+BF290*BF227+BG290*BG227+BH290*BH227+BI290*BI227+BJ290*BJ227+BK290*BK227+BL290*BL227+BM290*BM227+BN290*BN227+BO290*BO227+BP290*BP227+BQ290*BQ227+BR290*BR227+BS290*BS227+BT290*BT227+BU290*BU227+BV290*BV227+BW290*BW227+BX290*BX227+BY290*BY227+BZ290*BZ227+CA290*CA227+CB290*CB227+CC290*CC227+CD290*CD227+CE290*CE227+CF290*CF227+CG290*CG227+CH290*CH227+CI290*CI227+CJ290*CJ227+CK290*CK227+CL290*CL227+CM290*CM227+CN290*CN227+CO290*CO227+CP290*CP227+CQ290*CQ227+CR290*CR227+CS290*CS227+CT290*CT227+CU290*CU227</f>
        <v>0</v>
      </c>
      <c r="DB227" s="2840">
        <f>E291*E227+F291*F227+G291*G227+H291*H227+I291*I227+J291*J227+K291*K227+L291*L227+M291*M227+N291*N227+O291*O227+P291*P227+Q291*Q227+R291*R227+S291*S227+T291*T227+U291*U227+V291*V227+W291*W227+X291*X227+Y291*Y227+Z291*Z227+AA291*AA227+AB291*AB227+AC291*AC227+AD291*AD227+AE291*AE227+AF291*AF227+AG291*AG227+AH291*AH227+AI291*AI227+AJ291*AJ227+AK291*AK227+AL291*AL227+AM291*AM227+AN291*AN227+AO291*AO227+AP291*AP227+AQ291*AQ227+AR291*AR227+AS291*AS227+AT291*AT227+AU291*AU227+AV291*AV227+AW291*AW227+AX291*AX227+AY291*AY227+AZ291*AZ227+BA291*BA227+BB291*BB227+BC291*BC227+BD291*BD227+BE291*BE227+BF291*BF227+BG291*BG227+BH291*BH227+BI291*BI227+BJ291*BJ227+BK291*BK227+BL291*BL227+BM291*BM227+BN291*BN227+BO291*BO227+BP291*BP227+BQ291*BQ227+BR291*BR227+BS291*BS227+BT291*BT227+BU291*BU227+BV291*BV227+BW291*BW227+BX291*BX227+BY291*BY227+BZ291*BZ227+CA291*CA227+CB291*CB227+CC291*CC227+CD291*CD227+CE291*CE227+CF291*CF227+CG291*CG227+CH291*CH227+CI291*CI227+CJ291*CJ227+CK291*CK227+CL291*CL227+CM291*CM227+CN291*CN227+CO291*CO227+CP291*CP227+CQ291*CQ227+CR291*CR227+CS291*CS227+CT291*CT227+CU291*CU227</f>
        <v>0</v>
      </c>
      <c r="DC227" s="2840">
        <f>E292*E227+F292*F227+G292*G227+H292*H227+I292*I227+J292*J227+K292*K227+L292*L227+M292*M227+N292*N227+O292*O227+P292*P227+Q292*Q227+R292*R227+S292*S227+T292*T227+U292*U227+V292*V227+W292*W227+X292*X227+Y292*Y227+Z292*Z227+AA292*AA227+AB292*AB227+AC292*AC227+AD292*AD227+AE292*AE227+AF292*AF227+AG292*AG227+AH292*AH227+AI292*AI227+AJ292*AJ227+AK292*AK227+AL292*AL227+AM292*AM227+AN292*AN227+AO292*AO227+AP292*AP227+AQ292*AQ227+AR292*AR227+AS292*AS227+AT292*AT227+AU292*AU227+AV292*AV227+AW292*AW227+AX292*AX227+AY292*AY227+AZ292*AZ227+BA292*BA227+BB292*BB227+BC292*BC227+BD292*BD227+BE292*BE227+BF292*BF227+BG292*BG227+BH292*BH227+BI292*BI227+BJ292*BJ227+BK292*BK227+BL292*BL227+BM292*BM227+BN292*BN227+BO292*BO227+BP292*BP227+BQ292*BQ227+BR292*BR227+BS292*BS227+BT292*BT227+BU292*BU227+BV292*BV227+BW292*BW227+BX292*BX227+BY292*BY227+BZ292*BZ227+CA292*CA227+CB292*CB227+CC292*CC227+CD292*CD227+CE292*CE227+CF292*CF227+CG292*CG227+CH292*CH227+CI292*CI227+CJ292*CJ227+CK292*CK227+CL292*CL227+CM292*CM227+CN292*CN227+CO292*CO227+CP292*CP227+CQ292*CQ227+CR292*CR227+CS292*CS227+CT292*CT227+CU292*CU227</f>
        <v>0</v>
      </c>
      <c r="DD227" s="2840">
        <f>E293*E227+F293*F227+G293*G227+H293*H227+I293*I227+J293*J227+K293*K227+L293*L227+M293*M227+N293*N227+O293*O227+P293*P227+Q293*Q227+R293*R227+S293*S227+T293*T227+U293*U227+V293*V227+W293*W227+X293*X227+Y293*Y227+Z293*Z227+AA293*AA227+AB293*AB227+AC293*AC227+AD293*AD227+AE293*AE227+AF293*AF227+AG293*AG227+AH293*AH227+AI293*AI227+AJ293*AJ227+AK293*AK227+AL293*AL227+AM293*AM227+AN293*AN227+AO293*AO227+AP293*AP227+AQ293*AQ227+AR293*AR227+AS293*AS227+AT293*AT227+AU293*AU227+AV293*AV227+AW293*AW227+AX293*AX227+AY293*AY227+AZ293*AZ227+BA293*BA227+BB293*BB227+BC293*BC227+BD293*BD227+BE293*BE227+BF293*BF227+BG293*BG227+BH293*BH227+BI293*BI227+BJ293*BJ227+BK293*BK227+BL293*BL227+BM293*BM227+BN293*BN227+BO293*BO227+BP293*BP227+BQ293*BQ227+BR293*BR227+BS293*BS227+BT293*BT227+BU293*BU227+BV293*BV227+BW293*BW227+BX293*BX227+BY293*BY227+BZ293*BZ227+CA293*CA227+CB293*CB227+CC293*CC227+CD293*CD227+CE293*CE227+CF293*CF227+CG293*CG227+CH293*CH227+CI293*CI227+CJ293*CJ227+CK293*CK227+CL293*CL227+CM293*CM227+CN293*CN227+CO293*CO227+CP293*CP227+CQ293*CQ227+CR293*CR227+CS293*CS227+CT293*CT227+CU293*CU227</f>
        <v>0</v>
      </c>
      <c r="DE227" s="2840">
        <f>E294*E227+F294*F227+G294*G227+H294*H227+I294*I227+J294*J227+K294*K227+L294*L227+M294*M227+N294*N227+O294*O227+P294*P227+Q294*Q227+R294*R227+S294*S227+T294*T227+U294*U227+V294*V227+W294*W227+X294*X227+Y294*Y227+Z294*Z227+AA294*AA227+AB294*AB227+AC294*AC227+AD294*AD227+AE294*AE227+AF294*AF227+AG294*AG227+AH294*AH227+AI294*AI227+AJ294*AJ227+AK294*AK227+AL294*AL227+AM294*AM227+AN294*AN227+AO294*AO227+AP294*AP227+AQ294*AQ227+AR294*AR227+AS294*AS227+AT294*AT227+AU294*AU227+AV294*AV227+AW294*AW227+AX294*AX227+AY294*AY227+AZ294*AZ227+BA294*BA227+BB294*BB227+BC294*BC227+BD294*BD227+BE294*BE227+BF294*BF227+BG294*BG227+BH294*BH227+BI294*BI227+BJ294*BJ227+BK294*BK227+BL294*BL227+BM294*BM227+BN294*BN227+BO294*BO227+BP294*BP227+BQ294*BQ227+BR294*BR227+BS294*BS227+BT294*BT227+BU294*BU227+BV294*BV227+BW294*BW227+BX294*BX227+BY294*BY227+BZ294*BZ227+CA294*CA227+CB294*CB227+CC294*CC227+CD294*CD227+CE294*CE227+CF294*CF227+CG294*CG227+CH294*CH227+CI294*CI227+CJ294*CJ227+CK294*CK227+CL294*CL227+CM294*CM227+CN294*CN227+CO294*CO227+CP294*CP227+CQ294*CQ227+CR294*CR227+CS294*CS227+CT294*CT227+CU294*CU227</f>
        <v>0</v>
      </c>
      <c r="DF227" s="2840">
        <f>E295*E227+F295*F227+G295*G227+H295*H227+I295*I227+J295*J227+K295*K227+L295*L227+M295*M227+N295*N227+O295*O227+P295*P227+Q295*Q227+R295*R227+S295*S227+T295*T227+U295*U227+V295*V227+W295*W227+X295*X227+Y295*Y227+Z295*Z227+AA295*AA227+AB295*AB227+AC295*AC227+AD295*AD227+AE295*AE227+AF295*AF227+AG295*AG227+AH295*AH227+AI295*AI227+AJ295*AJ227+AK295*AK227+AL295*AL227+AM295*AM227+AN295*AN227+AO295*AO227+AP295*AP227+AQ295*AQ227+AR295*AR227+AS295*AS227+AT295*AT227+AU295*AU227+AV295*AV227+AW295*AW227+AX295*AX227+AY295*AY227+AZ295*AZ227+BA295*BA227+BB295*BB227+BC295*BC227+BD295*BD227+BE295*BE227+BF295*BF227+BG295*BG227+BH295*BH227+BI295*BI227+BJ295*BJ227+BK295*BK227+BL295*BL227+BM295*BM227+BN295*BN227+BO295*BO227+BP295*BP227+BQ295*BQ227+BR295*BR227+BS295*BS227+BT295*BT227+BU295*BU227+BV295*BV227+BW295*BW227+BX295*BX227+BY295*BY227+BZ295*BZ227+CA295*CA227+CB295*CB227+CC295*CC227+CD295*CD227+CE295*CE227+CF295*CF227+CG295*CG227+CH295*CH227+CI295*CI227+CJ295*CJ227+CK295*CK227+CL295*CL227+CM295*CM227+CN295*CN227+CO295*CO227+CP295*CP227+CQ295*CQ227+CR295*CR227+CS295*CS227+CT295*CT227+CU295*CU227</f>
        <v>0</v>
      </c>
      <c r="DG227" s="2840">
        <f>E296*E227+F296*F227+G296*G227+H296*H227+I296*I227+J296*J227+K296*K227+L296*L227+M296*M227+N296*N227+O296*O227+P296*P227+Q296*Q227+R296*R227+S296*S227+T296*T227+U296*U227+V296*V227+W296*W227+X296*X227+Y296*Y227+Z296*Z227+AA296*AA227+AB296*AB227+AC296*AC227+AD296*AD227+AE296*AE227+AF296*AF227+AG296*AG227+AH296*AH227+AI296*AI227+AJ296*AJ227+AK296*AK227+AL296*AL227+AM296*AM227+AN296*AN227+AO296*AO227+AP296*AP227+AQ296*AQ227+AR296*AR227+AS296*AS227+AT296*AT227+AU296*AU227+AV296*AV227+AW296*AW227+AX296*AX227+AY296*AY227+AZ296*AZ227+BA296*BA227+BB296*BB227+BC296*BC227+BD296*BD227+BE296*BE227+BF296*BF227+BG296*BG227+BH296*BH227+BI296*BI227+BJ296*BJ227+BK296*BK227+BL296*BL227+BM296*BM227+BN296*BN227+BO296*BO227+BP296*BP227+BQ296*BQ227+BR296*BR227+BS296*BS227+BT296*BT227+BU296*BU227+BV296*BV227+BW296*BW227+BX296*BX227+BY296*BY227+BZ296*BZ227+CA296*CA227+CB296*CB227+CC296*CC227+CD296*CD227+CE296*CE227+CF296*CF227+CG296*CG227+CH296*CH227+CI296*CI227+CJ296*CJ227+CK296*CK227+CL296*CL227+CM296*CM227+CN296*CN227+CO296*CO227+CP296*CP227+CQ296*CQ227+CR296*CR227+CS296*CS227+CT296*CT227+CU296*CU227</f>
        <v>0</v>
      </c>
      <c r="DH227" s="2840">
        <f>E297*E227+F297*F227+G297*G227+H297*H227+I297*I227+J297*J227+K297*K227+L297*L227+M297*M227+N297*N227+O297*O227+P297*P227+Q297*Q227+R297*R227+S297*S227+T297*T227+U297*U227+V297*V227+W297*W227+X297*X227+Y297*Y227+Z297*Z227+AA297*AA227+AB297*AB227+AC297*AC227+AD297*AD227+AE297*AE227+AF297*AF227+AG297*AG227+AH297*AH227+AI297*AI227+AJ297*AJ227+AK297*AK227+AL297*AL227+AM297*AM227+AN297*AN227+AO297*AO227+AP297*AP227+AQ297*AQ227+AR297*AR227+AS297*AS227+AT297*AT227+AU297*AU227+AV297*AV227+AW297*AW227+AX297*AX227+AY297*AY227+AZ297*AZ227+BA297*BA227+BB297*BB227+BC297*BC227+BD297*BD227+BE297*BE227+BF297*BF227+BG297*BG227+BH297*BH227+BI297*BI227+BJ297*BJ227+BK297*BK227+BL297*BL227+BM297*BM227+BN297*BN227+BO297*BO227+BP297*BP227+BQ297*BQ227+BR297*BR227+BS297*BS227+BT297*BT227+BU297*BU227+BV297*BV227+BW297*BW227+BX297*BX227+BY297*BY227+BZ297*BZ227+CA297*CA227+CB297*CB227+CC297*CC227+CD297*CD227+CE297*CE227+CF297*CF227+CG297*CG227+CH297*CH227+CI297*CI227+CJ297*CJ227+CK297*CK227+CL297*CL227+CM297*CM227+CN297*CN227+CO297*CO227+CP297*CP227+CQ297*CQ227+CR297*CR227+CS297*CS227+CT297*CT227+CU297*CU227</f>
        <v>0</v>
      </c>
      <c r="DI227" s="2840">
        <f>E298*E227+F298*F227+G298*G227+H298*H227+I298*I227+J298*J227+K298*K227+L298*L227+M298*M227+N298*N227+O298*O227+P298*P227+Q298*Q227+R298*R227+S298*S227+T298*T227+U298*U227+V298*V227+W298*W227+X298*X227+Y298*Y227+Z298*Z227+AA298*AA227+AB298*AB227+AC298*AC227+AD298*AD227+AE298*AE227+AF298*AF227+AG298*AG227+AH298*AH227+AI298*AI227+AJ298*AJ227+AK298*AK227+AL298*AL227+AM298*AM227+AN298*AN227+AO298*AO227+AP298*AP227+AQ298*AQ227+AR298*AR227+AS298*AS227+AT298*AT227+AU298*AU227+AV298*AV227+AW298*AW227+AX298*AX227+AY298*AY227+AZ298*AZ227+BA298*BA227+BB298*BB227+BC298*BC227+BD298*BD227+BE298*BE227+BF298*BF227+BG298*BG227+BH298*BH227+BI298*BI227+BJ298*BJ227+BK298*BK227+BL298*BL227+BM298*BM227+BN298*BN227+BO298*BO227+BP298*BP227+BQ298*BQ227+BR298*BR227+BS298*BS227+BT298*BT227+BU298*BU227+BV298*BV227+BW298*BW227+BX298*BX227+BY298*BY227+BZ298*BZ227+CA298*CA227+CB298*CB227+CC298*CC227+CD298*CD227+CE298*CE227+CF298*CF227+CG298*CG227+CH298*CH227+CI298*CI227+CJ298*CJ227+CK298*CK227+CL298*CL227+CM298*CM227+CN298*CN227+CO298*CO227+CP298*CP227+CQ298*CQ227+CR298*CR227+CS298*CS227+CT298*CT227+CU298*CU227</f>
        <v>0</v>
      </c>
    </row>
    <row r="228" spans="2:113" ht="18" x14ac:dyDescent="0.25">
      <c r="B228" s="3036">
        <v>75</v>
      </c>
      <c r="C228" s="3037" t="s">
        <v>2982</v>
      </c>
      <c r="D228" s="3038" t="s">
        <v>5934</v>
      </c>
      <c r="E228" s="3126">
        <f>0</f>
        <v>0</v>
      </c>
      <c r="F228" s="3126">
        <f>1</f>
        <v>1</v>
      </c>
      <c r="G228" s="3126">
        <f>0</f>
        <v>0</v>
      </c>
      <c r="H228" s="3126">
        <f>0</f>
        <v>0</v>
      </c>
      <c r="I228" s="3126">
        <f>0</f>
        <v>0</v>
      </c>
      <c r="J228" s="3126">
        <f>-1</f>
        <v>-1</v>
      </c>
      <c r="K228" s="3126">
        <f>0</f>
        <v>0</v>
      </c>
      <c r="L228" s="3126">
        <f>0</f>
        <v>0</v>
      </c>
      <c r="M228" s="3126">
        <f>0</f>
        <v>0</v>
      </c>
      <c r="N228" s="3126">
        <f>0</f>
        <v>0</v>
      </c>
      <c r="O228" s="3126">
        <f>0</f>
        <v>0</v>
      </c>
      <c r="P228" s="3126">
        <f>0</f>
        <v>0</v>
      </c>
      <c r="Q228" s="3126">
        <f>0</f>
        <v>0</v>
      </c>
      <c r="R228" s="3126">
        <f>0</f>
        <v>0</v>
      </c>
      <c r="S228" s="3126">
        <f>0</f>
        <v>0</v>
      </c>
      <c r="T228" s="3126">
        <f>0</f>
        <v>0</v>
      </c>
      <c r="U228" s="3126">
        <f>0</f>
        <v>0</v>
      </c>
      <c r="V228" s="3126">
        <f>0</f>
        <v>0</v>
      </c>
      <c r="W228" s="3126">
        <f>0</f>
        <v>0</v>
      </c>
      <c r="X228" s="3126">
        <f>0</f>
        <v>0</v>
      </c>
      <c r="Y228" s="3126">
        <f>0</f>
        <v>0</v>
      </c>
      <c r="Z228" s="3126">
        <f>0</f>
        <v>0</v>
      </c>
      <c r="AA228" s="3126">
        <f>0</f>
        <v>0</v>
      </c>
      <c r="AB228" s="3126">
        <f>0</f>
        <v>0</v>
      </c>
      <c r="AC228" s="3126">
        <f>0</f>
        <v>0</v>
      </c>
      <c r="AD228" s="3126">
        <f>0</f>
        <v>0</v>
      </c>
      <c r="AE228" s="3126">
        <f>0</f>
        <v>0</v>
      </c>
      <c r="AF228" s="3126">
        <f>0</f>
        <v>0</v>
      </c>
      <c r="AG228" s="3126">
        <f>0</f>
        <v>0</v>
      </c>
      <c r="AH228" s="3165">
        <f>X_N_Be/X_B_e</f>
        <v>7.6923076923076927E-2</v>
      </c>
      <c r="AI228" s="3165">
        <f>0</f>
        <v>0</v>
      </c>
      <c r="AJ228" s="3165">
        <f>-X_N_Be/X_B_e</f>
        <v>-7.6923076923076927E-2</v>
      </c>
      <c r="AK228" s="3126">
        <f>0</f>
        <v>0</v>
      </c>
      <c r="AL228" s="3126">
        <f>0</f>
        <v>0</v>
      </c>
      <c r="AM228" s="3126">
        <f>0</f>
        <v>0</v>
      </c>
      <c r="AN228" s="3165">
        <f>X_P_Be/X_B_e</f>
        <v>1.5384615384615385E-2</v>
      </c>
      <c r="AO228" s="3165">
        <f>0</f>
        <v>0</v>
      </c>
      <c r="AP228" s="3165">
        <f>-X_P_Be/X_B_e</f>
        <v>-1.5384615384615385E-2</v>
      </c>
      <c r="AQ228" s="3126">
        <f>0</f>
        <v>0</v>
      </c>
      <c r="AR228" s="3126">
        <f>0</f>
        <v>0</v>
      </c>
      <c r="AS228" s="3126">
        <f>0</f>
        <v>0</v>
      </c>
      <c r="AT228" s="3126">
        <f>0</f>
        <v>0</v>
      </c>
      <c r="AU228" s="3126">
        <f>i_CIT_XBe-i_CIT_SB</f>
        <v>0</v>
      </c>
      <c r="AV228" s="3126">
        <f>-i_INORG</f>
        <v>-0.11</v>
      </c>
      <c r="AW228" s="3126">
        <f>i_INORG*(1-i_Ca_INORG*(A_MCa+2*A_MCl)/A_MCa-i_Mg_INORG*(A_MMg+2*A_MCl)/A_MMg)*f_Na</f>
        <v>2.8804303582798466E-2</v>
      </c>
      <c r="AX228" s="3126">
        <f>i_INORG*(i_Ca_INORG*(2*A_MCl)/A_MCa+i_Mg_INORG*(2*A_MCl)/A_MMg)+i_INORG*(1-i_Ca_INORG*(A_MCa+2*A_MCl)/A_MCa-i_Mg_INORG*(A_MMg+2*A_MCl)/A_MMg)*(1-f_Na)</f>
        <v>7.0195696417201539E-2</v>
      </c>
      <c r="AY228" s="3126">
        <f>i_INORG*i_Ca_INORG</f>
        <v>5.5000000000000005E-3</v>
      </c>
      <c r="AZ228" s="3126">
        <f>i_INORG*i_Mg_INORG</f>
        <v>5.5000000000000005E-3</v>
      </c>
      <c r="BA228" s="3126">
        <f>0</f>
        <v>0</v>
      </c>
      <c r="BB228" s="3126">
        <f>0</f>
        <v>0</v>
      </c>
      <c r="BC228" s="3125">
        <f>0</f>
        <v>0</v>
      </c>
      <c r="BD228" s="3126">
        <f>0</f>
        <v>0</v>
      </c>
      <c r="BE228" s="3126">
        <f>0</f>
        <v>0</v>
      </c>
      <c r="BF228" s="3126">
        <f>0</f>
        <v>0</v>
      </c>
      <c r="BG228" s="3126">
        <f>0</f>
        <v>0</v>
      </c>
      <c r="BH228" s="3126">
        <f>0</f>
        <v>0</v>
      </c>
      <c r="BI228" s="3126">
        <f>0</f>
        <v>0</v>
      </c>
      <c r="BJ228" s="3126">
        <f>0</f>
        <v>0</v>
      </c>
      <c r="BK228" s="3126">
        <f>0</f>
        <v>0</v>
      </c>
      <c r="BL228" s="3126">
        <f>0</f>
        <v>0</v>
      </c>
      <c r="BM228" s="3126">
        <f>0</f>
        <v>0</v>
      </c>
      <c r="BN228" s="3126">
        <f>0</f>
        <v>0</v>
      </c>
      <c r="BO228" s="3126">
        <f>0</f>
        <v>0</v>
      </c>
      <c r="BP228" s="3126">
        <f>0</f>
        <v>0</v>
      </c>
      <c r="BQ228" s="3126">
        <f>0</f>
        <v>0</v>
      </c>
      <c r="BR228" s="3126">
        <f>0</f>
        <v>0</v>
      </c>
      <c r="BS228" s="3126">
        <f>0</f>
        <v>0</v>
      </c>
      <c r="BT228" s="3126">
        <f>0</f>
        <v>0</v>
      </c>
      <c r="BU228" s="3126">
        <f>0</f>
        <v>0</v>
      </c>
      <c r="BV228" s="3126">
        <f>0</f>
        <v>0</v>
      </c>
      <c r="BW228" s="3126">
        <f>0</f>
        <v>0</v>
      </c>
      <c r="BX228" s="3126">
        <f>0</f>
        <v>0</v>
      </c>
      <c r="BY228" s="3126">
        <f>0</f>
        <v>0</v>
      </c>
      <c r="BZ228" s="3126">
        <f>0</f>
        <v>0</v>
      </c>
      <c r="CA228" s="3126">
        <f>0</f>
        <v>0</v>
      </c>
      <c r="CB228" s="3126">
        <f>0</f>
        <v>0</v>
      </c>
      <c r="CC228" s="3126">
        <f>0</f>
        <v>0</v>
      </c>
      <c r="CD228" s="3126">
        <f>0</f>
        <v>0</v>
      </c>
      <c r="CE228" s="3126">
        <f>0</f>
        <v>0</v>
      </c>
      <c r="CF228" s="3126">
        <f>0</f>
        <v>0</v>
      </c>
      <c r="CG228" s="3126">
        <f>0</f>
        <v>0</v>
      </c>
      <c r="CH228" s="3126">
        <f>0</f>
        <v>0</v>
      </c>
      <c r="CI228" s="3126">
        <f>0</f>
        <v>0</v>
      </c>
      <c r="CJ228" s="3126">
        <f>0</f>
        <v>0</v>
      </c>
      <c r="CK228" s="3126">
        <f>0</f>
        <v>0</v>
      </c>
      <c r="CL228" s="3126">
        <f>0</f>
        <v>0</v>
      </c>
      <c r="CM228" s="3126">
        <f>0</f>
        <v>0</v>
      </c>
      <c r="CN228" s="3126">
        <f>0</f>
        <v>0</v>
      </c>
      <c r="CO228" s="3215">
        <f>0</f>
        <v>0</v>
      </c>
      <c r="CP228" s="3215">
        <f>0</f>
        <v>0</v>
      </c>
      <c r="CQ228" s="3215">
        <f>0</f>
        <v>0</v>
      </c>
      <c r="CR228" s="3215">
        <f>0</f>
        <v>0</v>
      </c>
      <c r="CS228" s="3215">
        <f>0</f>
        <v>0</v>
      </c>
      <c r="CT228" s="3215">
        <f>0</f>
        <v>0</v>
      </c>
      <c r="CU228" s="3215">
        <f>0</f>
        <v>0</v>
      </c>
      <c r="CV228" s="3232">
        <f>q_HYD_XBe_T*X_HET*(L_ogsatXHET_HYD_lim*M_RsatXBe_XHET_KHYD+L_oginhXHET_HYD_lim*M_satXBe_KXBe_HYD)*(M_satSO2_KO2_OHO+η_HYD_anox*(M_satSNO2_KNO2_OHO+M_satSNO3_KNO3_OHO*M_inhSNO2_KNO2_OHO)*M_inhSO2_KO2_OHO+η_HYD_ana*M_inhSNO3_KNO3_OHO*M_inhSNO2_KNO2_OHO*M_inhSO2_KO2_OHO)</f>
        <v>544.80418226540723</v>
      </c>
      <c r="CX228" s="2838">
        <f>E287*E228+F287*F228+G287*G228+H287*H228+I287*I228+J287*J228+K287*K228+L287*L228+M287*M228+N287*N228+O287*O228+P287*P228+Q287*Q228+R287*R228+S287*S228+T287*T228+U287*U228+V287*V228+W287*W228+X287*X228+Y287*Y228+Z287*Z228+AA287*AA228+AB287*AB228+AC287*AC228+AD287*AD228+AE287*AE228+AF287*AF228+AG287*AG228+AH287*AH228+AI287*AI228+AJ287*AJ228+AK287*AK228+AL287*AL228+AM287*AM228+AN287*AN228+AO287*AO228+AP287*AP228+AQ287*AQ228+AR287*AR228+AS287*AS228+AT287*AT228+AU287*AU228+AV287*AV228+AW287*AW228+AX287*AX228+AY287*AY228+AZ287*AZ228+BA287*BA228+BB287*BB228+BC287*BC228+BD287*BD228+BE287*BE228+BF287*BF228+BG287*BG228+BH287*BH228+BI287*BI228+BJ287*BJ228+BK287*BK228+BL287*BL228+BM287*BM228+BN287*BN228+BO287*BO228+BP287*BP228+BQ287*BQ228+BR287*BR228+BS287*BS228+BT287*BT228+BU287*BU228+BV287*BV228+BW287*BW228+BX287*BX228+BY287*BY228+BZ287*BZ228+CA287*CA228+CB287*CB228+CC287*CC228+CD287*CD228+CE287*CE228+CF287*CF228+CG287*CG228+CH287*CH228+CI287*CI228+CJ287*CJ228+CK287*CK228+CL287*CL228+CM287*CM228+CN287*CN228+CO287*CO228+CP287*CP228+CQ287*CQ228+CR287*CR228+CS287*CS228+CT287*CT228+CU287*CU228</f>
        <v>0</v>
      </c>
      <c r="CY228" s="2838">
        <f>E288*E228+F288*F228+G288*G228+H288*H228+I288*I228+J288*J228+K288*K228+L288*L228+M288*M228+N288*N228+O288*O228+P288*P228+Q288*Q228+R288*R228+S288*S228+T288*T228+U288*U228+V288*V228+W288*W228+X288*X228+Y288*Y228+Z288*Z228+AA288*AA228+AB288*AB228+AC288*AC228+AD288*AD228+AE288*AE228+AF288*AF228+AG288*AG228+AH288*AH228+AI288*AI228+AJ288*AJ228+AK288*AK228+AL288*AL228+AM288*AM228+AN288*AN228+AO288*AO228+AP288*AP228+AQ288*AQ228+AR288*AR228+AS288*AS228+AT288*AT228+AU288*AU228+AV288*AV228+AW288*AW228+AX288*AX228+AY288*AY228+AZ288*AZ228+BA288*BA228+BB288*BB228+BC288*BC228+BD288*BD228+BE288*BE228+BF288*BF228+BG288*BG228+BH288*BH228+BI288*BI228+BJ288*BJ228+BK288*BK228+BL288*BL228+BM288*BM228+BN288*BN228+BO288*BO228+BP288*BP228+BQ288*BQ228+BR288*BR228+BS288*BS228+BT288*BT228+BU288*BU228+BV288*BV228+BW288*BW228+BX288*BX228+BY288*BY228+BZ288*BZ228+CA288*CA228+CB288*CB228+CC288*CC228+CD288*CD228+CE288*CE228+CF288*CF228+CG288*CG228+CH288*CH228+CI288*CI228+CJ288*CJ228+CK288*CK228+CL288*CL228+CM288*CM228+CN288*CN228+CO288*CO228+CP288*CP228+CQ288*CQ228+CR288*CR228+CS288*CS228+CT288*CT228+CU288*CU228</f>
        <v>0</v>
      </c>
      <c r="CZ228" s="2839">
        <f>E289*E228+F289*F228+G289*G228+H289*H228+I289*I228+J289*J228+K289*K228+L289*L228+M289*M228+N289*N228+O289*O228+P289*P228+Q289*Q228+R289*R228+S289*S228+T289*T228+U289*U228+V289*V228+W289*W228+X289*X228+Y289*Y228+Z289*Z228+AA289*AA228+AB289*AB228+AC289*AC228+AD289*AD228+AE289*AE228+AF289*AF228+AG289*AG228+AH289*AH228+AI289*AI228+AJ289*AJ228+AK289*AK228+AL289*AL228+AM289*AM228+AN289*AN228+AO289*AO228+AP289*AP228+AQ289*AQ228+AR289*AR228+AS289*AS228+AT289*AT228+AU289*AU228+AV289*AV228+AW289*AW228+AX289*AX228+AY289*AY228+AZ289*AZ228+BA289*BA228+BB289*BB228+BC289*BC228+BD289*BD228+BE289*BE228+BF289*BF228+BG289*BG228+BH289*BH228+BI289*BI228+BJ289*BJ228+BK289*BK228+BL289*BL228+BM289*BM228+BN289*BN228+BO289*BO228+BP289*BP228+BQ289*BQ228+BR289*BR228+BS289*BS228+BT289*BT228+BU289*BU228+BV289*BV228+BW289*BW228+BX289*BX228+BY289*BY228+BZ289*BZ228+CA289*CA228+CB289*CB228+CC289*CC228+CD289*CD228+CE289*CE228+CF289*CF228+CG289*CG228+CH289*CH228+CI289*CI228+CJ289*CJ228+CK289*CK228+CL289*CL228+CM289*CM228+CN289*CN228+CO289*CO228+CP289*CP228+CQ289*CQ228+CR289*CR228+CS289*CS228+CT289*CT228+CU289*CU228</f>
        <v>0</v>
      </c>
      <c r="DA228" s="2840">
        <f>E290*E228+F290*F228+G290*G228+H290*H228+I290*I228+J290*J228+K290*K228+L290*L228+M290*M228+N290*N228+O290*O228+P290*P228+Q290*Q228+R290*R228+S290*S228+T290*T228+U290*U228+V290*V228+W290*W228+X290*X228+Y290*Y228+Z290*Z228+AA290*AA228+AB290*AB228+AC290*AC228+AD290*AD228+AE290*AE228+AF290*AF228+AG290*AG228+AH290*AH228+AI290*AI228+AJ290*AJ228+AK290*AK228+AL290*AL228+AM290*AM228+AN290*AN228+AO290*AO228+AP290*AP228+AQ290*AQ228+AR290*AR228+AS290*AS228+AT290*AT228+AU290*AU228+AV290*AV228+AW290*AW228+AX290*AX228+AY290*AY228+AZ290*AZ228+BA290*BA228+BB290*BB228+BC290*BC228+BD290*BD228+BE290*BE228+BF290*BF228+BG290*BG228+BH290*BH228+BI290*BI228+BJ290*BJ228+BK290*BK228+BL290*BL228+BM290*BM228+BN290*BN228+BO290*BO228+BP290*BP228+BQ290*BQ228+BR290*BR228+BS290*BS228+BT290*BT228+BU290*BU228+BV290*BV228+BW290*BW228+BX290*BX228+BY290*BY228+BZ290*BZ228+CA290*CA228+CB290*CB228+CC290*CC228+CD290*CD228+CE290*CE228+CF290*CF228+CG290*CG228+CH290*CH228+CI290*CI228+CJ290*CJ228+CK290*CK228+CL290*CL228+CM290*CM228+CN290*CN228+CO290*CO228+CP290*CP228+CQ290*CQ228+CR290*CR228+CS290*CS228+CT290*CT228+CU290*CU228</f>
        <v>0</v>
      </c>
      <c r="DB228" s="2840">
        <f>E291*E228+F291*F228+G291*G228+H291*H228+I291*I228+J291*J228+K291*K228+L291*L228+M291*M228+N291*N228+O291*O228+P291*P228+Q291*Q228+R291*R228+S291*S228+T291*T228+U291*U228+V291*V228+W291*W228+X291*X228+Y291*Y228+Z291*Z228+AA291*AA228+AB291*AB228+AC291*AC228+AD291*AD228+AE291*AE228+AF291*AF228+AG291*AG228+AH291*AH228+AI291*AI228+AJ291*AJ228+AK291*AK228+AL291*AL228+AM291*AM228+AN291*AN228+AO291*AO228+AP291*AP228+AQ291*AQ228+AR291*AR228+AS291*AS228+AT291*AT228+AU291*AU228+AV291*AV228+AW291*AW228+AX291*AX228+AY291*AY228+AZ291*AZ228+BA291*BA228+BB291*BB228+BC291*BC228+BD291*BD228+BE291*BE228+BF291*BF228+BG291*BG228+BH291*BH228+BI291*BI228+BJ291*BJ228+BK291*BK228+BL291*BL228+BM291*BM228+BN291*BN228+BO291*BO228+BP291*BP228+BQ291*BQ228+BR291*BR228+BS291*BS228+BT291*BT228+BU291*BU228+BV291*BV228+BW291*BW228+BX291*BX228+BY291*BY228+BZ291*BZ228+CA291*CA228+CB291*CB228+CC291*CC228+CD291*CD228+CE291*CE228+CF291*CF228+CG291*CG228+CH291*CH228+CI291*CI228+CJ291*CJ228+CK291*CK228+CL291*CL228+CM291*CM228+CN291*CN228+CO291*CO228+CP291*CP228+CQ291*CQ228+CR291*CR228+CS291*CS228+CT291*CT228+CU291*CU228</f>
        <v>0</v>
      </c>
      <c r="DC228" s="2840">
        <f>E292*E228+F292*F228+G292*G228+H292*H228+I292*I228+J292*J228+K292*K228+L292*L228+M292*M228+N292*N228+O292*O228+P292*P228+Q292*Q228+R292*R228+S292*S228+T292*T228+U292*U228+V292*V228+W292*W228+X292*X228+Y292*Y228+Z292*Z228+AA292*AA228+AB292*AB228+AC292*AC228+AD292*AD228+AE292*AE228+AF292*AF228+AG292*AG228+AH292*AH228+AI292*AI228+AJ292*AJ228+AK292*AK228+AL292*AL228+AM292*AM228+AN292*AN228+AO292*AO228+AP292*AP228+AQ292*AQ228+AR292*AR228+AS292*AS228+AT292*AT228+AU292*AU228+AV292*AV228+AW292*AW228+AX292*AX228+AY292*AY228+AZ292*AZ228+BA292*BA228+BB292*BB228+BC292*BC228+BD292*BD228+BE292*BE228+BF292*BF228+BG292*BG228+BH292*BH228+BI292*BI228+BJ292*BJ228+BK292*BK228+BL292*BL228+BM292*BM228+BN292*BN228+BO292*BO228+BP292*BP228+BQ292*BQ228+BR292*BR228+BS292*BS228+BT292*BT228+BU292*BU228+BV292*BV228+BW292*BW228+BX292*BX228+BY292*BY228+BZ292*BZ228+CA292*CA228+CB292*CB228+CC292*CC228+CD292*CD228+CE292*CE228+CF292*CF228+CG292*CG228+CH292*CH228+CI292*CI228+CJ292*CJ228+CK292*CK228+CL292*CL228+CM292*CM228+CN292*CN228+CO292*CO228+CP292*CP228+CQ292*CQ228+CR292*CR228+CS292*CS228+CT292*CT228+CU292*CU228</f>
        <v>0</v>
      </c>
      <c r="DD228" s="2840">
        <f>E293*E228+F293*F228+G293*G228+H293*H228+I293*I228+J293*J228+K293*K228+L293*L228+M293*M228+N293*N228+O293*O228+P293*P228+Q293*Q228+R293*R228+S293*S228+T293*T228+U293*U228+V293*V228+W293*W228+X293*X228+Y293*Y228+Z293*Z228+AA293*AA228+AB293*AB228+AC293*AC228+AD293*AD228+AE293*AE228+AF293*AF228+AG293*AG228+AH293*AH228+AI293*AI228+AJ293*AJ228+AK293*AK228+AL293*AL228+AM293*AM228+AN293*AN228+AO293*AO228+AP293*AP228+AQ293*AQ228+AR293*AR228+AS293*AS228+AT293*AT228+AU293*AU228+AV293*AV228+AW293*AW228+AX293*AX228+AY293*AY228+AZ293*AZ228+BA293*BA228+BB293*BB228+BC293*BC228+BD293*BD228+BE293*BE228+BF293*BF228+BG293*BG228+BH293*BH228+BI293*BI228+BJ293*BJ228+BK293*BK228+BL293*BL228+BM293*BM228+BN293*BN228+BO293*BO228+BP293*BP228+BQ293*BQ228+BR293*BR228+BS293*BS228+BT293*BT228+BU293*BU228+BV293*BV228+BW293*BW228+BX293*BX228+BY293*BY228+BZ293*BZ228+CA293*CA228+CB293*CB228+CC293*CC228+CD293*CD228+CE293*CE228+CF293*CF228+CG293*CG228+CH293*CH228+CI293*CI228+CJ293*CJ228+CK293*CK228+CL293*CL228+CM293*CM228+CN293*CN228+CO293*CO228+CP293*CP228+CQ293*CQ228+CR293*CR228+CS293*CS228+CT293*CT228+CU293*CU228</f>
        <v>0</v>
      </c>
      <c r="DE228" s="2840">
        <f>E294*E228+F294*F228+G294*G228+H294*H228+I294*I228+J294*J228+K294*K228+L294*L228+M294*M228+N294*N228+O294*O228+P294*P228+Q294*Q228+R294*R228+S294*S228+T294*T228+U294*U228+V294*V228+W294*W228+X294*X228+Y294*Y228+Z294*Z228+AA294*AA228+AB294*AB228+AC294*AC228+AD294*AD228+AE294*AE228+AF294*AF228+AG294*AG228+AH294*AH228+AI294*AI228+AJ294*AJ228+AK294*AK228+AL294*AL228+AM294*AM228+AN294*AN228+AO294*AO228+AP294*AP228+AQ294*AQ228+AR294*AR228+AS294*AS228+AT294*AT228+AU294*AU228+AV294*AV228+AW294*AW228+AX294*AX228+AY294*AY228+AZ294*AZ228+BA294*BA228+BB294*BB228+BC294*BC228+BD294*BD228+BE294*BE228+BF294*BF228+BG294*BG228+BH294*BH228+BI294*BI228+BJ294*BJ228+BK294*BK228+BL294*BL228+BM294*BM228+BN294*BN228+BO294*BO228+BP294*BP228+BQ294*BQ228+BR294*BR228+BS294*BS228+BT294*BT228+BU294*BU228+BV294*BV228+BW294*BW228+BX294*BX228+BY294*BY228+BZ294*BZ228+CA294*CA228+CB294*CB228+CC294*CC228+CD294*CD228+CE294*CE228+CF294*CF228+CG294*CG228+CH294*CH228+CI294*CI228+CJ294*CJ228+CK294*CK228+CL294*CL228+CM294*CM228+CN294*CN228+CO294*CO228+CP294*CP228+CQ294*CQ228+CR294*CR228+CS294*CS228+CT294*CT228+CU294*CU228</f>
        <v>0</v>
      </c>
      <c r="DF228" s="2840">
        <f>E295*E228+F295*F228+G295*G228+H295*H228+I295*I228+J295*J228+K295*K228+L295*L228+M295*M228+N295*N228+O295*O228+P295*P228+Q295*Q228+R295*R228+S295*S228+T295*T228+U295*U228+V295*V228+W295*W228+X295*X228+Y295*Y228+Z295*Z228+AA295*AA228+AB295*AB228+AC295*AC228+AD295*AD228+AE295*AE228+AF295*AF228+AG295*AG228+AH295*AH228+AI295*AI228+AJ295*AJ228+AK295*AK228+AL295*AL228+AM295*AM228+AN295*AN228+AO295*AO228+AP295*AP228+AQ295*AQ228+AR295*AR228+AS295*AS228+AT295*AT228+AU295*AU228+AV295*AV228+AW295*AW228+AX295*AX228+AY295*AY228+AZ295*AZ228+BA295*BA228+BB295*BB228+BC295*BC228+BD295*BD228+BE295*BE228+BF295*BF228+BG295*BG228+BH295*BH228+BI295*BI228+BJ295*BJ228+BK295*BK228+BL295*BL228+BM295*BM228+BN295*BN228+BO295*BO228+BP295*BP228+BQ295*BQ228+BR295*BR228+BS295*BS228+BT295*BT228+BU295*BU228+BV295*BV228+BW295*BW228+BX295*BX228+BY295*BY228+BZ295*BZ228+CA295*CA228+CB295*CB228+CC295*CC228+CD295*CD228+CE295*CE228+CF295*CF228+CG295*CG228+CH295*CH228+CI295*CI228+CJ295*CJ228+CK295*CK228+CL295*CL228+CM295*CM228+CN295*CN228+CO295*CO228+CP295*CP228+CQ295*CQ228+CR295*CR228+CS295*CS228+CT295*CT228+CU295*CU228</f>
        <v>0</v>
      </c>
      <c r="DG228" s="2840">
        <f>E296*E228+F296*F228+G296*G228+H296*H228+I296*I228+J296*J228+K296*K228+L296*L228+M296*M228+N296*N228+O296*O228+P296*P228+Q296*Q228+R296*R228+S296*S228+T296*T228+U296*U228+V296*V228+W296*W228+X296*X228+Y296*Y228+Z296*Z228+AA296*AA228+AB296*AB228+AC296*AC228+AD296*AD228+AE296*AE228+AF296*AF228+AG296*AG228+AH296*AH228+AI296*AI228+AJ296*AJ228+AK296*AK228+AL296*AL228+AM296*AM228+AN296*AN228+AO296*AO228+AP296*AP228+AQ296*AQ228+AR296*AR228+AS296*AS228+AT296*AT228+AU296*AU228+AV296*AV228+AW296*AW228+AX296*AX228+AY296*AY228+AZ296*AZ228+BA296*BA228+BB296*BB228+BC296*BC228+BD296*BD228+BE296*BE228+BF296*BF228+BG296*BG228+BH296*BH228+BI296*BI228+BJ296*BJ228+BK296*BK228+BL296*BL228+BM296*BM228+BN296*BN228+BO296*BO228+BP296*BP228+BQ296*BQ228+BR296*BR228+BS296*BS228+BT296*BT228+BU296*BU228+BV296*BV228+BW296*BW228+BX296*BX228+BY296*BY228+BZ296*BZ228+CA296*CA228+CB296*CB228+CC296*CC228+CD296*CD228+CE296*CE228+CF296*CF228+CG296*CG228+CH296*CH228+CI296*CI228+CJ296*CJ228+CK296*CK228+CL296*CL228+CM296*CM228+CN296*CN228+CO296*CO228+CP296*CP228+CQ296*CQ228+CR296*CR228+CS296*CS228+CT296*CT228+CU296*CU228</f>
        <v>0</v>
      </c>
      <c r="DH228" s="2840">
        <f>E297*E228+F297*F228+G297*G228+H297*H228+I297*I228+J297*J228+K297*K228+L297*L228+M297*M228+N297*N228+O297*O228+P297*P228+Q297*Q228+R297*R228+S297*S228+T297*T228+U297*U228+V297*V228+W297*W228+X297*X228+Y297*Y228+Z297*Z228+AA297*AA228+AB297*AB228+AC297*AC228+AD297*AD228+AE297*AE228+AF297*AF228+AG297*AG228+AH297*AH228+AI297*AI228+AJ297*AJ228+AK297*AK228+AL297*AL228+AM297*AM228+AN297*AN228+AO297*AO228+AP297*AP228+AQ297*AQ228+AR297*AR228+AS297*AS228+AT297*AT228+AU297*AU228+AV297*AV228+AW297*AW228+AX297*AX228+AY297*AY228+AZ297*AZ228+BA297*BA228+BB297*BB228+BC297*BC228+BD297*BD228+BE297*BE228+BF297*BF228+BG297*BG228+BH297*BH228+BI297*BI228+BJ297*BJ228+BK297*BK228+BL297*BL228+BM297*BM228+BN297*BN228+BO297*BO228+BP297*BP228+BQ297*BQ228+BR297*BR228+BS297*BS228+BT297*BT228+BU297*BU228+BV297*BV228+BW297*BW228+BX297*BX228+BY297*BY228+BZ297*BZ228+CA297*CA228+CB297*CB228+CC297*CC228+CD297*CD228+CE297*CE228+CF297*CF228+CG297*CG228+CH297*CH228+CI297*CI228+CJ297*CJ228+CK297*CK228+CL297*CL228+CM297*CM228+CN297*CN228+CO297*CO228+CP297*CP228+CQ297*CQ228+CR297*CR228+CS297*CS228+CT297*CT228+CU297*CU228</f>
        <v>0</v>
      </c>
      <c r="DI228" s="2840">
        <f>E298*E228+F298*F228+G298*G228+H298*H228+I298*I228+J298*J228+K298*K228+L298*L228+M298*M228+N298*N228+O298*O228+P298*P228+Q298*Q228+R298*R228+S298*S228+T298*T228+U298*U228+V298*V228+W298*W228+X298*X228+Y298*Y228+Z298*Z228+AA298*AA228+AB298*AB228+AC298*AC228+AD298*AD228+AE298*AE228+AF298*AF228+AG298*AG228+AH298*AH228+AI298*AI228+AJ298*AJ228+AK298*AK228+AL298*AL228+AM298*AM228+AN298*AN228+AO298*AO228+AP298*AP228+AQ298*AQ228+AR298*AR228+AS298*AS228+AT298*AT228+AU298*AU228+AV298*AV228+AW298*AW228+AX298*AX228+AY298*AY228+AZ298*AZ228+BA298*BA228+BB298*BB228+BC298*BC228+BD298*BD228+BE298*BE228+BF298*BF228+BG298*BG228+BH298*BH228+BI298*BI228+BJ298*BJ228+BK298*BK228+BL298*BL228+BM298*BM228+BN298*BN228+BO298*BO228+BP298*BP228+BQ298*BQ228+BR298*BR228+BS298*BS228+BT298*BT228+BU298*BU228+BV298*BV228+BW298*BW228+BX298*BX228+BY298*BY228+BZ298*BZ228+CA298*CA228+CB298*CB228+CC298*CC228+CD298*CD228+CE298*CE228+CF298*CF228+CG298*CG228+CH298*CH228+CI298*CI228+CJ298*CJ228+CK298*CK228+CL298*CL228+CM298*CM228+CN298*CN228+CO298*CO228+CP298*CP228+CQ298*CQ228+CR298*CR228+CS298*CS228+CT298*CT228+CU298*CU228</f>
        <v>0</v>
      </c>
    </row>
    <row r="229" spans="2:113" ht="18" x14ac:dyDescent="0.25">
      <c r="B229" s="2510">
        <v>76</v>
      </c>
      <c r="C229" s="2444" t="s">
        <v>2983</v>
      </c>
      <c r="D229" s="2445" t="s">
        <v>5935</v>
      </c>
      <c r="E229" s="3125">
        <f>0</f>
        <v>0</v>
      </c>
      <c r="F229" s="3125">
        <f>0</f>
        <v>0</v>
      </c>
      <c r="G229" s="3125">
        <f>0</f>
        <v>0</v>
      </c>
      <c r="H229" s="3125">
        <f>0</f>
        <v>0</v>
      </c>
      <c r="I229" s="3125">
        <f>0</f>
        <v>0</v>
      </c>
      <c r="J229" s="3126">
        <f>0</f>
        <v>0</v>
      </c>
      <c r="K229" s="3125">
        <f>0</f>
        <v>0</v>
      </c>
      <c r="L229" s="3125">
        <f>0</f>
        <v>0</v>
      </c>
      <c r="M229" s="3125">
        <f>0</f>
        <v>0</v>
      </c>
      <c r="N229" s="3125">
        <f>0</f>
        <v>0</v>
      </c>
      <c r="O229" s="3125">
        <f>0</f>
        <v>0</v>
      </c>
      <c r="P229" s="3125">
        <f>0</f>
        <v>0</v>
      </c>
      <c r="Q229" s="3125">
        <f>0</f>
        <v>0</v>
      </c>
      <c r="R229" s="3125">
        <f>0</f>
        <v>0</v>
      </c>
      <c r="S229" s="3125">
        <f>0</f>
        <v>0</v>
      </c>
      <c r="T229" s="3125">
        <f>0</f>
        <v>0</v>
      </c>
      <c r="U229" s="3125">
        <f>0</f>
        <v>0</v>
      </c>
      <c r="V229" s="3125">
        <f>0</f>
        <v>0</v>
      </c>
      <c r="W229" s="3125">
        <f>0</f>
        <v>0</v>
      </c>
      <c r="X229" s="3125">
        <f>0</f>
        <v>0</v>
      </c>
      <c r="Y229" s="3125">
        <f>0</f>
        <v>0</v>
      </c>
      <c r="Z229" s="3125">
        <f>0</f>
        <v>0</v>
      </c>
      <c r="AA229" s="3125">
        <f>0</f>
        <v>0</v>
      </c>
      <c r="AB229" s="3125">
        <f>0</f>
        <v>0</v>
      </c>
      <c r="AC229" s="3125">
        <f>0</f>
        <v>0</v>
      </c>
      <c r="AD229" s="3125">
        <f>1</f>
        <v>1</v>
      </c>
      <c r="AE229" s="3125">
        <f>0</f>
        <v>0</v>
      </c>
      <c r="AF229" s="3125">
        <f>0</f>
        <v>0</v>
      </c>
      <c r="AG229" s="3125">
        <f>0</f>
        <v>0</v>
      </c>
      <c r="AH229" s="3125">
        <f>-1</f>
        <v>-1</v>
      </c>
      <c r="AI229" s="3125">
        <f>0</f>
        <v>0</v>
      </c>
      <c r="AJ229" s="3126">
        <f>0</f>
        <v>0</v>
      </c>
      <c r="AK229" s="3125">
        <f>0</f>
        <v>0</v>
      </c>
      <c r="AL229" s="3125">
        <f>0</f>
        <v>0</v>
      </c>
      <c r="AM229" s="3125">
        <f>0</f>
        <v>0</v>
      </c>
      <c r="AN229" s="3125">
        <f>0</f>
        <v>0</v>
      </c>
      <c r="AO229" s="3125">
        <f>0</f>
        <v>0</v>
      </c>
      <c r="AP229" s="3126">
        <f>0</f>
        <v>0</v>
      </c>
      <c r="AQ229" s="3125">
        <f>0</f>
        <v>0</v>
      </c>
      <c r="AR229" s="3125">
        <f>0</f>
        <v>0</v>
      </c>
      <c r="AS229" s="3125">
        <f>0</f>
        <v>0</v>
      </c>
      <c r="AT229" s="3125">
        <f>0</f>
        <v>0</v>
      </c>
      <c r="AU229" s="3125">
        <f>0</f>
        <v>0</v>
      </c>
      <c r="AV229" s="3125">
        <f>0</f>
        <v>0</v>
      </c>
      <c r="AW229" s="3125">
        <f>0</f>
        <v>0</v>
      </c>
      <c r="AX229" s="3125">
        <f>0</f>
        <v>0</v>
      </c>
      <c r="AY229" s="3125">
        <f>0</f>
        <v>0</v>
      </c>
      <c r="AZ229" s="3125">
        <f>0</f>
        <v>0</v>
      </c>
      <c r="BA229" s="3125">
        <f>0</f>
        <v>0</v>
      </c>
      <c r="BB229" s="3125">
        <f>0</f>
        <v>0</v>
      </c>
      <c r="BC229" s="3125">
        <f>0</f>
        <v>0</v>
      </c>
      <c r="BD229" s="3125">
        <f>0</f>
        <v>0</v>
      </c>
      <c r="BE229" s="3125">
        <f>0</f>
        <v>0</v>
      </c>
      <c r="BF229" s="3125">
        <f>0</f>
        <v>0</v>
      </c>
      <c r="BG229" s="3125">
        <f>0</f>
        <v>0</v>
      </c>
      <c r="BH229" s="3125">
        <f>0</f>
        <v>0</v>
      </c>
      <c r="BI229" s="3125">
        <f>0</f>
        <v>0</v>
      </c>
      <c r="BJ229" s="3125">
        <f>0</f>
        <v>0</v>
      </c>
      <c r="BK229" s="3125">
        <f>0</f>
        <v>0</v>
      </c>
      <c r="BL229" s="3125">
        <f>0</f>
        <v>0</v>
      </c>
      <c r="BM229" s="3125">
        <f>0</f>
        <v>0</v>
      </c>
      <c r="BN229" s="3125">
        <f>0</f>
        <v>0</v>
      </c>
      <c r="BO229" s="3125">
        <f>0</f>
        <v>0</v>
      </c>
      <c r="BP229" s="3125">
        <f>0</f>
        <v>0</v>
      </c>
      <c r="BQ229" s="3125">
        <f>0</f>
        <v>0</v>
      </c>
      <c r="BR229" s="3125">
        <f>0</f>
        <v>0</v>
      </c>
      <c r="BS229" s="3125">
        <f>0</f>
        <v>0</v>
      </c>
      <c r="BT229" s="3125">
        <f>0</f>
        <v>0</v>
      </c>
      <c r="BU229" s="3125">
        <f>0</f>
        <v>0</v>
      </c>
      <c r="BV229" s="3125">
        <f>0</f>
        <v>0</v>
      </c>
      <c r="BW229" s="3125">
        <f>0</f>
        <v>0</v>
      </c>
      <c r="BX229" s="3125">
        <f>0</f>
        <v>0</v>
      </c>
      <c r="BY229" s="3125">
        <f>0</f>
        <v>0</v>
      </c>
      <c r="BZ229" s="3126">
        <f>0</f>
        <v>0</v>
      </c>
      <c r="CA229" s="3126">
        <f>0</f>
        <v>0</v>
      </c>
      <c r="CB229" s="3126">
        <f>0</f>
        <v>0</v>
      </c>
      <c r="CC229" s="3126">
        <f>0</f>
        <v>0</v>
      </c>
      <c r="CD229" s="3125">
        <f>0</f>
        <v>0</v>
      </c>
      <c r="CE229" s="3125">
        <f>0</f>
        <v>0</v>
      </c>
      <c r="CF229" s="3125">
        <f>0</f>
        <v>0</v>
      </c>
      <c r="CG229" s="3125">
        <f>0</f>
        <v>0</v>
      </c>
      <c r="CH229" s="3125">
        <f>0</f>
        <v>0</v>
      </c>
      <c r="CI229" s="3125">
        <f>0</f>
        <v>0</v>
      </c>
      <c r="CJ229" s="3125">
        <f>0</f>
        <v>0</v>
      </c>
      <c r="CK229" s="3125">
        <f>0</f>
        <v>0</v>
      </c>
      <c r="CL229" s="3125">
        <f>0</f>
        <v>0</v>
      </c>
      <c r="CM229" s="3125">
        <f>0</f>
        <v>0</v>
      </c>
      <c r="CN229" s="3125">
        <f>0</f>
        <v>0</v>
      </c>
      <c r="CO229" s="3125">
        <f>0</f>
        <v>0</v>
      </c>
      <c r="CP229" s="3125">
        <f>0</f>
        <v>0</v>
      </c>
      <c r="CQ229" s="3125">
        <f>0</f>
        <v>0</v>
      </c>
      <c r="CR229" s="3125">
        <f>0</f>
        <v>0</v>
      </c>
      <c r="CS229" s="3125">
        <f>0</f>
        <v>0</v>
      </c>
      <c r="CT229" s="3125">
        <f>0</f>
        <v>0</v>
      </c>
      <c r="CU229" s="3125">
        <f>0</f>
        <v>0</v>
      </c>
      <c r="CV229" s="3233">
        <f>q_AMMON_T*S_N_B*X_HET</f>
        <v>25.0075</v>
      </c>
      <c r="CX229" s="2838">
        <f>E287*E229+F287*F229+G287*G229+H287*H229+I287*I229+J287*J229+K287*K229+L287*L229+M287*M229+N287*N229+O287*O229+P287*P229+Q287*Q229+R287*R229+S287*S229+T287*T229+U287*U229+V287*V229+W287*W229+X287*X229+Y287*Y229+Z287*Z229+AA287*AA229+AB287*AB229+AC287*AC229+AD287*AD229+AE287*AE229+AF287*AF229+AG287*AG229+AH287*AH229+AI287*AI229+AJ287*AJ229+AK287*AK229+AL287*AL229+AM287*AM229+AN287*AN229+AO287*AO229+AP287*AP229+AQ287*AQ229+AR287*AR229+AS287*AS229+AT287*AT229+AU287*AU229+AV287*AV229+AW287*AW229+AX287*AX229+AY287*AY229+AZ287*AZ229+BA287*BA229+BB287*BB229+BC287*BC229+BD287*BD229+BE287*BE229+BF287*BF229+BG287*BG229+BH287*BH229+BI287*BI229+BJ287*BJ229+BK287*BK229+BL287*BL229+BM287*BM229+BN287*BN229+BO287*BO229+BP287*BP229+BQ287*BQ229+BR287*BR229+BS287*BS229+BT287*BT229+BU287*BU229+BV287*BV229+BW287*BW229+BX287*BX229+BY287*BY229+BZ287*BZ229+CA287*CA229+CB287*CB229+CC287*CC229+CD287*CD229+CE287*CE229+CF287*CF229+CG287*CG229+CH287*CH229+CI287*CI229+CJ287*CJ229+CK287*CK229+CL287*CL229+CM287*CM229+CN287*CN229+CO287*CO229+CP287*CP229+CQ287*CQ229+CR287*CR229+CS287*CS229+CT287*CT229+CU287*CU229</f>
        <v>0</v>
      </c>
      <c r="CY229" s="2838">
        <f>E288*E229+F288*F229+G288*G229+H288*H229+I288*I229+J288*J229+K288*K229+L288*L229+M288*M229+N288*N229+O288*O229+P288*P229+Q288*Q229+R288*R229+S288*S229+T288*T229+U288*U229+V288*V229+W288*W229+X288*X229+Y288*Y229+Z288*Z229+AA288*AA229+AB288*AB229+AC288*AC229+AD288*AD229+AE288*AE229+AF288*AF229+AG288*AG229+AH288*AH229+AI288*AI229+AJ288*AJ229+AK288*AK229+AL288*AL229+AM288*AM229+AN288*AN229+AO288*AO229+AP288*AP229+AQ288*AQ229+AR288*AR229+AS288*AS229+AT288*AT229+AU288*AU229+AV288*AV229+AW288*AW229+AX288*AX229+AY288*AY229+AZ288*AZ229+BA288*BA229+BB288*BB229+BC288*BC229+BD288*BD229+BE288*BE229+BF288*BF229+BG288*BG229+BH288*BH229+BI288*BI229+BJ288*BJ229+BK288*BK229+BL288*BL229+BM288*BM229+BN288*BN229+BO288*BO229+BP288*BP229+BQ288*BQ229+BR288*BR229+BS288*BS229+BT288*BT229+BU288*BU229+BV288*BV229+BW288*BW229+BX288*BX229+BY288*BY229+BZ288*BZ229+CA288*CA229+CB288*CB229+CC288*CC229+CD288*CD229+CE288*CE229+CF288*CF229+CG288*CG229+CH288*CH229+CI288*CI229+CJ288*CJ229+CK288*CK229+CL288*CL229+CM288*CM229+CN288*CN229+CO288*CO229+CP288*CP229+CQ288*CQ229+CR288*CR229+CS288*CS229+CT288*CT229+CU288*CU229</f>
        <v>0</v>
      </c>
      <c r="CZ229" s="2839">
        <f>E289*E229+F289*F229+G289*G229+H289*H229+I289*I229+J289*J229+K289*K229+L289*L229+M289*M229+N289*N229+O289*O229+P289*P229+Q289*Q229+R289*R229+S289*S229+T289*T229+U289*U229+V289*V229+W289*W229+X289*X229+Y289*Y229+Z289*Z229+AA289*AA229+AB289*AB229+AC289*AC229+AD289*AD229+AE289*AE229+AF289*AF229+AG289*AG229+AH289*AH229+AI289*AI229+AJ289*AJ229+AK289*AK229+AL289*AL229+AM289*AM229+AN289*AN229+AO289*AO229+AP289*AP229+AQ289*AQ229+AR289*AR229+AS289*AS229+AT289*AT229+AU289*AU229+AV289*AV229+AW289*AW229+AX289*AX229+AY289*AY229+AZ289*AZ229+BA289*BA229+BB289*BB229+BC289*BC229+BD289*BD229+BE289*BE229+BF289*BF229+BG289*BG229+BH289*BH229+BI289*BI229+BJ289*BJ229+BK289*BK229+BL289*BL229+BM289*BM229+BN289*BN229+BO289*BO229+BP289*BP229+BQ289*BQ229+BR289*BR229+BS289*BS229+BT289*BT229+BU289*BU229+BV289*BV229+BW289*BW229+BX289*BX229+BY289*BY229+BZ289*BZ229+CA289*CA229+CB289*CB229+CC289*CC229+CD289*CD229+CE289*CE229+CF289*CF229+CG289*CG229+CH289*CH229+CI289*CI229+CJ289*CJ229+CK289*CK229+CL289*CL229+CM289*CM229+CN289*CN229+CO289*CO229+CP289*CP229+CQ289*CQ229+CR289*CR229+CS289*CS229+CT289*CT229+CU289*CU229</f>
        <v>0</v>
      </c>
      <c r="DA229" s="2840">
        <f>E290*E229+F290*F229+G290*G229+H290*H229+I290*I229+J290*J229+K290*K229+L290*L229+M290*M229+N290*N229+O290*O229+P290*P229+Q290*Q229+R290*R229+S290*S229+T290*T229+U290*U229+V290*V229+W290*W229+X290*X229+Y290*Y229+Z290*Z229+AA290*AA229+AB290*AB229+AC290*AC229+AD290*AD229+AE290*AE229+AF290*AF229+AG290*AG229+AH290*AH229+AI290*AI229+AJ290*AJ229+AK290*AK229+AL290*AL229+AM290*AM229+AN290*AN229+AO290*AO229+AP290*AP229+AQ290*AQ229+AR290*AR229+AS290*AS229+AT290*AT229+AU290*AU229+AV290*AV229+AW290*AW229+AX290*AX229+AY290*AY229+AZ290*AZ229+BA290*BA229+BB290*BB229+BC290*BC229+BD290*BD229+BE290*BE229+BF290*BF229+BG290*BG229+BH290*BH229+BI290*BI229+BJ290*BJ229+BK290*BK229+BL290*BL229+BM290*BM229+BN290*BN229+BO290*BO229+BP290*BP229+BQ290*BQ229+BR290*BR229+BS290*BS229+BT290*BT229+BU290*BU229+BV290*BV229+BW290*BW229+BX290*BX229+BY290*BY229+BZ290*BZ229+CA290*CA229+CB290*CB229+CC290*CC229+CD290*CD229+CE290*CE229+CF290*CF229+CG290*CG229+CH290*CH229+CI290*CI229+CJ290*CJ229+CK290*CK229+CL290*CL229+CM290*CM229+CN290*CN229+CO290*CO229+CP290*CP229+CQ290*CQ229+CR290*CR229+CS290*CS229+CT290*CT229+CU290*CU229</f>
        <v>0</v>
      </c>
      <c r="DB229" s="2840">
        <f>E291*E229+F291*F229+G291*G229+H291*H229+I291*I229+J291*J229+K291*K229+L291*L229+M291*M229+N291*N229+O291*O229+P291*P229+Q291*Q229+R291*R229+S291*S229+T291*T229+U291*U229+V291*V229+W291*W229+X291*X229+Y291*Y229+Z291*Z229+AA291*AA229+AB291*AB229+AC291*AC229+AD291*AD229+AE291*AE229+AF291*AF229+AG291*AG229+AH291*AH229+AI291*AI229+AJ291*AJ229+AK291*AK229+AL291*AL229+AM291*AM229+AN291*AN229+AO291*AO229+AP291*AP229+AQ291*AQ229+AR291*AR229+AS291*AS229+AT291*AT229+AU291*AU229+AV291*AV229+AW291*AW229+AX291*AX229+AY291*AY229+AZ291*AZ229+BA291*BA229+BB291*BB229+BC291*BC229+BD291*BD229+BE291*BE229+BF291*BF229+BG291*BG229+BH291*BH229+BI291*BI229+BJ291*BJ229+BK291*BK229+BL291*BL229+BM291*BM229+BN291*BN229+BO291*BO229+BP291*BP229+BQ291*BQ229+BR291*BR229+BS291*BS229+BT291*BT229+BU291*BU229+BV291*BV229+BW291*BW229+BX291*BX229+BY291*BY229+BZ291*BZ229+CA291*CA229+CB291*CB229+CC291*CC229+CD291*CD229+CE291*CE229+CF291*CF229+CG291*CG229+CH291*CH229+CI291*CI229+CJ291*CJ229+CK291*CK229+CL291*CL229+CM291*CM229+CN291*CN229+CO291*CO229+CP291*CP229+CQ291*CQ229+CR291*CR229+CS291*CS229+CT291*CT229+CU291*CU229</f>
        <v>0</v>
      </c>
      <c r="DC229" s="2840">
        <f>E292*E229+F292*F229+G292*G229+H292*H229+I292*I229+J292*J229+K292*K229+L292*L229+M292*M229+N292*N229+O292*O229+P292*P229+Q292*Q229+R292*R229+S292*S229+T292*T229+U292*U229+V292*V229+W292*W229+X292*X229+Y292*Y229+Z292*Z229+AA292*AA229+AB292*AB229+AC292*AC229+AD292*AD229+AE292*AE229+AF292*AF229+AG292*AG229+AH292*AH229+AI292*AI229+AJ292*AJ229+AK292*AK229+AL292*AL229+AM292*AM229+AN292*AN229+AO292*AO229+AP292*AP229+AQ292*AQ229+AR292*AR229+AS292*AS229+AT292*AT229+AU292*AU229+AV292*AV229+AW292*AW229+AX292*AX229+AY292*AY229+AZ292*AZ229+BA292*BA229+BB292*BB229+BC292*BC229+BD292*BD229+BE292*BE229+BF292*BF229+BG292*BG229+BH292*BH229+BI292*BI229+BJ292*BJ229+BK292*BK229+BL292*BL229+BM292*BM229+BN292*BN229+BO292*BO229+BP292*BP229+BQ292*BQ229+BR292*BR229+BS292*BS229+BT292*BT229+BU292*BU229+BV292*BV229+BW292*BW229+BX292*BX229+BY292*BY229+BZ292*BZ229+CA292*CA229+CB292*CB229+CC292*CC229+CD292*CD229+CE292*CE229+CF292*CF229+CG292*CG229+CH292*CH229+CI292*CI229+CJ292*CJ229+CK292*CK229+CL292*CL229+CM292*CM229+CN292*CN229+CO292*CO229+CP292*CP229+CQ292*CQ229+CR292*CR229+CS292*CS229+CT292*CT229+CU292*CU229</f>
        <v>0</v>
      </c>
      <c r="DD229" s="2840">
        <f>E293*E229+F293*F229+G293*G229+H293*H229+I293*I229+J293*J229+K293*K229+L293*L229+M293*M229+N293*N229+O293*O229+P293*P229+Q293*Q229+R293*R229+S293*S229+T293*T229+U293*U229+V293*V229+W293*W229+X293*X229+Y293*Y229+Z293*Z229+AA293*AA229+AB293*AB229+AC293*AC229+AD293*AD229+AE293*AE229+AF293*AF229+AG293*AG229+AH293*AH229+AI293*AI229+AJ293*AJ229+AK293*AK229+AL293*AL229+AM293*AM229+AN293*AN229+AO293*AO229+AP293*AP229+AQ293*AQ229+AR293*AR229+AS293*AS229+AT293*AT229+AU293*AU229+AV293*AV229+AW293*AW229+AX293*AX229+AY293*AY229+AZ293*AZ229+BA293*BA229+BB293*BB229+BC293*BC229+BD293*BD229+BE293*BE229+BF293*BF229+BG293*BG229+BH293*BH229+BI293*BI229+BJ293*BJ229+BK293*BK229+BL293*BL229+BM293*BM229+BN293*BN229+BO293*BO229+BP293*BP229+BQ293*BQ229+BR293*BR229+BS293*BS229+BT293*BT229+BU293*BU229+BV293*BV229+BW293*BW229+BX293*BX229+BY293*BY229+BZ293*BZ229+CA293*CA229+CB293*CB229+CC293*CC229+CD293*CD229+CE293*CE229+CF293*CF229+CG293*CG229+CH293*CH229+CI293*CI229+CJ293*CJ229+CK293*CK229+CL293*CL229+CM293*CM229+CN293*CN229+CO293*CO229+CP293*CP229+CQ293*CQ229+CR293*CR229+CS293*CS229+CT293*CT229+CU293*CU229</f>
        <v>0</v>
      </c>
      <c r="DE229" s="2840">
        <f>E294*E229+F294*F229+G294*G229+H294*H229+I294*I229+J294*J229+K294*K229+L294*L229+M294*M229+N294*N229+O294*O229+P294*P229+Q294*Q229+R294*R229+S294*S229+T294*T229+U294*U229+V294*V229+W294*W229+X294*X229+Y294*Y229+Z294*Z229+AA294*AA229+AB294*AB229+AC294*AC229+AD294*AD229+AE294*AE229+AF294*AF229+AG294*AG229+AH294*AH229+AI294*AI229+AJ294*AJ229+AK294*AK229+AL294*AL229+AM294*AM229+AN294*AN229+AO294*AO229+AP294*AP229+AQ294*AQ229+AR294*AR229+AS294*AS229+AT294*AT229+AU294*AU229+AV294*AV229+AW294*AW229+AX294*AX229+AY294*AY229+AZ294*AZ229+BA294*BA229+BB294*BB229+BC294*BC229+BD294*BD229+BE294*BE229+BF294*BF229+BG294*BG229+BH294*BH229+BI294*BI229+BJ294*BJ229+BK294*BK229+BL294*BL229+BM294*BM229+BN294*BN229+BO294*BO229+BP294*BP229+BQ294*BQ229+BR294*BR229+BS294*BS229+BT294*BT229+BU294*BU229+BV294*BV229+BW294*BW229+BX294*BX229+BY294*BY229+BZ294*BZ229+CA294*CA229+CB294*CB229+CC294*CC229+CD294*CD229+CE294*CE229+CF294*CF229+CG294*CG229+CH294*CH229+CI294*CI229+CJ294*CJ229+CK294*CK229+CL294*CL229+CM294*CM229+CN294*CN229+CO294*CO229+CP294*CP229+CQ294*CQ229+CR294*CR229+CS294*CS229+CT294*CT229+CU294*CU229</f>
        <v>0</v>
      </c>
      <c r="DF229" s="2840">
        <f>E295*E229+F295*F229+G295*G229+H295*H229+I295*I229+J295*J229+K295*K229+L295*L229+M295*M229+N295*N229+O295*O229+P295*P229+Q295*Q229+R295*R229+S295*S229+T295*T229+U295*U229+V295*V229+W295*W229+X295*X229+Y295*Y229+Z295*Z229+AA295*AA229+AB295*AB229+AC295*AC229+AD295*AD229+AE295*AE229+AF295*AF229+AG295*AG229+AH295*AH229+AI295*AI229+AJ295*AJ229+AK295*AK229+AL295*AL229+AM295*AM229+AN295*AN229+AO295*AO229+AP295*AP229+AQ295*AQ229+AR295*AR229+AS295*AS229+AT295*AT229+AU295*AU229+AV295*AV229+AW295*AW229+AX295*AX229+AY295*AY229+AZ295*AZ229+BA295*BA229+BB295*BB229+BC295*BC229+BD295*BD229+BE295*BE229+BF295*BF229+BG295*BG229+BH295*BH229+BI295*BI229+BJ295*BJ229+BK295*BK229+BL295*BL229+BM295*BM229+BN295*BN229+BO295*BO229+BP295*BP229+BQ295*BQ229+BR295*BR229+BS295*BS229+BT295*BT229+BU295*BU229+BV295*BV229+BW295*BW229+BX295*BX229+BY295*BY229+BZ295*BZ229+CA295*CA229+CB295*CB229+CC295*CC229+CD295*CD229+CE295*CE229+CF295*CF229+CG295*CG229+CH295*CH229+CI295*CI229+CJ295*CJ229+CK295*CK229+CL295*CL229+CM295*CM229+CN295*CN229+CO295*CO229+CP295*CP229+CQ295*CQ229+CR295*CR229+CS295*CS229+CT295*CT229+CU295*CU229</f>
        <v>0</v>
      </c>
      <c r="DG229" s="2840">
        <f>E296*E229+F296*F229+G296*G229+H296*H229+I296*I229+J296*J229+K296*K229+L296*L229+M296*M229+N296*N229+O296*O229+P296*P229+Q296*Q229+R296*R229+S296*S229+T296*T229+U296*U229+V296*V229+W296*W229+X296*X229+Y296*Y229+Z296*Z229+AA296*AA229+AB296*AB229+AC296*AC229+AD296*AD229+AE296*AE229+AF296*AF229+AG296*AG229+AH296*AH229+AI296*AI229+AJ296*AJ229+AK296*AK229+AL296*AL229+AM296*AM229+AN296*AN229+AO296*AO229+AP296*AP229+AQ296*AQ229+AR296*AR229+AS296*AS229+AT296*AT229+AU296*AU229+AV296*AV229+AW296*AW229+AX296*AX229+AY296*AY229+AZ296*AZ229+BA296*BA229+BB296*BB229+BC296*BC229+BD296*BD229+BE296*BE229+BF296*BF229+BG296*BG229+BH296*BH229+BI296*BI229+BJ296*BJ229+BK296*BK229+BL296*BL229+BM296*BM229+BN296*BN229+BO296*BO229+BP296*BP229+BQ296*BQ229+BR296*BR229+BS296*BS229+BT296*BT229+BU296*BU229+BV296*BV229+BW296*BW229+BX296*BX229+BY296*BY229+BZ296*BZ229+CA296*CA229+CB296*CB229+CC296*CC229+CD296*CD229+CE296*CE229+CF296*CF229+CG296*CG229+CH296*CH229+CI296*CI229+CJ296*CJ229+CK296*CK229+CL296*CL229+CM296*CM229+CN296*CN229+CO296*CO229+CP296*CP229+CQ296*CQ229+CR296*CR229+CS296*CS229+CT296*CT229+CU296*CU229</f>
        <v>0</v>
      </c>
      <c r="DH229" s="2840">
        <f>E297*E229+F297*F229+G297*G229+H297*H229+I297*I229+J297*J229+K297*K229+L297*L229+M297*M229+N297*N229+O297*O229+P297*P229+Q297*Q229+R297*R229+S297*S229+T297*T229+U297*U229+V297*V229+W297*W229+X297*X229+Y297*Y229+Z297*Z229+AA297*AA229+AB297*AB229+AC297*AC229+AD297*AD229+AE297*AE229+AF297*AF229+AG297*AG229+AH297*AH229+AI297*AI229+AJ297*AJ229+AK297*AK229+AL297*AL229+AM297*AM229+AN297*AN229+AO297*AO229+AP297*AP229+AQ297*AQ229+AR297*AR229+AS297*AS229+AT297*AT229+AU297*AU229+AV297*AV229+AW297*AW229+AX297*AX229+AY297*AY229+AZ297*AZ229+BA297*BA229+BB297*BB229+BC297*BC229+BD297*BD229+BE297*BE229+BF297*BF229+BG297*BG229+BH297*BH229+BI297*BI229+BJ297*BJ229+BK297*BK229+BL297*BL229+BM297*BM229+BN297*BN229+BO297*BO229+BP297*BP229+BQ297*BQ229+BR297*BR229+BS297*BS229+BT297*BT229+BU297*BU229+BV297*BV229+BW297*BW229+BX297*BX229+BY297*BY229+BZ297*BZ229+CA297*CA229+CB297*CB229+CC297*CC229+CD297*CD229+CE297*CE229+CF297*CF229+CG297*CG229+CH297*CH229+CI297*CI229+CJ297*CJ229+CK297*CK229+CL297*CL229+CM297*CM229+CN297*CN229+CO297*CO229+CP297*CP229+CQ297*CQ229+CR297*CR229+CS297*CS229+CT297*CT229+CU297*CU229</f>
        <v>0</v>
      </c>
      <c r="DI229" s="2840">
        <f>E298*E229+F298*F229+G298*G229+H298*H229+I298*I229+J298*J229+K298*K229+L298*L229+M298*M229+N298*N229+O298*O229+P298*P229+Q298*Q229+R298*R229+S298*S229+T298*T229+U298*U229+V298*V229+W298*W229+X298*X229+Y298*Y229+Z298*Z229+AA298*AA229+AB298*AB229+AC298*AC229+AD298*AD229+AE298*AE229+AF298*AF229+AG298*AG229+AH298*AH229+AI298*AI229+AJ298*AJ229+AK298*AK229+AL298*AL229+AM298*AM229+AN298*AN229+AO298*AO229+AP298*AP229+AQ298*AQ229+AR298*AR229+AS298*AS229+AT298*AT229+AU298*AU229+AV298*AV229+AW298*AW229+AX298*AX229+AY298*AY229+AZ298*AZ229+BA298*BA229+BB298*BB229+BC298*BC229+BD298*BD229+BE298*BE229+BF298*BF229+BG298*BG229+BH298*BH229+BI298*BI229+BJ298*BJ229+BK298*BK229+BL298*BL229+BM298*BM229+BN298*BN229+BO298*BO229+BP298*BP229+BQ298*BQ229+BR298*BR229+BS298*BS229+BT298*BT229+BU298*BU229+BV298*BV229+BW298*BW229+BX298*BX229+BY298*BY229+BZ298*BZ229+CA298*CA229+CB298*CB229+CC298*CC229+CD298*CD229+CE298*CE229+CF298*CF229+CG298*CG229+CH298*CH229+CI298*CI229+CJ298*CJ229+CK298*CK229+CL298*CL229+CM298*CM229+CN298*CN229+CO298*CO229+CP298*CP229+CQ298*CQ229+CR298*CR229+CS298*CS229+CT298*CT229+CU298*CU229</f>
        <v>0</v>
      </c>
    </row>
    <row r="230" spans="2:113" ht="18" x14ac:dyDescent="0.25">
      <c r="B230" s="2510">
        <v>77</v>
      </c>
      <c r="C230" s="2444" t="s">
        <v>2984</v>
      </c>
      <c r="D230" s="2445" t="s">
        <v>1685</v>
      </c>
      <c r="E230" s="3125">
        <f>0</f>
        <v>0</v>
      </c>
      <c r="F230" s="3125">
        <f>0</f>
        <v>0</v>
      </c>
      <c r="G230" s="3125">
        <f>0</f>
        <v>0</v>
      </c>
      <c r="H230" s="3125">
        <f>0</f>
        <v>0</v>
      </c>
      <c r="I230" s="3125">
        <f>0</f>
        <v>0</v>
      </c>
      <c r="J230" s="3126">
        <f>0</f>
        <v>0</v>
      </c>
      <c r="K230" s="3125">
        <f>0</f>
        <v>0</v>
      </c>
      <c r="L230" s="3125">
        <f>0</f>
        <v>0</v>
      </c>
      <c r="M230" s="3125">
        <f>0</f>
        <v>0</v>
      </c>
      <c r="N230" s="3125">
        <f>0</f>
        <v>0</v>
      </c>
      <c r="O230" s="3125">
        <f>0</f>
        <v>0</v>
      </c>
      <c r="P230" s="3125">
        <f>0</f>
        <v>0</v>
      </c>
      <c r="Q230" s="3125">
        <f>0</f>
        <v>0</v>
      </c>
      <c r="R230" s="3125">
        <f>0</f>
        <v>0</v>
      </c>
      <c r="S230" s="3125">
        <f>0</f>
        <v>0</v>
      </c>
      <c r="T230" s="3125">
        <f>0</f>
        <v>0</v>
      </c>
      <c r="U230" s="3125">
        <f>0</f>
        <v>0</v>
      </c>
      <c r="V230" s="3125">
        <f>0</f>
        <v>0</v>
      </c>
      <c r="W230" s="3125">
        <f>0</f>
        <v>0</v>
      </c>
      <c r="X230" s="3125">
        <f>0</f>
        <v>0</v>
      </c>
      <c r="Y230" s="3125">
        <f>0</f>
        <v>0</v>
      </c>
      <c r="Z230" s="3125">
        <f>0</f>
        <v>0</v>
      </c>
      <c r="AA230" s="3125">
        <f>0</f>
        <v>0</v>
      </c>
      <c r="AB230" s="3125">
        <f>0</f>
        <v>0</v>
      </c>
      <c r="AC230" s="3125">
        <f>0</f>
        <v>0</v>
      </c>
      <c r="AD230" s="3125">
        <f>0</f>
        <v>0</v>
      </c>
      <c r="AE230" s="3125">
        <f>0</f>
        <v>0</v>
      </c>
      <c r="AF230" s="3125">
        <f>0</f>
        <v>0</v>
      </c>
      <c r="AG230" s="3125">
        <f>0</f>
        <v>0</v>
      </c>
      <c r="AH230" s="3125">
        <f>0</f>
        <v>0</v>
      </c>
      <c r="AI230" s="3125">
        <f>0</f>
        <v>0</v>
      </c>
      <c r="AJ230" s="3126">
        <f>0</f>
        <v>0</v>
      </c>
      <c r="AK230" s="3125">
        <f>0</f>
        <v>0</v>
      </c>
      <c r="AL230" s="3125">
        <f>1</f>
        <v>1</v>
      </c>
      <c r="AM230" s="3125">
        <f>0</f>
        <v>0</v>
      </c>
      <c r="AN230" s="3125">
        <f>-1</f>
        <v>-1</v>
      </c>
      <c r="AO230" s="3125">
        <f>0</f>
        <v>0</v>
      </c>
      <c r="AP230" s="3126">
        <f>0</f>
        <v>0</v>
      </c>
      <c r="AQ230" s="3125">
        <f>0</f>
        <v>0</v>
      </c>
      <c r="AR230" s="3125">
        <f>0</f>
        <v>0</v>
      </c>
      <c r="AS230" s="3125">
        <f>0</f>
        <v>0</v>
      </c>
      <c r="AT230" s="3125">
        <f>0</f>
        <v>0</v>
      </c>
      <c r="AU230" s="3125">
        <f>0</f>
        <v>0</v>
      </c>
      <c r="AV230" s="3125">
        <f>0</f>
        <v>0</v>
      </c>
      <c r="AW230" s="3125">
        <f>0</f>
        <v>0</v>
      </c>
      <c r="AX230" s="3125">
        <f>0</f>
        <v>0</v>
      </c>
      <c r="AY230" s="3125">
        <f>0</f>
        <v>0</v>
      </c>
      <c r="AZ230" s="3125">
        <f>0</f>
        <v>0</v>
      </c>
      <c r="BA230" s="3125">
        <f>0</f>
        <v>0</v>
      </c>
      <c r="BB230" s="3125">
        <f>0</f>
        <v>0</v>
      </c>
      <c r="BC230" s="3125">
        <f>0</f>
        <v>0</v>
      </c>
      <c r="BD230" s="3125">
        <f>0</f>
        <v>0</v>
      </c>
      <c r="BE230" s="3125">
        <f>0</f>
        <v>0</v>
      </c>
      <c r="BF230" s="3125">
        <f>0</f>
        <v>0</v>
      </c>
      <c r="BG230" s="3125">
        <f>0</f>
        <v>0</v>
      </c>
      <c r="BH230" s="3125">
        <f>0</f>
        <v>0</v>
      </c>
      <c r="BI230" s="3125">
        <f>0</f>
        <v>0</v>
      </c>
      <c r="BJ230" s="3125">
        <f>0</f>
        <v>0</v>
      </c>
      <c r="BK230" s="3125">
        <f>0</f>
        <v>0</v>
      </c>
      <c r="BL230" s="3125">
        <f>0</f>
        <v>0</v>
      </c>
      <c r="BM230" s="3125">
        <f>0</f>
        <v>0</v>
      </c>
      <c r="BN230" s="3125">
        <f>0</f>
        <v>0</v>
      </c>
      <c r="BO230" s="3125">
        <f>0</f>
        <v>0</v>
      </c>
      <c r="BP230" s="3125">
        <f>0</f>
        <v>0</v>
      </c>
      <c r="BQ230" s="3125">
        <f>0</f>
        <v>0</v>
      </c>
      <c r="BR230" s="3125">
        <f>0</f>
        <v>0</v>
      </c>
      <c r="BS230" s="3125">
        <f>0</f>
        <v>0</v>
      </c>
      <c r="BT230" s="3125">
        <f>0</f>
        <v>0</v>
      </c>
      <c r="BU230" s="3125">
        <f>0</f>
        <v>0</v>
      </c>
      <c r="BV230" s="3125">
        <f>0</f>
        <v>0</v>
      </c>
      <c r="BW230" s="3125">
        <f>0</f>
        <v>0</v>
      </c>
      <c r="BX230" s="3125">
        <f>0</f>
        <v>0</v>
      </c>
      <c r="BY230" s="3125">
        <f>0</f>
        <v>0</v>
      </c>
      <c r="BZ230" s="3126">
        <f>0</f>
        <v>0</v>
      </c>
      <c r="CA230" s="3126">
        <f>0</f>
        <v>0</v>
      </c>
      <c r="CB230" s="3126">
        <f>0</f>
        <v>0</v>
      </c>
      <c r="CC230" s="3126">
        <f>0</f>
        <v>0</v>
      </c>
      <c r="CD230" s="3125">
        <f>0</f>
        <v>0</v>
      </c>
      <c r="CE230" s="3125">
        <f>0</f>
        <v>0</v>
      </c>
      <c r="CF230" s="3125">
        <f>0</f>
        <v>0</v>
      </c>
      <c r="CG230" s="3125">
        <f>0</f>
        <v>0</v>
      </c>
      <c r="CH230" s="3125">
        <f>0</f>
        <v>0</v>
      </c>
      <c r="CI230" s="3125">
        <f>0</f>
        <v>0</v>
      </c>
      <c r="CJ230" s="3125">
        <f>0</f>
        <v>0</v>
      </c>
      <c r="CK230" s="3125">
        <f>0</f>
        <v>0</v>
      </c>
      <c r="CL230" s="3125">
        <f>0</f>
        <v>0</v>
      </c>
      <c r="CM230" s="3125">
        <f>0</f>
        <v>0</v>
      </c>
      <c r="CN230" s="3125">
        <f>0</f>
        <v>0</v>
      </c>
      <c r="CO230" s="3125">
        <f>0</f>
        <v>0</v>
      </c>
      <c r="CP230" s="3125">
        <f>0</f>
        <v>0</v>
      </c>
      <c r="CQ230" s="3125">
        <f>0</f>
        <v>0</v>
      </c>
      <c r="CR230" s="3125">
        <f>0</f>
        <v>0</v>
      </c>
      <c r="CS230" s="3125">
        <f>0</f>
        <v>0</v>
      </c>
      <c r="CT230" s="3125">
        <f>0</f>
        <v>0</v>
      </c>
      <c r="CU230" s="3125">
        <f>0</f>
        <v>0</v>
      </c>
      <c r="CV230" s="3233">
        <f>q_SPB_T*S_P_B*X_HET</f>
        <v>5.0015000000000001</v>
      </c>
      <c r="CX230" s="2838">
        <f>E287*E230+F287*F230+G287*G230+H287*H230+I287*I230+J287*J230+K287*K230+L287*L230+M287*M230+N287*N230+O287*O230+P287*P230+Q287*Q230+R287*R230+S287*S230+T287*T230+U287*U230+V287*V230+W287*W230+X287*X230+Y287*Y230+Z287*Z230+AA287*AA230+AB287*AB230+AC287*AC230+AD287*AD230+AE287*AE230+AF287*AF230+AG287*AG230+AH287*AH230+AI287*AI230+AJ287*AJ230+AK287*AK230+AL287*AL230+AM287*AM230+AN287*AN230+AO287*AO230+AP287*AP230+AQ287*AQ230+AR287*AR230+AS287*AS230+AT287*AT230+AU287*AU230+AV287*AV230+AW287*AW230+AX287*AX230+AY287*AY230+AZ287*AZ230+BA287*BA230+BB287*BB230+BC287*BC230+BD287*BD230+BE287*BE230+BF287*BF230+BG287*BG230+BH287*BH230+BI287*BI230+BJ287*BJ230+BK287*BK230+BL287*BL230+BM287*BM230+BN287*BN230+BO287*BO230+BP287*BP230+BQ287*BQ230+BR287*BR230+BS287*BS230+BT287*BT230+BU287*BU230+BV287*BV230+BW287*BW230+BX287*BX230+BY287*BY230+BZ287*BZ230+CA287*CA230+CB287*CB230+CC287*CC230+CD287*CD230+CE287*CE230+CF287*CF230+CG287*CG230+CH287*CH230+CI287*CI230+CJ287*CJ230+CK287*CK230+CL287*CL230+CM287*CM230+CN287*CN230+CO287*CO230+CP287*CP230+CQ287*CQ230+CR287*CR230+CS287*CS230+CT287*CT230+CU287*CU230</f>
        <v>0</v>
      </c>
      <c r="CY230" s="2838">
        <f>E288*E230+F288*F230+G288*G230+H288*H230+I288*I230+J288*J230+K288*K230+L288*L230+M288*M230+N288*N230+O288*O230+P288*P230+Q288*Q230+R288*R230+S288*S230+T288*T230+U288*U230+V288*V230+W288*W230+X288*X230+Y288*Y230+Z288*Z230+AA288*AA230+AB288*AB230+AC288*AC230+AD288*AD230+AE288*AE230+AF288*AF230+AG288*AG230+AH288*AH230+AI288*AI230+AJ288*AJ230+AK288*AK230+AL288*AL230+AM288*AM230+AN288*AN230+AO288*AO230+AP288*AP230+AQ288*AQ230+AR288*AR230+AS288*AS230+AT288*AT230+AU288*AU230+AV288*AV230+AW288*AW230+AX288*AX230+AY288*AY230+AZ288*AZ230+BA288*BA230+BB288*BB230+BC288*BC230+BD288*BD230+BE288*BE230+BF288*BF230+BG288*BG230+BH288*BH230+BI288*BI230+BJ288*BJ230+BK288*BK230+BL288*BL230+BM288*BM230+BN288*BN230+BO288*BO230+BP288*BP230+BQ288*BQ230+BR288*BR230+BS288*BS230+BT288*BT230+BU288*BU230+BV288*BV230+BW288*BW230+BX288*BX230+BY288*BY230+BZ288*BZ230+CA288*CA230+CB288*CB230+CC288*CC230+CD288*CD230+CE288*CE230+CF288*CF230+CG288*CG230+CH288*CH230+CI288*CI230+CJ288*CJ230+CK288*CK230+CL288*CL230+CM288*CM230+CN288*CN230+CO288*CO230+CP288*CP230+CQ288*CQ230+CR288*CR230+CS288*CS230+CT288*CT230+CU288*CU230</f>
        <v>0</v>
      </c>
      <c r="CZ230" s="2839">
        <f>E289*E230+F289*F230+G289*G230+H289*H230+I289*I230+J289*J230+K289*K230+L289*L230+M289*M230+N289*N230+O289*O230+P289*P230+Q289*Q230+R289*R230+S289*S230+T289*T230+U289*U230+V289*V230+W289*W230+X289*X230+Y289*Y230+Z289*Z230+AA289*AA230+AB289*AB230+AC289*AC230+AD289*AD230+AE289*AE230+AF289*AF230+AG289*AG230+AH289*AH230+AI289*AI230+AJ289*AJ230+AK289*AK230+AL289*AL230+AM289*AM230+AN289*AN230+AO289*AO230+AP289*AP230+AQ289*AQ230+AR289*AR230+AS289*AS230+AT289*AT230+AU289*AU230+AV289*AV230+AW289*AW230+AX289*AX230+AY289*AY230+AZ289*AZ230+BA289*BA230+BB289*BB230+BC289*BC230+BD289*BD230+BE289*BE230+BF289*BF230+BG289*BG230+BH289*BH230+BI289*BI230+BJ289*BJ230+BK289*BK230+BL289*BL230+BM289*BM230+BN289*BN230+BO289*BO230+BP289*BP230+BQ289*BQ230+BR289*BR230+BS289*BS230+BT289*BT230+BU289*BU230+BV289*BV230+BW289*BW230+BX289*BX230+BY289*BY230+BZ289*BZ230+CA289*CA230+CB289*CB230+CC289*CC230+CD289*CD230+CE289*CE230+CF289*CF230+CG289*CG230+CH289*CH230+CI289*CI230+CJ289*CJ230+CK289*CK230+CL289*CL230+CM289*CM230+CN289*CN230+CO289*CO230+CP289*CP230+CQ289*CQ230+CR289*CR230+CS289*CS230+CT289*CT230+CU289*CU230</f>
        <v>0</v>
      </c>
      <c r="DA230" s="2840">
        <f>E290*E230+F290*F230+G290*G230+H290*H230+I290*I230+J290*J230+K290*K230+L290*L230+M290*M230+N290*N230+O290*O230+P290*P230+Q290*Q230+R290*R230+S290*S230+T290*T230+U290*U230+V290*V230+W290*W230+X290*X230+Y290*Y230+Z290*Z230+AA290*AA230+AB290*AB230+AC290*AC230+AD290*AD230+AE290*AE230+AF290*AF230+AG290*AG230+AH290*AH230+AI290*AI230+AJ290*AJ230+AK290*AK230+AL290*AL230+AM290*AM230+AN290*AN230+AO290*AO230+AP290*AP230+AQ290*AQ230+AR290*AR230+AS290*AS230+AT290*AT230+AU290*AU230+AV290*AV230+AW290*AW230+AX290*AX230+AY290*AY230+AZ290*AZ230+BA290*BA230+BB290*BB230+BC290*BC230+BD290*BD230+BE290*BE230+BF290*BF230+BG290*BG230+BH290*BH230+BI290*BI230+BJ290*BJ230+BK290*BK230+BL290*BL230+BM290*BM230+BN290*BN230+BO290*BO230+BP290*BP230+BQ290*BQ230+BR290*BR230+BS290*BS230+BT290*BT230+BU290*BU230+BV290*BV230+BW290*BW230+BX290*BX230+BY290*BY230+BZ290*BZ230+CA290*CA230+CB290*CB230+CC290*CC230+CD290*CD230+CE290*CE230+CF290*CF230+CG290*CG230+CH290*CH230+CI290*CI230+CJ290*CJ230+CK290*CK230+CL290*CL230+CM290*CM230+CN290*CN230+CO290*CO230+CP290*CP230+CQ290*CQ230+CR290*CR230+CS290*CS230+CT290*CT230+CU290*CU230</f>
        <v>0</v>
      </c>
      <c r="DB230" s="2840">
        <f>E291*E230+F291*F230+G291*G230+H291*H230+I291*I230+J291*J230+K291*K230+L291*L230+M291*M230+N291*N230+O291*O230+P291*P230+Q291*Q230+R291*R230+S291*S230+T291*T230+U291*U230+V291*V230+W291*W230+X291*X230+Y291*Y230+Z291*Z230+AA291*AA230+AB291*AB230+AC291*AC230+AD291*AD230+AE291*AE230+AF291*AF230+AG291*AG230+AH291*AH230+AI291*AI230+AJ291*AJ230+AK291*AK230+AL291*AL230+AM291*AM230+AN291*AN230+AO291*AO230+AP291*AP230+AQ291*AQ230+AR291*AR230+AS291*AS230+AT291*AT230+AU291*AU230+AV291*AV230+AW291*AW230+AX291*AX230+AY291*AY230+AZ291*AZ230+BA291*BA230+BB291*BB230+BC291*BC230+BD291*BD230+BE291*BE230+BF291*BF230+BG291*BG230+BH291*BH230+BI291*BI230+BJ291*BJ230+BK291*BK230+BL291*BL230+BM291*BM230+BN291*BN230+BO291*BO230+BP291*BP230+BQ291*BQ230+BR291*BR230+BS291*BS230+BT291*BT230+BU291*BU230+BV291*BV230+BW291*BW230+BX291*BX230+BY291*BY230+BZ291*BZ230+CA291*CA230+CB291*CB230+CC291*CC230+CD291*CD230+CE291*CE230+CF291*CF230+CG291*CG230+CH291*CH230+CI291*CI230+CJ291*CJ230+CK291*CK230+CL291*CL230+CM291*CM230+CN291*CN230+CO291*CO230+CP291*CP230+CQ291*CQ230+CR291*CR230+CS291*CS230+CT291*CT230+CU291*CU230</f>
        <v>0</v>
      </c>
      <c r="DC230" s="2840">
        <f>E292*E230+F292*F230+G292*G230+H292*H230+I292*I230+J292*J230+K292*K230+L292*L230+M292*M230+N292*N230+O292*O230+P292*P230+Q292*Q230+R292*R230+S292*S230+T292*T230+U292*U230+V292*V230+W292*W230+X292*X230+Y292*Y230+Z292*Z230+AA292*AA230+AB292*AB230+AC292*AC230+AD292*AD230+AE292*AE230+AF292*AF230+AG292*AG230+AH292*AH230+AI292*AI230+AJ292*AJ230+AK292*AK230+AL292*AL230+AM292*AM230+AN292*AN230+AO292*AO230+AP292*AP230+AQ292*AQ230+AR292*AR230+AS292*AS230+AT292*AT230+AU292*AU230+AV292*AV230+AW292*AW230+AX292*AX230+AY292*AY230+AZ292*AZ230+BA292*BA230+BB292*BB230+BC292*BC230+BD292*BD230+BE292*BE230+BF292*BF230+BG292*BG230+BH292*BH230+BI292*BI230+BJ292*BJ230+BK292*BK230+BL292*BL230+BM292*BM230+BN292*BN230+BO292*BO230+BP292*BP230+BQ292*BQ230+BR292*BR230+BS292*BS230+BT292*BT230+BU292*BU230+BV292*BV230+BW292*BW230+BX292*BX230+BY292*BY230+BZ292*BZ230+CA292*CA230+CB292*CB230+CC292*CC230+CD292*CD230+CE292*CE230+CF292*CF230+CG292*CG230+CH292*CH230+CI292*CI230+CJ292*CJ230+CK292*CK230+CL292*CL230+CM292*CM230+CN292*CN230+CO292*CO230+CP292*CP230+CQ292*CQ230+CR292*CR230+CS292*CS230+CT292*CT230+CU292*CU230</f>
        <v>0</v>
      </c>
      <c r="DD230" s="2840">
        <f>E293*E230+F293*F230+G293*G230+H293*H230+I293*I230+J293*J230+K293*K230+L293*L230+M293*M230+N293*N230+O293*O230+P293*P230+Q293*Q230+R293*R230+S293*S230+T293*T230+U293*U230+V293*V230+W293*W230+X293*X230+Y293*Y230+Z293*Z230+AA293*AA230+AB293*AB230+AC293*AC230+AD293*AD230+AE293*AE230+AF293*AF230+AG293*AG230+AH293*AH230+AI293*AI230+AJ293*AJ230+AK293*AK230+AL293*AL230+AM293*AM230+AN293*AN230+AO293*AO230+AP293*AP230+AQ293*AQ230+AR293*AR230+AS293*AS230+AT293*AT230+AU293*AU230+AV293*AV230+AW293*AW230+AX293*AX230+AY293*AY230+AZ293*AZ230+BA293*BA230+BB293*BB230+BC293*BC230+BD293*BD230+BE293*BE230+BF293*BF230+BG293*BG230+BH293*BH230+BI293*BI230+BJ293*BJ230+BK293*BK230+BL293*BL230+BM293*BM230+BN293*BN230+BO293*BO230+BP293*BP230+BQ293*BQ230+BR293*BR230+BS293*BS230+BT293*BT230+BU293*BU230+BV293*BV230+BW293*BW230+BX293*BX230+BY293*BY230+BZ293*BZ230+CA293*CA230+CB293*CB230+CC293*CC230+CD293*CD230+CE293*CE230+CF293*CF230+CG293*CG230+CH293*CH230+CI293*CI230+CJ293*CJ230+CK293*CK230+CL293*CL230+CM293*CM230+CN293*CN230+CO293*CO230+CP293*CP230+CQ293*CQ230+CR293*CR230+CS293*CS230+CT293*CT230+CU293*CU230</f>
        <v>0</v>
      </c>
      <c r="DE230" s="2840">
        <f>E294*E230+F294*F230+G294*G230+H294*H230+I294*I230+J294*J230+K294*K230+L294*L230+M294*M230+N294*N230+O294*O230+P294*P230+Q294*Q230+R294*R230+S294*S230+T294*T230+U294*U230+V294*V230+W294*W230+X294*X230+Y294*Y230+Z294*Z230+AA294*AA230+AB294*AB230+AC294*AC230+AD294*AD230+AE294*AE230+AF294*AF230+AG294*AG230+AH294*AH230+AI294*AI230+AJ294*AJ230+AK294*AK230+AL294*AL230+AM294*AM230+AN294*AN230+AO294*AO230+AP294*AP230+AQ294*AQ230+AR294*AR230+AS294*AS230+AT294*AT230+AU294*AU230+AV294*AV230+AW294*AW230+AX294*AX230+AY294*AY230+AZ294*AZ230+BA294*BA230+BB294*BB230+BC294*BC230+BD294*BD230+BE294*BE230+BF294*BF230+BG294*BG230+BH294*BH230+BI294*BI230+BJ294*BJ230+BK294*BK230+BL294*BL230+BM294*BM230+BN294*BN230+BO294*BO230+BP294*BP230+BQ294*BQ230+BR294*BR230+BS294*BS230+BT294*BT230+BU294*BU230+BV294*BV230+BW294*BW230+BX294*BX230+BY294*BY230+BZ294*BZ230+CA294*CA230+CB294*CB230+CC294*CC230+CD294*CD230+CE294*CE230+CF294*CF230+CG294*CG230+CH294*CH230+CI294*CI230+CJ294*CJ230+CK294*CK230+CL294*CL230+CM294*CM230+CN294*CN230+CO294*CO230+CP294*CP230+CQ294*CQ230+CR294*CR230+CS294*CS230+CT294*CT230+CU294*CU230</f>
        <v>0</v>
      </c>
      <c r="DF230" s="2840">
        <f>E295*E230+F295*F230+G295*G230+H295*H230+I295*I230+J295*J230+K295*K230+L295*L230+M295*M230+N295*N230+O295*O230+P295*P230+Q295*Q230+R295*R230+S295*S230+T295*T230+U295*U230+V295*V230+W295*W230+X295*X230+Y295*Y230+Z295*Z230+AA295*AA230+AB295*AB230+AC295*AC230+AD295*AD230+AE295*AE230+AF295*AF230+AG295*AG230+AH295*AH230+AI295*AI230+AJ295*AJ230+AK295*AK230+AL295*AL230+AM295*AM230+AN295*AN230+AO295*AO230+AP295*AP230+AQ295*AQ230+AR295*AR230+AS295*AS230+AT295*AT230+AU295*AU230+AV295*AV230+AW295*AW230+AX295*AX230+AY295*AY230+AZ295*AZ230+BA295*BA230+BB295*BB230+BC295*BC230+BD295*BD230+BE295*BE230+BF295*BF230+BG295*BG230+BH295*BH230+BI295*BI230+BJ295*BJ230+BK295*BK230+BL295*BL230+BM295*BM230+BN295*BN230+BO295*BO230+BP295*BP230+BQ295*BQ230+BR295*BR230+BS295*BS230+BT295*BT230+BU295*BU230+BV295*BV230+BW295*BW230+BX295*BX230+BY295*BY230+BZ295*BZ230+CA295*CA230+CB295*CB230+CC295*CC230+CD295*CD230+CE295*CE230+CF295*CF230+CG295*CG230+CH295*CH230+CI295*CI230+CJ295*CJ230+CK295*CK230+CL295*CL230+CM295*CM230+CN295*CN230+CO295*CO230+CP295*CP230+CQ295*CQ230+CR295*CR230+CS295*CS230+CT295*CT230+CU295*CU230</f>
        <v>0</v>
      </c>
      <c r="DG230" s="2840">
        <f>E296*E230+F296*F230+G296*G230+H296*H230+I296*I230+J296*J230+K296*K230+L296*L230+M296*M230+N296*N230+O296*O230+P296*P230+Q296*Q230+R296*R230+S296*S230+T296*T230+U296*U230+V296*V230+W296*W230+X296*X230+Y296*Y230+Z296*Z230+AA296*AA230+AB296*AB230+AC296*AC230+AD296*AD230+AE296*AE230+AF296*AF230+AG296*AG230+AH296*AH230+AI296*AI230+AJ296*AJ230+AK296*AK230+AL296*AL230+AM296*AM230+AN296*AN230+AO296*AO230+AP296*AP230+AQ296*AQ230+AR296*AR230+AS296*AS230+AT296*AT230+AU296*AU230+AV296*AV230+AW296*AW230+AX296*AX230+AY296*AY230+AZ296*AZ230+BA296*BA230+BB296*BB230+BC296*BC230+BD296*BD230+BE296*BE230+BF296*BF230+BG296*BG230+BH296*BH230+BI296*BI230+BJ296*BJ230+BK296*BK230+BL296*BL230+BM296*BM230+BN296*BN230+BO296*BO230+BP296*BP230+BQ296*BQ230+BR296*BR230+BS296*BS230+BT296*BT230+BU296*BU230+BV296*BV230+BW296*BW230+BX296*BX230+BY296*BY230+BZ296*BZ230+CA296*CA230+CB296*CB230+CC296*CC230+CD296*CD230+CE296*CE230+CF296*CF230+CG296*CG230+CH296*CH230+CI296*CI230+CJ296*CJ230+CK296*CK230+CL296*CL230+CM296*CM230+CN296*CN230+CO296*CO230+CP296*CP230+CQ296*CQ230+CR296*CR230+CS296*CS230+CT296*CT230+CU296*CU230</f>
        <v>0</v>
      </c>
      <c r="DH230" s="2840">
        <f>E297*E230+F297*F230+G297*G230+H297*H230+I297*I230+J297*J230+K297*K230+L297*L230+M297*M230+N297*N230+O297*O230+P297*P230+Q297*Q230+R297*R230+S297*S230+T297*T230+U297*U230+V297*V230+W297*W230+X297*X230+Y297*Y230+Z297*Z230+AA297*AA230+AB297*AB230+AC297*AC230+AD297*AD230+AE297*AE230+AF297*AF230+AG297*AG230+AH297*AH230+AI297*AI230+AJ297*AJ230+AK297*AK230+AL297*AL230+AM297*AM230+AN297*AN230+AO297*AO230+AP297*AP230+AQ297*AQ230+AR297*AR230+AS297*AS230+AT297*AT230+AU297*AU230+AV297*AV230+AW297*AW230+AX297*AX230+AY297*AY230+AZ297*AZ230+BA297*BA230+BB297*BB230+BC297*BC230+BD297*BD230+BE297*BE230+BF297*BF230+BG297*BG230+BH297*BH230+BI297*BI230+BJ297*BJ230+BK297*BK230+BL297*BL230+BM297*BM230+BN297*BN230+BO297*BO230+BP297*BP230+BQ297*BQ230+BR297*BR230+BS297*BS230+BT297*BT230+BU297*BU230+BV297*BV230+BW297*BW230+BX297*BX230+BY297*BY230+BZ297*BZ230+CA297*CA230+CB297*CB230+CC297*CC230+CD297*CD230+CE297*CE230+CF297*CF230+CG297*CG230+CH297*CH230+CI297*CI230+CJ297*CJ230+CK297*CK230+CL297*CL230+CM297*CM230+CN297*CN230+CO297*CO230+CP297*CP230+CQ297*CQ230+CR297*CR230+CS297*CS230+CT297*CT230+CU297*CU230</f>
        <v>0</v>
      </c>
      <c r="DI230" s="2840">
        <f>E298*E230+F298*F230+G298*G230+H298*H230+I298*I230+J298*J230+K298*K230+L298*L230+M298*M230+N298*N230+O298*O230+P298*P230+Q298*Q230+R298*R230+S298*S230+T298*T230+U298*U230+V298*V230+W298*W230+X298*X230+Y298*Y230+Z298*Z230+AA298*AA230+AB298*AB230+AC298*AC230+AD298*AD230+AE298*AE230+AF298*AF230+AG298*AG230+AH298*AH230+AI298*AI230+AJ298*AJ230+AK298*AK230+AL298*AL230+AM298*AM230+AN298*AN230+AO298*AO230+AP298*AP230+AQ298*AQ230+AR298*AR230+AS298*AS230+AT298*AT230+AU298*AU230+AV298*AV230+AW298*AW230+AX298*AX230+AY298*AY230+AZ298*AZ230+BA298*BA230+BB298*BB230+BC298*BC230+BD298*BD230+BE298*BE230+BF298*BF230+BG298*BG230+BH298*BH230+BI298*BI230+BJ298*BJ230+BK298*BK230+BL298*BL230+BM298*BM230+BN298*BN230+BO298*BO230+BP298*BP230+BQ298*BQ230+BR298*BR230+BS298*BS230+BT298*BT230+BU298*BU230+BV298*BV230+BW298*BW230+BX298*BX230+BY298*BY230+BZ298*BZ230+CA298*CA230+CB298*CB230+CC298*CC230+CD298*CD230+CE298*CE230+CF298*CF230+CG298*CG230+CH298*CH230+CI298*CI230+CJ298*CJ230+CK298*CK230+CL298*CL230+CM298*CM230+CN298*CN230+CO298*CO230+CP298*CP230+CQ298*CQ230+CR298*CR230+CS298*CS230+CT298*CT230+CU298*CU230</f>
        <v>0</v>
      </c>
    </row>
    <row r="231" spans="2:113" ht="18" x14ac:dyDescent="0.25">
      <c r="B231" s="2510">
        <v>78</v>
      </c>
      <c r="C231" s="2444" t="s">
        <v>2985</v>
      </c>
      <c r="D231" s="2445" t="s">
        <v>5936</v>
      </c>
      <c r="E231" s="3125">
        <f>0</f>
        <v>0</v>
      </c>
      <c r="F231" s="3125">
        <f>0</f>
        <v>0</v>
      </c>
      <c r="G231" s="3125">
        <f>0</f>
        <v>0</v>
      </c>
      <c r="H231" s="3125">
        <f>0</f>
        <v>0</v>
      </c>
      <c r="I231" s="3125">
        <f>1</f>
        <v>1</v>
      </c>
      <c r="J231" s="3126">
        <f>0</f>
        <v>0</v>
      </c>
      <c r="K231" s="3125">
        <f>0</f>
        <v>0</v>
      </c>
      <c r="L231" s="3125">
        <f>0</f>
        <v>0</v>
      </c>
      <c r="M231" s="3125">
        <f>0</f>
        <v>0</v>
      </c>
      <c r="N231" s="3125">
        <f>0</f>
        <v>0</v>
      </c>
      <c r="O231" s="3125">
        <f>0</f>
        <v>0</v>
      </c>
      <c r="P231" s="3125">
        <f>-1</f>
        <v>-1</v>
      </c>
      <c r="Q231" s="3125">
        <f>0</f>
        <v>0</v>
      </c>
      <c r="R231" s="3125">
        <f>0</f>
        <v>0</v>
      </c>
      <c r="S231" s="3125">
        <f>0</f>
        <v>0</v>
      </c>
      <c r="T231" s="3125">
        <f>0</f>
        <v>0</v>
      </c>
      <c r="U231" s="3125">
        <f>0</f>
        <v>0</v>
      </c>
      <c r="V231" s="3125">
        <f>0</f>
        <v>0</v>
      </c>
      <c r="W231" s="3125">
        <f>0</f>
        <v>0</v>
      </c>
      <c r="X231" s="3125">
        <f>0</f>
        <v>0</v>
      </c>
      <c r="Y231" s="3125">
        <f>0</f>
        <v>0</v>
      </c>
      <c r="Z231" s="3125">
        <f>0</f>
        <v>0</v>
      </c>
      <c r="AA231" s="3125">
        <f>0</f>
        <v>0</v>
      </c>
      <c r="AB231" s="3125">
        <f>0</f>
        <v>0</v>
      </c>
      <c r="AC231" s="3125">
        <f>0</f>
        <v>0</v>
      </c>
      <c r="AD231" s="3125">
        <f>0</f>
        <v>0</v>
      </c>
      <c r="AE231" s="3125">
        <f>0</f>
        <v>0</v>
      </c>
      <c r="AF231" s="3125">
        <f>0</f>
        <v>0</v>
      </c>
      <c r="AG231" s="3125">
        <f>0</f>
        <v>0</v>
      </c>
      <c r="AH231" s="3125">
        <f>0</f>
        <v>0</v>
      </c>
      <c r="AI231" s="3125">
        <f>i_N_XE</f>
        <v>0.06</v>
      </c>
      <c r="AJ231" s="3126">
        <f>0</f>
        <v>0</v>
      </c>
      <c r="AK231" s="3125">
        <f>0</f>
        <v>0</v>
      </c>
      <c r="AL231" s="3125">
        <f>0</f>
        <v>0</v>
      </c>
      <c r="AM231" s="3125">
        <f>0</f>
        <v>0</v>
      </c>
      <c r="AN231" s="3125">
        <f>0</f>
        <v>0</v>
      </c>
      <c r="AO231" s="3125">
        <f>i_P_BIO</f>
        <v>0.02</v>
      </c>
      <c r="AP231" s="3126">
        <f>0</f>
        <v>0</v>
      </c>
      <c r="AQ231" s="3125">
        <f>0</f>
        <v>0</v>
      </c>
      <c r="AR231" s="3125">
        <f>0</f>
        <v>0</v>
      </c>
      <c r="AS231" s="3125">
        <f>0</f>
        <v>0</v>
      </c>
      <c r="AT231" s="3125">
        <f>0</f>
        <v>0</v>
      </c>
      <c r="AU231" s="3125">
        <f>i_CIT_BIO-i_CIT_SB</f>
        <v>6.6000000000000003E-2</v>
      </c>
      <c r="AV231" s="3125">
        <f>0</f>
        <v>0</v>
      </c>
      <c r="AW231" s="3125">
        <f>0</f>
        <v>0</v>
      </c>
      <c r="AX231" s="3125">
        <f>0</f>
        <v>0</v>
      </c>
      <c r="AY231" s="3125">
        <f>0</f>
        <v>0</v>
      </c>
      <c r="AZ231" s="3125">
        <f>0</f>
        <v>0</v>
      </c>
      <c r="BA231" s="3125">
        <f>0</f>
        <v>0</v>
      </c>
      <c r="BB231" s="3125">
        <f>0</f>
        <v>0</v>
      </c>
      <c r="BC231" s="3127">
        <f>-i_S_XB+i_S_BIO</f>
        <v>8.5000000000000006E-3</v>
      </c>
      <c r="BD231" s="3125">
        <f>0</f>
        <v>0</v>
      </c>
      <c r="BE231" s="3125">
        <f>0</f>
        <v>0</v>
      </c>
      <c r="BF231" s="3125">
        <f>0</f>
        <v>0</v>
      </c>
      <c r="BG231" s="3125">
        <f>0</f>
        <v>0</v>
      </c>
      <c r="BH231" s="3125">
        <f>0</f>
        <v>0</v>
      </c>
      <c r="BI231" s="3125">
        <f>0</f>
        <v>0</v>
      </c>
      <c r="BJ231" s="3125">
        <f>0</f>
        <v>0</v>
      </c>
      <c r="BK231" s="3125">
        <f>0</f>
        <v>0</v>
      </c>
      <c r="BL231" s="3125">
        <f>0</f>
        <v>0</v>
      </c>
      <c r="BM231" s="3125">
        <f>0</f>
        <v>0</v>
      </c>
      <c r="BN231" s="3125">
        <f>0</f>
        <v>0</v>
      </c>
      <c r="BO231" s="3125">
        <f>0</f>
        <v>0</v>
      </c>
      <c r="BP231" s="3125">
        <f>0</f>
        <v>0</v>
      </c>
      <c r="BQ231" s="3125">
        <f>0</f>
        <v>0</v>
      </c>
      <c r="BR231" s="3125">
        <f>0</f>
        <v>0</v>
      </c>
      <c r="BS231" s="3125">
        <f>0</f>
        <v>0</v>
      </c>
      <c r="BT231" s="3125">
        <f>0</f>
        <v>0</v>
      </c>
      <c r="BU231" s="3125">
        <f>0</f>
        <v>0</v>
      </c>
      <c r="BV231" s="3125">
        <f>0</f>
        <v>0</v>
      </c>
      <c r="BW231" s="3125">
        <f>0</f>
        <v>0</v>
      </c>
      <c r="BX231" s="3125">
        <f>0</f>
        <v>0</v>
      </c>
      <c r="BY231" s="3125">
        <f>0</f>
        <v>0</v>
      </c>
      <c r="BZ231" s="3126">
        <f>0</f>
        <v>0</v>
      </c>
      <c r="CA231" s="3126">
        <f>0</f>
        <v>0</v>
      </c>
      <c r="CB231" s="3126">
        <f>0</f>
        <v>0</v>
      </c>
      <c r="CC231" s="3126">
        <f>0</f>
        <v>0</v>
      </c>
      <c r="CD231" s="3125">
        <f>0</f>
        <v>0</v>
      </c>
      <c r="CE231" s="3125">
        <f>0</f>
        <v>0</v>
      </c>
      <c r="CF231" s="3125">
        <f>0</f>
        <v>0</v>
      </c>
      <c r="CG231" s="3125">
        <f>0</f>
        <v>0</v>
      </c>
      <c r="CH231" s="3125">
        <f>0</f>
        <v>0</v>
      </c>
      <c r="CI231" s="3125">
        <f>0</f>
        <v>0</v>
      </c>
      <c r="CJ231" s="3125">
        <f>0</f>
        <v>0</v>
      </c>
      <c r="CK231" s="3125">
        <f>0</f>
        <v>0</v>
      </c>
      <c r="CL231" s="3125">
        <f>0</f>
        <v>0</v>
      </c>
      <c r="CM231" s="3125">
        <f>0</f>
        <v>0</v>
      </c>
      <c r="CN231" s="3125">
        <f>0</f>
        <v>0</v>
      </c>
      <c r="CO231" s="3125">
        <f>0</f>
        <v>0</v>
      </c>
      <c r="CP231" s="3125">
        <f>0</f>
        <v>0</v>
      </c>
      <c r="CQ231" s="3125">
        <f>0</f>
        <v>0</v>
      </c>
      <c r="CR231" s="3125">
        <f>0</f>
        <v>0</v>
      </c>
      <c r="CS231" s="3125">
        <f>0</f>
        <v>0</v>
      </c>
      <c r="CT231" s="3125">
        <f>0</f>
        <v>0</v>
      </c>
      <c r="CU231" s="3125">
        <f>0</f>
        <v>0</v>
      </c>
      <c r="CV231" s="3233">
        <f>q_XE_T*X_E</f>
        <v>2.1</v>
      </c>
      <c r="CX231" s="2838">
        <f>E287*E231+F287*F231+G287*G231+H287*H231+I287*I231+J287*J231+K287*K231+L287*L231+M287*M231+N287*N231+O287*O231+P287*P231+Q287*Q231+R287*R231+S287*S231+T287*T231+U287*U231+V287*V231+W287*W231+X287*X231+Y287*Y231+Z287*Z231+AA287*AA231+AB287*AB231+AC287*AC231+AD287*AD231+AE287*AE231+AF287*AF231+AG287*AG231+AH287*AH231+AI287*AI231+AJ287*AJ231+AK287*AK231+AL287*AL231+AM287*AM231+AN287*AN231+AO287*AO231+AP287*AP231+AQ287*AQ231+AR287*AR231+AS287*AS231+AT287*AT231+AU287*AU231+AV287*AV231+AW287*AW231+AX287*AX231+AY287*AY231+AZ287*AZ231+BA287*BA231+BB287*BB231+BC287*BC231+BD287*BD231+BE287*BE231+BF287*BF231+BG287*BG231+BH287*BH231+BI287*BI231+BJ287*BJ231+BK287*BK231+BL287*BL231+BM287*BM231+BN287*BN231+BO287*BO231+BP287*BP231+BQ287*BQ231+BR287*BR231+BS287*BS231+BT287*BT231+BU287*BU231+BV287*BV231+BW287*BW231+BX287*BX231+BY287*BY231+BZ287*BZ231+CA287*CA231+CB287*CB231+CC287*CC231+CD287*CD231+CE287*CE231+CF287*CF231+CG287*CG231+CH287*CH231+CI287*CI231+CJ287*CJ231+CK287*CK231+CL287*CL231+CM287*CM231+CN287*CN231+CO287*CO231+CP287*CP231+CQ287*CQ231+CR287*CR231+CS287*CS231+CT287*CT231+CU287*CU231</f>
        <v>0</v>
      </c>
      <c r="CY231" s="2838">
        <f>E288*E231+F288*F231+G288*G231+H288*H231+I288*I231+J288*J231+K288*K231+L288*L231+M288*M231+N288*N231+O288*O231+P288*P231+Q288*Q231+R288*R231+S288*S231+T288*T231+U288*U231+V288*V231+W288*W231+X288*X231+Y288*Y231+Z288*Z231+AA288*AA231+AB288*AB231+AC288*AC231+AD288*AD231+AE288*AE231+AF288*AF231+AG288*AG231+AH288*AH231+AI288*AI231+AJ288*AJ231+AK288*AK231+AL288*AL231+AM288*AM231+AN288*AN231+AO288*AO231+AP288*AP231+AQ288*AQ231+AR288*AR231+AS288*AS231+AT288*AT231+AU288*AU231+AV288*AV231+AW288*AW231+AX288*AX231+AY288*AY231+AZ288*AZ231+BA288*BA231+BB288*BB231+BC288*BC231+BD288*BD231+BE288*BE231+BF288*BF231+BG288*BG231+BH288*BH231+BI288*BI231+BJ288*BJ231+BK288*BK231+BL288*BL231+BM288*BM231+BN288*BN231+BO288*BO231+BP288*BP231+BQ288*BQ231+BR288*BR231+BS288*BS231+BT288*BT231+BU288*BU231+BV288*BV231+BW288*BW231+BX288*BX231+BY288*BY231+BZ288*BZ231+CA288*CA231+CB288*CB231+CC288*CC231+CD288*CD231+CE288*CE231+CF288*CF231+CG288*CG231+CH288*CH231+CI288*CI231+CJ288*CJ231+CK288*CK231+CL288*CL231+CM288*CM231+CN288*CN231+CO288*CO231+CP288*CP231+CQ288*CQ231+CR288*CR231+CS288*CS231+CT288*CT231+CU288*CU231</f>
        <v>0</v>
      </c>
      <c r="CZ231" s="2839">
        <f>E289*E231+F289*F231+G289*G231+H289*H231+I289*I231+J289*J231+K289*K231+L289*L231+M289*M231+N289*N231+O289*O231+P289*P231+Q289*Q231+R289*R231+S289*S231+T289*T231+U289*U231+V289*V231+W289*W231+X289*X231+Y289*Y231+Z289*Z231+AA289*AA231+AB289*AB231+AC289*AC231+AD289*AD231+AE289*AE231+AF289*AF231+AG289*AG231+AH289*AH231+AI289*AI231+AJ289*AJ231+AK289*AK231+AL289*AL231+AM289*AM231+AN289*AN231+AO289*AO231+AP289*AP231+AQ289*AQ231+AR289*AR231+AS289*AS231+AT289*AT231+AU289*AU231+AV289*AV231+AW289*AW231+AX289*AX231+AY289*AY231+AZ289*AZ231+BA289*BA231+BB289*BB231+BC289*BC231+BD289*BD231+BE289*BE231+BF289*BF231+BG289*BG231+BH289*BH231+BI289*BI231+BJ289*BJ231+BK289*BK231+BL289*BL231+BM289*BM231+BN289*BN231+BO289*BO231+BP289*BP231+BQ289*BQ231+BR289*BR231+BS289*BS231+BT289*BT231+BU289*BU231+BV289*BV231+BW289*BW231+BX289*BX231+BY289*BY231+BZ289*BZ231+CA289*CA231+CB289*CB231+CC289*CC231+CD289*CD231+CE289*CE231+CF289*CF231+CG289*CG231+CH289*CH231+CI289*CI231+CJ289*CJ231+CK289*CK231+CL289*CL231+CM289*CM231+CN289*CN231+CO289*CO231+CP289*CP231+CQ289*CQ231+CR289*CR231+CS289*CS231+CT289*CT231+CU289*CU231</f>
        <v>0</v>
      </c>
      <c r="DA231" s="2840">
        <f>E290*E231+F290*F231+G290*G231+H290*H231+I290*I231+J290*J231+K290*K231+L290*L231+M290*M231+N290*N231+O290*O231+P290*P231+Q290*Q231+R290*R231+S290*S231+T290*T231+U290*U231+V290*V231+W290*W231+X290*X231+Y290*Y231+Z290*Z231+AA290*AA231+AB290*AB231+AC290*AC231+AD290*AD231+AE290*AE231+AF290*AF231+AG290*AG231+AH290*AH231+AI290*AI231+AJ290*AJ231+AK290*AK231+AL290*AL231+AM290*AM231+AN290*AN231+AO290*AO231+AP290*AP231+AQ290*AQ231+AR290*AR231+AS290*AS231+AT290*AT231+AU290*AU231+AV290*AV231+AW290*AW231+AX290*AX231+AY290*AY231+AZ290*AZ231+BA290*BA231+BB290*BB231+BC290*BC231+BD290*BD231+BE290*BE231+BF290*BF231+BG290*BG231+BH290*BH231+BI290*BI231+BJ290*BJ231+BK290*BK231+BL290*BL231+BM290*BM231+BN290*BN231+BO290*BO231+BP290*BP231+BQ290*BQ231+BR290*BR231+BS290*BS231+BT290*BT231+BU290*BU231+BV290*BV231+BW290*BW231+BX290*BX231+BY290*BY231+BZ290*BZ231+CA290*CA231+CB290*CB231+CC290*CC231+CD290*CD231+CE290*CE231+CF290*CF231+CG290*CG231+CH290*CH231+CI290*CI231+CJ290*CJ231+CK290*CK231+CL290*CL231+CM290*CM231+CN290*CN231+CO290*CO231+CP290*CP231+CQ290*CQ231+CR290*CR231+CS290*CS231+CT290*CT231+CU290*CU231</f>
        <v>0</v>
      </c>
      <c r="DB231" s="2840">
        <f>E291*E231+F291*F231+G291*G231+H291*H231+I291*I231+J291*J231+K291*K231+L291*L231+M291*M231+N291*N231+O291*O231+P291*P231+Q291*Q231+R291*R231+S291*S231+T291*T231+U291*U231+V291*V231+W291*W231+X291*X231+Y291*Y231+Z291*Z231+AA291*AA231+AB291*AB231+AC291*AC231+AD291*AD231+AE291*AE231+AF291*AF231+AG291*AG231+AH291*AH231+AI291*AI231+AJ291*AJ231+AK291*AK231+AL291*AL231+AM291*AM231+AN291*AN231+AO291*AO231+AP291*AP231+AQ291*AQ231+AR291*AR231+AS291*AS231+AT291*AT231+AU291*AU231+AV291*AV231+AW291*AW231+AX291*AX231+AY291*AY231+AZ291*AZ231+BA291*BA231+BB291*BB231+BC291*BC231+BD291*BD231+BE291*BE231+BF291*BF231+BG291*BG231+BH291*BH231+BI291*BI231+BJ291*BJ231+BK291*BK231+BL291*BL231+BM291*BM231+BN291*BN231+BO291*BO231+BP291*BP231+BQ291*BQ231+BR291*BR231+BS291*BS231+BT291*BT231+BU291*BU231+BV291*BV231+BW291*BW231+BX291*BX231+BY291*BY231+BZ291*BZ231+CA291*CA231+CB291*CB231+CC291*CC231+CD291*CD231+CE291*CE231+CF291*CF231+CG291*CG231+CH291*CH231+CI291*CI231+CJ291*CJ231+CK291*CK231+CL291*CL231+CM291*CM231+CN291*CN231+CO291*CO231+CP291*CP231+CQ291*CQ231+CR291*CR231+CS291*CS231+CT291*CT231+CU291*CU231</f>
        <v>0</v>
      </c>
      <c r="DC231" s="2840">
        <f>E292*E231+F292*F231+G292*G231+H292*H231+I292*I231+J292*J231+K292*K231+L292*L231+M292*M231+N292*N231+O292*O231+P292*P231+Q292*Q231+R292*R231+S292*S231+T292*T231+U292*U231+V292*V231+W292*W231+X292*X231+Y292*Y231+Z292*Z231+AA292*AA231+AB292*AB231+AC292*AC231+AD292*AD231+AE292*AE231+AF292*AF231+AG292*AG231+AH292*AH231+AI292*AI231+AJ292*AJ231+AK292*AK231+AL292*AL231+AM292*AM231+AN292*AN231+AO292*AO231+AP292*AP231+AQ292*AQ231+AR292*AR231+AS292*AS231+AT292*AT231+AU292*AU231+AV292*AV231+AW292*AW231+AX292*AX231+AY292*AY231+AZ292*AZ231+BA292*BA231+BB292*BB231+BC292*BC231+BD292*BD231+BE292*BE231+BF292*BF231+BG292*BG231+BH292*BH231+BI292*BI231+BJ292*BJ231+BK292*BK231+BL292*BL231+BM292*BM231+BN292*BN231+BO292*BO231+BP292*BP231+BQ292*BQ231+BR292*BR231+BS292*BS231+BT292*BT231+BU292*BU231+BV292*BV231+BW292*BW231+BX292*BX231+BY292*BY231+BZ292*BZ231+CA292*CA231+CB292*CB231+CC292*CC231+CD292*CD231+CE292*CE231+CF292*CF231+CG292*CG231+CH292*CH231+CI292*CI231+CJ292*CJ231+CK292*CK231+CL292*CL231+CM292*CM231+CN292*CN231+CO292*CO231+CP292*CP231+CQ292*CQ231+CR292*CR231+CS292*CS231+CT292*CT231+CU292*CU231</f>
        <v>0</v>
      </c>
      <c r="DD231" s="2840">
        <f>E293*E231+F293*F231+G293*G231+H293*H231+I293*I231+J293*J231+K293*K231+L293*L231+M293*M231+N293*N231+O293*O231+P293*P231+Q293*Q231+R293*R231+S293*S231+T293*T231+U293*U231+V293*V231+W293*W231+X293*X231+Y293*Y231+Z293*Z231+AA293*AA231+AB293*AB231+AC293*AC231+AD293*AD231+AE293*AE231+AF293*AF231+AG293*AG231+AH293*AH231+AI293*AI231+AJ293*AJ231+AK293*AK231+AL293*AL231+AM293*AM231+AN293*AN231+AO293*AO231+AP293*AP231+AQ293*AQ231+AR293*AR231+AS293*AS231+AT293*AT231+AU293*AU231+AV293*AV231+AW293*AW231+AX293*AX231+AY293*AY231+AZ293*AZ231+BA293*BA231+BB293*BB231+BC293*BC231+BD293*BD231+BE293*BE231+BF293*BF231+BG293*BG231+BH293*BH231+BI293*BI231+BJ293*BJ231+BK293*BK231+BL293*BL231+BM293*BM231+BN293*BN231+BO293*BO231+BP293*BP231+BQ293*BQ231+BR293*BR231+BS293*BS231+BT293*BT231+BU293*BU231+BV293*BV231+BW293*BW231+BX293*BX231+BY293*BY231+BZ293*BZ231+CA293*CA231+CB293*CB231+CC293*CC231+CD293*CD231+CE293*CE231+CF293*CF231+CG293*CG231+CH293*CH231+CI293*CI231+CJ293*CJ231+CK293*CK231+CL293*CL231+CM293*CM231+CN293*CN231+CO293*CO231+CP293*CP231+CQ293*CQ231+CR293*CR231+CS293*CS231+CT293*CT231+CU293*CU231</f>
        <v>0</v>
      </c>
      <c r="DE231" s="2840">
        <f>E294*E231+F294*F231+G294*G231+H294*H231+I294*I231+J294*J231+K294*K231+L294*L231+M294*M231+N294*N231+O294*O231+P294*P231+Q294*Q231+R294*R231+S294*S231+T294*T231+U294*U231+V294*V231+W294*W231+X294*X231+Y294*Y231+Z294*Z231+AA294*AA231+AB294*AB231+AC294*AC231+AD294*AD231+AE294*AE231+AF294*AF231+AG294*AG231+AH294*AH231+AI294*AI231+AJ294*AJ231+AK294*AK231+AL294*AL231+AM294*AM231+AN294*AN231+AO294*AO231+AP294*AP231+AQ294*AQ231+AR294*AR231+AS294*AS231+AT294*AT231+AU294*AU231+AV294*AV231+AW294*AW231+AX294*AX231+AY294*AY231+AZ294*AZ231+BA294*BA231+BB294*BB231+BC294*BC231+BD294*BD231+BE294*BE231+BF294*BF231+BG294*BG231+BH294*BH231+BI294*BI231+BJ294*BJ231+BK294*BK231+BL294*BL231+BM294*BM231+BN294*BN231+BO294*BO231+BP294*BP231+BQ294*BQ231+BR294*BR231+BS294*BS231+BT294*BT231+BU294*BU231+BV294*BV231+BW294*BW231+BX294*BX231+BY294*BY231+BZ294*BZ231+CA294*CA231+CB294*CB231+CC294*CC231+CD294*CD231+CE294*CE231+CF294*CF231+CG294*CG231+CH294*CH231+CI294*CI231+CJ294*CJ231+CK294*CK231+CL294*CL231+CM294*CM231+CN294*CN231+CO294*CO231+CP294*CP231+CQ294*CQ231+CR294*CR231+CS294*CS231+CT294*CT231+CU294*CU231</f>
        <v>0</v>
      </c>
      <c r="DF231" s="2840">
        <f>E295*E231+F295*F231+G295*G231+H295*H231+I295*I231+J295*J231+K295*K231+L295*L231+M295*M231+N295*N231+O295*O231+P295*P231+Q295*Q231+R295*R231+S295*S231+T295*T231+U295*U231+V295*V231+W295*W231+X295*X231+Y295*Y231+Z295*Z231+AA295*AA231+AB295*AB231+AC295*AC231+AD295*AD231+AE295*AE231+AF295*AF231+AG295*AG231+AH295*AH231+AI295*AI231+AJ295*AJ231+AK295*AK231+AL295*AL231+AM295*AM231+AN295*AN231+AO295*AO231+AP295*AP231+AQ295*AQ231+AR295*AR231+AS295*AS231+AT295*AT231+AU295*AU231+AV295*AV231+AW295*AW231+AX295*AX231+AY295*AY231+AZ295*AZ231+BA295*BA231+BB295*BB231+BC295*BC231+BD295*BD231+BE295*BE231+BF295*BF231+BG295*BG231+BH295*BH231+BI295*BI231+BJ295*BJ231+BK295*BK231+BL295*BL231+BM295*BM231+BN295*BN231+BO295*BO231+BP295*BP231+BQ295*BQ231+BR295*BR231+BS295*BS231+BT295*BT231+BU295*BU231+BV295*BV231+BW295*BW231+BX295*BX231+BY295*BY231+BZ295*BZ231+CA295*CA231+CB295*CB231+CC295*CC231+CD295*CD231+CE295*CE231+CF295*CF231+CG295*CG231+CH295*CH231+CI295*CI231+CJ295*CJ231+CK295*CK231+CL295*CL231+CM295*CM231+CN295*CN231+CO295*CO231+CP295*CP231+CQ295*CQ231+CR295*CR231+CS295*CS231+CT295*CT231+CU295*CU231</f>
        <v>0</v>
      </c>
      <c r="DG231" s="2840">
        <f>E296*E231+F296*F231+G296*G231+H296*H231+I296*I231+J296*J231+K296*K231+L296*L231+M296*M231+N296*N231+O296*O231+P296*P231+Q296*Q231+R296*R231+S296*S231+T296*T231+U296*U231+V296*V231+W296*W231+X296*X231+Y296*Y231+Z296*Z231+AA296*AA231+AB296*AB231+AC296*AC231+AD296*AD231+AE296*AE231+AF296*AF231+AG296*AG231+AH296*AH231+AI296*AI231+AJ296*AJ231+AK296*AK231+AL296*AL231+AM296*AM231+AN296*AN231+AO296*AO231+AP296*AP231+AQ296*AQ231+AR296*AR231+AS296*AS231+AT296*AT231+AU296*AU231+AV296*AV231+AW296*AW231+AX296*AX231+AY296*AY231+AZ296*AZ231+BA296*BA231+BB296*BB231+BC296*BC231+BD296*BD231+BE296*BE231+BF296*BF231+BG296*BG231+BH296*BH231+BI296*BI231+BJ296*BJ231+BK296*BK231+BL296*BL231+BM296*BM231+BN296*BN231+BO296*BO231+BP296*BP231+BQ296*BQ231+BR296*BR231+BS296*BS231+BT296*BT231+BU296*BU231+BV296*BV231+BW296*BW231+BX296*BX231+BY296*BY231+BZ296*BZ231+CA296*CA231+CB296*CB231+CC296*CC231+CD296*CD231+CE296*CE231+CF296*CF231+CG296*CG231+CH296*CH231+CI296*CI231+CJ296*CJ231+CK296*CK231+CL296*CL231+CM296*CM231+CN296*CN231+CO296*CO231+CP296*CP231+CQ296*CQ231+CR296*CR231+CS296*CS231+CT296*CT231+CU296*CU231</f>
        <v>0</v>
      </c>
      <c r="DH231" s="2840">
        <f>E297*E231+F297*F231+G297*G231+H297*H231+I297*I231+J297*J231+K297*K231+L297*L231+M297*M231+N297*N231+O297*O231+P297*P231+Q297*Q231+R297*R231+S297*S231+T297*T231+U297*U231+V297*V231+W297*W231+X297*X231+Y297*Y231+Z297*Z231+AA297*AA231+AB297*AB231+AC297*AC231+AD297*AD231+AE297*AE231+AF297*AF231+AG297*AG231+AH297*AH231+AI297*AI231+AJ297*AJ231+AK297*AK231+AL297*AL231+AM297*AM231+AN297*AN231+AO297*AO231+AP297*AP231+AQ297*AQ231+AR297*AR231+AS297*AS231+AT297*AT231+AU297*AU231+AV297*AV231+AW297*AW231+AX297*AX231+AY297*AY231+AZ297*AZ231+BA297*BA231+BB297*BB231+BC297*BC231+BD297*BD231+BE297*BE231+BF297*BF231+BG297*BG231+BH297*BH231+BI297*BI231+BJ297*BJ231+BK297*BK231+BL297*BL231+BM297*BM231+BN297*BN231+BO297*BO231+BP297*BP231+BQ297*BQ231+BR297*BR231+BS297*BS231+BT297*BT231+BU297*BU231+BV297*BV231+BW297*BW231+BX297*BX231+BY297*BY231+BZ297*BZ231+CA297*CA231+CB297*CB231+CC297*CC231+CD297*CD231+CE297*CE231+CF297*CF231+CG297*CG231+CH297*CH231+CI297*CI231+CJ297*CJ231+CK297*CK231+CL297*CL231+CM297*CM231+CN297*CN231+CO297*CO231+CP297*CP231+CQ297*CQ231+CR297*CR231+CS297*CS231+CT297*CT231+CU297*CU231</f>
        <v>0</v>
      </c>
      <c r="DI231" s="2840">
        <f>E298*E231+F298*F231+G298*G231+H298*H231+I298*I231+J298*J231+K298*K231+L298*L231+M298*M231+N298*N231+O298*O231+P298*P231+Q298*Q231+R298*R231+S298*S231+T298*T231+U298*U231+V298*V231+W298*W231+X298*X231+Y298*Y231+Z298*Z231+AA298*AA231+AB298*AB231+AC298*AC231+AD298*AD231+AE298*AE231+AF298*AF231+AG298*AG231+AH298*AH231+AI298*AI231+AJ298*AJ231+AK298*AK231+AL298*AL231+AM298*AM231+AN298*AN231+AO298*AO231+AP298*AP231+AQ298*AQ231+AR298*AR231+AS298*AS231+AT298*AT231+AU298*AU231+AV298*AV231+AW298*AW231+AX298*AX231+AY298*AY231+AZ298*AZ231+BA298*BA231+BB298*BB231+BC298*BC231+BD298*BD231+BE298*BE231+BF298*BF231+BG298*BG231+BH298*BH231+BI298*BI231+BJ298*BJ231+BK298*BK231+BL298*BL231+BM298*BM231+BN298*BN231+BO298*BO231+BP298*BP231+BQ298*BQ231+BR298*BR231+BS298*BS231+BT298*BT231+BU298*BU231+BV298*BV231+BW298*BW231+BX298*BX231+BY298*BY231+BZ298*BZ231+CA298*CA231+CB298*CB231+CC298*CC231+CD298*CD231+CE298*CE231+CF298*CF231+CG298*CG231+CH298*CH231+CI298*CI231+CJ298*CJ231+CK298*CK231+CL298*CL231+CM298*CM231+CN298*CN231+CO298*CO231+CP298*CP231+CQ298*CQ231+CR298*CR231+CS298*CS231+CT298*CT231+CU298*CU231</f>
        <v>0</v>
      </c>
    </row>
    <row r="232" spans="2:113" ht="18" x14ac:dyDescent="0.25">
      <c r="B232" s="2510">
        <v>79</v>
      </c>
      <c r="C232" s="2444" t="s">
        <v>2986</v>
      </c>
      <c r="D232" s="2445" t="s">
        <v>5937</v>
      </c>
      <c r="E232" s="3125">
        <f>0</f>
        <v>0</v>
      </c>
      <c r="F232" s="3125">
        <f>1</f>
        <v>1</v>
      </c>
      <c r="G232" s="3125">
        <f>0</f>
        <v>0</v>
      </c>
      <c r="H232" s="3125">
        <f>0</f>
        <v>0</v>
      </c>
      <c r="I232" s="3125">
        <f>0</f>
        <v>0</v>
      </c>
      <c r="J232" s="3126">
        <f>0</f>
        <v>0</v>
      </c>
      <c r="K232" s="3125">
        <f>0</f>
        <v>0</v>
      </c>
      <c r="L232" s="3125">
        <f>0</f>
        <v>0</v>
      </c>
      <c r="M232" s="3125">
        <f>0</f>
        <v>0</v>
      </c>
      <c r="N232" s="3125">
        <f>0</f>
        <v>0</v>
      </c>
      <c r="O232" s="3125">
        <f>0</f>
        <v>0</v>
      </c>
      <c r="P232" s="3125">
        <f>0</f>
        <v>0</v>
      </c>
      <c r="Q232" s="3125">
        <f>-1</f>
        <v>-1</v>
      </c>
      <c r="R232" s="3125">
        <f>0</f>
        <v>0</v>
      </c>
      <c r="S232" s="3125">
        <f>0</f>
        <v>0</v>
      </c>
      <c r="T232" s="3125">
        <f>0</f>
        <v>0</v>
      </c>
      <c r="U232" s="3125">
        <f>0</f>
        <v>0</v>
      </c>
      <c r="V232" s="3125">
        <f>0</f>
        <v>0</v>
      </c>
      <c r="W232" s="3125">
        <f>0</f>
        <v>0</v>
      </c>
      <c r="X232" s="3125">
        <f>0</f>
        <v>0</v>
      </c>
      <c r="Y232" s="3125">
        <f>0</f>
        <v>0</v>
      </c>
      <c r="Z232" s="3125">
        <f>0</f>
        <v>0</v>
      </c>
      <c r="AA232" s="3125">
        <f>0</f>
        <v>0</v>
      </c>
      <c r="AB232" s="3125">
        <f>0</f>
        <v>0</v>
      </c>
      <c r="AC232" s="3125">
        <f>0</f>
        <v>0</v>
      </c>
      <c r="AD232" s="3125">
        <f>0</f>
        <v>0</v>
      </c>
      <c r="AE232" s="3125">
        <f>0</f>
        <v>0</v>
      </c>
      <c r="AF232" s="3125">
        <f>0</f>
        <v>0</v>
      </c>
      <c r="AG232" s="3125">
        <f>0</f>
        <v>0</v>
      </c>
      <c r="AH232" s="3125">
        <f>0</f>
        <v>0</v>
      </c>
      <c r="AI232" s="3125">
        <f>i_N_XE</f>
        <v>0.06</v>
      </c>
      <c r="AJ232" s="3126">
        <f>0</f>
        <v>0</v>
      </c>
      <c r="AK232" s="3125">
        <f>0</f>
        <v>0</v>
      </c>
      <c r="AL232" s="3125">
        <f>0</f>
        <v>0</v>
      </c>
      <c r="AM232" s="3125">
        <f>0</f>
        <v>0</v>
      </c>
      <c r="AN232" s="3125">
        <f>0</f>
        <v>0</v>
      </c>
      <c r="AO232" s="3125">
        <f>i_P_BIO</f>
        <v>0.02</v>
      </c>
      <c r="AP232" s="3126">
        <f>0</f>
        <v>0</v>
      </c>
      <c r="AQ232" s="3125">
        <f>0</f>
        <v>0</v>
      </c>
      <c r="AR232" s="3125">
        <f>0</f>
        <v>0</v>
      </c>
      <c r="AS232" s="3125">
        <f>0</f>
        <v>0</v>
      </c>
      <c r="AT232" s="3125">
        <f>0</f>
        <v>0</v>
      </c>
      <c r="AU232" s="3125">
        <f>i_CIT_BIO-i_CIT_SB</f>
        <v>6.6000000000000003E-2</v>
      </c>
      <c r="AV232" s="3125">
        <f>0</f>
        <v>0</v>
      </c>
      <c r="AW232" s="3125">
        <f>0</f>
        <v>0</v>
      </c>
      <c r="AX232" s="3125">
        <f>0</f>
        <v>0</v>
      </c>
      <c r="AY232" s="3125">
        <f>0</f>
        <v>0</v>
      </c>
      <c r="AZ232" s="3125">
        <f>0</f>
        <v>0</v>
      </c>
      <c r="BA232" s="3125">
        <f>0</f>
        <v>0</v>
      </c>
      <c r="BB232" s="3125">
        <f>0</f>
        <v>0</v>
      </c>
      <c r="BC232" s="3127">
        <f>-i_S_SB+i_S_BIO</f>
        <v>8.5000000000000006E-3</v>
      </c>
      <c r="BD232" s="3125">
        <f>0</f>
        <v>0</v>
      </c>
      <c r="BE232" s="3125">
        <f>0</f>
        <v>0</v>
      </c>
      <c r="BF232" s="3125">
        <f>0</f>
        <v>0</v>
      </c>
      <c r="BG232" s="3125">
        <f>0</f>
        <v>0</v>
      </c>
      <c r="BH232" s="3125">
        <f>0</f>
        <v>0</v>
      </c>
      <c r="BI232" s="3125">
        <f>0</f>
        <v>0</v>
      </c>
      <c r="BJ232" s="3125">
        <f>0</f>
        <v>0</v>
      </c>
      <c r="BK232" s="3125">
        <f>0</f>
        <v>0</v>
      </c>
      <c r="BL232" s="3125">
        <f>0</f>
        <v>0</v>
      </c>
      <c r="BM232" s="3125">
        <f>0</f>
        <v>0</v>
      </c>
      <c r="BN232" s="3125">
        <f>0</f>
        <v>0</v>
      </c>
      <c r="BO232" s="3125">
        <f>0</f>
        <v>0</v>
      </c>
      <c r="BP232" s="3125">
        <f>0</f>
        <v>0</v>
      </c>
      <c r="BQ232" s="3125">
        <f>0</f>
        <v>0</v>
      </c>
      <c r="BR232" s="3125">
        <f>0</f>
        <v>0</v>
      </c>
      <c r="BS232" s="3125">
        <f>0</f>
        <v>0</v>
      </c>
      <c r="BT232" s="3125">
        <f>0</f>
        <v>0</v>
      </c>
      <c r="BU232" s="3125">
        <f>0</f>
        <v>0</v>
      </c>
      <c r="BV232" s="3125">
        <f>0</f>
        <v>0</v>
      </c>
      <c r="BW232" s="3125">
        <f>0</f>
        <v>0</v>
      </c>
      <c r="BX232" s="3125">
        <f>0</f>
        <v>0</v>
      </c>
      <c r="BY232" s="3125">
        <f>0</f>
        <v>0</v>
      </c>
      <c r="BZ232" s="3126">
        <f>0</f>
        <v>0</v>
      </c>
      <c r="CA232" s="3126">
        <f>0</f>
        <v>0</v>
      </c>
      <c r="CB232" s="3126">
        <f>0</f>
        <v>0</v>
      </c>
      <c r="CC232" s="3126">
        <f>0</f>
        <v>0</v>
      </c>
      <c r="CD232" s="3125">
        <f>0</f>
        <v>0</v>
      </c>
      <c r="CE232" s="3125">
        <f>0</f>
        <v>0</v>
      </c>
      <c r="CF232" s="3125">
        <f>0</f>
        <v>0</v>
      </c>
      <c r="CG232" s="3125">
        <f>0</f>
        <v>0</v>
      </c>
      <c r="CH232" s="3125">
        <f>0</f>
        <v>0</v>
      </c>
      <c r="CI232" s="3125">
        <f>0</f>
        <v>0</v>
      </c>
      <c r="CJ232" s="3125">
        <f>0</f>
        <v>0</v>
      </c>
      <c r="CK232" s="3125">
        <f>0</f>
        <v>0</v>
      </c>
      <c r="CL232" s="3125">
        <f>0</f>
        <v>0</v>
      </c>
      <c r="CM232" s="3125">
        <f>0</f>
        <v>0</v>
      </c>
      <c r="CN232" s="3125">
        <f>0</f>
        <v>0</v>
      </c>
      <c r="CO232" s="3125">
        <f>0</f>
        <v>0</v>
      </c>
      <c r="CP232" s="3125">
        <f>0</f>
        <v>0</v>
      </c>
      <c r="CQ232" s="3125">
        <f>0</f>
        <v>0</v>
      </c>
      <c r="CR232" s="3125">
        <f>0</f>
        <v>0</v>
      </c>
      <c r="CS232" s="3125">
        <f>0</f>
        <v>0</v>
      </c>
      <c r="CT232" s="3125">
        <f>0</f>
        <v>0</v>
      </c>
      <c r="CU232" s="3125">
        <f>0</f>
        <v>0</v>
      </c>
      <c r="CV232" s="3233">
        <f>q_HYD_XBe_T*X_HET*(L_ogsatXHET_HYD_lim*M_RsatXEana_XHET_KHYD+L_oginhXHET_HYD_lim*M_satXEana_KXEana_HYD)*(M_satSO2_KO2_OHO+η_HYD_anox*(M_satSNO2_KNO2_OHO+M_inhSNO2_KNO2_OHO*M_satSNO3_KNO3_OHO)*M_inhSO2_KO2_OHO)</f>
        <v>1.9217390699066568</v>
      </c>
      <c r="CX232" s="2838">
        <f>E287*E232+F287*F232+G287*G232+H287*H232+I287*I232+J287*J232+K287*K232+L287*L232+M287*M232+N287*N232+O287*O232+P287*P232+Q287*Q232+R287*R232+S287*S232+T287*T232+U287*U232+V287*V232+W287*W232+X287*X232+Y287*Y232+Z287*Z232+AA287*AA232+AB287*AB232+AC287*AC232+AD287*AD232+AE287*AE232+AF287*AF232+AG287*AG232+AH287*AH232+AI287*AI232+AJ287*AJ232+AK287*AK232+AL287*AL232+AM287*AM232+AN287*AN232+AO287*AO232+AP287*AP232+AQ287*AQ232+AR287*AR232+AS287*AS232+AT287*AT232+AU287*AU232+AV287*AV232+AW287*AW232+AX287*AX232+AY287*AY232+AZ287*AZ232+BA287*BA232+BB287*BB232+BC287*BC232+BD287*BD232+BE287*BE232+BF287*BF232+BG287*BG232+BH287*BH232+BI287*BI232+BJ287*BJ232+BK287*BK232+BL287*BL232+BM287*BM232+BN287*BN232+BO287*BO232+BP287*BP232+BQ287*BQ232+BR287*BR232+BS287*BS232+BT287*BT232+BU287*BU232+BV287*BV232+BW287*BW232+BX287*BX232+BY287*BY232+BZ287*BZ232+CA287*CA232+CB287*CB232+CC287*CC232+CD287*CD232+CE287*CE232+CF287*CF232+CG287*CG232+CH287*CH232+CI287*CI232+CJ287*CJ232+CK287*CK232+CL287*CL232+CM287*CM232+CN287*CN232+CO287*CO232+CP287*CP232+CQ287*CQ232+CR287*CR232+CS287*CS232+CT287*CT232+CU287*CU232</f>
        <v>0</v>
      </c>
      <c r="CY232" s="2838">
        <f>E288*E232+F288*F232+G288*G232+H288*H232+I288*I232+J288*J232+K288*K232+L288*L232+M288*M232+N288*N232+O288*O232+P288*P232+Q288*Q232+R288*R232+S288*S232+T288*T232+U288*U232+V288*V232+W288*W232+X288*X232+Y288*Y232+Z288*Z232+AA288*AA232+AB288*AB232+AC288*AC232+AD288*AD232+AE288*AE232+AF288*AF232+AG288*AG232+AH288*AH232+AI288*AI232+AJ288*AJ232+AK288*AK232+AL288*AL232+AM288*AM232+AN288*AN232+AO288*AO232+AP288*AP232+AQ288*AQ232+AR288*AR232+AS288*AS232+AT288*AT232+AU288*AU232+AV288*AV232+AW288*AW232+AX288*AX232+AY288*AY232+AZ288*AZ232+BA288*BA232+BB288*BB232+BC288*BC232+BD288*BD232+BE288*BE232+BF288*BF232+BG288*BG232+BH288*BH232+BI288*BI232+BJ288*BJ232+BK288*BK232+BL288*BL232+BM288*BM232+BN288*BN232+BO288*BO232+BP288*BP232+BQ288*BQ232+BR288*BR232+BS288*BS232+BT288*BT232+BU288*BU232+BV288*BV232+BW288*BW232+BX288*BX232+BY288*BY232+BZ288*BZ232+CA288*CA232+CB288*CB232+CC288*CC232+CD288*CD232+CE288*CE232+CF288*CF232+CG288*CG232+CH288*CH232+CI288*CI232+CJ288*CJ232+CK288*CK232+CL288*CL232+CM288*CM232+CN288*CN232+CO288*CO232+CP288*CP232+CQ288*CQ232+CR288*CR232+CS288*CS232+CT288*CT232+CU288*CU232</f>
        <v>0</v>
      </c>
      <c r="CZ232" s="2839">
        <f>E289*E232+F289*F232+G289*G232+H289*H232+I289*I232+J289*J232+K289*K232+L289*L232+M289*M232+N289*N232+O289*O232+P289*P232+Q289*Q232+R289*R232+S289*S232+T289*T232+U289*U232+V289*V232+W289*W232+X289*X232+Y289*Y232+Z289*Z232+AA289*AA232+AB289*AB232+AC289*AC232+AD289*AD232+AE289*AE232+AF289*AF232+AG289*AG232+AH289*AH232+AI289*AI232+AJ289*AJ232+AK289*AK232+AL289*AL232+AM289*AM232+AN289*AN232+AO289*AO232+AP289*AP232+AQ289*AQ232+AR289*AR232+AS289*AS232+AT289*AT232+AU289*AU232+AV289*AV232+AW289*AW232+AX289*AX232+AY289*AY232+AZ289*AZ232+BA289*BA232+BB289*BB232+BC289*BC232+BD289*BD232+BE289*BE232+BF289*BF232+BG289*BG232+BH289*BH232+BI289*BI232+BJ289*BJ232+BK289*BK232+BL289*BL232+BM289*BM232+BN289*BN232+BO289*BO232+BP289*BP232+BQ289*BQ232+BR289*BR232+BS289*BS232+BT289*BT232+BU289*BU232+BV289*BV232+BW289*BW232+BX289*BX232+BY289*BY232+BZ289*BZ232+CA289*CA232+CB289*CB232+CC289*CC232+CD289*CD232+CE289*CE232+CF289*CF232+CG289*CG232+CH289*CH232+CI289*CI232+CJ289*CJ232+CK289*CK232+CL289*CL232+CM289*CM232+CN289*CN232+CO289*CO232+CP289*CP232+CQ289*CQ232+CR289*CR232+CS289*CS232+CT289*CT232+CU289*CU232</f>
        <v>0</v>
      </c>
      <c r="DA232" s="2840">
        <f>E290*E232+F290*F232+G290*G232+H290*H232+I290*I232+J290*J232+K290*K232+L290*L232+M290*M232+N290*N232+O290*O232+P290*P232+Q290*Q232+R290*R232+S290*S232+T290*T232+U290*U232+V290*V232+W290*W232+X290*X232+Y290*Y232+Z290*Z232+AA290*AA232+AB290*AB232+AC290*AC232+AD290*AD232+AE290*AE232+AF290*AF232+AG290*AG232+AH290*AH232+AI290*AI232+AJ290*AJ232+AK290*AK232+AL290*AL232+AM290*AM232+AN290*AN232+AO290*AO232+AP290*AP232+AQ290*AQ232+AR290*AR232+AS290*AS232+AT290*AT232+AU290*AU232+AV290*AV232+AW290*AW232+AX290*AX232+AY290*AY232+AZ290*AZ232+BA290*BA232+BB290*BB232+BC290*BC232+BD290*BD232+BE290*BE232+BF290*BF232+BG290*BG232+BH290*BH232+BI290*BI232+BJ290*BJ232+BK290*BK232+BL290*BL232+BM290*BM232+BN290*BN232+BO290*BO232+BP290*BP232+BQ290*BQ232+BR290*BR232+BS290*BS232+BT290*BT232+BU290*BU232+BV290*BV232+BW290*BW232+BX290*BX232+BY290*BY232+BZ290*BZ232+CA290*CA232+CB290*CB232+CC290*CC232+CD290*CD232+CE290*CE232+CF290*CF232+CG290*CG232+CH290*CH232+CI290*CI232+CJ290*CJ232+CK290*CK232+CL290*CL232+CM290*CM232+CN290*CN232+CO290*CO232+CP290*CP232+CQ290*CQ232+CR290*CR232+CS290*CS232+CT290*CT232+CU290*CU232</f>
        <v>0</v>
      </c>
      <c r="DB232" s="2840">
        <f>E291*E232+F291*F232+G291*G232+H291*H232+I291*I232+J291*J232+K291*K232+L291*L232+M291*M232+N291*N232+O291*O232+P291*P232+Q291*Q232+R291*R232+S291*S232+T291*T232+U291*U232+V291*V232+W291*W232+X291*X232+Y291*Y232+Z291*Z232+AA291*AA232+AB291*AB232+AC291*AC232+AD291*AD232+AE291*AE232+AF291*AF232+AG291*AG232+AH291*AH232+AI291*AI232+AJ291*AJ232+AK291*AK232+AL291*AL232+AM291*AM232+AN291*AN232+AO291*AO232+AP291*AP232+AQ291*AQ232+AR291*AR232+AS291*AS232+AT291*AT232+AU291*AU232+AV291*AV232+AW291*AW232+AX291*AX232+AY291*AY232+AZ291*AZ232+BA291*BA232+BB291*BB232+BC291*BC232+BD291*BD232+BE291*BE232+BF291*BF232+BG291*BG232+BH291*BH232+BI291*BI232+BJ291*BJ232+BK291*BK232+BL291*BL232+BM291*BM232+BN291*BN232+BO291*BO232+BP291*BP232+BQ291*BQ232+BR291*BR232+BS291*BS232+BT291*BT232+BU291*BU232+BV291*BV232+BW291*BW232+BX291*BX232+BY291*BY232+BZ291*BZ232+CA291*CA232+CB291*CB232+CC291*CC232+CD291*CD232+CE291*CE232+CF291*CF232+CG291*CG232+CH291*CH232+CI291*CI232+CJ291*CJ232+CK291*CK232+CL291*CL232+CM291*CM232+CN291*CN232+CO291*CO232+CP291*CP232+CQ291*CQ232+CR291*CR232+CS291*CS232+CT291*CT232+CU291*CU232</f>
        <v>0</v>
      </c>
      <c r="DC232" s="2840">
        <f>E292*E232+F292*F232+G292*G232+H292*H232+I292*I232+J292*J232+K292*K232+L292*L232+M292*M232+N292*N232+O292*O232+P292*P232+Q292*Q232+R292*R232+S292*S232+T292*T232+U292*U232+V292*V232+W292*W232+X292*X232+Y292*Y232+Z292*Z232+AA292*AA232+AB292*AB232+AC292*AC232+AD292*AD232+AE292*AE232+AF292*AF232+AG292*AG232+AH292*AH232+AI292*AI232+AJ292*AJ232+AK292*AK232+AL292*AL232+AM292*AM232+AN292*AN232+AO292*AO232+AP292*AP232+AQ292*AQ232+AR292*AR232+AS292*AS232+AT292*AT232+AU292*AU232+AV292*AV232+AW292*AW232+AX292*AX232+AY292*AY232+AZ292*AZ232+BA292*BA232+BB292*BB232+BC292*BC232+BD292*BD232+BE292*BE232+BF292*BF232+BG292*BG232+BH292*BH232+BI292*BI232+BJ292*BJ232+BK292*BK232+BL292*BL232+BM292*BM232+BN292*BN232+BO292*BO232+BP292*BP232+BQ292*BQ232+BR292*BR232+BS292*BS232+BT292*BT232+BU292*BU232+BV292*BV232+BW292*BW232+BX292*BX232+BY292*BY232+BZ292*BZ232+CA292*CA232+CB292*CB232+CC292*CC232+CD292*CD232+CE292*CE232+CF292*CF232+CG292*CG232+CH292*CH232+CI292*CI232+CJ292*CJ232+CK292*CK232+CL292*CL232+CM292*CM232+CN292*CN232+CO292*CO232+CP292*CP232+CQ292*CQ232+CR292*CR232+CS292*CS232+CT292*CT232+CU292*CU232</f>
        <v>0</v>
      </c>
      <c r="DD232" s="2840">
        <f>E293*E232+F293*F232+G293*G232+H293*H232+I293*I232+J293*J232+K293*K232+L293*L232+M293*M232+N293*N232+O293*O232+P293*P232+Q293*Q232+R293*R232+S293*S232+T293*T232+U293*U232+V293*V232+W293*W232+X293*X232+Y293*Y232+Z293*Z232+AA293*AA232+AB293*AB232+AC293*AC232+AD293*AD232+AE293*AE232+AF293*AF232+AG293*AG232+AH293*AH232+AI293*AI232+AJ293*AJ232+AK293*AK232+AL293*AL232+AM293*AM232+AN293*AN232+AO293*AO232+AP293*AP232+AQ293*AQ232+AR293*AR232+AS293*AS232+AT293*AT232+AU293*AU232+AV293*AV232+AW293*AW232+AX293*AX232+AY293*AY232+AZ293*AZ232+BA293*BA232+BB293*BB232+BC293*BC232+BD293*BD232+BE293*BE232+BF293*BF232+BG293*BG232+BH293*BH232+BI293*BI232+BJ293*BJ232+BK293*BK232+BL293*BL232+BM293*BM232+BN293*BN232+BO293*BO232+BP293*BP232+BQ293*BQ232+BR293*BR232+BS293*BS232+BT293*BT232+BU293*BU232+BV293*BV232+BW293*BW232+BX293*BX232+BY293*BY232+BZ293*BZ232+CA293*CA232+CB293*CB232+CC293*CC232+CD293*CD232+CE293*CE232+CF293*CF232+CG293*CG232+CH293*CH232+CI293*CI232+CJ293*CJ232+CK293*CK232+CL293*CL232+CM293*CM232+CN293*CN232+CO293*CO232+CP293*CP232+CQ293*CQ232+CR293*CR232+CS293*CS232+CT293*CT232+CU293*CU232</f>
        <v>0</v>
      </c>
      <c r="DE232" s="2840">
        <f>E294*E232+F294*F232+G294*G232+H294*H232+I294*I232+J294*J232+K294*K232+L294*L232+M294*M232+N294*N232+O294*O232+P294*P232+Q294*Q232+R294*R232+S294*S232+T294*T232+U294*U232+V294*V232+W294*W232+X294*X232+Y294*Y232+Z294*Z232+AA294*AA232+AB294*AB232+AC294*AC232+AD294*AD232+AE294*AE232+AF294*AF232+AG294*AG232+AH294*AH232+AI294*AI232+AJ294*AJ232+AK294*AK232+AL294*AL232+AM294*AM232+AN294*AN232+AO294*AO232+AP294*AP232+AQ294*AQ232+AR294*AR232+AS294*AS232+AT294*AT232+AU294*AU232+AV294*AV232+AW294*AW232+AX294*AX232+AY294*AY232+AZ294*AZ232+BA294*BA232+BB294*BB232+BC294*BC232+BD294*BD232+BE294*BE232+BF294*BF232+BG294*BG232+BH294*BH232+BI294*BI232+BJ294*BJ232+BK294*BK232+BL294*BL232+BM294*BM232+BN294*BN232+BO294*BO232+BP294*BP232+BQ294*BQ232+BR294*BR232+BS294*BS232+BT294*BT232+BU294*BU232+BV294*BV232+BW294*BW232+BX294*BX232+BY294*BY232+BZ294*BZ232+CA294*CA232+CB294*CB232+CC294*CC232+CD294*CD232+CE294*CE232+CF294*CF232+CG294*CG232+CH294*CH232+CI294*CI232+CJ294*CJ232+CK294*CK232+CL294*CL232+CM294*CM232+CN294*CN232+CO294*CO232+CP294*CP232+CQ294*CQ232+CR294*CR232+CS294*CS232+CT294*CT232+CU294*CU232</f>
        <v>0</v>
      </c>
      <c r="DF232" s="2840">
        <f>E295*E232+F295*F232+G295*G232+H295*H232+I295*I232+J295*J232+K295*K232+L295*L232+M295*M232+N295*N232+O295*O232+P295*P232+Q295*Q232+R295*R232+S295*S232+T295*T232+U295*U232+V295*V232+W295*W232+X295*X232+Y295*Y232+Z295*Z232+AA295*AA232+AB295*AB232+AC295*AC232+AD295*AD232+AE295*AE232+AF295*AF232+AG295*AG232+AH295*AH232+AI295*AI232+AJ295*AJ232+AK295*AK232+AL295*AL232+AM295*AM232+AN295*AN232+AO295*AO232+AP295*AP232+AQ295*AQ232+AR295*AR232+AS295*AS232+AT295*AT232+AU295*AU232+AV295*AV232+AW295*AW232+AX295*AX232+AY295*AY232+AZ295*AZ232+BA295*BA232+BB295*BB232+BC295*BC232+BD295*BD232+BE295*BE232+BF295*BF232+BG295*BG232+BH295*BH232+BI295*BI232+BJ295*BJ232+BK295*BK232+BL295*BL232+BM295*BM232+BN295*BN232+BO295*BO232+BP295*BP232+BQ295*BQ232+BR295*BR232+BS295*BS232+BT295*BT232+BU295*BU232+BV295*BV232+BW295*BW232+BX295*BX232+BY295*BY232+BZ295*BZ232+CA295*CA232+CB295*CB232+CC295*CC232+CD295*CD232+CE295*CE232+CF295*CF232+CG295*CG232+CH295*CH232+CI295*CI232+CJ295*CJ232+CK295*CK232+CL295*CL232+CM295*CM232+CN295*CN232+CO295*CO232+CP295*CP232+CQ295*CQ232+CR295*CR232+CS295*CS232+CT295*CT232+CU295*CU232</f>
        <v>0</v>
      </c>
      <c r="DG232" s="2840">
        <f>E296*E232+F296*F232+G296*G232+H296*H232+I296*I232+J296*J232+K296*K232+L296*L232+M296*M232+N296*N232+O296*O232+P296*P232+Q296*Q232+R296*R232+S296*S232+T296*T232+U296*U232+V296*V232+W296*W232+X296*X232+Y296*Y232+Z296*Z232+AA296*AA232+AB296*AB232+AC296*AC232+AD296*AD232+AE296*AE232+AF296*AF232+AG296*AG232+AH296*AH232+AI296*AI232+AJ296*AJ232+AK296*AK232+AL296*AL232+AM296*AM232+AN296*AN232+AO296*AO232+AP296*AP232+AQ296*AQ232+AR296*AR232+AS296*AS232+AT296*AT232+AU296*AU232+AV296*AV232+AW296*AW232+AX296*AX232+AY296*AY232+AZ296*AZ232+BA296*BA232+BB296*BB232+BC296*BC232+BD296*BD232+BE296*BE232+BF296*BF232+BG296*BG232+BH296*BH232+BI296*BI232+BJ296*BJ232+BK296*BK232+BL296*BL232+BM296*BM232+BN296*BN232+BO296*BO232+BP296*BP232+BQ296*BQ232+BR296*BR232+BS296*BS232+BT296*BT232+BU296*BU232+BV296*BV232+BW296*BW232+BX296*BX232+BY296*BY232+BZ296*BZ232+CA296*CA232+CB296*CB232+CC296*CC232+CD296*CD232+CE296*CE232+CF296*CF232+CG296*CG232+CH296*CH232+CI296*CI232+CJ296*CJ232+CK296*CK232+CL296*CL232+CM296*CM232+CN296*CN232+CO296*CO232+CP296*CP232+CQ296*CQ232+CR296*CR232+CS296*CS232+CT296*CT232+CU296*CU232</f>
        <v>0</v>
      </c>
      <c r="DH232" s="2840">
        <f>E297*E232+F297*F232+G297*G232+H297*H232+I297*I232+J297*J232+K297*K232+L297*L232+M297*M232+N297*N232+O297*O232+P297*P232+Q297*Q232+R297*R232+S297*S232+T297*T232+U297*U232+V297*V232+W297*W232+X297*X232+Y297*Y232+Z297*Z232+AA297*AA232+AB297*AB232+AC297*AC232+AD297*AD232+AE297*AE232+AF297*AF232+AG297*AG232+AH297*AH232+AI297*AI232+AJ297*AJ232+AK297*AK232+AL297*AL232+AM297*AM232+AN297*AN232+AO297*AO232+AP297*AP232+AQ297*AQ232+AR297*AR232+AS297*AS232+AT297*AT232+AU297*AU232+AV297*AV232+AW297*AW232+AX297*AX232+AY297*AY232+AZ297*AZ232+BA297*BA232+BB297*BB232+BC297*BC232+BD297*BD232+BE297*BE232+BF297*BF232+BG297*BG232+BH297*BH232+BI297*BI232+BJ297*BJ232+BK297*BK232+BL297*BL232+BM297*BM232+BN297*BN232+BO297*BO232+BP297*BP232+BQ297*BQ232+BR297*BR232+BS297*BS232+BT297*BT232+BU297*BU232+BV297*BV232+BW297*BW232+BX297*BX232+BY297*BY232+BZ297*BZ232+CA297*CA232+CB297*CB232+CC297*CC232+CD297*CD232+CE297*CE232+CF297*CF232+CG297*CG232+CH297*CH232+CI297*CI232+CJ297*CJ232+CK297*CK232+CL297*CL232+CM297*CM232+CN297*CN232+CO297*CO232+CP297*CP232+CQ297*CQ232+CR297*CR232+CS297*CS232+CT297*CT232+CU297*CU232</f>
        <v>0</v>
      </c>
      <c r="DI232" s="2840">
        <f>E298*E232+F298*F232+G298*G232+H298*H232+I298*I232+J298*J232+K298*K232+L298*L232+M298*M232+N298*N232+O298*O232+P298*P232+Q298*Q232+R298*R232+S298*S232+T298*T232+U298*U232+V298*V232+W298*W232+X298*X232+Y298*Y232+Z298*Z232+AA298*AA232+AB298*AB232+AC298*AC232+AD298*AD232+AE298*AE232+AF298*AF232+AG298*AG232+AH298*AH232+AI298*AI232+AJ298*AJ232+AK298*AK232+AL298*AL232+AM298*AM232+AN298*AN232+AO298*AO232+AP298*AP232+AQ298*AQ232+AR298*AR232+AS298*AS232+AT298*AT232+AU298*AU232+AV298*AV232+AW298*AW232+AX298*AX232+AY298*AY232+AZ298*AZ232+BA298*BA232+BB298*BB232+BC298*BC232+BD298*BD232+BE298*BE232+BF298*BF232+BG298*BG232+BH298*BH232+BI298*BI232+BJ298*BJ232+BK298*BK232+BL298*BL232+BM298*BM232+BN298*BN232+BO298*BO232+BP298*BP232+BQ298*BQ232+BR298*BR232+BS298*BS232+BT298*BT232+BU298*BU232+BV298*BV232+BW298*BW232+BX298*BX232+BY298*BY232+BZ298*BZ232+CA298*CA232+CB298*CB232+CC298*CC232+CD298*CD232+CE298*CE232+CF298*CF232+CG298*CG232+CH298*CH232+CI298*CI232+CJ298*CJ232+CK298*CK232+CL298*CL232+CM298*CM232+CN298*CN232+CO298*CO232+CP298*CP232+CQ298*CQ232+CR298*CR232+CS298*CS232+CT298*CT232+CU298*CU232</f>
        <v>0</v>
      </c>
    </row>
    <row r="233" spans="2:113" ht="18" x14ac:dyDescent="0.25">
      <c r="B233" s="2510">
        <v>80</v>
      </c>
      <c r="C233" s="2444" t="s">
        <v>2987</v>
      </c>
      <c r="D233" s="2445" t="s">
        <v>5938</v>
      </c>
      <c r="E233" s="3125">
        <f>0</f>
        <v>0</v>
      </c>
      <c r="F233" s="3125">
        <f>0</f>
        <v>0</v>
      </c>
      <c r="G233" s="3125">
        <f>0</f>
        <v>0</v>
      </c>
      <c r="H233" s="3125">
        <f>0</f>
        <v>0</v>
      </c>
      <c r="I233" s="3125">
        <f>1</f>
        <v>1</v>
      </c>
      <c r="J233" s="3126">
        <f>0</f>
        <v>0</v>
      </c>
      <c r="K233" s="3125">
        <f>0</f>
        <v>0</v>
      </c>
      <c r="L233" s="3125">
        <f>0</f>
        <v>0</v>
      </c>
      <c r="M233" s="3125">
        <f>-1</f>
        <v>-1</v>
      </c>
      <c r="N233" s="3125">
        <f>0</f>
        <v>0</v>
      </c>
      <c r="O233" s="3125">
        <f>0</f>
        <v>0</v>
      </c>
      <c r="P233" s="3125">
        <f>0</f>
        <v>0</v>
      </c>
      <c r="Q233" s="3125">
        <f>0</f>
        <v>0</v>
      </c>
      <c r="R233" s="3125">
        <f>0</f>
        <v>0</v>
      </c>
      <c r="S233" s="3125">
        <f>0</f>
        <v>0</v>
      </c>
      <c r="T233" s="3125">
        <f>0</f>
        <v>0</v>
      </c>
      <c r="U233" s="3125">
        <f>0</f>
        <v>0</v>
      </c>
      <c r="V233" s="3125">
        <f>0</f>
        <v>0</v>
      </c>
      <c r="W233" s="3125">
        <f>0</f>
        <v>0</v>
      </c>
      <c r="X233" s="3125">
        <f>0</f>
        <v>0</v>
      </c>
      <c r="Y233" s="3125">
        <f>0</f>
        <v>0</v>
      </c>
      <c r="Z233" s="3125">
        <f>0</f>
        <v>0</v>
      </c>
      <c r="AA233" s="3125">
        <f>0</f>
        <v>0</v>
      </c>
      <c r="AB233" s="3125">
        <f>0</f>
        <v>0</v>
      </c>
      <c r="AC233" s="3125">
        <f>0</f>
        <v>0</v>
      </c>
      <c r="AD233" s="3125">
        <f>0</f>
        <v>0</v>
      </c>
      <c r="AE233" s="3125">
        <f>0</f>
        <v>0</v>
      </c>
      <c r="AF233" s="3125">
        <f>0</f>
        <v>0</v>
      </c>
      <c r="AG233" s="3125">
        <f>0</f>
        <v>0</v>
      </c>
      <c r="AH233" s="3125">
        <f>0</f>
        <v>0</v>
      </c>
      <c r="AI233" s="3127">
        <f>X_N_U/X_U</f>
        <v>0.01</v>
      </c>
      <c r="AJ233" s="3165">
        <f>0</f>
        <v>0</v>
      </c>
      <c r="AK233" s="3127">
        <f>-X_N_U/X_U</f>
        <v>-0.01</v>
      </c>
      <c r="AL233" s="3125">
        <f>0</f>
        <v>0</v>
      </c>
      <c r="AM233" s="3125">
        <f>0</f>
        <v>0</v>
      </c>
      <c r="AN233" s="3125">
        <f>0</f>
        <v>0</v>
      </c>
      <c r="AO233" s="3127">
        <f>X_P_U/X_U</f>
        <v>2E-3</v>
      </c>
      <c r="AP233" s="3165">
        <f>0</f>
        <v>0</v>
      </c>
      <c r="AQ233" s="3127">
        <f>-X_P_U/X_U</f>
        <v>-2E-3</v>
      </c>
      <c r="AR233" s="3125">
        <f>0</f>
        <v>0</v>
      </c>
      <c r="AS233" s="3125">
        <f>0</f>
        <v>0</v>
      </c>
      <c r="AT233" s="3125">
        <f>0</f>
        <v>0</v>
      </c>
      <c r="AU233" s="3125">
        <f>0</f>
        <v>0</v>
      </c>
      <c r="AV233" s="3125">
        <f>0</f>
        <v>0</v>
      </c>
      <c r="AW233" s="3125">
        <f>0</f>
        <v>0</v>
      </c>
      <c r="AX233" s="3125">
        <f>0</f>
        <v>0</v>
      </c>
      <c r="AY233" s="3125">
        <f>0</f>
        <v>0</v>
      </c>
      <c r="AZ233" s="3125">
        <f>0</f>
        <v>0</v>
      </c>
      <c r="BA233" s="3125">
        <f>0</f>
        <v>0</v>
      </c>
      <c r="BB233" s="3125">
        <f>0</f>
        <v>0</v>
      </c>
      <c r="BC233" s="3125">
        <f>i_S_XU-i_S_XB</f>
        <v>0</v>
      </c>
      <c r="BD233" s="3125">
        <f>0</f>
        <v>0</v>
      </c>
      <c r="BE233" s="3125">
        <f>0</f>
        <v>0</v>
      </c>
      <c r="BF233" s="3125">
        <f>0</f>
        <v>0</v>
      </c>
      <c r="BG233" s="3125">
        <f>0</f>
        <v>0</v>
      </c>
      <c r="BH233" s="3125">
        <f>0</f>
        <v>0</v>
      </c>
      <c r="BI233" s="3125">
        <f>0</f>
        <v>0</v>
      </c>
      <c r="BJ233" s="3125">
        <f>0</f>
        <v>0</v>
      </c>
      <c r="BK233" s="3125">
        <f>0</f>
        <v>0</v>
      </c>
      <c r="BL233" s="3125">
        <f>0</f>
        <v>0</v>
      </c>
      <c r="BM233" s="3125">
        <f>0</f>
        <v>0</v>
      </c>
      <c r="BN233" s="3125">
        <f>0</f>
        <v>0</v>
      </c>
      <c r="BO233" s="3125">
        <f>0</f>
        <v>0</v>
      </c>
      <c r="BP233" s="3125">
        <f>0</f>
        <v>0</v>
      </c>
      <c r="BQ233" s="3125">
        <f>0</f>
        <v>0</v>
      </c>
      <c r="BR233" s="3125">
        <f>0</f>
        <v>0</v>
      </c>
      <c r="BS233" s="3125">
        <f>0</f>
        <v>0</v>
      </c>
      <c r="BT233" s="3125">
        <f>0</f>
        <v>0</v>
      </c>
      <c r="BU233" s="3125">
        <f>0</f>
        <v>0</v>
      </c>
      <c r="BV233" s="3125">
        <f>0</f>
        <v>0</v>
      </c>
      <c r="BW233" s="3125">
        <f>0</f>
        <v>0</v>
      </c>
      <c r="BX233" s="3125">
        <f>0</f>
        <v>0</v>
      </c>
      <c r="BY233" s="3125">
        <f>0</f>
        <v>0</v>
      </c>
      <c r="BZ233" s="3126">
        <f>0</f>
        <v>0</v>
      </c>
      <c r="CA233" s="3126">
        <f>0</f>
        <v>0</v>
      </c>
      <c r="CB233" s="3126">
        <f>0</f>
        <v>0</v>
      </c>
      <c r="CC233" s="3126">
        <f>0</f>
        <v>0</v>
      </c>
      <c r="CD233" s="3125">
        <f>0</f>
        <v>0</v>
      </c>
      <c r="CE233" s="3125">
        <f>0</f>
        <v>0</v>
      </c>
      <c r="CF233" s="3125">
        <f>0</f>
        <v>0</v>
      </c>
      <c r="CG233" s="3125">
        <f>0</f>
        <v>0</v>
      </c>
      <c r="CH233" s="3125">
        <f>0</f>
        <v>0</v>
      </c>
      <c r="CI233" s="3125">
        <f>0</f>
        <v>0</v>
      </c>
      <c r="CJ233" s="3125">
        <f>0</f>
        <v>0</v>
      </c>
      <c r="CK233" s="3125">
        <f>0</f>
        <v>0</v>
      </c>
      <c r="CL233" s="3125">
        <f>0</f>
        <v>0</v>
      </c>
      <c r="CM233" s="3125">
        <f>0</f>
        <v>0</v>
      </c>
      <c r="CN233" s="3125">
        <f>0</f>
        <v>0</v>
      </c>
      <c r="CO233" s="3125">
        <f>0</f>
        <v>0</v>
      </c>
      <c r="CP233" s="3125">
        <f>0</f>
        <v>0</v>
      </c>
      <c r="CQ233" s="3125">
        <f>0</f>
        <v>0</v>
      </c>
      <c r="CR233" s="3125">
        <f>0</f>
        <v>0</v>
      </c>
      <c r="CS233" s="3125">
        <f>0</f>
        <v>0</v>
      </c>
      <c r="CT233" s="3125">
        <f>0</f>
        <v>0</v>
      </c>
      <c r="CU233" s="3125">
        <f>0</f>
        <v>0</v>
      </c>
      <c r="CV233" s="3233">
        <f>q_XU_T*X_U*M_satXU_KXU</f>
        <v>9.9009900990099011E-4</v>
      </c>
      <c r="CX233" s="2838">
        <f>E287*E233+F287*F233+G287*G233+H287*H233+I287*I233+J287*J233+K287*K233+L287*L233+M287*M233+N287*N233+O287*O233+P287*P233+Q287*Q233+R287*R233+S287*S233+T287*T233+U287*U233+V287*V233+W287*W233+X287*X233+Y287*Y233+Z287*Z233+AA287*AA233+AB287*AB233+AC287*AC233+AD287*AD233+AE287*AE233+AF287*AF233+AG287*AG233+AH287*AH233+AI287*AI233+AJ287*AJ233+AK287*AK233+AL287*AL233+AM287*AM233+AN287*AN233+AO287*AO233+AP287*AP233+AQ287*AQ233+AR287*AR233+AS287*AS233+AT287*AT233+AU287*AU233+AV287*AV233+AW287*AW233+AX287*AX233+AY287*AY233+AZ287*AZ233+BA287*BA233+BB287*BB233+BC287*BC233+BD287*BD233+BE287*BE233+BF287*BF233+BG287*BG233+BH287*BH233+BI287*BI233+BJ287*BJ233+BK287*BK233+BL287*BL233+BM287*BM233+BN287*BN233+BO287*BO233+BP287*BP233+BQ287*BQ233+BR287*BR233+BS287*BS233+BT287*BT233+BU287*BU233+BV287*BV233+BW287*BW233+BX287*BX233+BY287*BY233+BZ287*BZ233+CA287*CA233+CB287*CB233+CC287*CC233+CD287*CD233+CE287*CE233+CF287*CF233+CG287*CG233+CH287*CH233+CI287*CI233+CJ287*CJ233+CK287*CK233+CL287*CL233+CM287*CM233+CN287*CN233+CO287*CO233+CP287*CP233+CQ287*CQ233+CR287*CR233+CS287*CS233+CT287*CT233+CU287*CU233</f>
        <v>0</v>
      </c>
      <c r="CY233" s="2838">
        <f>E288*E233+F288*F233+G288*G233+H288*H233+I288*I233+J288*J233+K288*K233+L288*L233+M288*M233+N288*N233+O288*O233+P288*P233+Q288*Q233+R288*R233+S288*S233+T288*T233+U288*U233+V288*V233+W288*W233+X288*X233+Y288*Y233+Z288*Z233+AA288*AA233+AB288*AB233+AC288*AC233+AD288*AD233+AE288*AE233+AF288*AF233+AG288*AG233+AH288*AH233+AI288*AI233+AJ288*AJ233+AK288*AK233+AL288*AL233+AM288*AM233+AN288*AN233+AO288*AO233+AP288*AP233+AQ288*AQ233+AR288*AR233+AS288*AS233+AT288*AT233+AU288*AU233+AV288*AV233+AW288*AW233+AX288*AX233+AY288*AY233+AZ288*AZ233+BA288*BA233+BB288*BB233+BC288*BC233+BD288*BD233+BE288*BE233+BF288*BF233+BG288*BG233+BH288*BH233+BI288*BI233+BJ288*BJ233+BK288*BK233+BL288*BL233+BM288*BM233+BN288*BN233+BO288*BO233+BP288*BP233+BQ288*BQ233+BR288*BR233+BS288*BS233+BT288*BT233+BU288*BU233+BV288*BV233+BW288*BW233+BX288*BX233+BY288*BY233+BZ288*BZ233+CA288*CA233+CB288*CB233+CC288*CC233+CD288*CD233+CE288*CE233+CF288*CF233+CG288*CG233+CH288*CH233+CI288*CI233+CJ288*CJ233+CK288*CK233+CL288*CL233+CM288*CM233+CN288*CN233+CO288*CO233+CP288*CP233+CQ288*CQ233+CR288*CR233+CS288*CS233+CT288*CT233+CU288*CU233</f>
        <v>0</v>
      </c>
      <c r="CZ233" s="2839">
        <f>E289*E233+F289*F233+G289*G233+H289*H233+I289*I233+J289*J233+K289*K233+L289*L233+M289*M233+N289*N233+O289*O233+P289*P233+Q289*Q233+R289*R233+S289*S233+T289*T233+U289*U233+V289*V233+W289*W233+X289*X233+Y289*Y233+Z289*Z233+AA289*AA233+AB289*AB233+AC289*AC233+AD289*AD233+AE289*AE233+AF289*AF233+AG289*AG233+AH289*AH233+AI289*AI233+AJ289*AJ233+AK289*AK233+AL289*AL233+AM289*AM233+AN289*AN233+AO289*AO233+AP289*AP233+AQ289*AQ233+AR289*AR233+AS289*AS233+AT289*AT233+AU289*AU233+AV289*AV233+AW289*AW233+AX289*AX233+AY289*AY233+AZ289*AZ233+BA289*BA233+BB289*BB233+BC289*BC233+BD289*BD233+BE289*BE233+BF289*BF233+BG289*BG233+BH289*BH233+BI289*BI233+BJ289*BJ233+BK289*BK233+BL289*BL233+BM289*BM233+BN289*BN233+BO289*BO233+BP289*BP233+BQ289*BQ233+BR289*BR233+BS289*BS233+BT289*BT233+BU289*BU233+BV289*BV233+BW289*BW233+BX289*BX233+BY289*BY233+BZ289*BZ233+CA289*CA233+CB289*CB233+CC289*CC233+CD289*CD233+CE289*CE233+CF289*CF233+CG289*CG233+CH289*CH233+CI289*CI233+CJ289*CJ233+CK289*CK233+CL289*CL233+CM289*CM233+CN289*CN233+CO289*CO233+CP289*CP233+CQ289*CQ233+CR289*CR233+CS289*CS233+CT289*CT233+CU289*CU233</f>
        <v>0</v>
      </c>
      <c r="DA233" s="2840">
        <f>E290*E233+F290*F233+G290*G233+H290*H233+I290*I233+J290*J233+K290*K233+L290*L233+M290*M233+N290*N233+O290*O233+P290*P233+Q290*Q233+R290*R233+S290*S233+T290*T233+U290*U233+V290*V233+W290*W233+X290*X233+Y290*Y233+Z290*Z233+AA290*AA233+AB290*AB233+AC290*AC233+AD290*AD233+AE290*AE233+AF290*AF233+AG290*AG233+AH290*AH233+AI290*AI233+AJ290*AJ233+AK290*AK233+AL290*AL233+AM290*AM233+AN290*AN233+AO290*AO233+AP290*AP233+AQ290*AQ233+AR290*AR233+AS290*AS233+AT290*AT233+AU290*AU233+AV290*AV233+AW290*AW233+AX290*AX233+AY290*AY233+AZ290*AZ233+BA290*BA233+BB290*BB233+BC290*BC233+BD290*BD233+BE290*BE233+BF290*BF233+BG290*BG233+BH290*BH233+BI290*BI233+BJ290*BJ233+BK290*BK233+BL290*BL233+BM290*BM233+BN290*BN233+BO290*BO233+BP290*BP233+BQ290*BQ233+BR290*BR233+BS290*BS233+BT290*BT233+BU290*BU233+BV290*BV233+BW290*BW233+BX290*BX233+BY290*BY233+BZ290*BZ233+CA290*CA233+CB290*CB233+CC290*CC233+CD290*CD233+CE290*CE233+CF290*CF233+CG290*CG233+CH290*CH233+CI290*CI233+CJ290*CJ233+CK290*CK233+CL290*CL233+CM290*CM233+CN290*CN233+CO290*CO233+CP290*CP233+CQ290*CQ233+CR290*CR233+CS290*CS233+CT290*CT233+CU290*CU233</f>
        <v>0</v>
      </c>
      <c r="DB233" s="2840">
        <f>E291*E233+F291*F233+G291*G233+H291*H233+I291*I233+J291*J233+K291*K233+L291*L233+M291*M233+N291*N233+O291*O233+P291*P233+Q291*Q233+R291*R233+S291*S233+T291*T233+U291*U233+V291*V233+W291*W233+X291*X233+Y291*Y233+Z291*Z233+AA291*AA233+AB291*AB233+AC291*AC233+AD291*AD233+AE291*AE233+AF291*AF233+AG291*AG233+AH291*AH233+AI291*AI233+AJ291*AJ233+AK291*AK233+AL291*AL233+AM291*AM233+AN291*AN233+AO291*AO233+AP291*AP233+AQ291*AQ233+AR291*AR233+AS291*AS233+AT291*AT233+AU291*AU233+AV291*AV233+AW291*AW233+AX291*AX233+AY291*AY233+AZ291*AZ233+BA291*BA233+BB291*BB233+BC291*BC233+BD291*BD233+BE291*BE233+BF291*BF233+BG291*BG233+BH291*BH233+BI291*BI233+BJ291*BJ233+BK291*BK233+BL291*BL233+BM291*BM233+BN291*BN233+BO291*BO233+BP291*BP233+BQ291*BQ233+BR291*BR233+BS291*BS233+BT291*BT233+BU291*BU233+BV291*BV233+BW291*BW233+BX291*BX233+BY291*BY233+BZ291*BZ233+CA291*CA233+CB291*CB233+CC291*CC233+CD291*CD233+CE291*CE233+CF291*CF233+CG291*CG233+CH291*CH233+CI291*CI233+CJ291*CJ233+CK291*CK233+CL291*CL233+CM291*CM233+CN291*CN233+CO291*CO233+CP291*CP233+CQ291*CQ233+CR291*CR233+CS291*CS233+CT291*CT233+CU291*CU233</f>
        <v>0</v>
      </c>
      <c r="DC233" s="2840">
        <f>E292*E233+F292*F233+G292*G233+H292*H233+I292*I233+J292*J233+K292*K233+L292*L233+M292*M233+N292*N233+O292*O233+P292*P233+Q292*Q233+R292*R233+S292*S233+T292*T233+U292*U233+V292*V233+W292*W233+X292*X233+Y292*Y233+Z292*Z233+AA292*AA233+AB292*AB233+AC292*AC233+AD292*AD233+AE292*AE233+AF292*AF233+AG292*AG233+AH292*AH233+AI292*AI233+AJ292*AJ233+AK292*AK233+AL292*AL233+AM292*AM233+AN292*AN233+AO292*AO233+AP292*AP233+AQ292*AQ233+AR292*AR233+AS292*AS233+AT292*AT233+AU292*AU233+AV292*AV233+AW292*AW233+AX292*AX233+AY292*AY233+AZ292*AZ233+BA292*BA233+BB292*BB233+BC292*BC233+BD292*BD233+BE292*BE233+BF292*BF233+BG292*BG233+BH292*BH233+BI292*BI233+BJ292*BJ233+BK292*BK233+BL292*BL233+BM292*BM233+BN292*BN233+BO292*BO233+BP292*BP233+BQ292*BQ233+BR292*BR233+BS292*BS233+BT292*BT233+BU292*BU233+BV292*BV233+BW292*BW233+BX292*BX233+BY292*BY233+BZ292*BZ233+CA292*CA233+CB292*CB233+CC292*CC233+CD292*CD233+CE292*CE233+CF292*CF233+CG292*CG233+CH292*CH233+CI292*CI233+CJ292*CJ233+CK292*CK233+CL292*CL233+CM292*CM233+CN292*CN233+CO292*CO233+CP292*CP233+CQ292*CQ233+CR292*CR233+CS292*CS233+CT292*CT233+CU292*CU233</f>
        <v>0</v>
      </c>
      <c r="DD233" s="2840">
        <f>E293*E233+F293*F233+G293*G233+H293*H233+I293*I233+J293*J233+K293*K233+L293*L233+M293*M233+N293*N233+O293*O233+P293*P233+Q293*Q233+R293*R233+S293*S233+T293*T233+U293*U233+V293*V233+W293*W233+X293*X233+Y293*Y233+Z293*Z233+AA293*AA233+AB293*AB233+AC293*AC233+AD293*AD233+AE293*AE233+AF293*AF233+AG293*AG233+AH293*AH233+AI293*AI233+AJ293*AJ233+AK293*AK233+AL293*AL233+AM293*AM233+AN293*AN233+AO293*AO233+AP293*AP233+AQ293*AQ233+AR293*AR233+AS293*AS233+AT293*AT233+AU293*AU233+AV293*AV233+AW293*AW233+AX293*AX233+AY293*AY233+AZ293*AZ233+BA293*BA233+BB293*BB233+BC293*BC233+BD293*BD233+BE293*BE233+BF293*BF233+BG293*BG233+BH293*BH233+BI293*BI233+BJ293*BJ233+BK293*BK233+BL293*BL233+BM293*BM233+BN293*BN233+BO293*BO233+BP293*BP233+BQ293*BQ233+BR293*BR233+BS293*BS233+BT293*BT233+BU293*BU233+BV293*BV233+BW293*BW233+BX293*BX233+BY293*BY233+BZ293*BZ233+CA293*CA233+CB293*CB233+CC293*CC233+CD293*CD233+CE293*CE233+CF293*CF233+CG293*CG233+CH293*CH233+CI293*CI233+CJ293*CJ233+CK293*CK233+CL293*CL233+CM293*CM233+CN293*CN233+CO293*CO233+CP293*CP233+CQ293*CQ233+CR293*CR233+CS293*CS233+CT293*CT233+CU293*CU233</f>
        <v>0</v>
      </c>
      <c r="DE233" s="2840">
        <f>E294*E233+F294*F233+G294*G233+H294*H233+I294*I233+J294*J233+K294*K233+L294*L233+M294*M233+N294*N233+O294*O233+P294*P233+Q294*Q233+R294*R233+S294*S233+T294*T233+U294*U233+V294*V233+W294*W233+X294*X233+Y294*Y233+Z294*Z233+AA294*AA233+AB294*AB233+AC294*AC233+AD294*AD233+AE294*AE233+AF294*AF233+AG294*AG233+AH294*AH233+AI294*AI233+AJ294*AJ233+AK294*AK233+AL294*AL233+AM294*AM233+AN294*AN233+AO294*AO233+AP294*AP233+AQ294*AQ233+AR294*AR233+AS294*AS233+AT294*AT233+AU294*AU233+AV294*AV233+AW294*AW233+AX294*AX233+AY294*AY233+AZ294*AZ233+BA294*BA233+BB294*BB233+BC294*BC233+BD294*BD233+BE294*BE233+BF294*BF233+BG294*BG233+BH294*BH233+BI294*BI233+BJ294*BJ233+BK294*BK233+BL294*BL233+BM294*BM233+BN294*BN233+BO294*BO233+BP294*BP233+BQ294*BQ233+BR294*BR233+BS294*BS233+BT294*BT233+BU294*BU233+BV294*BV233+BW294*BW233+BX294*BX233+BY294*BY233+BZ294*BZ233+CA294*CA233+CB294*CB233+CC294*CC233+CD294*CD233+CE294*CE233+CF294*CF233+CG294*CG233+CH294*CH233+CI294*CI233+CJ294*CJ233+CK294*CK233+CL294*CL233+CM294*CM233+CN294*CN233+CO294*CO233+CP294*CP233+CQ294*CQ233+CR294*CR233+CS294*CS233+CT294*CT233+CU294*CU233</f>
        <v>0</v>
      </c>
      <c r="DF233" s="2840">
        <f>E295*E233+F295*F233+G295*G233+H295*H233+I295*I233+J295*J233+K295*K233+L295*L233+M295*M233+N295*N233+O295*O233+P295*P233+Q295*Q233+R295*R233+S295*S233+T295*T233+U295*U233+V295*V233+W295*W233+X295*X233+Y295*Y233+Z295*Z233+AA295*AA233+AB295*AB233+AC295*AC233+AD295*AD233+AE295*AE233+AF295*AF233+AG295*AG233+AH295*AH233+AI295*AI233+AJ295*AJ233+AK295*AK233+AL295*AL233+AM295*AM233+AN295*AN233+AO295*AO233+AP295*AP233+AQ295*AQ233+AR295*AR233+AS295*AS233+AT295*AT233+AU295*AU233+AV295*AV233+AW295*AW233+AX295*AX233+AY295*AY233+AZ295*AZ233+BA295*BA233+BB295*BB233+BC295*BC233+BD295*BD233+BE295*BE233+BF295*BF233+BG295*BG233+BH295*BH233+BI295*BI233+BJ295*BJ233+BK295*BK233+BL295*BL233+BM295*BM233+BN295*BN233+BO295*BO233+BP295*BP233+BQ295*BQ233+BR295*BR233+BS295*BS233+BT295*BT233+BU295*BU233+BV295*BV233+BW295*BW233+BX295*BX233+BY295*BY233+BZ295*BZ233+CA295*CA233+CB295*CB233+CC295*CC233+CD295*CD233+CE295*CE233+CF295*CF233+CG295*CG233+CH295*CH233+CI295*CI233+CJ295*CJ233+CK295*CK233+CL295*CL233+CM295*CM233+CN295*CN233+CO295*CO233+CP295*CP233+CQ295*CQ233+CR295*CR233+CS295*CS233+CT295*CT233+CU295*CU233</f>
        <v>0</v>
      </c>
      <c r="DG233" s="2840">
        <f>E296*E233+F296*F233+G296*G233+H296*H233+I296*I233+J296*J233+K296*K233+L296*L233+M296*M233+N296*N233+O296*O233+P296*P233+Q296*Q233+R296*R233+S296*S233+T296*T233+U296*U233+V296*V233+W296*W233+X296*X233+Y296*Y233+Z296*Z233+AA296*AA233+AB296*AB233+AC296*AC233+AD296*AD233+AE296*AE233+AF296*AF233+AG296*AG233+AH296*AH233+AI296*AI233+AJ296*AJ233+AK296*AK233+AL296*AL233+AM296*AM233+AN296*AN233+AO296*AO233+AP296*AP233+AQ296*AQ233+AR296*AR233+AS296*AS233+AT296*AT233+AU296*AU233+AV296*AV233+AW296*AW233+AX296*AX233+AY296*AY233+AZ296*AZ233+BA296*BA233+BB296*BB233+BC296*BC233+BD296*BD233+BE296*BE233+BF296*BF233+BG296*BG233+BH296*BH233+BI296*BI233+BJ296*BJ233+BK296*BK233+BL296*BL233+BM296*BM233+BN296*BN233+BO296*BO233+BP296*BP233+BQ296*BQ233+BR296*BR233+BS296*BS233+BT296*BT233+BU296*BU233+BV296*BV233+BW296*BW233+BX296*BX233+BY296*BY233+BZ296*BZ233+CA296*CA233+CB296*CB233+CC296*CC233+CD296*CD233+CE296*CE233+CF296*CF233+CG296*CG233+CH296*CH233+CI296*CI233+CJ296*CJ233+CK296*CK233+CL296*CL233+CM296*CM233+CN296*CN233+CO296*CO233+CP296*CP233+CQ296*CQ233+CR296*CR233+CS296*CS233+CT296*CT233+CU296*CU233</f>
        <v>0</v>
      </c>
      <c r="DH233" s="2840">
        <f>E297*E233+F297*F233+G297*G233+H297*H233+I297*I233+J297*J233+K297*K233+L297*L233+M297*M233+N297*N233+O297*O233+P297*P233+Q297*Q233+R297*R233+S297*S233+T297*T233+U297*U233+V297*V233+W297*W233+X297*X233+Y297*Y233+Z297*Z233+AA297*AA233+AB297*AB233+AC297*AC233+AD297*AD233+AE297*AE233+AF297*AF233+AG297*AG233+AH297*AH233+AI297*AI233+AJ297*AJ233+AK297*AK233+AL297*AL233+AM297*AM233+AN297*AN233+AO297*AO233+AP297*AP233+AQ297*AQ233+AR297*AR233+AS297*AS233+AT297*AT233+AU297*AU233+AV297*AV233+AW297*AW233+AX297*AX233+AY297*AY233+AZ297*AZ233+BA297*BA233+BB297*BB233+BC297*BC233+BD297*BD233+BE297*BE233+BF297*BF233+BG297*BG233+BH297*BH233+BI297*BI233+BJ297*BJ233+BK297*BK233+BL297*BL233+BM297*BM233+BN297*BN233+BO297*BO233+BP297*BP233+BQ297*BQ233+BR297*BR233+BS297*BS233+BT297*BT233+BU297*BU233+BV297*BV233+BW297*BW233+BX297*BX233+BY297*BY233+BZ297*BZ233+CA297*CA233+CB297*CB233+CC297*CC233+CD297*CD233+CE297*CE233+CF297*CF233+CG297*CG233+CH297*CH233+CI297*CI233+CJ297*CJ233+CK297*CK233+CL297*CL233+CM297*CM233+CN297*CN233+CO297*CO233+CP297*CP233+CQ297*CQ233+CR297*CR233+CS297*CS233+CT297*CT233+CU297*CU233</f>
        <v>0</v>
      </c>
      <c r="DI233" s="2840">
        <f>E298*E233+F298*F233+G298*G233+H298*H233+I298*I233+J298*J233+K298*K233+L298*L233+M298*M233+N298*N233+O298*O233+P298*P233+Q298*Q233+R298*R233+S298*S233+T298*T233+U298*U233+V298*V233+W298*W233+X298*X233+Y298*Y233+Z298*Z233+AA298*AA233+AB298*AB233+AC298*AC233+AD298*AD233+AE298*AE233+AF298*AF233+AG298*AG233+AH298*AH233+AI298*AI233+AJ298*AJ233+AK298*AK233+AL298*AL233+AM298*AM233+AN298*AN233+AO298*AO233+AP298*AP233+AQ298*AQ233+AR298*AR233+AS298*AS233+AT298*AT233+AU298*AU233+AV298*AV233+AW298*AW233+AX298*AX233+AY298*AY233+AZ298*AZ233+BA298*BA233+BB298*BB233+BC298*BC233+BD298*BD233+BE298*BE233+BF298*BF233+BG298*BG233+BH298*BH233+BI298*BI233+BJ298*BJ233+BK298*BK233+BL298*BL233+BM298*BM233+BN298*BN233+BO298*BO233+BP298*BP233+BQ298*BQ233+BR298*BR233+BS298*BS233+BT298*BT233+BU298*BU233+BV298*BV233+BW298*BW233+BX298*BX233+BY298*BY233+BZ298*BZ233+CA298*CA233+CB298*CB233+CC298*CC233+CD298*CD233+CE298*CE233+CF298*CF233+CG298*CG233+CH298*CH233+CI298*CI233+CJ298*CJ233+CK298*CK233+CL298*CL233+CM298*CM233+CN298*CN233+CO298*CO233+CP298*CP233+CQ298*CQ233+CR298*CR233+CS298*CS233+CT298*CT233+CU298*CU233</f>
        <v>0</v>
      </c>
    </row>
    <row r="234" spans="2:113" ht="18" x14ac:dyDescent="0.25">
      <c r="B234" s="2510">
        <v>81</v>
      </c>
      <c r="C234" s="2444" t="s">
        <v>2988</v>
      </c>
      <c r="D234" s="2445" t="s">
        <v>292</v>
      </c>
      <c r="E234" s="3127">
        <f>2/3</f>
        <v>0.66666666666666663</v>
      </c>
      <c r="F234" s="3125">
        <f>0</f>
        <v>0</v>
      </c>
      <c r="G234" s="3125">
        <f>-1</f>
        <v>-1</v>
      </c>
      <c r="H234" s="3125">
        <f>0</f>
        <v>0</v>
      </c>
      <c r="I234" s="3125">
        <f>0</f>
        <v>0</v>
      </c>
      <c r="J234" s="3126">
        <f>0</f>
        <v>0</v>
      </c>
      <c r="K234" s="3125">
        <f>0</f>
        <v>0</v>
      </c>
      <c r="L234" s="3125">
        <f>0</f>
        <v>0</v>
      </c>
      <c r="M234" s="3125">
        <f>0</f>
        <v>0</v>
      </c>
      <c r="N234" s="3125">
        <f>0</f>
        <v>0</v>
      </c>
      <c r="O234" s="3125">
        <f>0</f>
        <v>0</v>
      </c>
      <c r="P234" s="3125">
        <f>0</f>
        <v>0</v>
      </c>
      <c r="Q234" s="3125">
        <f>0</f>
        <v>0</v>
      </c>
      <c r="R234" s="3125">
        <f>0</f>
        <v>0</v>
      </c>
      <c r="S234" s="3125">
        <f>0</f>
        <v>0</v>
      </c>
      <c r="T234" s="3125">
        <f>0</f>
        <v>0</v>
      </c>
      <c r="U234" s="3125">
        <f>0</f>
        <v>0</v>
      </c>
      <c r="V234" s="3125">
        <f>0</f>
        <v>0</v>
      </c>
      <c r="W234" s="3125">
        <f>0</f>
        <v>0</v>
      </c>
      <c r="X234" s="3125">
        <f>0</f>
        <v>0</v>
      </c>
      <c r="Y234" s="3125">
        <f>0</f>
        <v>0</v>
      </c>
      <c r="Z234" s="3125">
        <f>0</f>
        <v>0</v>
      </c>
      <c r="AA234" s="3125">
        <f>0</f>
        <v>0</v>
      </c>
      <c r="AB234" s="3125">
        <f>0</f>
        <v>0</v>
      </c>
      <c r="AC234" s="3125">
        <f>0</f>
        <v>0</v>
      </c>
      <c r="AD234" s="3125">
        <f>0</f>
        <v>0</v>
      </c>
      <c r="AE234" s="3125">
        <f>0</f>
        <v>0</v>
      </c>
      <c r="AF234" s="3125">
        <f>0</f>
        <v>0</v>
      </c>
      <c r="AG234" s="3125">
        <f>0</f>
        <v>0</v>
      </c>
      <c r="AH234" s="3125">
        <f>0</f>
        <v>0</v>
      </c>
      <c r="AI234" s="3125">
        <f>0</f>
        <v>0</v>
      </c>
      <c r="AJ234" s="3126">
        <f>0</f>
        <v>0</v>
      </c>
      <c r="AK234" s="3125">
        <f>0</f>
        <v>0</v>
      </c>
      <c r="AL234" s="3125">
        <f>0</f>
        <v>0</v>
      </c>
      <c r="AM234" s="3125">
        <f>0</f>
        <v>0</v>
      </c>
      <c r="AN234" s="3125">
        <f>0</f>
        <v>0</v>
      </c>
      <c r="AO234" s="3125">
        <f>0</f>
        <v>0</v>
      </c>
      <c r="AP234" s="3126">
        <f>0</f>
        <v>0</v>
      </c>
      <c r="AQ234" s="3125">
        <f>0</f>
        <v>0</v>
      </c>
      <c r="AR234" s="3125">
        <f>0</f>
        <v>0</v>
      </c>
      <c r="AS234" s="3125">
        <f>0</f>
        <v>0</v>
      </c>
      <c r="AT234" s="3127">
        <f>1/3</f>
        <v>0.33333333333333331</v>
      </c>
      <c r="AU234" s="3125">
        <f>i_CIT_MEOL-i_CIT_VFA*2/3</f>
        <v>0</v>
      </c>
      <c r="AV234" s="3125">
        <f>0</f>
        <v>0</v>
      </c>
      <c r="AW234" s="3125">
        <f>0</f>
        <v>0</v>
      </c>
      <c r="AX234" s="3125">
        <f>0</f>
        <v>0</v>
      </c>
      <c r="AY234" s="3125">
        <f>0</f>
        <v>0</v>
      </c>
      <c r="AZ234" s="3125">
        <f>0</f>
        <v>0</v>
      </c>
      <c r="BA234" s="3125">
        <f>0</f>
        <v>0</v>
      </c>
      <c r="BB234" s="3125">
        <f>0</f>
        <v>0</v>
      </c>
      <c r="BC234" s="3125">
        <f>0</f>
        <v>0</v>
      </c>
      <c r="BD234" s="3125">
        <f>0</f>
        <v>0</v>
      </c>
      <c r="BE234" s="3125">
        <f>0</f>
        <v>0</v>
      </c>
      <c r="BF234" s="3125">
        <f>0</f>
        <v>0</v>
      </c>
      <c r="BG234" s="3125">
        <f>0</f>
        <v>0</v>
      </c>
      <c r="BH234" s="3125">
        <f>0</f>
        <v>0</v>
      </c>
      <c r="BI234" s="3125">
        <f>0</f>
        <v>0</v>
      </c>
      <c r="BJ234" s="3125">
        <f>0</f>
        <v>0</v>
      </c>
      <c r="BK234" s="3125">
        <f>0</f>
        <v>0</v>
      </c>
      <c r="BL234" s="3125">
        <f>0</f>
        <v>0</v>
      </c>
      <c r="BM234" s="3125">
        <f>0</f>
        <v>0</v>
      </c>
      <c r="BN234" s="3125">
        <f>0</f>
        <v>0</v>
      </c>
      <c r="BO234" s="3125">
        <f>0</f>
        <v>0</v>
      </c>
      <c r="BP234" s="3125">
        <f>0</f>
        <v>0</v>
      </c>
      <c r="BQ234" s="3125">
        <f>0</f>
        <v>0</v>
      </c>
      <c r="BR234" s="3125">
        <f>0</f>
        <v>0</v>
      </c>
      <c r="BS234" s="3125">
        <f>0</f>
        <v>0</v>
      </c>
      <c r="BT234" s="3125">
        <f>0</f>
        <v>0</v>
      </c>
      <c r="BU234" s="3125">
        <f>0</f>
        <v>0</v>
      </c>
      <c r="BV234" s="3125">
        <f>0</f>
        <v>0</v>
      </c>
      <c r="BW234" s="3125">
        <f>0</f>
        <v>0</v>
      </c>
      <c r="BX234" s="3125">
        <f>0</f>
        <v>0</v>
      </c>
      <c r="BY234" s="3125">
        <f>0</f>
        <v>0</v>
      </c>
      <c r="BZ234" s="3126">
        <f>0</f>
        <v>0</v>
      </c>
      <c r="CA234" s="3126">
        <f>0</f>
        <v>0</v>
      </c>
      <c r="CB234" s="3126">
        <f>0</f>
        <v>0</v>
      </c>
      <c r="CC234" s="3126">
        <f>0</f>
        <v>0</v>
      </c>
      <c r="CD234" s="3125">
        <f>0</f>
        <v>0</v>
      </c>
      <c r="CE234" s="3125">
        <f>0</f>
        <v>0</v>
      </c>
      <c r="CF234" s="3125">
        <f>0</f>
        <v>0</v>
      </c>
      <c r="CG234" s="3125">
        <f>0</f>
        <v>0</v>
      </c>
      <c r="CH234" s="3125">
        <f>0</f>
        <v>0</v>
      </c>
      <c r="CI234" s="3125">
        <f>0</f>
        <v>0</v>
      </c>
      <c r="CJ234" s="3125">
        <f>0</f>
        <v>0</v>
      </c>
      <c r="CK234" s="3125">
        <f>0</f>
        <v>0</v>
      </c>
      <c r="CL234" s="3125">
        <f>0</f>
        <v>0</v>
      </c>
      <c r="CM234" s="3125">
        <f>0</f>
        <v>0</v>
      </c>
      <c r="CN234" s="3125">
        <f>0</f>
        <v>0</v>
      </c>
      <c r="CO234" s="3125">
        <f>0</f>
        <v>0</v>
      </c>
      <c r="CP234" s="3125">
        <f>0</f>
        <v>0</v>
      </c>
      <c r="CQ234" s="3125">
        <f>0</f>
        <v>0</v>
      </c>
      <c r="CR234" s="3125">
        <f>0</f>
        <v>0</v>
      </c>
      <c r="CS234" s="3125">
        <f>0</f>
        <v>0</v>
      </c>
      <c r="CT234" s="3125">
        <f>0</f>
        <v>0</v>
      </c>
      <c r="CU234" s="3125">
        <f>0</f>
        <v>0</v>
      </c>
      <c r="CV234" s="3233">
        <f>q_MEOL*S_MEOL*M_satSCO2_KCO2_BIO*M_inhSO2_KO2_OHO*M_inhSNO3_KNO3_OHO*M_inhSNO2_KNO2_OHO</f>
        <v>4.576942107867392E-52</v>
      </c>
      <c r="CX234" s="2838">
        <f>E287*E234+F287*F234+G287*G234+H287*H234+I287*I234+J287*J234+K287*K234+L287*L234+M287*M234+N287*N234+O287*O234+P287*P234+Q287*Q234+R287*R234+S287*S234+T287*T234+U287*U234+V287*V234+W287*W234+X287*X234+Y287*Y234+Z287*Z234+AA287*AA234+AB287*AB234+AC287*AC234+AD287*AD234+AE287*AE234+AF287*AF234+AG287*AG234+AH287*AH234+AI287*AI234+AJ287*AJ234+AK287*AK234+AL287*AL234+AM287*AM234+AN287*AN234+AO287*AO234+AP287*AP234+AQ287*AQ234+AR287*AR234+AS287*AS234+AT287*AT234+AU287*AU234+AV287*AV234+AW287*AW234+AX287*AX234+AY287*AY234+AZ287*AZ234+BA287*BA234+BB287*BB234+BC287*BC234+BD287*BD234+BE287*BE234+BF287*BF234+BG287*BG234+BH287*BH234+BI287*BI234+BJ287*BJ234+BK287*BK234+BL287*BL234+BM287*BM234+BN287*BN234+BO287*BO234+BP287*BP234+BQ287*BQ234+BR287*BR234+BS287*BS234+BT287*BT234+BU287*BU234+BV287*BV234+BW287*BW234+BX287*BX234+BY287*BY234+BZ287*BZ234+CA287*CA234+CB287*CB234+CC287*CC234+CD287*CD234+CE287*CE234+CF287*CF234+CG287*CG234+CH287*CH234+CI287*CI234+CJ287*CJ234+CK287*CK234+CL287*CL234+CM287*CM234+CN287*CN234+CO287*CO234+CP287*CP234+CQ287*CQ234+CR287*CR234+CS287*CS234+CT287*CT234+CU287*CU234</f>
        <v>-5.5511151231257827E-17</v>
      </c>
      <c r="CY234" s="2838">
        <f>E288*E234+F288*F234+G288*G234+H288*H234+I288*I234+J288*J234+K288*K234+L288*L234+M288*M234+N288*N234+O288*O234+P288*P234+Q288*Q234+R288*R234+S288*S234+T288*T234+U288*U234+V288*V234+W288*W234+X288*X234+Y288*Y234+Z288*Z234+AA288*AA234+AB288*AB234+AC288*AC234+AD288*AD234+AE288*AE234+AF288*AF234+AG288*AG234+AH288*AH234+AI288*AI234+AJ288*AJ234+AK288*AK234+AL288*AL234+AM288*AM234+AN288*AN234+AO288*AO234+AP288*AP234+AQ288*AQ234+AR288*AR234+AS288*AS234+AT288*AT234+AU288*AU234+AV288*AV234+AW288*AW234+AX288*AX234+AY288*AY234+AZ288*AZ234+BA288*BA234+BB288*BB234+BC288*BC234+BD288*BD234+BE288*BE234+BF288*BF234+BG288*BG234+BH288*BH234+BI288*BI234+BJ288*BJ234+BK288*BK234+BL288*BL234+BM288*BM234+BN288*BN234+BO288*BO234+BP288*BP234+BQ288*BQ234+BR288*BR234+BS288*BS234+BT288*BT234+BU288*BU234+BV288*BV234+BW288*BW234+BX288*BX234+BY288*BY234+BZ288*BZ234+CA288*CA234+CB288*CB234+CC288*CC234+CD288*CD234+CE288*CE234+CF288*CF234+CG288*CG234+CH288*CH234+CI288*CI234+CJ288*CJ234+CK288*CK234+CL288*CL234+CM288*CM234+CN288*CN234+CO288*CO234+CP288*CP234+CQ288*CQ234+CR288*CR234+CS288*CS234+CT288*CT234+CU288*CU234</f>
        <v>0</v>
      </c>
      <c r="CZ234" s="2839">
        <f>E289*E234+F289*F234+G289*G234+H289*H234+I289*I234+J289*J234+K289*K234+L289*L234+M289*M234+N289*N234+O289*O234+P289*P234+Q289*Q234+R289*R234+S289*S234+T289*T234+U289*U234+V289*V234+W289*W234+X289*X234+Y289*Y234+Z289*Z234+AA289*AA234+AB289*AB234+AC289*AC234+AD289*AD234+AE289*AE234+AF289*AF234+AG289*AG234+AH289*AH234+AI289*AI234+AJ289*AJ234+AK289*AK234+AL289*AL234+AM289*AM234+AN289*AN234+AO289*AO234+AP289*AP234+AQ289*AQ234+AR289*AR234+AS289*AS234+AT289*AT234+AU289*AU234+AV289*AV234+AW289*AW234+AX289*AX234+AY289*AY234+AZ289*AZ234+BA289*BA234+BB289*BB234+BC289*BC234+BD289*BD234+BE289*BE234+BF289*BF234+BG289*BG234+BH289*BH234+BI289*BI234+BJ289*BJ234+BK289*BK234+BL289*BL234+BM289*BM234+BN289*BN234+BO289*BO234+BP289*BP234+BQ289*BQ234+BR289*BR234+BS289*BS234+BT289*BT234+BU289*BU234+BV289*BV234+BW289*BW234+BX289*BX234+BY289*BY234+BZ289*BZ234+CA289*CA234+CB289*CB234+CC289*CC234+CD289*CD234+CE289*CE234+CF289*CF234+CG289*CG234+CH289*CH234+CI289*CI234+CJ289*CJ234+CK289*CK234+CL289*CL234+CM289*CM234+CN289*CN234+CO289*CO234+CP289*CP234+CQ289*CQ234+CR289*CR234+CS289*CS234+CT289*CT234+CU289*CU234</f>
        <v>0</v>
      </c>
      <c r="DA234" s="2840">
        <f>E290*E234+F290*F234+G290*G234+H290*H234+I290*I234+J290*J234+K290*K234+L290*L234+M290*M234+N290*N234+O290*O234+P290*P234+Q290*Q234+R290*R234+S290*S234+T290*T234+U290*U234+V290*V234+W290*W234+X290*X234+Y290*Y234+Z290*Z234+AA290*AA234+AB290*AB234+AC290*AC234+AD290*AD234+AE290*AE234+AF290*AF234+AG290*AG234+AH290*AH234+AI290*AI234+AJ290*AJ234+AK290*AK234+AL290*AL234+AM290*AM234+AN290*AN234+AO290*AO234+AP290*AP234+AQ290*AQ234+AR290*AR234+AS290*AS234+AT290*AT234+AU290*AU234+AV290*AV234+AW290*AW234+AX290*AX234+AY290*AY234+AZ290*AZ234+BA290*BA234+BB290*BB234+BC290*BC234+BD290*BD234+BE290*BE234+BF290*BF234+BG290*BG234+BH290*BH234+BI290*BI234+BJ290*BJ234+BK290*BK234+BL290*BL234+BM290*BM234+BN290*BN234+BO290*BO234+BP290*BP234+BQ290*BQ234+BR290*BR234+BS290*BS234+BT290*BT234+BU290*BU234+BV290*BV234+BW290*BW234+BX290*BX234+BY290*BY234+BZ290*BZ234+CA290*CA234+CB290*CB234+CC290*CC234+CD290*CD234+CE290*CE234+CF290*CF234+CG290*CG234+CH290*CH234+CI290*CI234+CJ290*CJ234+CK290*CK234+CL290*CL234+CM290*CM234+CN290*CN234+CO290*CO234+CP290*CP234+CQ290*CQ234+CR290*CR234+CS290*CS234+CT290*CT234+CU290*CU234</f>
        <v>0</v>
      </c>
      <c r="DB234" s="2840">
        <f>E291*E234+F291*F234+G291*G234+H291*H234+I291*I234+J291*J234+K291*K234+L291*L234+M291*M234+N291*N234+O291*O234+P291*P234+Q291*Q234+R291*R234+S291*S234+T291*T234+U291*U234+V291*V234+W291*W234+X291*X234+Y291*Y234+Z291*Z234+AA291*AA234+AB291*AB234+AC291*AC234+AD291*AD234+AE291*AE234+AF291*AF234+AG291*AG234+AH291*AH234+AI291*AI234+AJ291*AJ234+AK291*AK234+AL291*AL234+AM291*AM234+AN291*AN234+AO291*AO234+AP291*AP234+AQ291*AQ234+AR291*AR234+AS291*AS234+AT291*AT234+AU291*AU234+AV291*AV234+AW291*AW234+AX291*AX234+AY291*AY234+AZ291*AZ234+BA291*BA234+BB291*BB234+BC291*BC234+BD291*BD234+BE291*BE234+BF291*BF234+BG291*BG234+BH291*BH234+BI291*BI234+BJ291*BJ234+BK291*BK234+BL291*BL234+BM291*BM234+BN291*BN234+BO291*BO234+BP291*BP234+BQ291*BQ234+BR291*BR234+BS291*BS234+BT291*BT234+BU291*BU234+BV291*BV234+BW291*BW234+BX291*BX234+BY291*BY234+BZ291*BZ234+CA291*CA234+CB291*CB234+CC291*CC234+CD291*CD234+CE291*CE234+CF291*CF234+CG291*CG234+CH291*CH234+CI291*CI234+CJ291*CJ234+CK291*CK234+CL291*CL234+CM291*CM234+CN291*CN234+CO291*CO234+CP291*CP234+CQ291*CQ234+CR291*CR234+CS291*CS234+CT291*CT234+CU291*CU234</f>
        <v>0</v>
      </c>
      <c r="DC234" s="2840">
        <f>E292*E234+F292*F234+G292*G234+H292*H234+I292*I234+J292*J234+K292*K234+L292*L234+M292*M234+N292*N234+O292*O234+P292*P234+Q292*Q234+R292*R234+S292*S234+T292*T234+U292*U234+V292*V234+W292*W234+X292*X234+Y292*Y234+Z292*Z234+AA292*AA234+AB292*AB234+AC292*AC234+AD292*AD234+AE292*AE234+AF292*AF234+AG292*AG234+AH292*AH234+AI292*AI234+AJ292*AJ234+AK292*AK234+AL292*AL234+AM292*AM234+AN292*AN234+AO292*AO234+AP292*AP234+AQ292*AQ234+AR292*AR234+AS292*AS234+AT292*AT234+AU292*AU234+AV292*AV234+AW292*AW234+AX292*AX234+AY292*AY234+AZ292*AZ234+BA292*BA234+BB292*BB234+BC292*BC234+BD292*BD234+BE292*BE234+BF292*BF234+BG292*BG234+BH292*BH234+BI292*BI234+BJ292*BJ234+BK292*BK234+BL292*BL234+BM292*BM234+BN292*BN234+BO292*BO234+BP292*BP234+BQ292*BQ234+BR292*BR234+BS292*BS234+BT292*BT234+BU292*BU234+BV292*BV234+BW292*BW234+BX292*BX234+BY292*BY234+BZ292*BZ234+CA292*CA234+CB292*CB234+CC292*CC234+CD292*CD234+CE292*CE234+CF292*CF234+CG292*CG234+CH292*CH234+CI292*CI234+CJ292*CJ234+CK292*CK234+CL292*CL234+CM292*CM234+CN292*CN234+CO292*CO234+CP292*CP234+CQ292*CQ234+CR292*CR234+CS292*CS234+CT292*CT234+CU292*CU234</f>
        <v>0</v>
      </c>
      <c r="DD234" s="2840">
        <f>E293*E234+F293*F234+G293*G234+H293*H234+I293*I234+J293*J234+K293*K234+L293*L234+M293*M234+N293*N234+O293*O234+P293*P234+Q293*Q234+R293*R234+S293*S234+T293*T234+U293*U234+V293*V234+W293*W234+X293*X234+Y293*Y234+Z293*Z234+AA293*AA234+AB293*AB234+AC293*AC234+AD293*AD234+AE293*AE234+AF293*AF234+AG293*AG234+AH293*AH234+AI293*AI234+AJ293*AJ234+AK293*AK234+AL293*AL234+AM293*AM234+AN293*AN234+AO293*AO234+AP293*AP234+AQ293*AQ234+AR293*AR234+AS293*AS234+AT293*AT234+AU293*AU234+AV293*AV234+AW293*AW234+AX293*AX234+AY293*AY234+AZ293*AZ234+BA293*BA234+BB293*BB234+BC293*BC234+BD293*BD234+BE293*BE234+BF293*BF234+BG293*BG234+BH293*BH234+BI293*BI234+BJ293*BJ234+BK293*BK234+BL293*BL234+BM293*BM234+BN293*BN234+BO293*BO234+BP293*BP234+BQ293*BQ234+BR293*BR234+BS293*BS234+BT293*BT234+BU293*BU234+BV293*BV234+BW293*BW234+BX293*BX234+BY293*BY234+BZ293*BZ234+CA293*CA234+CB293*CB234+CC293*CC234+CD293*CD234+CE293*CE234+CF293*CF234+CG293*CG234+CH293*CH234+CI293*CI234+CJ293*CJ234+CK293*CK234+CL293*CL234+CM293*CM234+CN293*CN234+CO293*CO234+CP293*CP234+CQ293*CQ234+CR293*CR234+CS293*CS234+CT293*CT234+CU293*CU234</f>
        <v>0</v>
      </c>
      <c r="DE234" s="2840">
        <f>E294*E234+F294*F234+G294*G234+H294*H234+I294*I234+J294*J234+K294*K234+L294*L234+M294*M234+N294*N234+O294*O234+P294*P234+Q294*Q234+R294*R234+S294*S234+T294*T234+U294*U234+V294*V234+W294*W234+X294*X234+Y294*Y234+Z294*Z234+AA294*AA234+AB294*AB234+AC294*AC234+AD294*AD234+AE294*AE234+AF294*AF234+AG294*AG234+AH294*AH234+AI294*AI234+AJ294*AJ234+AK294*AK234+AL294*AL234+AM294*AM234+AN294*AN234+AO294*AO234+AP294*AP234+AQ294*AQ234+AR294*AR234+AS294*AS234+AT294*AT234+AU294*AU234+AV294*AV234+AW294*AW234+AX294*AX234+AY294*AY234+AZ294*AZ234+BA294*BA234+BB294*BB234+BC294*BC234+BD294*BD234+BE294*BE234+BF294*BF234+BG294*BG234+BH294*BH234+BI294*BI234+BJ294*BJ234+BK294*BK234+BL294*BL234+BM294*BM234+BN294*BN234+BO294*BO234+BP294*BP234+BQ294*BQ234+BR294*BR234+BS294*BS234+BT294*BT234+BU294*BU234+BV294*BV234+BW294*BW234+BX294*BX234+BY294*BY234+BZ294*BZ234+CA294*CA234+CB294*CB234+CC294*CC234+CD294*CD234+CE294*CE234+CF294*CF234+CG294*CG234+CH294*CH234+CI294*CI234+CJ294*CJ234+CK294*CK234+CL294*CL234+CM294*CM234+CN294*CN234+CO294*CO234+CP294*CP234+CQ294*CQ234+CR294*CR234+CS294*CS234+CT294*CT234+CU294*CU234</f>
        <v>0</v>
      </c>
      <c r="DF234" s="2840">
        <f>E295*E234+F295*F234+G295*G234+H295*H234+I295*I234+J295*J234+K295*K234+L295*L234+M295*M234+N295*N234+O295*O234+P295*P234+Q295*Q234+R295*R234+S295*S234+T295*T234+U295*U234+V295*V234+W295*W234+X295*X234+Y295*Y234+Z295*Z234+AA295*AA234+AB295*AB234+AC295*AC234+AD295*AD234+AE295*AE234+AF295*AF234+AG295*AG234+AH295*AH234+AI295*AI234+AJ295*AJ234+AK295*AK234+AL295*AL234+AM295*AM234+AN295*AN234+AO295*AO234+AP295*AP234+AQ295*AQ234+AR295*AR234+AS295*AS234+AT295*AT234+AU295*AU234+AV295*AV234+AW295*AW234+AX295*AX234+AY295*AY234+AZ295*AZ234+BA295*BA234+BB295*BB234+BC295*BC234+BD295*BD234+BE295*BE234+BF295*BF234+BG295*BG234+BH295*BH234+BI295*BI234+BJ295*BJ234+BK295*BK234+BL295*BL234+BM295*BM234+BN295*BN234+BO295*BO234+BP295*BP234+BQ295*BQ234+BR295*BR234+BS295*BS234+BT295*BT234+BU295*BU234+BV295*BV234+BW295*BW234+BX295*BX234+BY295*BY234+BZ295*BZ234+CA295*CA234+CB295*CB234+CC295*CC234+CD295*CD234+CE295*CE234+CF295*CF234+CG295*CG234+CH295*CH234+CI295*CI234+CJ295*CJ234+CK295*CK234+CL295*CL234+CM295*CM234+CN295*CN234+CO295*CO234+CP295*CP234+CQ295*CQ234+CR295*CR234+CS295*CS234+CT295*CT234+CU295*CU234</f>
        <v>0</v>
      </c>
      <c r="DG234" s="2840">
        <f>E296*E234+F296*F234+G296*G234+H296*H234+I296*I234+J296*J234+K296*K234+L296*L234+M296*M234+N296*N234+O296*O234+P296*P234+Q296*Q234+R296*R234+S296*S234+T296*T234+U296*U234+V296*V234+W296*W234+X296*X234+Y296*Y234+Z296*Z234+AA296*AA234+AB296*AB234+AC296*AC234+AD296*AD234+AE296*AE234+AF296*AF234+AG296*AG234+AH296*AH234+AI296*AI234+AJ296*AJ234+AK296*AK234+AL296*AL234+AM296*AM234+AN296*AN234+AO296*AO234+AP296*AP234+AQ296*AQ234+AR296*AR234+AS296*AS234+AT296*AT234+AU296*AU234+AV296*AV234+AW296*AW234+AX296*AX234+AY296*AY234+AZ296*AZ234+BA296*BA234+BB296*BB234+BC296*BC234+BD296*BD234+BE296*BE234+BF296*BF234+BG296*BG234+BH296*BH234+BI296*BI234+BJ296*BJ234+BK296*BK234+BL296*BL234+BM296*BM234+BN296*BN234+BO296*BO234+BP296*BP234+BQ296*BQ234+BR296*BR234+BS296*BS234+BT296*BT234+BU296*BU234+BV296*BV234+BW296*BW234+BX296*BX234+BY296*BY234+BZ296*BZ234+CA296*CA234+CB296*CB234+CC296*CC234+CD296*CD234+CE296*CE234+CF296*CF234+CG296*CG234+CH296*CH234+CI296*CI234+CJ296*CJ234+CK296*CK234+CL296*CL234+CM296*CM234+CN296*CN234+CO296*CO234+CP296*CP234+CQ296*CQ234+CR296*CR234+CS296*CS234+CT296*CT234+CU296*CU234</f>
        <v>0</v>
      </c>
      <c r="DH234" s="2840">
        <f>E297*E234+F297*F234+G297*G234+H297*H234+I297*I234+J297*J234+K297*K234+L297*L234+M297*M234+N297*N234+O297*O234+P297*P234+Q297*Q234+R297*R234+S297*S234+T297*T234+U297*U234+V297*V234+W297*W234+X297*X234+Y297*Y234+Z297*Z234+AA297*AA234+AB297*AB234+AC297*AC234+AD297*AD234+AE297*AE234+AF297*AF234+AG297*AG234+AH297*AH234+AI297*AI234+AJ297*AJ234+AK297*AK234+AL297*AL234+AM297*AM234+AN297*AN234+AO297*AO234+AP297*AP234+AQ297*AQ234+AR297*AR234+AS297*AS234+AT297*AT234+AU297*AU234+AV297*AV234+AW297*AW234+AX297*AX234+AY297*AY234+AZ297*AZ234+BA297*BA234+BB297*BB234+BC297*BC234+BD297*BD234+BE297*BE234+BF297*BF234+BG297*BG234+BH297*BH234+BI297*BI234+BJ297*BJ234+BK297*BK234+BL297*BL234+BM297*BM234+BN297*BN234+BO297*BO234+BP297*BP234+BQ297*BQ234+BR297*BR234+BS297*BS234+BT297*BT234+BU297*BU234+BV297*BV234+BW297*BW234+BX297*BX234+BY297*BY234+BZ297*BZ234+CA297*CA234+CB297*CB234+CC297*CC234+CD297*CD234+CE297*CE234+CF297*CF234+CG297*CG234+CH297*CH234+CI297*CI234+CJ297*CJ234+CK297*CK234+CL297*CL234+CM297*CM234+CN297*CN234+CO297*CO234+CP297*CP234+CQ297*CQ234+CR297*CR234+CS297*CS234+CT297*CT234+CU297*CU234</f>
        <v>0</v>
      </c>
      <c r="DI234" s="2840">
        <f>E298*E234+F298*F234+G298*G234+H298*H234+I298*I234+J298*J234+K298*K234+L298*L234+M298*M234+N298*N234+O298*O234+P298*P234+Q298*Q234+R298*R234+S298*S234+T298*T234+U298*U234+V298*V234+W298*W234+X298*X234+Y298*Y234+Z298*Z234+AA298*AA234+AB298*AB234+AC298*AC234+AD298*AD234+AE298*AE234+AF298*AF234+AG298*AG234+AH298*AH234+AI298*AI234+AJ298*AJ234+AK298*AK234+AL298*AL234+AM298*AM234+AN298*AN234+AO298*AO234+AP298*AP234+AQ298*AQ234+AR298*AR234+AS298*AS234+AT298*AT234+AU298*AU234+AV298*AV234+AW298*AW234+AX298*AX234+AY298*AY234+AZ298*AZ234+BA298*BA234+BB298*BB234+BC298*BC234+BD298*BD234+BE298*BE234+BF298*BF234+BG298*BG234+BH298*BH234+BI298*BI234+BJ298*BJ234+BK298*BK234+BL298*BL234+BM298*BM234+BN298*BN234+BO298*BO234+BP298*BP234+BQ298*BQ234+BR298*BR234+BS298*BS234+BT298*BT234+BU298*BU234+BV298*BV234+BW298*BW234+BX298*BX234+BY298*BY234+BZ298*BZ234+CA298*CA234+CB298*CB234+CC298*CC234+CD298*CD234+CE298*CE234+CF298*CF234+CG298*CG234+CH298*CH234+CI298*CI234+CJ298*CJ234+CK298*CK234+CL298*CL234+CM298*CM234+CN298*CN234+CO298*CO234+CP298*CP234+CQ298*CQ234+CR298*CR234+CS298*CS234+CT298*CT234+CU298*CU234</f>
        <v>0</v>
      </c>
    </row>
    <row r="235" spans="2:113" ht="18" x14ac:dyDescent="0.25">
      <c r="B235" s="2510">
        <v>82</v>
      </c>
      <c r="C235" s="2444" t="s">
        <v>2989</v>
      </c>
      <c r="D235" s="2445" t="s">
        <v>2321</v>
      </c>
      <c r="E235" s="3125">
        <f>0</f>
        <v>0</v>
      </c>
      <c r="F235" s="3125">
        <f>0</f>
        <v>0</v>
      </c>
      <c r="G235" s="3125">
        <f>0</f>
        <v>0</v>
      </c>
      <c r="H235" s="3125">
        <f>0</f>
        <v>0</v>
      </c>
      <c r="I235" s="3125">
        <f>0</f>
        <v>0</v>
      </c>
      <c r="J235" s="3126">
        <f>0</f>
        <v>0</v>
      </c>
      <c r="K235" s="3125">
        <f>0</f>
        <v>0</v>
      </c>
      <c r="L235" s="3125">
        <f>0</f>
        <v>0</v>
      </c>
      <c r="M235" s="3125">
        <f>0</f>
        <v>0</v>
      </c>
      <c r="N235" s="3125">
        <f>0</f>
        <v>0</v>
      </c>
      <c r="O235" s="3125">
        <f>0</f>
        <v>0</v>
      </c>
      <c r="P235" s="3125">
        <f>0</f>
        <v>0</v>
      </c>
      <c r="Q235" s="3125">
        <f>0</f>
        <v>0</v>
      </c>
      <c r="R235" s="3127">
        <f>-E_EQNO2*X_OHO/X_BIO</f>
        <v>-1.3801058748246886</v>
      </c>
      <c r="S235" s="3127">
        <f>-E_EQNO2*X_CASTO/X_BIO</f>
        <v>-1.3801058748246886</v>
      </c>
      <c r="T235" s="3127">
        <f>-E_EQNO2*X_MEOLO/X_BIO</f>
        <v>-2.7602117496493771E-3</v>
      </c>
      <c r="U235" s="3127">
        <f>-E_EQNO2*X_AOB/X_BIO</f>
        <v>-9.1086987738429437E-2</v>
      </c>
      <c r="V235" s="3127">
        <f>-E_EQNO2*X_NOB/X_BIO</f>
        <v>-5.5204234992987544E-2</v>
      </c>
      <c r="W235" s="3127">
        <f>-E_EQNO2*X_AMX/X_BIO</f>
        <v>-2.7602117496493771E-3</v>
      </c>
      <c r="X235" s="3127">
        <f>-E_EQNO2*X_AMETO/X_BIO</f>
        <v>-8.2806352489481314E-4</v>
      </c>
      <c r="Y235" s="3127">
        <f>-E_EQNO2*X_HMETO/X_BIO</f>
        <v>-5.5204234992987542E-4</v>
      </c>
      <c r="Z235" s="3127">
        <f>-E_EQNO2*X_ASRO/X_BIO</f>
        <v>-2.7602117496493771E-3</v>
      </c>
      <c r="AA235" s="3127">
        <f>-E_EQNO2*X_HSRO/X_BIO</f>
        <v>-9.6607411237728202E-2</v>
      </c>
      <c r="AB235" s="3127">
        <f>-E_EQNO2*X_SOO/X_BIO</f>
        <v>-0.41403176244740653</v>
      </c>
      <c r="AC235" s="3127">
        <f>-E_EQNO2*X_ALGAE/X_BIO</f>
        <v>0</v>
      </c>
      <c r="AD235" s="3125">
        <f>1+(i_N_BIO*E_EQNO2*(X_BIO-X_ALGAE)+i_N_ALGAE*E_EQNO2*X_ALGAE)/X_BIO</f>
        <v>1.2398762021032792</v>
      </c>
      <c r="AE235" s="3125">
        <f>-1</f>
        <v>-1</v>
      </c>
      <c r="AF235" s="3125">
        <f>0</f>
        <v>0</v>
      </c>
      <c r="AG235" s="3125">
        <f>0</f>
        <v>0</v>
      </c>
      <c r="AH235" s="3125">
        <f>0</f>
        <v>0</v>
      </c>
      <c r="AI235" s="3125">
        <f>0</f>
        <v>0</v>
      </c>
      <c r="AJ235" s="3126">
        <f>0</f>
        <v>0</v>
      </c>
      <c r="AK235" s="3125">
        <f>0</f>
        <v>0</v>
      </c>
      <c r="AL235" s="3125">
        <f>(i_P_BIO*E_EQNO2*(X_BIO-X_ALGAE)+i_P_ALGAE*E_EQNO2*X_ALGAE)/X_BIO</f>
        <v>6.8536057743794038E-2</v>
      </c>
      <c r="AM235" s="3125">
        <f>0</f>
        <v>0</v>
      </c>
      <c r="AN235" s="3125">
        <f>0</f>
        <v>0</v>
      </c>
      <c r="AO235" s="3125">
        <f>0</f>
        <v>0</v>
      </c>
      <c r="AP235" s="3126">
        <f>0</f>
        <v>0</v>
      </c>
      <c r="AQ235" s="3125">
        <f>0</f>
        <v>0</v>
      </c>
      <c r="AR235" s="3125">
        <f>0</f>
        <v>0</v>
      </c>
      <c r="AS235" s="3125">
        <f>0</f>
        <v>0</v>
      </c>
      <c r="AT235" s="3125">
        <f>0</f>
        <v>0</v>
      </c>
      <c r="AU235" s="3125">
        <f>(i_CIT_BIO*E_EQNO2*(X_BIO-X_ALGAE)+i_CIT_ALGAE*E_EQNO2*X_ALGAE)/X_BIO</f>
        <v>1.2062346162907749</v>
      </c>
      <c r="AV235" s="3125">
        <f>0</f>
        <v>0</v>
      </c>
      <c r="AW235" s="3125">
        <f>0</f>
        <v>0</v>
      </c>
      <c r="AX235" s="3125">
        <f>0</f>
        <v>0</v>
      </c>
      <c r="AY235" s="3125">
        <f>0</f>
        <v>0</v>
      </c>
      <c r="AZ235" s="3125">
        <f>0</f>
        <v>0</v>
      </c>
      <c r="BA235" s="3125">
        <f>0</f>
        <v>0</v>
      </c>
      <c r="BB235" s="3125">
        <f>0</f>
        <v>0</v>
      </c>
      <c r="BC235" s="3125">
        <f>(i_S_BIO*E_EQNO2*(X_BIO-X_ALGAE)+i_S_ALGAE*E_EQNO2*X_ALGAE)/X_BIO</f>
        <v>3.4268028871897019E-2</v>
      </c>
      <c r="BD235" s="3125">
        <f>0</f>
        <v>0</v>
      </c>
      <c r="BE235" s="3125">
        <f>0</f>
        <v>0</v>
      </c>
      <c r="BF235" s="3125">
        <f>0</f>
        <v>0</v>
      </c>
      <c r="BG235" s="3125">
        <f>0</f>
        <v>0</v>
      </c>
      <c r="BH235" s="3125">
        <f>0</f>
        <v>0</v>
      </c>
      <c r="BI235" s="3125">
        <f>0</f>
        <v>0</v>
      </c>
      <c r="BJ235" s="3125">
        <f>0</f>
        <v>0</v>
      </c>
      <c r="BK235" s="3125">
        <f>0</f>
        <v>0</v>
      </c>
      <c r="BL235" s="3125">
        <f>0</f>
        <v>0</v>
      </c>
      <c r="BM235" s="3125">
        <f>0</f>
        <v>0</v>
      </c>
      <c r="BN235" s="3125">
        <f>0</f>
        <v>0</v>
      </c>
      <c r="BO235" s="3125">
        <f>0</f>
        <v>0</v>
      </c>
      <c r="BP235" s="3125">
        <f>0</f>
        <v>0</v>
      </c>
      <c r="BQ235" s="3125">
        <f>0</f>
        <v>0</v>
      </c>
      <c r="BR235" s="3125">
        <f>0</f>
        <v>0</v>
      </c>
      <c r="BS235" s="3125">
        <f>0</f>
        <v>0</v>
      </c>
      <c r="BT235" s="3125">
        <f>0</f>
        <v>0</v>
      </c>
      <c r="BU235" s="3125">
        <f>0</f>
        <v>0</v>
      </c>
      <c r="BV235" s="3125">
        <f>0</f>
        <v>0</v>
      </c>
      <c r="BW235" s="3125">
        <f>0</f>
        <v>0</v>
      </c>
      <c r="BX235" s="3125">
        <f>0</f>
        <v>0</v>
      </c>
      <c r="BY235" s="3125">
        <f>0</f>
        <v>0</v>
      </c>
      <c r="BZ235" s="3126">
        <f>0</f>
        <v>0</v>
      </c>
      <c r="CA235" s="3126">
        <f>0</f>
        <v>0</v>
      </c>
      <c r="CB235" s="3126">
        <f>0</f>
        <v>0</v>
      </c>
      <c r="CC235" s="3126">
        <f>0</f>
        <v>0</v>
      </c>
      <c r="CD235" s="3125">
        <f>0</f>
        <v>0</v>
      </c>
      <c r="CE235" s="3125">
        <f>0</f>
        <v>0</v>
      </c>
      <c r="CF235" s="3125">
        <f>0</f>
        <v>0</v>
      </c>
      <c r="CG235" s="3125">
        <f>0</f>
        <v>0</v>
      </c>
      <c r="CH235" s="3125">
        <f>0</f>
        <v>0</v>
      </c>
      <c r="CI235" s="3125">
        <f>0</f>
        <v>0</v>
      </c>
      <c r="CJ235" s="3125">
        <f>0</f>
        <v>0</v>
      </c>
      <c r="CK235" s="3125">
        <f>0</f>
        <v>0</v>
      </c>
      <c r="CL235" s="3125">
        <f>0</f>
        <v>0</v>
      </c>
      <c r="CM235" s="3125">
        <f>0</f>
        <v>0</v>
      </c>
      <c r="CN235" s="3125">
        <f>0</f>
        <v>0</v>
      </c>
      <c r="CO235" s="3125">
        <f>0</f>
        <v>0</v>
      </c>
      <c r="CP235" s="3125">
        <f>0</f>
        <v>0</v>
      </c>
      <c r="CQ235" s="3125">
        <f>0</f>
        <v>0</v>
      </c>
      <c r="CR235" s="3125">
        <f>0</f>
        <v>0</v>
      </c>
      <c r="CS235" s="3125">
        <f>0</f>
        <v>0</v>
      </c>
      <c r="CT235" s="3125">
        <f>0</f>
        <v>0</v>
      </c>
      <c r="CU235" s="3125">
        <f>0</f>
        <v>0</v>
      </c>
      <c r="CV235" s="3233">
        <f>q_ASSIM_T*X_BIO*M_satSNO2_KNO2_ASSIM*M_inhSNHx_KiNHx_ASSIM</f>
        <v>0.61429681199004471</v>
      </c>
      <c r="CX235" s="2838">
        <f>E287*E235+F287*F235+G287*G235+H287*H235+I287*I235+J287*J235+K287*K235+L287*L235+M287*M235+N287*N235+O287*O235+P287*P235+Q287*Q235+R287*R235+S287*S235+T287*T235+U287*U235+V287*V235+W287*W235+X287*X235+Y287*Y235+Z287*Z235+AA287*AA235+AB287*AB235+AC287*AC235+AD287*AD235+AE287*AE235+AF287*AF235+AG287*AG235+AH287*AH235+AI287*AI235+AJ287*AJ235+AK287*AK235+AL287*AL235+AM287*AM235+AN287*AN235+AO287*AO235+AP287*AP235+AQ287*AQ235+AR287*AR235+AS287*AS235+AT287*AT235+AU287*AU235+AV287*AV235+AW287*AW235+AX287*AX235+AY287*AY235+AZ287*AZ235+BA287*BA235+BB287*BB235+BC287*BC235+BD287*BD235+BE287*BE235+BF287*BF235+BG287*BG235+BH287*BH235+BI287*BI235+BJ287*BJ235+BK287*BK235+BL287*BL235+BM287*BM235+BN287*BN235+BO287*BO235+BP287*BP235+BQ287*BQ235+BR287*BR235+BS287*BS235+BT287*BT235+BU287*BU235+BV287*BV235+BW287*BW235+BX287*BX235+BY287*BY235+BZ287*BZ235+CA287*CA235+CB287*CB235+CC287*CC235+CD287*CD235+CE287*CE235+CF287*CF235+CG287*CG235+CH287*CH235+CI287*CI235+CJ287*CJ235+CK287*CK235+CL287*CL235+CM287*CM235+CN287*CN235+CO287*CO235+CP287*CP235+CQ287*CQ235+CR287*CR235+CS287*CS235+CT287*CT235+CU287*CU235</f>
        <v>4.4408920985006262E-16</v>
      </c>
      <c r="CY235" s="2838">
        <f>E288*E235+F288*F235+G288*G235+H288*H235+I288*I235+J288*J235+K288*K235+L288*L235+M288*M235+N288*N235+O288*O235+P288*P235+Q288*Q235+R288*R235+S288*S235+T288*T235+U288*U235+V288*V235+W288*W235+X288*X235+Y288*Y235+Z288*Z235+AA288*AA235+AB288*AB235+AC288*AC235+AD288*AD235+AE288*AE235+AF288*AF235+AG288*AG235+AH288*AH235+AI288*AI235+AJ288*AJ235+AK288*AK235+AL288*AL235+AM288*AM235+AN288*AN235+AO288*AO235+AP288*AP235+AQ288*AQ235+AR288*AR235+AS288*AS235+AT288*AT235+AU288*AU235+AV288*AV235+AW288*AW235+AX288*AX235+AY288*AY235+AZ288*AZ235+BA288*BA235+BB288*BB235+BC288*BC235+BD288*BD235+BE288*BE235+BF288*BF235+BG288*BG235+BH288*BH235+BI288*BI235+BJ288*BJ235+BK288*BK235+BL288*BL235+BM288*BM235+BN288*BN235+BO288*BO235+BP288*BP235+BQ288*BQ235+BR288*BR235+BS288*BS235+BT288*BT235+BU288*BU235+BV288*BV235+BW288*BW235+BX288*BX235+BY288*BY235+BZ288*BZ235+CA288*CA235+CB288*CB235+CC288*CC235+CD288*CD235+CE288*CE235+CF288*CF235+CG288*CG235+CH288*CH235+CI288*CI235+CJ288*CJ235+CK288*CK235+CL288*CL235+CM288*CM235+CN288*CN235+CO288*CO235+CP288*CP235+CQ288*CQ235+CR288*CR235+CS288*CS235+CT288*CT235+CU288*CU235</f>
        <v>-2.2204460492503131E-16</v>
      </c>
      <c r="CZ235" s="2839">
        <f>E289*E235+F289*F235+G289*G235+H289*H235+I289*I235+J289*J235+K289*K235+L289*L235+M289*M235+N289*N235+O289*O235+P289*P235+Q289*Q235+R289*R235+S289*S235+T289*T235+U289*U235+V289*V235+W289*W235+X289*X235+Y289*Y235+Z289*Z235+AA289*AA235+AB289*AB235+AC289*AC235+AD289*AD235+AE289*AE235+AF289*AF235+AG289*AG235+AH289*AH235+AI289*AI235+AJ289*AJ235+AK289*AK235+AL289*AL235+AM289*AM235+AN289*AN235+AO289*AO235+AP289*AP235+AQ289*AQ235+AR289*AR235+AS289*AS235+AT289*AT235+AU289*AU235+AV289*AV235+AW289*AW235+AX289*AX235+AY289*AY235+AZ289*AZ235+BA289*BA235+BB289*BB235+BC289*BC235+BD289*BD235+BE289*BE235+BF289*BF235+BG289*BG235+BH289*BH235+BI289*BI235+BJ289*BJ235+BK289*BK235+BL289*BL235+BM289*BM235+BN289*BN235+BO289*BO235+BP289*BP235+BQ289*BQ235+BR289*BR235+BS289*BS235+BT289*BT235+BU289*BU235+BV289*BV235+BW289*BW235+BX289*BX235+BY289*BY235+BZ289*BZ235+CA289*CA235+CB289*CB235+CC289*CC235+CD289*CD235+CE289*CE235+CF289*CF235+CG289*CG235+CH289*CH235+CI289*CI235+CJ289*CJ235+CK289*CK235+CL289*CL235+CM289*CM235+CN289*CN235+CO289*CO235+CP289*CP235+CQ289*CQ235+CR289*CR235+CS289*CS235+CT289*CT235+CU289*CU235</f>
        <v>0</v>
      </c>
      <c r="DA235" s="2840">
        <f>E290*E235+F290*F235+G290*G235+H290*H235+I290*I235+J290*J235+K290*K235+L290*L235+M290*M235+N290*N235+O290*O235+P290*P235+Q290*Q235+R290*R235+S290*S235+T290*T235+U290*U235+V290*V235+W290*W235+X290*X235+Y290*Y235+Z290*Z235+AA290*AA235+AB290*AB235+AC290*AC235+AD290*AD235+AE290*AE235+AF290*AF235+AG290*AG235+AH290*AH235+AI290*AI235+AJ290*AJ235+AK290*AK235+AL290*AL235+AM290*AM235+AN290*AN235+AO290*AO235+AP290*AP235+AQ290*AQ235+AR290*AR235+AS290*AS235+AT290*AT235+AU290*AU235+AV290*AV235+AW290*AW235+AX290*AX235+AY290*AY235+AZ290*AZ235+BA290*BA235+BB290*BB235+BC290*BC235+BD290*BD235+BE290*BE235+BF290*BF235+BG290*BG235+BH290*BH235+BI290*BI235+BJ290*BJ235+BK290*BK235+BL290*BL235+BM290*BM235+BN290*BN235+BO290*BO235+BP290*BP235+BQ290*BQ235+BR290*BR235+BS290*BS235+BT290*BT235+BU290*BU235+BV290*BV235+BW290*BW235+BX290*BX235+BY290*BY235+BZ290*BZ235+CA290*CA235+CB290*CB235+CC290*CC235+CD290*CD235+CE290*CE235+CF290*CF235+CG290*CG235+CH290*CH235+CI290*CI235+CJ290*CJ235+CK290*CK235+CL290*CL235+CM290*CM235+CN290*CN235+CO290*CO235+CP290*CP235+CQ290*CQ235+CR290*CR235+CS290*CS235+CT290*CT235+CU290*CU235</f>
        <v>0</v>
      </c>
      <c r="DB235" s="2840">
        <f>E291*E235+F291*F235+G291*G235+H291*H235+I291*I235+J291*J235+K291*K235+L291*L235+M291*M235+N291*N235+O291*O235+P291*P235+Q291*Q235+R291*R235+S291*S235+T291*T235+U291*U235+V291*V235+W291*W235+X291*X235+Y291*Y235+Z291*Z235+AA291*AA235+AB291*AB235+AC291*AC235+AD291*AD235+AE291*AE235+AF291*AF235+AG291*AG235+AH291*AH235+AI291*AI235+AJ291*AJ235+AK291*AK235+AL291*AL235+AM291*AM235+AN291*AN235+AO291*AO235+AP291*AP235+AQ291*AQ235+AR291*AR235+AS291*AS235+AT291*AT235+AU291*AU235+AV291*AV235+AW291*AW235+AX291*AX235+AY291*AY235+AZ291*AZ235+BA291*BA235+BB291*BB235+BC291*BC235+BD291*BD235+BE291*BE235+BF291*BF235+BG291*BG235+BH291*BH235+BI291*BI235+BJ291*BJ235+BK291*BK235+BL291*BL235+BM291*BM235+BN291*BN235+BO291*BO235+BP291*BP235+BQ291*BQ235+BR291*BR235+BS291*BS235+BT291*BT235+BU291*BU235+BV291*BV235+BW291*BW235+BX291*BX235+BY291*BY235+BZ291*BZ235+CA291*CA235+CB291*CB235+CC291*CC235+CD291*CD235+CE291*CE235+CF291*CF235+CG291*CG235+CH291*CH235+CI291*CI235+CJ291*CJ235+CK291*CK235+CL291*CL235+CM291*CM235+CN291*CN235+CO291*CO235+CP291*CP235+CQ291*CQ235+CR291*CR235+CS291*CS235+CT291*CT235+CU291*CU235</f>
        <v>0</v>
      </c>
      <c r="DC235" s="2840">
        <f>E292*E235+F292*F235+G292*G235+H292*H235+I292*I235+J292*J235+K292*K235+L292*L235+M292*M235+N292*N235+O292*O235+P292*P235+Q292*Q235+R292*R235+S292*S235+T292*T235+U292*U235+V292*V235+W292*W235+X292*X235+Y292*Y235+Z292*Z235+AA292*AA235+AB292*AB235+AC292*AC235+AD292*AD235+AE292*AE235+AF292*AF235+AG292*AG235+AH292*AH235+AI292*AI235+AJ292*AJ235+AK292*AK235+AL292*AL235+AM292*AM235+AN292*AN235+AO292*AO235+AP292*AP235+AQ292*AQ235+AR292*AR235+AS292*AS235+AT292*AT235+AU292*AU235+AV292*AV235+AW292*AW235+AX292*AX235+AY292*AY235+AZ292*AZ235+BA292*BA235+BB292*BB235+BC292*BC235+BD292*BD235+BE292*BE235+BF292*BF235+BG292*BG235+BH292*BH235+BI292*BI235+BJ292*BJ235+BK292*BK235+BL292*BL235+BM292*BM235+BN292*BN235+BO292*BO235+BP292*BP235+BQ292*BQ235+BR292*BR235+BS292*BS235+BT292*BT235+BU292*BU235+BV292*BV235+BW292*BW235+BX292*BX235+BY292*BY235+BZ292*BZ235+CA292*CA235+CB292*CB235+CC292*CC235+CD292*CD235+CE292*CE235+CF292*CF235+CG292*CG235+CH292*CH235+CI292*CI235+CJ292*CJ235+CK292*CK235+CL292*CL235+CM292*CM235+CN292*CN235+CO292*CO235+CP292*CP235+CQ292*CQ235+CR292*CR235+CS292*CS235+CT292*CT235+CU292*CU235</f>
        <v>0</v>
      </c>
      <c r="DD235" s="2840">
        <f>E293*E235+F293*F235+G293*G235+H293*H235+I293*I235+J293*J235+K293*K235+L293*L235+M293*M235+N293*N235+O293*O235+P293*P235+Q293*Q235+R293*R235+S293*S235+T293*T235+U293*U235+V293*V235+W293*W235+X293*X235+Y293*Y235+Z293*Z235+AA293*AA235+AB293*AB235+AC293*AC235+AD293*AD235+AE293*AE235+AF293*AF235+AG293*AG235+AH293*AH235+AI293*AI235+AJ293*AJ235+AK293*AK235+AL293*AL235+AM293*AM235+AN293*AN235+AO293*AO235+AP293*AP235+AQ293*AQ235+AR293*AR235+AS293*AS235+AT293*AT235+AU293*AU235+AV293*AV235+AW293*AW235+AX293*AX235+AY293*AY235+AZ293*AZ235+BA293*BA235+BB293*BB235+BC293*BC235+BD293*BD235+BE293*BE235+BF293*BF235+BG293*BG235+BH293*BH235+BI293*BI235+BJ293*BJ235+BK293*BK235+BL293*BL235+BM293*BM235+BN293*BN235+BO293*BO235+BP293*BP235+BQ293*BQ235+BR293*BR235+BS293*BS235+BT293*BT235+BU293*BU235+BV293*BV235+BW293*BW235+BX293*BX235+BY293*BY235+BZ293*BZ235+CA293*CA235+CB293*CB235+CC293*CC235+CD293*CD235+CE293*CE235+CF293*CF235+CG293*CG235+CH293*CH235+CI293*CI235+CJ293*CJ235+CK293*CK235+CL293*CL235+CM293*CM235+CN293*CN235+CO293*CO235+CP293*CP235+CQ293*CQ235+CR293*CR235+CS293*CS235+CT293*CT235+CU293*CU235</f>
        <v>0</v>
      </c>
      <c r="DE235" s="2840">
        <f>E294*E235+F294*F235+G294*G235+H294*H235+I294*I235+J294*J235+K294*K235+L294*L235+M294*M235+N294*N235+O294*O235+P294*P235+Q294*Q235+R294*R235+S294*S235+T294*T235+U294*U235+V294*V235+W294*W235+X294*X235+Y294*Y235+Z294*Z235+AA294*AA235+AB294*AB235+AC294*AC235+AD294*AD235+AE294*AE235+AF294*AF235+AG294*AG235+AH294*AH235+AI294*AI235+AJ294*AJ235+AK294*AK235+AL294*AL235+AM294*AM235+AN294*AN235+AO294*AO235+AP294*AP235+AQ294*AQ235+AR294*AR235+AS294*AS235+AT294*AT235+AU294*AU235+AV294*AV235+AW294*AW235+AX294*AX235+AY294*AY235+AZ294*AZ235+BA294*BA235+BB294*BB235+BC294*BC235+BD294*BD235+BE294*BE235+BF294*BF235+BG294*BG235+BH294*BH235+BI294*BI235+BJ294*BJ235+BK294*BK235+BL294*BL235+BM294*BM235+BN294*BN235+BO294*BO235+BP294*BP235+BQ294*BQ235+BR294*BR235+BS294*BS235+BT294*BT235+BU294*BU235+BV294*BV235+BW294*BW235+BX294*BX235+BY294*BY235+BZ294*BZ235+CA294*CA235+CB294*CB235+CC294*CC235+CD294*CD235+CE294*CE235+CF294*CF235+CG294*CG235+CH294*CH235+CI294*CI235+CJ294*CJ235+CK294*CK235+CL294*CL235+CM294*CM235+CN294*CN235+CO294*CO235+CP294*CP235+CQ294*CQ235+CR294*CR235+CS294*CS235+CT294*CT235+CU294*CU235</f>
        <v>0</v>
      </c>
      <c r="DF235" s="2840">
        <f>E295*E235+F295*F235+G295*G235+H295*H235+I295*I235+J295*J235+K295*K235+L295*L235+M295*M235+N295*N235+O295*O235+P295*P235+Q295*Q235+R295*R235+S295*S235+T295*T235+U295*U235+V295*V235+W295*W235+X295*X235+Y295*Y235+Z295*Z235+AA295*AA235+AB295*AB235+AC295*AC235+AD295*AD235+AE295*AE235+AF295*AF235+AG295*AG235+AH295*AH235+AI295*AI235+AJ295*AJ235+AK295*AK235+AL295*AL235+AM295*AM235+AN295*AN235+AO295*AO235+AP295*AP235+AQ295*AQ235+AR295*AR235+AS295*AS235+AT295*AT235+AU295*AU235+AV295*AV235+AW295*AW235+AX295*AX235+AY295*AY235+AZ295*AZ235+BA295*BA235+BB295*BB235+BC295*BC235+BD295*BD235+BE295*BE235+BF295*BF235+BG295*BG235+BH295*BH235+BI295*BI235+BJ295*BJ235+BK295*BK235+BL295*BL235+BM295*BM235+BN295*BN235+BO295*BO235+BP295*BP235+BQ295*BQ235+BR295*BR235+BS295*BS235+BT295*BT235+BU295*BU235+BV295*BV235+BW295*BW235+BX295*BX235+BY295*BY235+BZ295*BZ235+CA295*CA235+CB295*CB235+CC295*CC235+CD295*CD235+CE295*CE235+CF295*CF235+CG295*CG235+CH295*CH235+CI295*CI235+CJ295*CJ235+CK295*CK235+CL295*CL235+CM295*CM235+CN295*CN235+CO295*CO235+CP295*CP235+CQ295*CQ235+CR295*CR235+CS295*CS235+CT295*CT235+CU295*CU235</f>
        <v>0</v>
      </c>
      <c r="DG235" s="2840">
        <f>E296*E235+F296*F235+G296*G235+H296*H235+I296*I235+J296*J235+K296*K235+L296*L235+M296*M235+N296*N235+O296*O235+P296*P235+Q296*Q235+R296*R235+S296*S235+T296*T235+U296*U235+V296*V235+W296*W235+X296*X235+Y296*Y235+Z296*Z235+AA296*AA235+AB296*AB235+AC296*AC235+AD296*AD235+AE296*AE235+AF296*AF235+AG296*AG235+AH296*AH235+AI296*AI235+AJ296*AJ235+AK296*AK235+AL296*AL235+AM296*AM235+AN296*AN235+AO296*AO235+AP296*AP235+AQ296*AQ235+AR296*AR235+AS296*AS235+AT296*AT235+AU296*AU235+AV296*AV235+AW296*AW235+AX296*AX235+AY296*AY235+AZ296*AZ235+BA296*BA235+BB296*BB235+BC296*BC235+BD296*BD235+BE296*BE235+BF296*BF235+BG296*BG235+BH296*BH235+BI296*BI235+BJ296*BJ235+BK296*BK235+BL296*BL235+BM296*BM235+BN296*BN235+BO296*BO235+BP296*BP235+BQ296*BQ235+BR296*BR235+BS296*BS235+BT296*BT235+BU296*BU235+BV296*BV235+BW296*BW235+BX296*BX235+BY296*BY235+BZ296*BZ235+CA296*CA235+CB296*CB235+CC296*CC235+CD296*CD235+CE296*CE235+CF296*CF235+CG296*CG235+CH296*CH235+CI296*CI235+CJ296*CJ235+CK296*CK235+CL296*CL235+CM296*CM235+CN296*CN235+CO296*CO235+CP296*CP235+CQ296*CQ235+CR296*CR235+CS296*CS235+CT296*CT235+CU296*CU235</f>
        <v>0</v>
      </c>
      <c r="DH235" s="2840">
        <f>E297*E235+F297*F235+G297*G235+H297*H235+I297*I235+J297*J235+K297*K235+L297*L235+M297*M235+N297*N235+O297*O235+P297*P235+Q297*Q235+R297*R235+S297*S235+T297*T235+U297*U235+V297*V235+W297*W235+X297*X235+Y297*Y235+Z297*Z235+AA297*AA235+AB297*AB235+AC297*AC235+AD297*AD235+AE297*AE235+AF297*AF235+AG297*AG235+AH297*AH235+AI297*AI235+AJ297*AJ235+AK297*AK235+AL297*AL235+AM297*AM235+AN297*AN235+AO297*AO235+AP297*AP235+AQ297*AQ235+AR297*AR235+AS297*AS235+AT297*AT235+AU297*AU235+AV297*AV235+AW297*AW235+AX297*AX235+AY297*AY235+AZ297*AZ235+BA297*BA235+BB297*BB235+BC297*BC235+BD297*BD235+BE297*BE235+BF297*BF235+BG297*BG235+BH297*BH235+BI297*BI235+BJ297*BJ235+BK297*BK235+BL297*BL235+BM297*BM235+BN297*BN235+BO297*BO235+BP297*BP235+BQ297*BQ235+BR297*BR235+BS297*BS235+BT297*BT235+BU297*BU235+BV297*BV235+BW297*BW235+BX297*BX235+BY297*BY235+BZ297*BZ235+CA297*CA235+CB297*CB235+CC297*CC235+CD297*CD235+CE297*CE235+CF297*CF235+CG297*CG235+CH297*CH235+CI297*CI235+CJ297*CJ235+CK297*CK235+CL297*CL235+CM297*CM235+CN297*CN235+CO297*CO235+CP297*CP235+CQ297*CQ235+CR297*CR235+CS297*CS235+CT297*CT235+CU297*CU235</f>
        <v>0</v>
      </c>
      <c r="DI235" s="2840">
        <f>E298*E235+F298*F235+G298*G235+H298*H235+I298*I235+J298*J235+K298*K235+L298*L235+M298*M235+N298*N235+O298*O235+P298*P235+Q298*Q235+R298*R235+S298*S235+T298*T235+U298*U235+V298*V235+W298*W235+X298*X235+Y298*Y235+Z298*Z235+AA298*AA235+AB298*AB235+AC298*AC235+AD298*AD235+AE298*AE235+AF298*AF235+AG298*AG235+AH298*AH235+AI298*AI235+AJ298*AJ235+AK298*AK235+AL298*AL235+AM298*AM235+AN298*AN235+AO298*AO235+AP298*AP235+AQ298*AQ235+AR298*AR235+AS298*AS235+AT298*AT235+AU298*AU235+AV298*AV235+AW298*AW235+AX298*AX235+AY298*AY235+AZ298*AZ235+BA298*BA235+BB298*BB235+BC298*BC235+BD298*BD235+BE298*BE235+BF298*BF235+BG298*BG235+BH298*BH235+BI298*BI235+BJ298*BJ235+BK298*BK235+BL298*BL235+BM298*BM235+BN298*BN235+BO298*BO235+BP298*BP235+BQ298*BQ235+BR298*BR235+BS298*BS235+BT298*BT235+BU298*BU235+BV298*BV235+BW298*BW235+BX298*BX235+BY298*BY235+BZ298*BZ235+CA298*CA235+CB298*CB235+CC298*CC235+CD298*CD235+CE298*CE235+CF298*CF235+CG298*CG235+CH298*CH235+CI298*CI235+CJ298*CJ235+CK298*CK235+CL298*CL235+CM298*CM235+CN298*CN235+CO298*CO235+CP298*CP235+CQ298*CQ235+CR298*CR235+CS298*CS235+CT298*CT235+CU298*CU235</f>
        <v>0</v>
      </c>
    </row>
    <row r="236" spans="2:113" ht="18" x14ac:dyDescent="0.25">
      <c r="B236" s="2510">
        <v>83</v>
      </c>
      <c r="C236" s="2444" t="s">
        <v>2990</v>
      </c>
      <c r="D236" s="2445" t="s">
        <v>1686</v>
      </c>
      <c r="E236" s="3125">
        <f>0</f>
        <v>0</v>
      </c>
      <c r="F236" s="3125">
        <f>0</f>
        <v>0</v>
      </c>
      <c r="G236" s="3125">
        <f>0</f>
        <v>0</v>
      </c>
      <c r="H236" s="3125">
        <f>0</f>
        <v>0</v>
      </c>
      <c r="I236" s="3125">
        <f>0</f>
        <v>0</v>
      </c>
      <c r="J236" s="3126">
        <f>0</f>
        <v>0</v>
      </c>
      <c r="K236" s="3125">
        <f>0</f>
        <v>0</v>
      </c>
      <c r="L236" s="3125">
        <f>0</f>
        <v>0</v>
      </c>
      <c r="M236" s="3125">
        <f>0</f>
        <v>0</v>
      </c>
      <c r="N236" s="3125">
        <f>0</f>
        <v>0</v>
      </c>
      <c r="O236" s="3125">
        <f>0</f>
        <v>0</v>
      </c>
      <c r="P236" s="3125">
        <f>0</f>
        <v>0</v>
      </c>
      <c r="Q236" s="3125">
        <f>0</f>
        <v>0</v>
      </c>
      <c r="R236" s="3127">
        <f>-E_EQNO3*X_OHO/X_BIO</f>
        <v>-1.8401411664329181</v>
      </c>
      <c r="S236" s="3127">
        <f>-E_EQNO3*X_CASTO/X_BIO</f>
        <v>-1.8401411664329181</v>
      </c>
      <c r="T236" s="3127">
        <f>-E_EQNO3*X_MEOLO/X_BIO</f>
        <v>-3.680282332865836E-3</v>
      </c>
      <c r="U236" s="3127">
        <f>-E_EQNO3*X_AOB/X_BIO</f>
        <v>-0.12144931698457259</v>
      </c>
      <c r="V236" s="3127">
        <f>-E_EQNO3*X_NOB/X_BIO</f>
        <v>-7.3605646657316726E-2</v>
      </c>
      <c r="W236" s="3127">
        <f>-E_EQNO3*X_AMX/X_BIO</f>
        <v>-3.680282332865836E-3</v>
      </c>
      <c r="X236" s="3127">
        <f>-E_EQNO3*X_AMETO/X_BIO</f>
        <v>-1.1040846998597508E-3</v>
      </c>
      <c r="Y236" s="3127">
        <f>-E_EQNO3*X_HMETO/X_BIO</f>
        <v>-7.3605646657316716E-4</v>
      </c>
      <c r="Z236" s="3127">
        <f>-E_EQNO3*X_ASRO/X_BIO</f>
        <v>-3.680282332865836E-3</v>
      </c>
      <c r="AA236" s="3127">
        <f>-E_EQNO3*X_HSRO/X_BIO</f>
        <v>-0.12880988165030427</v>
      </c>
      <c r="AB236" s="3127">
        <f>-E_EQNO3*X_SOO/X_BIO</f>
        <v>-0.55204234992987533</v>
      </c>
      <c r="AC236" s="3127">
        <f>-E_EQNO3*X_ALGAE/X_BIO</f>
        <v>0</v>
      </c>
      <c r="AD236" s="3125">
        <f>1+(i_N_BIO*E_EQNO3*(X_BIO-X_ALGAE)+i_N_ALGAE*E_EQNO3*X_ALGAE)/X_BIO</f>
        <v>1.3198349361377055</v>
      </c>
      <c r="AE236" s="3125">
        <f>0</f>
        <v>0</v>
      </c>
      <c r="AF236" s="3125">
        <f>-1</f>
        <v>-1</v>
      </c>
      <c r="AG236" s="3125">
        <f>0</f>
        <v>0</v>
      </c>
      <c r="AH236" s="3125">
        <f>0</f>
        <v>0</v>
      </c>
      <c r="AI236" s="3125">
        <f>0</f>
        <v>0</v>
      </c>
      <c r="AJ236" s="3126">
        <f>0</f>
        <v>0</v>
      </c>
      <c r="AK236" s="3125">
        <f>0</f>
        <v>0</v>
      </c>
      <c r="AL236" s="3125">
        <f>(i_P_BIO*E_EQNO3*(X_BIO-X_ALGAE)+i_P_ALGAE*E_EQNO3*X_ALGAE)/X_BIO</f>
        <v>9.1381410325058712E-2</v>
      </c>
      <c r="AM236" s="3125">
        <f>0</f>
        <v>0</v>
      </c>
      <c r="AN236" s="3125">
        <f>0</f>
        <v>0</v>
      </c>
      <c r="AO236" s="3125">
        <f>0</f>
        <v>0</v>
      </c>
      <c r="AP236" s="3126">
        <f>0</f>
        <v>0</v>
      </c>
      <c r="AQ236" s="3125">
        <f>0</f>
        <v>0</v>
      </c>
      <c r="AR236" s="3125">
        <f>0</f>
        <v>0</v>
      </c>
      <c r="AS236" s="3125">
        <f>0</f>
        <v>0</v>
      </c>
      <c r="AT236" s="3125">
        <f>0</f>
        <v>0</v>
      </c>
      <c r="AU236" s="3125">
        <f>(i_CIT_BIO*E_EQNO3*(X_BIO-X_ALGAE)+i_CIT_ALGAE*E_EQNO3*X_ALGAE)/X_BIO</f>
        <v>1.6083128217210332</v>
      </c>
      <c r="AV236" s="3125">
        <f>0</f>
        <v>0</v>
      </c>
      <c r="AW236" s="3125">
        <f>0</f>
        <v>0</v>
      </c>
      <c r="AX236" s="3125">
        <f>0</f>
        <v>0</v>
      </c>
      <c r="AY236" s="3125">
        <f>0</f>
        <v>0</v>
      </c>
      <c r="AZ236" s="3125">
        <f>0</f>
        <v>0</v>
      </c>
      <c r="BA236" s="3125">
        <f>0</f>
        <v>0</v>
      </c>
      <c r="BB236" s="3125">
        <f>0</f>
        <v>0</v>
      </c>
      <c r="BC236" s="3125">
        <f>(i_S_BIO*E_EQNO3*(X_BIO-X_ALGAE)+i_S_ALGAE*E_EQNO3*X_ALGAE)/X_BIO</f>
        <v>4.5690705162529356E-2</v>
      </c>
      <c r="BD236" s="3125">
        <f>0</f>
        <v>0</v>
      </c>
      <c r="BE236" s="3125">
        <f>0</f>
        <v>0</v>
      </c>
      <c r="BF236" s="3125">
        <f>0</f>
        <v>0</v>
      </c>
      <c r="BG236" s="3125">
        <f>0</f>
        <v>0</v>
      </c>
      <c r="BH236" s="3125">
        <f>0</f>
        <v>0</v>
      </c>
      <c r="BI236" s="3125">
        <f>0</f>
        <v>0</v>
      </c>
      <c r="BJ236" s="3125">
        <f>0</f>
        <v>0</v>
      </c>
      <c r="BK236" s="3125">
        <f>0</f>
        <v>0</v>
      </c>
      <c r="BL236" s="3125">
        <f>0</f>
        <v>0</v>
      </c>
      <c r="BM236" s="3125">
        <f>0</f>
        <v>0</v>
      </c>
      <c r="BN236" s="3125">
        <f>0</f>
        <v>0</v>
      </c>
      <c r="BO236" s="3125">
        <f>0</f>
        <v>0</v>
      </c>
      <c r="BP236" s="3125">
        <f>0</f>
        <v>0</v>
      </c>
      <c r="BQ236" s="3125">
        <f>0</f>
        <v>0</v>
      </c>
      <c r="BR236" s="3125">
        <f>0</f>
        <v>0</v>
      </c>
      <c r="BS236" s="3125">
        <f>0</f>
        <v>0</v>
      </c>
      <c r="BT236" s="3125">
        <f>0</f>
        <v>0</v>
      </c>
      <c r="BU236" s="3125">
        <f>0</f>
        <v>0</v>
      </c>
      <c r="BV236" s="3125">
        <f>0</f>
        <v>0</v>
      </c>
      <c r="BW236" s="3125">
        <f>0</f>
        <v>0</v>
      </c>
      <c r="BX236" s="3125">
        <f>0</f>
        <v>0</v>
      </c>
      <c r="BY236" s="3125">
        <f>0</f>
        <v>0</v>
      </c>
      <c r="BZ236" s="3126">
        <f>0</f>
        <v>0</v>
      </c>
      <c r="CA236" s="3126">
        <f>0</f>
        <v>0</v>
      </c>
      <c r="CB236" s="3126">
        <f>0</f>
        <v>0</v>
      </c>
      <c r="CC236" s="3126">
        <f>0</f>
        <v>0</v>
      </c>
      <c r="CD236" s="3125">
        <f>0</f>
        <v>0</v>
      </c>
      <c r="CE236" s="3125">
        <f>0</f>
        <v>0</v>
      </c>
      <c r="CF236" s="3125">
        <f>0</f>
        <v>0</v>
      </c>
      <c r="CG236" s="3125">
        <f>0</f>
        <v>0</v>
      </c>
      <c r="CH236" s="3125">
        <f>0</f>
        <v>0</v>
      </c>
      <c r="CI236" s="3125">
        <f>0</f>
        <v>0</v>
      </c>
      <c r="CJ236" s="3125">
        <f>0</f>
        <v>0</v>
      </c>
      <c r="CK236" s="3125">
        <f>0</f>
        <v>0</v>
      </c>
      <c r="CL236" s="3125">
        <f>0</f>
        <v>0</v>
      </c>
      <c r="CM236" s="3125">
        <f>0</f>
        <v>0</v>
      </c>
      <c r="CN236" s="3125">
        <f>0</f>
        <v>0</v>
      </c>
      <c r="CO236" s="3125">
        <f>0</f>
        <v>0</v>
      </c>
      <c r="CP236" s="3125">
        <f>0</f>
        <v>0</v>
      </c>
      <c r="CQ236" s="3125">
        <f>0</f>
        <v>0</v>
      </c>
      <c r="CR236" s="3125">
        <f>0</f>
        <v>0</v>
      </c>
      <c r="CS236" s="3125">
        <f>0</f>
        <v>0</v>
      </c>
      <c r="CT236" s="3125">
        <f>0</f>
        <v>0</v>
      </c>
      <c r="CU236" s="3125">
        <f>0</f>
        <v>0</v>
      </c>
      <c r="CV236" s="3233">
        <f>q_ASSIM_T*X_BIO*M_satSNO3_KNO3_ASSIM*M_inhSNO2_KNO2_ASSIM*M_inhSNHx_KiNHx_ASSIM</f>
        <v>6.1417397719460568E-3</v>
      </c>
      <c r="CX236" s="2838">
        <f>E287*E236+F287*F236+G287*G236+H287*H236+I287*I236+J287*J236+K287*K236+L287*L236+M287*M236+N287*N236+O287*O236+P287*P236+Q287*Q236+R287*R236+S287*S236+T287*T236+U287*U236+V287*V236+W287*W236+X287*X236+Y287*Y236+Z287*Z236+AA287*AA236+AB287*AB236+AC287*AC236+AD287*AD236+AE287*AE236+AF287*AF236+AG287*AG236+AH287*AH236+AI287*AI236+AJ287*AJ236+AK287*AK236+AL287*AL236+AM287*AM236+AN287*AN236+AO287*AO236+AP287*AP236+AQ287*AQ236+AR287*AR236+AS287*AS236+AT287*AT236+AU287*AU236+AV287*AV236+AW287*AW236+AX287*AX236+AY287*AY236+AZ287*AZ236+BA287*BA236+BB287*BB236+BC287*BC236+BD287*BD236+BE287*BE236+BF287*BF236+BG287*BG236+BH287*BH236+BI287*BI236+BJ287*BJ236+BK287*BK236+BL287*BL236+BM287*BM236+BN287*BN236+BO287*BO236+BP287*BP236+BQ287*BQ236+BR287*BR236+BS287*BS236+BT287*BT236+BU287*BU236+BV287*BV236+BW287*BW236+BX287*BX236+BY287*BY236+BZ287*BZ236+CA287*CA236+CB287*CB236+CC287*CC236+CD287*CD236+CE287*CE236+CF287*CF236+CG287*CG236+CH287*CH236+CI287*CI236+CJ287*CJ236+CK287*CK236+CL287*CL236+CM287*CM236+CN287*CN236+CO287*CO236+CP287*CP236+CQ287*CQ236+CR287*CR236+CS287*CS236+CT287*CT236+CU287*CU236</f>
        <v>0</v>
      </c>
      <c r="CY236" s="2838">
        <f>E288*E236+F288*F236+G288*G236+H288*H236+I288*I236+J288*J236+K288*K236+L288*L236+M288*M236+N288*N236+O288*O236+P288*P236+Q288*Q236+R288*R236+S288*S236+T288*T236+U288*U236+V288*V236+W288*W236+X288*X236+Y288*Y236+Z288*Z236+AA288*AA236+AB288*AB236+AC288*AC236+AD288*AD236+AE288*AE236+AF288*AF236+AG288*AG236+AH288*AH236+AI288*AI236+AJ288*AJ236+AK288*AK236+AL288*AL236+AM288*AM236+AN288*AN236+AO288*AO236+AP288*AP236+AQ288*AQ236+AR288*AR236+AS288*AS236+AT288*AT236+AU288*AU236+AV288*AV236+AW288*AW236+AX288*AX236+AY288*AY236+AZ288*AZ236+BA288*BA236+BB288*BB236+BC288*BC236+BD288*BD236+BE288*BE236+BF288*BF236+BG288*BG236+BH288*BH236+BI288*BI236+BJ288*BJ236+BK288*BK236+BL288*BL236+BM288*BM236+BN288*BN236+BO288*BO236+BP288*BP236+BQ288*BQ236+BR288*BR236+BS288*BS236+BT288*BT236+BU288*BU236+BV288*BV236+BW288*BW236+BX288*BX236+BY288*BY236+BZ288*BZ236+CA288*CA236+CB288*CB236+CC288*CC236+CD288*CD236+CE288*CE236+CF288*CF236+CG288*CG236+CH288*CH236+CI288*CI236+CJ288*CJ236+CK288*CK236+CL288*CL236+CM288*CM236+CN288*CN236+CO288*CO236+CP288*CP236+CQ288*CQ236+CR288*CR236+CS288*CS236+CT288*CT236+CU288*CU236</f>
        <v>0</v>
      </c>
      <c r="CZ236" s="2839">
        <f>E289*E236+F289*F236+G289*G236+H289*H236+I289*I236+J289*J236+K289*K236+L289*L236+M289*M236+N289*N236+O289*O236+P289*P236+Q289*Q236+R289*R236+S289*S236+T289*T236+U289*U236+V289*V236+W289*W236+X289*X236+Y289*Y236+Z289*Z236+AA289*AA236+AB289*AB236+AC289*AC236+AD289*AD236+AE289*AE236+AF289*AF236+AG289*AG236+AH289*AH236+AI289*AI236+AJ289*AJ236+AK289*AK236+AL289*AL236+AM289*AM236+AN289*AN236+AO289*AO236+AP289*AP236+AQ289*AQ236+AR289*AR236+AS289*AS236+AT289*AT236+AU289*AU236+AV289*AV236+AW289*AW236+AX289*AX236+AY289*AY236+AZ289*AZ236+BA289*BA236+BB289*BB236+BC289*BC236+BD289*BD236+BE289*BE236+BF289*BF236+BG289*BG236+BH289*BH236+BI289*BI236+BJ289*BJ236+BK289*BK236+BL289*BL236+BM289*BM236+BN289*BN236+BO289*BO236+BP289*BP236+BQ289*BQ236+BR289*BR236+BS289*BS236+BT289*BT236+BU289*BU236+BV289*BV236+BW289*BW236+BX289*BX236+BY289*BY236+BZ289*BZ236+CA289*CA236+CB289*CB236+CC289*CC236+CD289*CD236+CE289*CE236+CF289*CF236+CG289*CG236+CH289*CH236+CI289*CI236+CJ289*CJ236+CK289*CK236+CL289*CL236+CM289*CM236+CN289*CN236+CO289*CO236+CP289*CP236+CQ289*CQ236+CR289*CR236+CS289*CS236+CT289*CT236+CU289*CU236</f>
        <v>0</v>
      </c>
      <c r="DA236" s="2840">
        <f>E290*E236+F290*F236+G290*G236+H290*H236+I290*I236+J290*J236+K290*K236+L290*L236+M290*M236+N290*N236+O290*O236+P290*P236+Q290*Q236+R290*R236+S290*S236+T290*T236+U290*U236+V290*V236+W290*W236+X290*X236+Y290*Y236+Z290*Z236+AA290*AA236+AB290*AB236+AC290*AC236+AD290*AD236+AE290*AE236+AF290*AF236+AG290*AG236+AH290*AH236+AI290*AI236+AJ290*AJ236+AK290*AK236+AL290*AL236+AM290*AM236+AN290*AN236+AO290*AO236+AP290*AP236+AQ290*AQ236+AR290*AR236+AS290*AS236+AT290*AT236+AU290*AU236+AV290*AV236+AW290*AW236+AX290*AX236+AY290*AY236+AZ290*AZ236+BA290*BA236+BB290*BB236+BC290*BC236+BD290*BD236+BE290*BE236+BF290*BF236+BG290*BG236+BH290*BH236+BI290*BI236+BJ290*BJ236+BK290*BK236+BL290*BL236+BM290*BM236+BN290*BN236+BO290*BO236+BP290*BP236+BQ290*BQ236+BR290*BR236+BS290*BS236+BT290*BT236+BU290*BU236+BV290*BV236+BW290*BW236+BX290*BX236+BY290*BY236+BZ290*BZ236+CA290*CA236+CB290*CB236+CC290*CC236+CD290*CD236+CE290*CE236+CF290*CF236+CG290*CG236+CH290*CH236+CI290*CI236+CJ290*CJ236+CK290*CK236+CL290*CL236+CM290*CM236+CN290*CN236+CO290*CO236+CP290*CP236+CQ290*CQ236+CR290*CR236+CS290*CS236+CT290*CT236+CU290*CU236</f>
        <v>1.3877787807814457E-17</v>
      </c>
      <c r="DB236" s="2840">
        <f>E291*E236+F291*F236+G291*G236+H291*H236+I291*I236+J291*J236+K291*K236+L291*L236+M291*M236+N291*N236+O291*O236+P291*P236+Q291*Q236+R291*R236+S291*S236+T291*T236+U291*U236+V291*V236+W291*W236+X291*X236+Y291*Y236+Z291*Z236+AA291*AA236+AB291*AB236+AC291*AC236+AD291*AD236+AE291*AE236+AF291*AF236+AG291*AG236+AH291*AH236+AI291*AI236+AJ291*AJ236+AK291*AK236+AL291*AL236+AM291*AM236+AN291*AN236+AO291*AO236+AP291*AP236+AQ291*AQ236+AR291*AR236+AS291*AS236+AT291*AT236+AU291*AU236+AV291*AV236+AW291*AW236+AX291*AX236+AY291*AY236+AZ291*AZ236+BA291*BA236+BB291*BB236+BC291*BC236+BD291*BD236+BE291*BE236+BF291*BF236+BG291*BG236+BH291*BH236+BI291*BI236+BJ291*BJ236+BK291*BK236+BL291*BL236+BM291*BM236+BN291*BN236+BO291*BO236+BP291*BP236+BQ291*BQ236+BR291*BR236+BS291*BS236+BT291*BT236+BU291*BU236+BV291*BV236+BW291*BW236+BX291*BX236+BY291*BY236+BZ291*BZ236+CA291*CA236+CB291*CB236+CC291*CC236+CD291*CD236+CE291*CE236+CF291*CF236+CG291*CG236+CH291*CH236+CI291*CI236+CJ291*CJ236+CK291*CK236+CL291*CL236+CM291*CM236+CN291*CN236+CO291*CO236+CP291*CP236+CQ291*CQ236+CR291*CR236+CS291*CS236+CT291*CT236+CU291*CU236</f>
        <v>6.9388939039072284E-18</v>
      </c>
      <c r="DC236" s="2840">
        <f>E292*E236+F292*F236+G292*G236+H292*H236+I292*I236+J292*J236+K292*K236+L292*L236+M292*M236+N292*N236+O292*O236+P292*P236+Q292*Q236+R292*R236+S292*S236+T292*T236+U292*U236+V292*V236+W292*W236+X292*X236+Y292*Y236+Z292*Z236+AA292*AA236+AB292*AB236+AC292*AC236+AD292*AD236+AE292*AE236+AF292*AF236+AG292*AG236+AH292*AH236+AI292*AI236+AJ292*AJ236+AK292*AK236+AL292*AL236+AM292*AM236+AN292*AN236+AO292*AO236+AP292*AP236+AQ292*AQ236+AR292*AR236+AS292*AS236+AT292*AT236+AU292*AU236+AV292*AV236+AW292*AW236+AX292*AX236+AY292*AY236+AZ292*AZ236+BA292*BA236+BB292*BB236+BC292*BC236+BD292*BD236+BE292*BE236+BF292*BF236+BG292*BG236+BH292*BH236+BI292*BI236+BJ292*BJ236+BK292*BK236+BL292*BL236+BM292*BM236+BN292*BN236+BO292*BO236+BP292*BP236+BQ292*BQ236+BR292*BR236+BS292*BS236+BT292*BT236+BU292*BU236+BV292*BV236+BW292*BW236+BX292*BX236+BY292*BY236+BZ292*BZ236+CA292*CA236+CB292*CB236+CC292*CC236+CD292*CD236+CE292*CE236+CF292*CF236+CG292*CG236+CH292*CH236+CI292*CI236+CJ292*CJ236+CK292*CK236+CL292*CL236+CM292*CM236+CN292*CN236+CO292*CO236+CP292*CP236+CQ292*CQ236+CR292*CR236+CS292*CS236+CT292*CT236+CU292*CU236</f>
        <v>0</v>
      </c>
      <c r="DD236" s="2840">
        <f>E293*E236+F293*F236+G293*G236+H293*H236+I293*I236+J293*J236+K293*K236+L293*L236+M293*M236+N293*N236+O293*O236+P293*P236+Q293*Q236+R293*R236+S293*S236+T293*T236+U293*U236+V293*V236+W293*W236+X293*X236+Y293*Y236+Z293*Z236+AA293*AA236+AB293*AB236+AC293*AC236+AD293*AD236+AE293*AE236+AF293*AF236+AG293*AG236+AH293*AH236+AI293*AI236+AJ293*AJ236+AK293*AK236+AL293*AL236+AM293*AM236+AN293*AN236+AO293*AO236+AP293*AP236+AQ293*AQ236+AR293*AR236+AS293*AS236+AT293*AT236+AU293*AU236+AV293*AV236+AW293*AW236+AX293*AX236+AY293*AY236+AZ293*AZ236+BA293*BA236+BB293*BB236+BC293*BC236+BD293*BD236+BE293*BE236+BF293*BF236+BG293*BG236+BH293*BH236+BI293*BI236+BJ293*BJ236+BK293*BK236+BL293*BL236+BM293*BM236+BN293*BN236+BO293*BO236+BP293*BP236+BQ293*BQ236+BR293*BR236+BS293*BS236+BT293*BT236+BU293*BU236+BV293*BV236+BW293*BW236+BX293*BX236+BY293*BY236+BZ293*BZ236+CA293*CA236+CB293*CB236+CC293*CC236+CD293*CD236+CE293*CE236+CF293*CF236+CG293*CG236+CH293*CH236+CI293*CI236+CJ293*CJ236+CK293*CK236+CL293*CL236+CM293*CM236+CN293*CN236+CO293*CO236+CP293*CP236+CQ293*CQ236+CR293*CR236+CS293*CS236+CT293*CT236+CU293*CU236</f>
        <v>0</v>
      </c>
      <c r="DE236" s="2840">
        <f>E294*E236+F294*F236+G294*G236+H294*H236+I294*I236+J294*J236+K294*K236+L294*L236+M294*M236+N294*N236+O294*O236+P294*P236+Q294*Q236+R294*R236+S294*S236+T294*T236+U294*U236+V294*V236+W294*W236+X294*X236+Y294*Y236+Z294*Z236+AA294*AA236+AB294*AB236+AC294*AC236+AD294*AD236+AE294*AE236+AF294*AF236+AG294*AG236+AH294*AH236+AI294*AI236+AJ294*AJ236+AK294*AK236+AL294*AL236+AM294*AM236+AN294*AN236+AO294*AO236+AP294*AP236+AQ294*AQ236+AR294*AR236+AS294*AS236+AT294*AT236+AU294*AU236+AV294*AV236+AW294*AW236+AX294*AX236+AY294*AY236+AZ294*AZ236+BA294*BA236+BB294*BB236+BC294*BC236+BD294*BD236+BE294*BE236+BF294*BF236+BG294*BG236+BH294*BH236+BI294*BI236+BJ294*BJ236+BK294*BK236+BL294*BL236+BM294*BM236+BN294*BN236+BO294*BO236+BP294*BP236+BQ294*BQ236+BR294*BR236+BS294*BS236+BT294*BT236+BU294*BU236+BV294*BV236+BW294*BW236+BX294*BX236+BY294*BY236+BZ294*BZ236+CA294*CA236+CB294*CB236+CC294*CC236+CD294*CD236+CE294*CE236+CF294*CF236+CG294*CG236+CH294*CH236+CI294*CI236+CJ294*CJ236+CK294*CK236+CL294*CL236+CM294*CM236+CN294*CN236+CO294*CO236+CP294*CP236+CQ294*CQ236+CR294*CR236+CS294*CS236+CT294*CT236+CU294*CU236</f>
        <v>0</v>
      </c>
      <c r="DF236" s="2840">
        <f>E295*E236+F295*F236+G295*G236+H295*H236+I295*I236+J295*J236+K295*K236+L295*L236+M295*M236+N295*N236+O295*O236+P295*P236+Q295*Q236+R295*R236+S295*S236+T295*T236+U295*U236+V295*V236+W295*W236+X295*X236+Y295*Y236+Z295*Z236+AA295*AA236+AB295*AB236+AC295*AC236+AD295*AD236+AE295*AE236+AF295*AF236+AG295*AG236+AH295*AH236+AI295*AI236+AJ295*AJ236+AK295*AK236+AL295*AL236+AM295*AM236+AN295*AN236+AO295*AO236+AP295*AP236+AQ295*AQ236+AR295*AR236+AS295*AS236+AT295*AT236+AU295*AU236+AV295*AV236+AW295*AW236+AX295*AX236+AY295*AY236+AZ295*AZ236+BA295*BA236+BB295*BB236+BC295*BC236+BD295*BD236+BE295*BE236+BF295*BF236+BG295*BG236+BH295*BH236+BI295*BI236+BJ295*BJ236+BK295*BK236+BL295*BL236+BM295*BM236+BN295*BN236+BO295*BO236+BP295*BP236+BQ295*BQ236+BR295*BR236+BS295*BS236+BT295*BT236+BU295*BU236+BV295*BV236+BW295*BW236+BX295*BX236+BY295*BY236+BZ295*BZ236+CA295*CA236+CB295*CB236+CC295*CC236+CD295*CD236+CE295*CE236+CF295*CF236+CG295*CG236+CH295*CH236+CI295*CI236+CJ295*CJ236+CK295*CK236+CL295*CL236+CM295*CM236+CN295*CN236+CO295*CO236+CP295*CP236+CQ295*CQ236+CR295*CR236+CS295*CS236+CT295*CT236+CU295*CU236</f>
        <v>0</v>
      </c>
      <c r="DG236" s="2840">
        <f>E296*E236+F296*F236+G296*G236+H296*H236+I296*I236+J296*J236+K296*K236+L296*L236+M296*M236+N296*N236+O296*O236+P296*P236+Q296*Q236+R296*R236+S296*S236+T296*T236+U296*U236+V296*V236+W296*W236+X296*X236+Y296*Y236+Z296*Z236+AA296*AA236+AB296*AB236+AC296*AC236+AD296*AD236+AE296*AE236+AF296*AF236+AG296*AG236+AH296*AH236+AI296*AI236+AJ296*AJ236+AK296*AK236+AL296*AL236+AM296*AM236+AN296*AN236+AO296*AO236+AP296*AP236+AQ296*AQ236+AR296*AR236+AS296*AS236+AT296*AT236+AU296*AU236+AV296*AV236+AW296*AW236+AX296*AX236+AY296*AY236+AZ296*AZ236+BA296*BA236+BB296*BB236+BC296*BC236+BD296*BD236+BE296*BE236+BF296*BF236+BG296*BG236+BH296*BH236+BI296*BI236+BJ296*BJ236+BK296*BK236+BL296*BL236+BM296*BM236+BN296*BN236+BO296*BO236+BP296*BP236+BQ296*BQ236+BR296*BR236+BS296*BS236+BT296*BT236+BU296*BU236+BV296*BV236+BW296*BW236+BX296*BX236+BY296*BY236+BZ296*BZ236+CA296*CA236+CB296*CB236+CC296*CC236+CD296*CD236+CE296*CE236+CF296*CF236+CG296*CG236+CH296*CH236+CI296*CI236+CJ296*CJ236+CK296*CK236+CL296*CL236+CM296*CM236+CN296*CN236+CO296*CO236+CP296*CP236+CQ296*CQ236+CR296*CR236+CS296*CS236+CT296*CT236+CU296*CU236</f>
        <v>0</v>
      </c>
      <c r="DH236" s="2840">
        <f>E297*E236+F297*F236+G297*G236+H297*H236+I297*I236+J297*J236+K297*K236+L297*L236+M297*M236+N297*N236+O297*O236+P297*P236+Q297*Q236+R297*R236+S297*S236+T297*T236+U297*U236+V297*V236+W297*W236+X297*X236+Y297*Y236+Z297*Z236+AA297*AA236+AB297*AB236+AC297*AC236+AD297*AD236+AE297*AE236+AF297*AF236+AG297*AG236+AH297*AH236+AI297*AI236+AJ297*AJ236+AK297*AK236+AL297*AL236+AM297*AM236+AN297*AN236+AO297*AO236+AP297*AP236+AQ297*AQ236+AR297*AR236+AS297*AS236+AT297*AT236+AU297*AU236+AV297*AV236+AW297*AW236+AX297*AX236+AY297*AY236+AZ297*AZ236+BA297*BA236+BB297*BB236+BC297*BC236+BD297*BD236+BE297*BE236+BF297*BF236+BG297*BG236+BH297*BH236+BI297*BI236+BJ297*BJ236+BK297*BK236+BL297*BL236+BM297*BM236+BN297*BN236+BO297*BO236+BP297*BP236+BQ297*BQ236+BR297*BR236+BS297*BS236+BT297*BT236+BU297*BU236+BV297*BV236+BW297*BW236+BX297*BX236+BY297*BY236+BZ297*BZ236+CA297*CA236+CB297*CB236+CC297*CC236+CD297*CD236+CE297*CE236+CF297*CF236+CG297*CG236+CH297*CH236+CI297*CI236+CJ297*CJ236+CK297*CK236+CL297*CL236+CM297*CM236+CN297*CN236+CO297*CO236+CP297*CP236+CQ297*CQ236+CR297*CR236+CS297*CS236+CT297*CT236+CU297*CU236</f>
        <v>0</v>
      </c>
      <c r="DI236" s="2840">
        <f>E298*E236+F298*F236+G298*G236+H298*H236+I298*I236+J298*J236+K298*K236+L298*L236+M298*M236+N298*N236+O298*O236+P298*P236+Q298*Q236+R298*R236+S298*S236+T298*T236+U298*U236+V298*V236+W298*W236+X298*X236+Y298*Y236+Z298*Z236+AA298*AA236+AB298*AB236+AC298*AC236+AD298*AD236+AE298*AE236+AF298*AF236+AG298*AG236+AH298*AH236+AI298*AI236+AJ298*AJ236+AK298*AK236+AL298*AL236+AM298*AM236+AN298*AN236+AO298*AO236+AP298*AP236+AQ298*AQ236+AR298*AR236+AS298*AS236+AT298*AT236+AU298*AU236+AV298*AV236+AW298*AW236+AX298*AX236+AY298*AY236+AZ298*AZ236+BA298*BA236+BB298*BB236+BC298*BC236+BD298*BD236+BE298*BE236+BF298*BF236+BG298*BG236+BH298*BH236+BI298*BI236+BJ298*BJ236+BK298*BK236+BL298*BL236+BM298*BM236+BN298*BN236+BO298*BO236+BP298*BP236+BQ298*BQ236+BR298*BR236+BS298*BS236+BT298*BT236+BU298*BU236+BV298*BV236+BW298*BW236+BX298*BX236+BY298*BY236+BZ298*BZ236+CA298*CA236+CB298*CB236+CC298*CC236+CD298*CD236+CE298*CE236+CF298*CF236+CG298*CG236+CH298*CH236+CI298*CI236+CJ298*CJ236+CK298*CK236+CL298*CL236+CM298*CM236+CN298*CN236+CO298*CO236+CP298*CP236+CQ298*CQ236+CR298*CR236+CS298*CS236+CT298*CT236+CU298*CU236</f>
        <v>0</v>
      </c>
    </row>
    <row r="237" spans="2:113" ht="18" x14ac:dyDescent="0.25">
      <c r="B237" s="2505">
        <v>84</v>
      </c>
      <c r="C237" s="2429" t="s">
        <v>2991</v>
      </c>
      <c r="D237" s="2430" t="s">
        <v>3277</v>
      </c>
      <c r="E237" s="3121">
        <f>0</f>
        <v>0</v>
      </c>
      <c r="F237" s="3121">
        <f>0</f>
        <v>0</v>
      </c>
      <c r="G237" s="3121">
        <f>0</f>
        <v>0</v>
      </c>
      <c r="H237" s="3121">
        <f>0</f>
        <v>0</v>
      </c>
      <c r="I237" s="3121">
        <f>0</f>
        <v>0</v>
      </c>
      <c r="J237" s="3141">
        <f>0</f>
        <v>0</v>
      </c>
      <c r="K237" s="3121">
        <f>0</f>
        <v>0</v>
      </c>
      <c r="L237" s="3121">
        <f>0</f>
        <v>0</v>
      </c>
      <c r="M237" s="3121">
        <f>0</f>
        <v>0</v>
      </c>
      <c r="N237" s="3121">
        <f>0</f>
        <v>0</v>
      </c>
      <c r="O237" s="3121">
        <f>0</f>
        <v>0</v>
      </c>
      <c r="P237" s="3121">
        <f>0</f>
        <v>0</v>
      </c>
      <c r="Q237" s="3121">
        <f>0</f>
        <v>0</v>
      </c>
      <c r="R237" s="3152">
        <f>0</f>
        <v>0</v>
      </c>
      <c r="S237" s="3121">
        <f>0</f>
        <v>0</v>
      </c>
      <c r="T237" s="3121">
        <f>0</f>
        <v>0</v>
      </c>
      <c r="U237" s="3121">
        <f>0</f>
        <v>0</v>
      </c>
      <c r="V237" s="3121">
        <f>0</f>
        <v>0</v>
      </c>
      <c r="W237" s="3121">
        <f>0</f>
        <v>0</v>
      </c>
      <c r="X237" s="3121">
        <f>0</f>
        <v>0</v>
      </c>
      <c r="Y237" s="3121">
        <f>0</f>
        <v>0</v>
      </c>
      <c r="Z237" s="3121">
        <f>0</f>
        <v>0</v>
      </c>
      <c r="AA237" s="3121">
        <f>0</f>
        <v>0</v>
      </c>
      <c r="AB237" s="3121">
        <f>0</f>
        <v>0</v>
      </c>
      <c r="AC237" s="3121">
        <f>0</f>
        <v>0</v>
      </c>
      <c r="AD237" s="3121">
        <f>0</f>
        <v>0</v>
      </c>
      <c r="AE237" s="3121">
        <f>0</f>
        <v>0</v>
      </c>
      <c r="AF237" s="3121">
        <f>0</f>
        <v>0</v>
      </c>
      <c r="AG237" s="3121">
        <f>0</f>
        <v>0</v>
      </c>
      <c r="AH237" s="3121">
        <f>0</f>
        <v>0</v>
      </c>
      <c r="AI237" s="3121">
        <f>0</f>
        <v>0</v>
      </c>
      <c r="AJ237" s="3141">
        <f>0</f>
        <v>0</v>
      </c>
      <c r="AK237" s="3121">
        <f>0</f>
        <v>0</v>
      </c>
      <c r="AL237" s="3121">
        <f>0</f>
        <v>0</v>
      </c>
      <c r="AM237" s="3121">
        <f>0</f>
        <v>0</v>
      </c>
      <c r="AN237" s="3121">
        <f>0</f>
        <v>0</v>
      </c>
      <c r="AO237" s="3121">
        <f>0</f>
        <v>0</v>
      </c>
      <c r="AP237" s="3141">
        <f>0</f>
        <v>0</v>
      </c>
      <c r="AQ237" s="3121">
        <f>0</f>
        <v>0</v>
      </c>
      <c r="AR237" s="3152">
        <f>-(E_EQH2S-E_EQS)</f>
        <v>-0.49896772181506321</v>
      </c>
      <c r="AS237" s="3121">
        <f>0</f>
        <v>0</v>
      </c>
      <c r="AT237" s="3121">
        <f>0</f>
        <v>0</v>
      </c>
      <c r="AU237" s="3121">
        <f>0</f>
        <v>0</v>
      </c>
      <c r="AV237" s="3121">
        <f>0</f>
        <v>0</v>
      </c>
      <c r="AW237" s="3121">
        <f>0</f>
        <v>0</v>
      </c>
      <c r="AX237" s="3121">
        <f>0</f>
        <v>0</v>
      </c>
      <c r="AY237" s="3121">
        <f>0</f>
        <v>0</v>
      </c>
      <c r="AZ237" s="3121">
        <f>0</f>
        <v>0</v>
      </c>
      <c r="BA237" s="3121">
        <f>0</f>
        <v>0</v>
      </c>
      <c r="BB237" s="3121">
        <f>-1</f>
        <v>-1</v>
      </c>
      <c r="BC237" s="3121">
        <f>0</f>
        <v>0</v>
      </c>
      <c r="BD237" s="3121">
        <f>1</f>
        <v>1</v>
      </c>
      <c r="BE237" s="3121">
        <f>0</f>
        <v>0</v>
      </c>
      <c r="BF237" s="3121">
        <f>0</f>
        <v>0</v>
      </c>
      <c r="BG237" s="3121">
        <f>0</f>
        <v>0</v>
      </c>
      <c r="BH237" s="3121">
        <f>0</f>
        <v>0</v>
      </c>
      <c r="BI237" s="3121">
        <f>0</f>
        <v>0</v>
      </c>
      <c r="BJ237" s="3121">
        <f>0</f>
        <v>0</v>
      </c>
      <c r="BK237" s="3121">
        <f>0</f>
        <v>0</v>
      </c>
      <c r="BL237" s="3121">
        <f>0</f>
        <v>0</v>
      </c>
      <c r="BM237" s="3121">
        <f>0</f>
        <v>0</v>
      </c>
      <c r="BN237" s="3121">
        <f>0</f>
        <v>0</v>
      </c>
      <c r="BO237" s="3121">
        <f>0</f>
        <v>0</v>
      </c>
      <c r="BP237" s="3121">
        <f>0</f>
        <v>0</v>
      </c>
      <c r="BQ237" s="3121">
        <f>0</f>
        <v>0</v>
      </c>
      <c r="BR237" s="3121">
        <f>0</f>
        <v>0</v>
      </c>
      <c r="BS237" s="3121">
        <f>0</f>
        <v>0</v>
      </c>
      <c r="BT237" s="3121">
        <f>0</f>
        <v>0</v>
      </c>
      <c r="BU237" s="3121">
        <f>0</f>
        <v>0</v>
      </c>
      <c r="BV237" s="3121">
        <f>0</f>
        <v>0</v>
      </c>
      <c r="BW237" s="3121">
        <f>0</f>
        <v>0</v>
      </c>
      <c r="BX237" s="3121">
        <f>0</f>
        <v>0</v>
      </c>
      <c r="BY237" s="3121">
        <f>0</f>
        <v>0</v>
      </c>
      <c r="BZ237" s="3141">
        <f>0</f>
        <v>0</v>
      </c>
      <c r="CA237" s="3141">
        <f>0</f>
        <v>0</v>
      </c>
      <c r="CB237" s="3141">
        <f>0</f>
        <v>0</v>
      </c>
      <c r="CC237" s="3141">
        <f>0</f>
        <v>0</v>
      </c>
      <c r="CD237" s="3121">
        <f>0</f>
        <v>0</v>
      </c>
      <c r="CE237" s="3121">
        <f>0</f>
        <v>0</v>
      </c>
      <c r="CF237" s="3121">
        <f>0</f>
        <v>0</v>
      </c>
      <c r="CG237" s="3121">
        <f>0</f>
        <v>0</v>
      </c>
      <c r="CH237" s="3121">
        <f>0</f>
        <v>0</v>
      </c>
      <c r="CI237" s="3121">
        <f>0</f>
        <v>0</v>
      </c>
      <c r="CJ237" s="3121">
        <f>0</f>
        <v>0</v>
      </c>
      <c r="CK237" s="3121">
        <f>0</f>
        <v>0</v>
      </c>
      <c r="CL237" s="3121">
        <f>0</f>
        <v>0</v>
      </c>
      <c r="CM237" s="3121">
        <f>0</f>
        <v>0</v>
      </c>
      <c r="CN237" s="3121">
        <f>0</f>
        <v>0</v>
      </c>
      <c r="CO237" s="3121">
        <f>0</f>
        <v>0</v>
      </c>
      <c r="CP237" s="3121">
        <f>0</f>
        <v>0</v>
      </c>
      <c r="CQ237" s="3121">
        <f>0</f>
        <v>0</v>
      </c>
      <c r="CR237" s="3121">
        <f>0</f>
        <v>0</v>
      </c>
      <c r="CS237" s="3121">
        <f>0</f>
        <v>0</v>
      </c>
      <c r="CT237" s="3121">
        <f>0</f>
        <v>0</v>
      </c>
      <c r="CU237" s="3121">
        <f>0</f>
        <v>0</v>
      </c>
      <c r="CV237" s="3227">
        <f>q_H2S_OX*S_H2S*M_satSO2_KO2_OHO</f>
        <v>9.3023255813953487E-3</v>
      </c>
      <c r="CX237" s="2838">
        <f>E287*E237+F287*F237+G287*G237+H287*H237+I287*I237+J287*J237+K287*K237+L287*L237+M287*M237+N287*N237+O287*O237+P287*P237+Q287*Q237+R287*R237+S287*S237+T287*T237+U287*U237+V287*V237+W287*W237+X287*X237+Y287*Y237+Z287*Z237+AA287*AA237+AB287*AB237+AC287*AC237+AD287*AD237+AE287*AE237+AF287*AF237+AG287*AG237+AH287*AH237+AI287*AI237+AJ287*AJ237+AK287*AK237+AL287*AL237+AM287*AM237+AN287*AN237+AO287*AO237+AP287*AP237+AQ287*AQ237+AR287*AR237+AS287*AS237+AT287*AT237+AU287*AU237+AV287*AV237+AW287*AW237+AX287*AX237+AY287*AY237+AZ287*AZ237+BA287*BA237+BB287*BB237+BC287*BC237+BD287*BD237+BE287*BE237+BF287*BF237+BG287*BG237+BH287*BH237+BI287*BI237+BJ287*BJ237+BK287*BK237+BL287*BL237+BM287*BM237+BN287*BN237+BO287*BO237+BP287*BP237+BQ287*BQ237+BR287*BR237+BS287*BS237+BT287*BT237+BU287*BU237+BV287*BV237+BW287*BW237+BX287*BX237+BY287*BY237+BZ287*BZ237+CA287*CA237+CB287*CB237+CC287*CC237+CD287*CD237+CE287*CE237+CF287*CF237+CG287*CG237+CH287*CH237+CI287*CI237+CJ287*CJ237+CK287*CK237+CL287*CL237+CM287*CM237+CN287*CN237+CO287*CO237+CP287*CP237+CQ287*CQ237+CR287*CR237+CS287*CS237+CT287*CT237+CU287*CU237</f>
        <v>0</v>
      </c>
      <c r="CY237" s="2838">
        <f>E288*E237+F288*F237+G288*G237+H288*H237+I288*I237+J288*J237+K288*K237+L288*L237+M288*M237+N288*N237+O288*O237+P288*P237+Q288*Q237+R288*R237+S288*S237+T288*T237+U288*U237+V288*V237+W288*W237+X288*X237+Y288*Y237+Z288*Z237+AA288*AA237+AB288*AB237+AC288*AC237+AD288*AD237+AE288*AE237+AF288*AF237+AG288*AG237+AH288*AH237+AI288*AI237+AJ288*AJ237+AK288*AK237+AL288*AL237+AM288*AM237+AN288*AN237+AO288*AO237+AP288*AP237+AQ288*AQ237+AR288*AR237+AS288*AS237+AT288*AT237+AU288*AU237+AV288*AV237+AW288*AW237+AX288*AX237+AY288*AY237+AZ288*AZ237+BA288*BA237+BB288*BB237+BC288*BC237+BD288*BD237+BE288*BE237+BF288*BF237+BG288*BG237+BH288*BH237+BI288*BI237+BJ288*BJ237+BK288*BK237+BL288*BL237+BM288*BM237+BN288*BN237+BO288*BO237+BP288*BP237+BQ288*BQ237+BR288*BR237+BS288*BS237+BT288*BT237+BU288*BU237+BV288*BV237+BW288*BW237+BX288*BX237+BY288*BY237+BZ288*BZ237+CA288*CA237+CB288*CB237+CC288*CC237+CD288*CD237+CE288*CE237+CF288*CF237+CG288*CG237+CH288*CH237+CI288*CI237+CJ288*CJ237+CK288*CK237+CL288*CL237+CM288*CM237+CN288*CN237+CO288*CO237+CP288*CP237+CQ288*CQ237+CR288*CR237+CS288*CS237+CT288*CT237+CU288*CU237</f>
        <v>0</v>
      </c>
      <c r="CZ237" s="2839">
        <f>E289*E237+F289*F237+G289*G237+H289*H237+I289*I237+J289*J237+K289*K237+L289*L237+M289*M237+N289*N237+O289*O237+P289*P237+Q289*Q237+R289*R237+S289*S237+T289*T237+U289*U237+V289*V237+W289*W237+X289*X237+Y289*Y237+Z289*Z237+AA289*AA237+AB289*AB237+AC289*AC237+AD289*AD237+AE289*AE237+AF289*AF237+AG289*AG237+AH289*AH237+AI289*AI237+AJ289*AJ237+AK289*AK237+AL289*AL237+AM289*AM237+AN289*AN237+AO289*AO237+AP289*AP237+AQ289*AQ237+AR289*AR237+AS289*AS237+AT289*AT237+AU289*AU237+AV289*AV237+AW289*AW237+AX289*AX237+AY289*AY237+AZ289*AZ237+BA289*BA237+BB289*BB237+BC289*BC237+BD289*BD237+BE289*BE237+BF289*BF237+BG289*BG237+BH289*BH237+BI289*BI237+BJ289*BJ237+BK289*BK237+BL289*BL237+BM289*BM237+BN289*BN237+BO289*BO237+BP289*BP237+BQ289*BQ237+BR289*BR237+BS289*BS237+BT289*BT237+BU289*BU237+BV289*BV237+BW289*BW237+BX289*BX237+BY289*BY237+BZ289*BZ237+CA289*CA237+CB289*CB237+CC289*CC237+CD289*CD237+CE289*CE237+CF289*CF237+CG289*CG237+CH289*CH237+CI289*CI237+CJ289*CJ237+CK289*CK237+CL289*CL237+CM289*CM237+CN289*CN237+CO289*CO237+CP289*CP237+CQ289*CQ237+CR289*CR237+CS289*CS237+CT289*CT237+CU289*CU237</f>
        <v>0</v>
      </c>
      <c r="DA237" s="2840">
        <f>E290*E237+F290*F237+G290*G237+H290*H237+I290*I237+J290*J237+K290*K237+L290*L237+M290*M237+N290*N237+O290*O237+P290*P237+Q290*Q237+R290*R237+S290*S237+T290*T237+U290*U237+V290*V237+W290*W237+X290*X237+Y290*Y237+Z290*Z237+AA290*AA237+AB290*AB237+AC290*AC237+AD290*AD237+AE290*AE237+AF290*AF237+AG290*AG237+AH290*AH237+AI290*AI237+AJ290*AJ237+AK290*AK237+AL290*AL237+AM290*AM237+AN290*AN237+AO290*AO237+AP290*AP237+AQ290*AQ237+AR290*AR237+AS290*AS237+AT290*AT237+AU290*AU237+AV290*AV237+AW290*AW237+AX290*AX237+AY290*AY237+AZ290*AZ237+BA290*BA237+BB290*BB237+BC290*BC237+BD290*BD237+BE290*BE237+BF290*BF237+BG290*BG237+BH290*BH237+BI290*BI237+BJ290*BJ237+BK290*BK237+BL290*BL237+BM290*BM237+BN290*BN237+BO290*BO237+BP290*BP237+BQ290*BQ237+BR290*BR237+BS290*BS237+BT290*BT237+BU290*BU237+BV290*BV237+BW290*BW237+BX290*BX237+BY290*BY237+BZ290*BZ237+CA290*CA237+CB290*CB237+CC290*CC237+CD290*CD237+CE290*CE237+CF290*CF237+CG290*CG237+CH290*CH237+CI290*CI237+CJ290*CJ237+CK290*CK237+CL290*CL237+CM290*CM237+CN290*CN237+CO290*CO237+CP290*CP237+CQ290*CQ237+CR290*CR237+CS290*CS237+CT290*CT237+CU290*CU237</f>
        <v>0</v>
      </c>
      <c r="DB237" s="2840">
        <f>E291*E237+F291*F237+G291*G237+H291*H237+I291*I237+J291*J237+K291*K237+L291*L237+M291*M237+N291*N237+O291*O237+P291*P237+Q291*Q237+R291*R237+S291*S237+T291*T237+U291*U237+V291*V237+W291*W237+X291*X237+Y291*Y237+Z291*Z237+AA291*AA237+AB291*AB237+AC291*AC237+AD291*AD237+AE291*AE237+AF291*AF237+AG291*AG237+AH291*AH237+AI291*AI237+AJ291*AJ237+AK291*AK237+AL291*AL237+AM291*AM237+AN291*AN237+AO291*AO237+AP291*AP237+AQ291*AQ237+AR291*AR237+AS291*AS237+AT291*AT237+AU291*AU237+AV291*AV237+AW291*AW237+AX291*AX237+AY291*AY237+AZ291*AZ237+BA291*BA237+BB291*BB237+BC291*BC237+BD291*BD237+BE291*BE237+BF291*BF237+BG291*BG237+BH291*BH237+BI291*BI237+BJ291*BJ237+BK291*BK237+BL291*BL237+BM291*BM237+BN291*BN237+BO291*BO237+BP291*BP237+BQ291*BQ237+BR291*BR237+BS291*BS237+BT291*BT237+BU291*BU237+BV291*BV237+BW291*BW237+BX291*BX237+BY291*BY237+BZ291*BZ237+CA291*CA237+CB291*CB237+CC291*CC237+CD291*CD237+CE291*CE237+CF291*CF237+CG291*CG237+CH291*CH237+CI291*CI237+CJ291*CJ237+CK291*CK237+CL291*CL237+CM291*CM237+CN291*CN237+CO291*CO237+CP291*CP237+CQ291*CQ237+CR291*CR237+CS291*CS237+CT291*CT237+CU291*CU237</f>
        <v>0</v>
      </c>
      <c r="DC237" s="2840">
        <f>E292*E237+F292*F237+G292*G237+H292*H237+I292*I237+J292*J237+K292*K237+L292*L237+M292*M237+N292*N237+O292*O237+P292*P237+Q292*Q237+R292*R237+S292*S237+T292*T237+U292*U237+V292*V237+W292*W237+X292*X237+Y292*Y237+Z292*Z237+AA292*AA237+AB292*AB237+AC292*AC237+AD292*AD237+AE292*AE237+AF292*AF237+AG292*AG237+AH292*AH237+AI292*AI237+AJ292*AJ237+AK292*AK237+AL292*AL237+AM292*AM237+AN292*AN237+AO292*AO237+AP292*AP237+AQ292*AQ237+AR292*AR237+AS292*AS237+AT292*AT237+AU292*AU237+AV292*AV237+AW292*AW237+AX292*AX237+AY292*AY237+AZ292*AZ237+BA292*BA237+BB292*BB237+BC292*BC237+BD292*BD237+BE292*BE237+BF292*BF237+BG292*BG237+BH292*BH237+BI292*BI237+BJ292*BJ237+BK292*BK237+BL292*BL237+BM292*BM237+BN292*BN237+BO292*BO237+BP292*BP237+BQ292*BQ237+BR292*BR237+BS292*BS237+BT292*BT237+BU292*BU237+BV292*BV237+BW292*BW237+BX292*BX237+BY292*BY237+BZ292*BZ237+CA292*CA237+CB292*CB237+CC292*CC237+CD292*CD237+CE292*CE237+CF292*CF237+CG292*CG237+CH292*CH237+CI292*CI237+CJ292*CJ237+CK292*CK237+CL292*CL237+CM292*CM237+CN292*CN237+CO292*CO237+CP292*CP237+CQ292*CQ237+CR292*CR237+CS292*CS237+CT292*CT237+CU292*CU237</f>
        <v>0</v>
      </c>
      <c r="DD237" s="2840">
        <f>E293*E237+F293*F237+G293*G237+H293*H237+I293*I237+J293*J237+K293*K237+L293*L237+M293*M237+N293*N237+O293*O237+P293*P237+Q293*Q237+R293*R237+S293*S237+T293*T237+U293*U237+V293*V237+W293*W237+X293*X237+Y293*Y237+Z293*Z237+AA293*AA237+AB293*AB237+AC293*AC237+AD293*AD237+AE293*AE237+AF293*AF237+AG293*AG237+AH293*AH237+AI293*AI237+AJ293*AJ237+AK293*AK237+AL293*AL237+AM293*AM237+AN293*AN237+AO293*AO237+AP293*AP237+AQ293*AQ237+AR293*AR237+AS293*AS237+AT293*AT237+AU293*AU237+AV293*AV237+AW293*AW237+AX293*AX237+AY293*AY237+AZ293*AZ237+BA293*BA237+BB293*BB237+BC293*BC237+BD293*BD237+BE293*BE237+BF293*BF237+BG293*BG237+BH293*BH237+BI293*BI237+BJ293*BJ237+BK293*BK237+BL293*BL237+BM293*BM237+BN293*BN237+BO293*BO237+BP293*BP237+BQ293*BQ237+BR293*BR237+BS293*BS237+BT293*BT237+BU293*BU237+BV293*BV237+BW293*BW237+BX293*BX237+BY293*BY237+BZ293*BZ237+CA293*CA237+CB293*CB237+CC293*CC237+CD293*CD237+CE293*CE237+CF293*CF237+CG293*CG237+CH293*CH237+CI293*CI237+CJ293*CJ237+CK293*CK237+CL293*CL237+CM293*CM237+CN293*CN237+CO293*CO237+CP293*CP237+CQ293*CQ237+CR293*CR237+CS293*CS237+CT293*CT237+CU293*CU237</f>
        <v>0</v>
      </c>
      <c r="DE237" s="2840">
        <f>E294*E237+F294*F237+G294*G237+H294*H237+I294*I237+J294*J237+K294*K237+L294*L237+M294*M237+N294*N237+O294*O237+P294*P237+Q294*Q237+R294*R237+S294*S237+T294*T237+U294*U237+V294*V237+W294*W237+X294*X237+Y294*Y237+Z294*Z237+AA294*AA237+AB294*AB237+AC294*AC237+AD294*AD237+AE294*AE237+AF294*AF237+AG294*AG237+AH294*AH237+AI294*AI237+AJ294*AJ237+AK294*AK237+AL294*AL237+AM294*AM237+AN294*AN237+AO294*AO237+AP294*AP237+AQ294*AQ237+AR294*AR237+AS294*AS237+AT294*AT237+AU294*AU237+AV294*AV237+AW294*AW237+AX294*AX237+AY294*AY237+AZ294*AZ237+BA294*BA237+BB294*BB237+BC294*BC237+BD294*BD237+BE294*BE237+BF294*BF237+BG294*BG237+BH294*BH237+BI294*BI237+BJ294*BJ237+BK294*BK237+BL294*BL237+BM294*BM237+BN294*BN237+BO294*BO237+BP294*BP237+BQ294*BQ237+BR294*BR237+BS294*BS237+BT294*BT237+BU294*BU237+BV294*BV237+BW294*BW237+BX294*BX237+BY294*BY237+BZ294*BZ237+CA294*CA237+CB294*CB237+CC294*CC237+CD294*CD237+CE294*CE237+CF294*CF237+CG294*CG237+CH294*CH237+CI294*CI237+CJ294*CJ237+CK294*CK237+CL294*CL237+CM294*CM237+CN294*CN237+CO294*CO237+CP294*CP237+CQ294*CQ237+CR294*CR237+CS294*CS237+CT294*CT237+CU294*CU237</f>
        <v>0</v>
      </c>
      <c r="DF237" s="2840">
        <f>E295*E237+F295*F237+G295*G237+H295*H237+I295*I237+J295*J237+K295*K237+L295*L237+M295*M237+N295*N237+O295*O237+P295*P237+Q295*Q237+R295*R237+S295*S237+T295*T237+U295*U237+V295*V237+W295*W237+X295*X237+Y295*Y237+Z295*Z237+AA295*AA237+AB295*AB237+AC295*AC237+AD295*AD237+AE295*AE237+AF295*AF237+AG295*AG237+AH295*AH237+AI295*AI237+AJ295*AJ237+AK295*AK237+AL295*AL237+AM295*AM237+AN295*AN237+AO295*AO237+AP295*AP237+AQ295*AQ237+AR295*AR237+AS295*AS237+AT295*AT237+AU295*AU237+AV295*AV237+AW295*AW237+AX295*AX237+AY295*AY237+AZ295*AZ237+BA295*BA237+BB295*BB237+BC295*BC237+BD295*BD237+BE295*BE237+BF295*BF237+BG295*BG237+BH295*BH237+BI295*BI237+BJ295*BJ237+BK295*BK237+BL295*BL237+BM295*BM237+BN295*BN237+BO295*BO237+BP295*BP237+BQ295*BQ237+BR295*BR237+BS295*BS237+BT295*BT237+BU295*BU237+BV295*BV237+BW295*BW237+BX295*BX237+BY295*BY237+BZ295*BZ237+CA295*CA237+CB295*CB237+CC295*CC237+CD295*CD237+CE295*CE237+CF295*CF237+CG295*CG237+CH295*CH237+CI295*CI237+CJ295*CJ237+CK295*CK237+CL295*CL237+CM295*CM237+CN295*CN237+CO295*CO237+CP295*CP237+CQ295*CQ237+CR295*CR237+CS295*CS237+CT295*CT237+CU295*CU237</f>
        <v>0</v>
      </c>
      <c r="DG237" s="2840">
        <f>E296*E237+F296*F237+G296*G237+H296*H237+I296*I237+J296*J237+K296*K237+L296*L237+M296*M237+N296*N237+O296*O237+P296*P237+Q296*Q237+R296*R237+S296*S237+T296*T237+U296*U237+V296*V237+W296*W237+X296*X237+Y296*Y237+Z296*Z237+AA296*AA237+AB296*AB237+AC296*AC237+AD296*AD237+AE296*AE237+AF296*AF237+AG296*AG237+AH296*AH237+AI296*AI237+AJ296*AJ237+AK296*AK237+AL296*AL237+AM296*AM237+AN296*AN237+AO296*AO237+AP296*AP237+AQ296*AQ237+AR296*AR237+AS296*AS237+AT296*AT237+AU296*AU237+AV296*AV237+AW296*AW237+AX296*AX237+AY296*AY237+AZ296*AZ237+BA296*BA237+BB296*BB237+BC296*BC237+BD296*BD237+BE296*BE237+BF296*BF237+BG296*BG237+BH296*BH237+BI296*BI237+BJ296*BJ237+BK296*BK237+BL296*BL237+BM296*BM237+BN296*BN237+BO296*BO237+BP296*BP237+BQ296*BQ237+BR296*BR237+BS296*BS237+BT296*BT237+BU296*BU237+BV296*BV237+BW296*BW237+BX296*BX237+BY296*BY237+BZ296*BZ237+CA296*CA237+CB296*CB237+CC296*CC237+CD296*CD237+CE296*CE237+CF296*CF237+CG296*CG237+CH296*CH237+CI296*CI237+CJ296*CJ237+CK296*CK237+CL296*CL237+CM296*CM237+CN296*CN237+CO296*CO237+CP296*CP237+CQ296*CQ237+CR296*CR237+CS296*CS237+CT296*CT237+CU296*CU237</f>
        <v>0</v>
      </c>
      <c r="DH237" s="2840">
        <f>E297*E237+F297*F237+G297*G237+H297*H237+I297*I237+J297*J237+K297*K237+L297*L237+M297*M237+N297*N237+O297*O237+P297*P237+Q297*Q237+R297*R237+S297*S237+T297*T237+U297*U237+V297*V237+W297*W237+X297*X237+Y297*Y237+Z297*Z237+AA297*AA237+AB297*AB237+AC297*AC237+AD297*AD237+AE297*AE237+AF297*AF237+AG297*AG237+AH297*AH237+AI297*AI237+AJ297*AJ237+AK297*AK237+AL297*AL237+AM297*AM237+AN297*AN237+AO297*AO237+AP297*AP237+AQ297*AQ237+AR297*AR237+AS297*AS237+AT297*AT237+AU297*AU237+AV297*AV237+AW297*AW237+AX297*AX237+AY297*AY237+AZ297*AZ237+BA297*BA237+BB297*BB237+BC297*BC237+BD297*BD237+BE297*BE237+BF297*BF237+BG297*BG237+BH297*BH237+BI297*BI237+BJ297*BJ237+BK297*BK237+BL297*BL237+BM297*BM237+BN297*BN237+BO297*BO237+BP297*BP237+BQ297*BQ237+BR297*BR237+BS297*BS237+BT297*BT237+BU297*BU237+BV297*BV237+BW297*BW237+BX297*BX237+BY297*BY237+BZ297*BZ237+CA297*CA237+CB297*CB237+CC297*CC237+CD297*CD237+CE297*CE237+CF297*CF237+CG297*CG237+CH297*CH237+CI297*CI237+CJ297*CJ237+CK297*CK237+CL297*CL237+CM297*CM237+CN297*CN237+CO297*CO237+CP297*CP237+CQ297*CQ237+CR297*CR237+CS297*CS237+CT297*CT237+CU297*CU237</f>
        <v>0</v>
      </c>
      <c r="DI237" s="2840">
        <f>E298*E237+F298*F237+G298*G237+H298*H237+I298*I237+J298*J237+K298*K237+L298*L237+M298*M237+N298*N237+O298*O237+P298*P237+Q298*Q237+R298*R237+S298*S237+T298*T237+U298*U237+V298*V237+W298*W237+X298*X237+Y298*Y237+Z298*Z237+AA298*AA237+AB298*AB237+AC298*AC237+AD298*AD237+AE298*AE237+AF298*AF237+AG298*AG237+AH298*AH237+AI298*AI237+AJ298*AJ237+AK298*AK237+AL298*AL237+AM298*AM237+AN298*AN237+AO298*AO237+AP298*AP237+AQ298*AQ237+AR298*AR237+AS298*AS237+AT298*AT237+AU298*AU237+AV298*AV237+AW298*AW237+AX298*AX237+AY298*AY237+AZ298*AZ237+BA298*BA237+BB298*BB237+BC298*BC237+BD298*BD237+BE298*BE237+BF298*BF237+BG298*BG237+BH298*BH237+BI298*BI237+BJ298*BJ237+BK298*BK237+BL298*BL237+BM298*BM237+BN298*BN237+BO298*BO237+BP298*BP237+BQ298*BQ237+BR298*BR237+BS298*BS237+BT298*BT237+BU298*BU237+BV298*BV237+BW298*BW237+BX298*BX237+BY298*BY237+BZ298*BZ237+CA298*CA237+CB298*CB237+CC298*CC237+CD298*CD237+CE298*CE237+CF298*CF237+CG298*CG237+CH298*CH237+CI298*CI237+CJ298*CJ237+CK298*CK237+CL298*CL237+CM298*CM237+CN298*CN237+CO298*CO237+CP298*CP237+CQ298*CQ237+CR298*CR237+CS298*CS237+CT298*CT237+CU298*CU237</f>
        <v>0</v>
      </c>
    </row>
    <row r="238" spans="2:113" ht="18" x14ac:dyDescent="0.25">
      <c r="B238" s="2505">
        <v>85</v>
      </c>
      <c r="C238" s="2429" t="s">
        <v>2992</v>
      </c>
      <c r="D238" s="2430" t="s">
        <v>3281</v>
      </c>
      <c r="E238" s="3121">
        <f>0</f>
        <v>0</v>
      </c>
      <c r="F238" s="3121">
        <f>0</f>
        <v>0</v>
      </c>
      <c r="G238" s="3121">
        <f>0</f>
        <v>0</v>
      </c>
      <c r="H238" s="3121">
        <f>0</f>
        <v>0</v>
      </c>
      <c r="I238" s="3121">
        <f>0</f>
        <v>0</v>
      </c>
      <c r="J238" s="3141">
        <f>0</f>
        <v>0</v>
      </c>
      <c r="K238" s="3121">
        <f>0</f>
        <v>0</v>
      </c>
      <c r="L238" s="3121">
        <f>0</f>
        <v>0</v>
      </c>
      <c r="M238" s="3121">
        <f>0</f>
        <v>0</v>
      </c>
      <c r="N238" s="3121">
        <f>0</f>
        <v>0</v>
      </c>
      <c r="O238" s="3121">
        <f>0</f>
        <v>0</v>
      </c>
      <c r="P238" s="3121">
        <f>0</f>
        <v>0</v>
      </c>
      <c r="Q238" s="3121">
        <f>0</f>
        <v>0</v>
      </c>
      <c r="R238" s="3152">
        <f>0</f>
        <v>0</v>
      </c>
      <c r="S238" s="3121">
        <f>0</f>
        <v>0</v>
      </c>
      <c r="T238" s="3121">
        <f>0</f>
        <v>0</v>
      </c>
      <c r="U238" s="3121">
        <f>0</f>
        <v>0</v>
      </c>
      <c r="V238" s="3121">
        <f>0</f>
        <v>0</v>
      </c>
      <c r="W238" s="3121">
        <f>0</f>
        <v>0</v>
      </c>
      <c r="X238" s="3121">
        <f>0</f>
        <v>0</v>
      </c>
      <c r="Y238" s="3121">
        <f>0</f>
        <v>0</v>
      </c>
      <c r="Z238" s="3121">
        <f>0</f>
        <v>0</v>
      </c>
      <c r="AA238" s="3121">
        <f>0</f>
        <v>0</v>
      </c>
      <c r="AB238" s="3121">
        <f>0</f>
        <v>0</v>
      </c>
      <c r="AC238" s="3121">
        <f>0</f>
        <v>0</v>
      </c>
      <c r="AD238" s="3121">
        <f>0</f>
        <v>0</v>
      </c>
      <c r="AE238" s="3121">
        <f>0</f>
        <v>0</v>
      </c>
      <c r="AF238" s="3121">
        <f>0</f>
        <v>0</v>
      </c>
      <c r="AG238" s="3121">
        <f>0</f>
        <v>0</v>
      </c>
      <c r="AH238" s="3121">
        <f>0</f>
        <v>0</v>
      </c>
      <c r="AI238" s="3121">
        <f>0</f>
        <v>0</v>
      </c>
      <c r="AJ238" s="3141">
        <f>0</f>
        <v>0</v>
      </c>
      <c r="AK238" s="3121">
        <f>0</f>
        <v>0</v>
      </c>
      <c r="AL238" s="3121">
        <f>0</f>
        <v>0</v>
      </c>
      <c r="AM238" s="3121">
        <f>0</f>
        <v>0</v>
      </c>
      <c r="AN238" s="3121">
        <f>0</f>
        <v>0</v>
      </c>
      <c r="AO238" s="3121">
        <f>0</f>
        <v>0</v>
      </c>
      <c r="AP238" s="3141">
        <f>0</f>
        <v>0</v>
      </c>
      <c r="AQ238" s="3121">
        <f>0</f>
        <v>0</v>
      </c>
      <c r="AR238" s="3152">
        <f>-E_EQS</f>
        <v>-1.4969031654451894</v>
      </c>
      <c r="AS238" s="3121">
        <f>0</f>
        <v>0</v>
      </c>
      <c r="AT238" s="3121">
        <f>0</f>
        <v>0</v>
      </c>
      <c r="AU238" s="3121">
        <f>0</f>
        <v>0</v>
      </c>
      <c r="AV238" s="3121">
        <f>0</f>
        <v>0</v>
      </c>
      <c r="AW238" s="3121">
        <f>0</f>
        <v>0</v>
      </c>
      <c r="AX238" s="3121">
        <f>0</f>
        <v>0</v>
      </c>
      <c r="AY238" s="3121">
        <f>0</f>
        <v>0</v>
      </c>
      <c r="AZ238" s="3121">
        <f>0</f>
        <v>0</v>
      </c>
      <c r="BA238" s="3121">
        <f>0</f>
        <v>0</v>
      </c>
      <c r="BB238" s="3121">
        <f>0</f>
        <v>0</v>
      </c>
      <c r="BC238" s="3121">
        <f>1</f>
        <v>1</v>
      </c>
      <c r="BD238" s="3152">
        <f>-1</f>
        <v>-1</v>
      </c>
      <c r="BE238" s="3121">
        <f>0</f>
        <v>0</v>
      </c>
      <c r="BF238" s="3121">
        <f>0</f>
        <v>0</v>
      </c>
      <c r="BG238" s="3121">
        <f>0</f>
        <v>0</v>
      </c>
      <c r="BH238" s="3121">
        <f>0</f>
        <v>0</v>
      </c>
      <c r="BI238" s="3121">
        <f>0</f>
        <v>0</v>
      </c>
      <c r="BJ238" s="3121">
        <f>0</f>
        <v>0</v>
      </c>
      <c r="BK238" s="3121">
        <f>0</f>
        <v>0</v>
      </c>
      <c r="BL238" s="3121">
        <f>0</f>
        <v>0</v>
      </c>
      <c r="BM238" s="3121">
        <f>0</f>
        <v>0</v>
      </c>
      <c r="BN238" s="3121">
        <f>0</f>
        <v>0</v>
      </c>
      <c r="BO238" s="3121">
        <f>0</f>
        <v>0</v>
      </c>
      <c r="BP238" s="3121">
        <f>0</f>
        <v>0</v>
      </c>
      <c r="BQ238" s="3121">
        <f>0</f>
        <v>0</v>
      </c>
      <c r="BR238" s="3121">
        <f>0</f>
        <v>0</v>
      </c>
      <c r="BS238" s="3121">
        <f>0</f>
        <v>0</v>
      </c>
      <c r="BT238" s="3121">
        <f>0</f>
        <v>0</v>
      </c>
      <c r="BU238" s="3121">
        <f>0</f>
        <v>0</v>
      </c>
      <c r="BV238" s="3121">
        <f>0</f>
        <v>0</v>
      </c>
      <c r="BW238" s="3121">
        <f>0</f>
        <v>0</v>
      </c>
      <c r="BX238" s="3121">
        <f>0</f>
        <v>0</v>
      </c>
      <c r="BY238" s="3121">
        <f>0</f>
        <v>0</v>
      </c>
      <c r="BZ238" s="3141">
        <f>0</f>
        <v>0</v>
      </c>
      <c r="CA238" s="3141">
        <f>0</f>
        <v>0</v>
      </c>
      <c r="CB238" s="3141">
        <f>0</f>
        <v>0</v>
      </c>
      <c r="CC238" s="3141">
        <f>0</f>
        <v>0</v>
      </c>
      <c r="CD238" s="3121">
        <f>0</f>
        <v>0</v>
      </c>
      <c r="CE238" s="3121">
        <f>0</f>
        <v>0</v>
      </c>
      <c r="CF238" s="3121">
        <f>0</f>
        <v>0</v>
      </c>
      <c r="CG238" s="3121">
        <f>0</f>
        <v>0</v>
      </c>
      <c r="CH238" s="3121">
        <f>0</f>
        <v>0</v>
      </c>
      <c r="CI238" s="3121">
        <f>0</f>
        <v>0</v>
      </c>
      <c r="CJ238" s="3121">
        <f>0</f>
        <v>0</v>
      </c>
      <c r="CK238" s="3121">
        <f>0</f>
        <v>0</v>
      </c>
      <c r="CL238" s="3121">
        <f>0</f>
        <v>0</v>
      </c>
      <c r="CM238" s="3121">
        <f>0</f>
        <v>0</v>
      </c>
      <c r="CN238" s="3121">
        <f>0</f>
        <v>0</v>
      </c>
      <c r="CO238" s="3121">
        <f>0</f>
        <v>0</v>
      </c>
      <c r="CP238" s="3121">
        <f>0</f>
        <v>0</v>
      </c>
      <c r="CQ238" s="3121">
        <f>0</f>
        <v>0</v>
      </c>
      <c r="CR238" s="3121">
        <f>0</f>
        <v>0</v>
      </c>
      <c r="CS238" s="3121">
        <f>0</f>
        <v>0</v>
      </c>
      <c r="CT238" s="3121">
        <f>0</f>
        <v>0</v>
      </c>
      <c r="CU238" s="3121">
        <f>0</f>
        <v>0</v>
      </c>
      <c r="CV238" s="3227">
        <f>q_S_OX*X_S*M_satSO2_KO2_OHO</f>
        <v>4.6511627906976744E-2</v>
      </c>
      <c r="CX238" s="2838">
        <f>E287*E238+F287*F238+G287*G238+H287*H238+I287*I238+J287*J238+K287*K238+L287*L238+M287*M238+N287*N238+O287*O238+P287*P238+Q287*Q238+R287*R238+S287*S238+T287*T238+U287*U238+V287*V238+W287*W238+X287*X238+Y287*Y238+Z287*Z238+AA287*AA238+AB287*AB238+AC287*AC238+AD287*AD238+AE287*AE238+AF287*AF238+AG287*AG238+AH287*AH238+AI287*AI238+AJ287*AJ238+AK287*AK238+AL287*AL238+AM287*AM238+AN287*AN238+AO287*AO238+AP287*AP238+AQ287*AQ238+AR287*AR238+AS287*AS238+AT287*AT238+AU287*AU238+AV287*AV238+AW287*AW238+AX287*AX238+AY287*AY238+AZ287*AZ238+BA287*BA238+BB287*BB238+BC287*BC238+BD287*BD238+BE287*BE238+BF287*BF238+BG287*BG238+BH287*BH238+BI287*BI238+BJ287*BJ238+BK287*BK238+BL287*BL238+BM287*BM238+BN287*BN238+BO287*BO238+BP287*BP238+BQ287*BQ238+BR287*BR238+BS287*BS238+BT287*BT238+BU287*BU238+BV287*BV238+BW287*BW238+BX287*BX238+BY287*BY238+BZ287*BZ238+CA287*CA238+CB287*CB238+CC287*CC238+CD287*CD238+CE287*CE238+CF287*CF238+CG287*CG238+CH287*CH238+CI287*CI238+CJ287*CJ238+CK287*CK238+CL287*CL238+CM287*CM238+CN287*CN238+CO287*CO238+CP287*CP238+CQ287*CQ238+CR287*CR238+CS287*CS238+CT287*CT238+CU287*CU238</f>
        <v>0</v>
      </c>
      <c r="CY238" s="2838">
        <f>E288*E238+F288*F238+G288*G238+H288*H238+I288*I238+J288*J238+K288*K238+L288*L238+M288*M238+N288*N238+O288*O238+P288*P238+Q288*Q238+R288*R238+S288*S238+T288*T238+U288*U238+V288*V238+W288*W238+X288*X238+Y288*Y238+Z288*Z238+AA288*AA238+AB288*AB238+AC288*AC238+AD288*AD238+AE288*AE238+AF288*AF238+AG288*AG238+AH288*AH238+AI288*AI238+AJ288*AJ238+AK288*AK238+AL288*AL238+AM288*AM238+AN288*AN238+AO288*AO238+AP288*AP238+AQ288*AQ238+AR288*AR238+AS288*AS238+AT288*AT238+AU288*AU238+AV288*AV238+AW288*AW238+AX288*AX238+AY288*AY238+AZ288*AZ238+BA288*BA238+BB288*BB238+BC288*BC238+BD288*BD238+BE288*BE238+BF288*BF238+BG288*BG238+BH288*BH238+BI288*BI238+BJ288*BJ238+BK288*BK238+BL288*BL238+BM288*BM238+BN288*BN238+BO288*BO238+BP288*BP238+BQ288*BQ238+BR288*BR238+BS288*BS238+BT288*BT238+BU288*BU238+BV288*BV238+BW288*BW238+BX288*BX238+BY288*BY238+BZ288*BZ238+CA288*CA238+CB288*CB238+CC288*CC238+CD288*CD238+CE288*CE238+CF288*CF238+CG288*CG238+CH288*CH238+CI288*CI238+CJ288*CJ238+CK288*CK238+CL288*CL238+CM288*CM238+CN288*CN238+CO288*CO238+CP288*CP238+CQ288*CQ238+CR288*CR238+CS288*CS238+CT288*CT238+CU288*CU238</f>
        <v>0</v>
      </c>
      <c r="CZ238" s="2839">
        <f>E289*E238+F289*F238+G289*G238+H289*H238+I289*I238+J289*J238+K289*K238+L289*L238+M289*M238+N289*N238+O289*O238+P289*P238+Q289*Q238+R289*R238+S289*S238+T289*T238+U289*U238+V289*V238+W289*W238+X289*X238+Y289*Y238+Z289*Z238+AA289*AA238+AB289*AB238+AC289*AC238+AD289*AD238+AE289*AE238+AF289*AF238+AG289*AG238+AH289*AH238+AI289*AI238+AJ289*AJ238+AK289*AK238+AL289*AL238+AM289*AM238+AN289*AN238+AO289*AO238+AP289*AP238+AQ289*AQ238+AR289*AR238+AS289*AS238+AT289*AT238+AU289*AU238+AV289*AV238+AW289*AW238+AX289*AX238+AY289*AY238+AZ289*AZ238+BA289*BA238+BB289*BB238+BC289*BC238+BD289*BD238+BE289*BE238+BF289*BF238+BG289*BG238+BH289*BH238+BI289*BI238+BJ289*BJ238+BK289*BK238+BL289*BL238+BM289*BM238+BN289*BN238+BO289*BO238+BP289*BP238+BQ289*BQ238+BR289*BR238+BS289*BS238+BT289*BT238+BU289*BU238+BV289*BV238+BW289*BW238+BX289*BX238+BY289*BY238+BZ289*BZ238+CA289*CA238+CB289*CB238+CC289*CC238+CD289*CD238+CE289*CE238+CF289*CF238+CG289*CG238+CH289*CH238+CI289*CI238+CJ289*CJ238+CK289*CK238+CL289*CL238+CM289*CM238+CN289*CN238+CO289*CO238+CP289*CP238+CQ289*CQ238+CR289*CR238+CS289*CS238+CT289*CT238+CU289*CU238</f>
        <v>0</v>
      </c>
      <c r="DA238" s="2840">
        <f>E290*E238+F290*F238+G290*G238+H290*H238+I290*I238+J290*J238+K290*K238+L290*L238+M290*M238+N290*N238+O290*O238+P290*P238+Q290*Q238+R290*R238+S290*S238+T290*T238+U290*U238+V290*V238+W290*W238+X290*X238+Y290*Y238+Z290*Z238+AA290*AA238+AB290*AB238+AC290*AC238+AD290*AD238+AE290*AE238+AF290*AF238+AG290*AG238+AH290*AH238+AI290*AI238+AJ290*AJ238+AK290*AK238+AL290*AL238+AM290*AM238+AN290*AN238+AO290*AO238+AP290*AP238+AQ290*AQ238+AR290*AR238+AS290*AS238+AT290*AT238+AU290*AU238+AV290*AV238+AW290*AW238+AX290*AX238+AY290*AY238+AZ290*AZ238+BA290*BA238+BB290*BB238+BC290*BC238+BD290*BD238+BE290*BE238+BF290*BF238+BG290*BG238+BH290*BH238+BI290*BI238+BJ290*BJ238+BK290*BK238+BL290*BL238+BM290*BM238+BN290*BN238+BO290*BO238+BP290*BP238+BQ290*BQ238+BR290*BR238+BS290*BS238+BT290*BT238+BU290*BU238+BV290*BV238+BW290*BW238+BX290*BX238+BY290*BY238+BZ290*BZ238+CA290*CA238+CB290*CB238+CC290*CC238+CD290*CD238+CE290*CE238+CF290*CF238+CG290*CG238+CH290*CH238+CI290*CI238+CJ290*CJ238+CK290*CK238+CL290*CL238+CM290*CM238+CN290*CN238+CO290*CO238+CP290*CP238+CQ290*CQ238+CR290*CR238+CS290*CS238+CT290*CT238+CU290*CU238</f>
        <v>0</v>
      </c>
      <c r="DB238" s="2840">
        <f>E291*E238+F291*F238+G291*G238+H291*H238+I291*I238+J291*J238+K291*K238+L291*L238+M291*M238+N291*N238+O291*O238+P291*P238+Q291*Q238+R291*R238+S291*S238+T291*T238+U291*U238+V291*V238+W291*W238+X291*X238+Y291*Y238+Z291*Z238+AA291*AA238+AB291*AB238+AC291*AC238+AD291*AD238+AE291*AE238+AF291*AF238+AG291*AG238+AH291*AH238+AI291*AI238+AJ291*AJ238+AK291*AK238+AL291*AL238+AM291*AM238+AN291*AN238+AO291*AO238+AP291*AP238+AQ291*AQ238+AR291*AR238+AS291*AS238+AT291*AT238+AU291*AU238+AV291*AV238+AW291*AW238+AX291*AX238+AY291*AY238+AZ291*AZ238+BA291*BA238+BB291*BB238+BC291*BC238+BD291*BD238+BE291*BE238+BF291*BF238+BG291*BG238+BH291*BH238+BI291*BI238+BJ291*BJ238+BK291*BK238+BL291*BL238+BM291*BM238+BN291*BN238+BO291*BO238+BP291*BP238+BQ291*BQ238+BR291*BR238+BS291*BS238+BT291*BT238+BU291*BU238+BV291*BV238+BW291*BW238+BX291*BX238+BY291*BY238+BZ291*BZ238+CA291*CA238+CB291*CB238+CC291*CC238+CD291*CD238+CE291*CE238+CF291*CF238+CG291*CG238+CH291*CH238+CI291*CI238+CJ291*CJ238+CK291*CK238+CL291*CL238+CM291*CM238+CN291*CN238+CO291*CO238+CP291*CP238+CQ291*CQ238+CR291*CR238+CS291*CS238+CT291*CT238+CU291*CU238</f>
        <v>0</v>
      </c>
      <c r="DC238" s="2840">
        <f>E292*E238+F292*F238+G292*G238+H292*H238+I292*I238+J292*J238+K292*K238+L292*L238+M292*M238+N292*N238+O292*O238+P292*P238+Q292*Q238+R292*R238+S292*S238+T292*T238+U292*U238+V292*V238+W292*W238+X292*X238+Y292*Y238+Z292*Z238+AA292*AA238+AB292*AB238+AC292*AC238+AD292*AD238+AE292*AE238+AF292*AF238+AG292*AG238+AH292*AH238+AI292*AI238+AJ292*AJ238+AK292*AK238+AL292*AL238+AM292*AM238+AN292*AN238+AO292*AO238+AP292*AP238+AQ292*AQ238+AR292*AR238+AS292*AS238+AT292*AT238+AU292*AU238+AV292*AV238+AW292*AW238+AX292*AX238+AY292*AY238+AZ292*AZ238+BA292*BA238+BB292*BB238+BC292*BC238+BD292*BD238+BE292*BE238+BF292*BF238+BG292*BG238+BH292*BH238+BI292*BI238+BJ292*BJ238+BK292*BK238+BL292*BL238+BM292*BM238+BN292*BN238+BO292*BO238+BP292*BP238+BQ292*BQ238+BR292*BR238+BS292*BS238+BT292*BT238+BU292*BU238+BV292*BV238+BW292*BW238+BX292*BX238+BY292*BY238+BZ292*BZ238+CA292*CA238+CB292*CB238+CC292*CC238+CD292*CD238+CE292*CE238+CF292*CF238+CG292*CG238+CH292*CH238+CI292*CI238+CJ292*CJ238+CK292*CK238+CL292*CL238+CM292*CM238+CN292*CN238+CO292*CO238+CP292*CP238+CQ292*CQ238+CR292*CR238+CS292*CS238+CT292*CT238+CU292*CU238</f>
        <v>0</v>
      </c>
      <c r="DD238" s="2840">
        <f>E293*E238+F293*F238+G293*G238+H293*H238+I293*I238+J293*J238+K293*K238+L293*L238+M293*M238+N293*N238+O293*O238+P293*P238+Q293*Q238+R293*R238+S293*S238+T293*T238+U293*U238+V293*V238+W293*W238+X293*X238+Y293*Y238+Z293*Z238+AA293*AA238+AB293*AB238+AC293*AC238+AD293*AD238+AE293*AE238+AF293*AF238+AG293*AG238+AH293*AH238+AI293*AI238+AJ293*AJ238+AK293*AK238+AL293*AL238+AM293*AM238+AN293*AN238+AO293*AO238+AP293*AP238+AQ293*AQ238+AR293*AR238+AS293*AS238+AT293*AT238+AU293*AU238+AV293*AV238+AW293*AW238+AX293*AX238+AY293*AY238+AZ293*AZ238+BA293*BA238+BB293*BB238+BC293*BC238+BD293*BD238+BE293*BE238+BF293*BF238+BG293*BG238+BH293*BH238+BI293*BI238+BJ293*BJ238+BK293*BK238+BL293*BL238+BM293*BM238+BN293*BN238+BO293*BO238+BP293*BP238+BQ293*BQ238+BR293*BR238+BS293*BS238+BT293*BT238+BU293*BU238+BV293*BV238+BW293*BW238+BX293*BX238+BY293*BY238+BZ293*BZ238+CA293*CA238+CB293*CB238+CC293*CC238+CD293*CD238+CE293*CE238+CF293*CF238+CG293*CG238+CH293*CH238+CI293*CI238+CJ293*CJ238+CK293*CK238+CL293*CL238+CM293*CM238+CN293*CN238+CO293*CO238+CP293*CP238+CQ293*CQ238+CR293*CR238+CS293*CS238+CT293*CT238+CU293*CU238</f>
        <v>0</v>
      </c>
      <c r="DE238" s="2840">
        <f>E294*E238+F294*F238+G294*G238+H294*H238+I294*I238+J294*J238+K294*K238+L294*L238+M294*M238+N294*N238+O294*O238+P294*P238+Q294*Q238+R294*R238+S294*S238+T294*T238+U294*U238+V294*V238+W294*W238+X294*X238+Y294*Y238+Z294*Z238+AA294*AA238+AB294*AB238+AC294*AC238+AD294*AD238+AE294*AE238+AF294*AF238+AG294*AG238+AH294*AH238+AI294*AI238+AJ294*AJ238+AK294*AK238+AL294*AL238+AM294*AM238+AN294*AN238+AO294*AO238+AP294*AP238+AQ294*AQ238+AR294*AR238+AS294*AS238+AT294*AT238+AU294*AU238+AV294*AV238+AW294*AW238+AX294*AX238+AY294*AY238+AZ294*AZ238+BA294*BA238+BB294*BB238+BC294*BC238+BD294*BD238+BE294*BE238+BF294*BF238+BG294*BG238+BH294*BH238+BI294*BI238+BJ294*BJ238+BK294*BK238+BL294*BL238+BM294*BM238+BN294*BN238+BO294*BO238+BP294*BP238+BQ294*BQ238+BR294*BR238+BS294*BS238+BT294*BT238+BU294*BU238+BV294*BV238+BW294*BW238+BX294*BX238+BY294*BY238+BZ294*BZ238+CA294*CA238+CB294*CB238+CC294*CC238+CD294*CD238+CE294*CE238+CF294*CF238+CG294*CG238+CH294*CH238+CI294*CI238+CJ294*CJ238+CK294*CK238+CL294*CL238+CM294*CM238+CN294*CN238+CO294*CO238+CP294*CP238+CQ294*CQ238+CR294*CR238+CS294*CS238+CT294*CT238+CU294*CU238</f>
        <v>0</v>
      </c>
      <c r="DF238" s="2840">
        <f>E295*E238+F295*F238+G295*G238+H295*H238+I295*I238+J295*J238+K295*K238+L295*L238+M295*M238+N295*N238+O295*O238+P295*P238+Q295*Q238+R295*R238+S295*S238+T295*T238+U295*U238+V295*V238+W295*W238+X295*X238+Y295*Y238+Z295*Z238+AA295*AA238+AB295*AB238+AC295*AC238+AD295*AD238+AE295*AE238+AF295*AF238+AG295*AG238+AH295*AH238+AI295*AI238+AJ295*AJ238+AK295*AK238+AL295*AL238+AM295*AM238+AN295*AN238+AO295*AO238+AP295*AP238+AQ295*AQ238+AR295*AR238+AS295*AS238+AT295*AT238+AU295*AU238+AV295*AV238+AW295*AW238+AX295*AX238+AY295*AY238+AZ295*AZ238+BA295*BA238+BB295*BB238+BC295*BC238+BD295*BD238+BE295*BE238+BF295*BF238+BG295*BG238+BH295*BH238+BI295*BI238+BJ295*BJ238+BK295*BK238+BL295*BL238+BM295*BM238+BN295*BN238+BO295*BO238+BP295*BP238+BQ295*BQ238+BR295*BR238+BS295*BS238+BT295*BT238+BU295*BU238+BV295*BV238+BW295*BW238+BX295*BX238+BY295*BY238+BZ295*BZ238+CA295*CA238+CB295*CB238+CC295*CC238+CD295*CD238+CE295*CE238+CF295*CF238+CG295*CG238+CH295*CH238+CI295*CI238+CJ295*CJ238+CK295*CK238+CL295*CL238+CM295*CM238+CN295*CN238+CO295*CO238+CP295*CP238+CQ295*CQ238+CR295*CR238+CS295*CS238+CT295*CT238+CU295*CU238</f>
        <v>0</v>
      </c>
      <c r="DG238" s="2840">
        <f>E296*E238+F296*F238+G296*G238+H296*H238+I296*I238+J296*J238+K296*K238+L296*L238+M296*M238+N296*N238+O296*O238+P296*P238+Q296*Q238+R296*R238+S296*S238+T296*T238+U296*U238+V296*V238+W296*W238+X296*X238+Y296*Y238+Z296*Z238+AA296*AA238+AB296*AB238+AC296*AC238+AD296*AD238+AE296*AE238+AF296*AF238+AG296*AG238+AH296*AH238+AI296*AI238+AJ296*AJ238+AK296*AK238+AL296*AL238+AM296*AM238+AN296*AN238+AO296*AO238+AP296*AP238+AQ296*AQ238+AR296*AR238+AS296*AS238+AT296*AT238+AU296*AU238+AV296*AV238+AW296*AW238+AX296*AX238+AY296*AY238+AZ296*AZ238+BA296*BA238+BB296*BB238+BC296*BC238+BD296*BD238+BE296*BE238+BF296*BF238+BG296*BG238+BH296*BH238+BI296*BI238+BJ296*BJ238+BK296*BK238+BL296*BL238+BM296*BM238+BN296*BN238+BO296*BO238+BP296*BP238+BQ296*BQ238+BR296*BR238+BS296*BS238+BT296*BT238+BU296*BU238+BV296*BV238+BW296*BW238+BX296*BX238+BY296*BY238+BZ296*BZ238+CA296*CA238+CB296*CB238+CC296*CC238+CD296*CD238+CE296*CE238+CF296*CF238+CG296*CG238+CH296*CH238+CI296*CI238+CJ296*CJ238+CK296*CK238+CL296*CL238+CM296*CM238+CN296*CN238+CO296*CO238+CP296*CP238+CQ296*CQ238+CR296*CR238+CS296*CS238+CT296*CT238+CU296*CU238</f>
        <v>0</v>
      </c>
      <c r="DH238" s="2840">
        <f>E297*E238+F297*F238+G297*G238+H297*H238+I297*I238+J297*J238+K297*K238+L297*L238+M297*M238+N297*N238+O297*O238+P297*P238+Q297*Q238+R297*R238+S297*S238+T297*T238+U297*U238+V297*V238+W297*W238+X297*X238+Y297*Y238+Z297*Z238+AA297*AA238+AB297*AB238+AC297*AC238+AD297*AD238+AE297*AE238+AF297*AF238+AG297*AG238+AH297*AH238+AI297*AI238+AJ297*AJ238+AK297*AK238+AL297*AL238+AM297*AM238+AN297*AN238+AO297*AO238+AP297*AP238+AQ297*AQ238+AR297*AR238+AS297*AS238+AT297*AT238+AU297*AU238+AV297*AV238+AW297*AW238+AX297*AX238+AY297*AY238+AZ297*AZ238+BA297*BA238+BB297*BB238+BC297*BC238+BD297*BD238+BE297*BE238+BF297*BF238+BG297*BG238+BH297*BH238+BI297*BI238+BJ297*BJ238+BK297*BK238+BL297*BL238+BM297*BM238+BN297*BN238+BO297*BO238+BP297*BP238+BQ297*BQ238+BR297*BR238+BS297*BS238+BT297*BT238+BU297*BU238+BV297*BV238+BW297*BW238+BX297*BX238+BY297*BY238+BZ297*BZ238+CA297*CA238+CB297*CB238+CC297*CC238+CD297*CD238+CE297*CE238+CF297*CF238+CG297*CG238+CH297*CH238+CI297*CI238+CJ297*CJ238+CK297*CK238+CL297*CL238+CM297*CM238+CN297*CN238+CO297*CO238+CP297*CP238+CQ297*CQ238+CR297*CR238+CS297*CS238+CT297*CT238+CU297*CU238</f>
        <v>0</v>
      </c>
      <c r="DI238" s="2840">
        <f>E298*E238+F298*F238+G298*G238+H298*H238+I298*I238+J298*J238+K298*K238+L298*L238+M298*M238+N298*N238+O298*O238+P298*P238+Q298*Q238+R298*R238+S298*S238+T298*T238+U298*U238+V298*V238+W298*W238+X298*X238+Y298*Y238+Z298*Z238+AA298*AA238+AB298*AB238+AC298*AC238+AD298*AD238+AE298*AE238+AF298*AF238+AG298*AG238+AH298*AH238+AI298*AI238+AJ298*AJ238+AK298*AK238+AL298*AL238+AM298*AM238+AN298*AN238+AO298*AO238+AP298*AP238+AQ298*AQ238+AR298*AR238+AS298*AS238+AT298*AT238+AU298*AU238+AV298*AV238+AW298*AW238+AX298*AX238+AY298*AY238+AZ298*AZ238+BA298*BA238+BB298*BB238+BC298*BC238+BD298*BD238+BE298*BE238+BF298*BF238+BG298*BG238+BH298*BH238+BI298*BI238+BJ298*BJ238+BK298*BK238+BL298*BL238+BM298*BM238+BN298*BN238+BO298*BO238+BP298*BP238+BQ298*BQ238+BR298*BR238+BS298*BS238+BT298*BT238+BU298*BU238+BV298*BV238+BW298*BW238+BX298*BX238+BY298*BY238+BZ298*BZ238+CA298*CA238+CB298*CB238+CC298*CC238+CD298*CD238+CE298*CE238+CF298*CF238+CG298*CG238+CH298*CH238+CI298*CI238+CJ298*CJ238+CK298*CK238+CL298*CL238+CM298*CM238+CN298*CN238+CO298*CO238+CP298*CP238+CQ298*CQ238+CR298*CR238+CS298*CS238+CT298*CT238+CU298*CU238</f>
        <v>0</v>
      </c>
    </row>
    <row r="239" spans="2:113" ht="18" x14ac:dyDescent="0.25">
      <c r="B239" s="2505">
        <v>86</v>
      </c>
      <c r="C239" s="2429" t="s">
        <v>3301</v>
      </c>
      <c r="D239" s="2430" t="s">
        <v>3284</v>
      </c>
      <c r="E239" s="3121">
        <f>0</f>
        <v>0</v>
      </c>
      <c r="F239" s="3121">
        <f>0</f>
        <v>0</v>
      </c>
      <c r="G239" s="3121">
        <f>0</f>
        <v>0</v>
      </c>
      <c r="H239" s="3121">
        <f>0</f>
        <v>0</v>
      </c>
      <c r="I239" s="3121">
        <f>0</f>
        <v>0</v>
      </c>
      <c r="J239" s="3141">
        <f>0</f>
        <v>0</v>
      </c>
      <c r="K239" s="3121">
        <f>0</f>
        <v>0</v>
      </c>
      <c r="L239" s="3121">
        <f>0</f>
        <v>0</v>
      </c>
      <c r="M239" s="3121">
        <f>0</f>
        <v>0</v>
      </c>
      <c r="N239" s="3121">
        <f>0</f>
        <v>0</v>
      </c>
      <c r="O239" s="3121">
        <f>0</f>
        <v>0</v>
      </c>
      <c r="P239" s="3121">
        <f>0</f>
        <v>0</v>
      </c>
      <c r="Q239" s="3121">
        <f>0</f>
        <v>0</v>
      </c>
      <c r="R239" s="3121">
        <f>0</f>
        <v>0</v>
      </c>
      <c r="S239" s="3121">
        <f>0</f>
        <v>0</v>
      </c>
      <c r="T239" s="3121">
        <f>0</f>
        <v>0</v>
      </c>
      <c r="U239" s="3121">
        <f>0</f>
        <v>0</v>
      </c>
      <c r="V239" s="3121">
        <f>0</f>
        <v>0</v>
      </c>
      <c r="W239" s="3121">
        <f>0</f>
        <v>0</v>
      </c>
      <c r="X239" s="3121">
        <f>0</f>
        <v>0</v>
      </c>
      <c r="Y239" s="3121">
        <f>0</f>
        <v>0</v>
      </c>
      <c r="Z239" s="3121">
        <f>0</f>
        <v>0</v>
      </c>
      <c r="AA239" s="3121">
        <f>0</f>
        <v>0</v>
      </c>
      <c r="AB239" s="3121">
        <f>0</f>
        <v>0</v>
      </c>
      <c r="AC239" s="3121">
        <f>0</f>
        <v>0</v>
      </c>
      <c r="AD239" s="3121">
        <f>0</f>
        <v>0</v>
      </c>
      <c r="AE239" s="3121">
        <f>0</f>
        <v>0</v>
      </c>
      <c r="AF239" s="3121">
        <f>0</f>
        <v>0</v>
      </c>
      <c r="AG239" s="3121">
        <f>0</f>
        <v>0</v>
      </c>
      <c r="AH239" s="3121">
        <f>0</f>
        <v>0</v>
      </c>
      <c r="AI239" s="3121">
        <f>0</f>
        <v>0</v>
      </c>
      <c r="AJ239" s="3141">
        <f>0</f>
        <v>0</v>
      </c>
      <c r="AK239" s="3121">
        <f>0</f>
        <v>0</v>
      </c>
      <c r="AL239" s="3121">
        <f>0</f>
        <v>0</v>
      </c>
      <c r="AM239" s="3121">
        <f>0</f>
        <v>0</v>
      </c>
      <c r="AN239" s="3121">
        <f>0</f>
        <v>0</v>
      </c>
      <c r="AO239" s="3121">
        <f>0</f>
        <v>0</v>
      </c>
      <c r="AP239" s="3141">
        <f>0</f>
        <v>0</v>
      </c>
      <c r="AQ239" s="3121">
        <f>0</f>
        <v>0</v>
      </c>
      <c r="AR239" s="3121">
        <f>0</f>
        <v>0</v>
      </c>
      <c r="AS239" s="3152">
        <f>0</f>
        <v>0</v>
      </c>
      <c r="AT239" s="3152">
        <f>E_EQH2S</f>
        <v>1.9958708872602526</v>
      </c>
      <c r="AU239" s="3152">
        <f>0</f>
        <v>0</v>
      </c>
      <c r="AV239" s="3121">
        <f>0</f>
        <v>0</v>
      </c>
      <c r="AW239" s="3121">
        <f>0</f>
        <v>0</v>
      </c>
      <c r="AX239" s="3121">
        <f>0</f>
        <v>0</v>
      </c>
      <c r="AY239" s="3121">
        <f>0</f>
        <v>0</v>
      </c>
      <c r="AZ239" s="3121">
        <f>0</f>
        <v>0</v>
      </c>
      <c r="BA239" s="3121">
        <f>0</f>
        <v>0</v>
      </c>
      <c r="BB239" s="3152">
        <f>-1</f>
        <v>-1</v>
      </c>
      <c r="BC239" s="3121">
        <f>1</f>
        <v>1</v>
      </c>
      <c r="BD239" s="3121">
        <f>0</f>
        <v>0</v>
      </c>
      <c r="BE239" s="3121">
        <f>0</f>
        <v>0</v>
      </c>
      <c r="BF239" s="3121">
        <f>0</f>
        <v>0</v>
      </c>
      <c r="BG239" s="3121">
        <f>0</f>
        <v>0</v>
      </c>
      <c r="BH239" s="3121">
        <f>0</f>
        <v>0</v>
      </c>
      <c r="BI239" s="3121">
        <f>0</f>
        <v>0</v>
      </c>
      <c r="BJ239" s="3121">
        <f>0</f>
        <v>0</v>
      </c>
      <c r="BK239" s="3121">
        <f>0</f>
        <v>0</v>
      </c>
      <c r="BL239" s="3121">
        <f>0</f>
        <v>0</v>
      </c>
      <c r="BM239" s="3121">
        <f>0</f>
        <v>0</v>
      </c>
      <c r="BN239" s="3121">
        <f>0</f>
        <v>0</v>
      </c>
      <c r="BO239" s="3121">
        <f>0</f>
        <v>0</v>
      </c>
      <c r="BP239" s="3121">
        <f>0</f>
        <v>0</v>
      </c>
      <c r="BQ239" s="3121">
        <f>0</f>
        <v>0</v>
      </c>
      <c r="BR239" s="3121">
        <f>0</f>
        <v>0</v>
      </c>
      <c r="BS239" s="3121">
        <f>0</f>
        <v>0</v>
      </c>
      <c r="BT239" s="3121">
        <f>0</f>
        <v>0</v>
      </c>
      <c r="BU239" s="3121">
        <f>0</f>
        <v>0</v>
      </c>
      <c r="BV239" s="3121">
        <f>0</f>
        <v>0</v>
      </c>
      <c r="BW239" s="3121">
        <f>0</f>
        <v>0</v>
      </c>
      <c r="BX239" s="3121">
        <f>0</f>
        <v>0</v>
      </c>
      <c r="BY239" s="3121">
        <f>0</f>
        <v>0</v>
      </c>
      <c r="BZ239" s="3141">
        <f>0</f>
        <v>0</v>
      </c>
      <c r="CA239" s="3141">
        <f>0</f>
        <v>0</v>
      </c>
      <c r="CB239" s="3141">
        <f>0</f>
        <v>0</v>
      </c>
      <c r="CC239" s="3141">
        <f>0</f>
        <v>0</v>
      </c>
      <c r="CD239" s="3121">
        <f>0</f>
        <v>0</v>
      </c>
      <c r="CE239" s="3121">
        <f>0</f>
        <v>0</v>
      </c>
      <c r="CF239" s="3121">
        <f>0</f>
        <v>0</v>
      </c>
      <c r="CG239" s="3121">
        <f>0</f>
        <v>0</v>
      </c>
      <c r="CH239" s="3121">
        <f>0</f>
        <v>0</v>
      </c>
      <c r="CI239" s="3121">
        <f>0</f>
        <v>0</v>
      </c>
      <c r="CJ239" s="3121">
        <f>0</f>
        <v>0</v>
      </c>
      <c r="CK239" s="3121">
        <f>0</f>
        <v>0</v>
      </c>
      <c r="CL239" s="3121">
        <f>0</f>
        <v>0</v>
      </c>
      <c r="CM239" s="3121">
        <f>0</f>
        <v>0</v>
      </c>
      <c r="CN239" s="3121">
        <f>0</f>
        <v>0</v>
      </c>
      <c r="CO239" s="3121">
        <f>0</f>
        <v>0</v>
      </c>
      <c r="CP239" s="3121">
        <f>0</f>
        <v>0</v>
      </c>
      <c r="CQ239" s="3121">
        <f>0</f>
        <v>0</v>
      </c>
      <c r="CR239" s="3121">
        <f>0</f>
        <v>0</v>
      </c>
      <c r="CS239" s="3121">
        <f>0</f>
        <v>0</v>
      </c>
      <c r="CT239" s="3121">
        <f>0</f>
        <v>0</v>
      </c>
      <c r="CU239" s="3121">
        <f>0</f>
        <v>0</v>
      </c>
      <c r="CV239" s="3227">
        <f>q_ASSIM_T*X_BIO*M_satSH2S_KH2S_ASSIM*M_inhSSO4_KiSO4_ASSIM</f>
        <v>3.3194210865455834E-2</v>
      </c>
      <c r="CX239" s="2838">
        <f>E287*E239+F287*F239+G287*G239+H287*H239+I287*I239+J287*J239+K287*K239+L287*L239+M287*M239+N287*N239+O287*O239+P287*P239+Q287*Q239+R287*R239+S287*S239+T287*T239+U287*U239+V287*V239+W287*W239+X287*X239+Y287*Y239+Z287*Z239+AA287*AA239+AB287*AB239+AC287*AC239+AD287*AD239+AE287*AE239+AF287*AF239+AG287*AG239+AH287*AH239+AI287*AI239+AJ287*AJ239+AK287*AK239+AL287*AL239+AM287*AM239+AN287*AN239+AO287*AO239+AP287*AP239+AQ287*AQ239+AR287*AR239+AS287*AS239+AT287*AT239+AU287*AU239+AV287*AV239+AW287*AW239+AX287*AX239+AY287*AY239+AZ287*AZ239+BA287*BA239+BB287*BB239+BC287*BC239+BD287*BD239+BE287*BE239+BF287*BF239+BG287*BG239+BH287*BH239+BI287*BI239+BJ287*BJ239+BK287*BK239+BL287*BL239+BM287*BM239+BN287*BN239+BO287*BO239+BP287*BP239+BQ287*BQ239+BR287*BR239+BS287*BS239+BT287*BT239+BU287*BU239+BV287*BV239+BW287*BW239+BX287*BX239+BY287*BY239+BZ287*BZ239+CA287*CA239+CB287*CB239+CC287*CC239+CD287*CD239+CE287*CE239+CF287*CF239+CG287*CG239+CH287*CH239+CI287*CI239+CJ287*CJ239+CK287*CK239+CL287*CL239+CM287*CM239+CN287*CN239+CO287*CO239+CP287*CP239+CQ287*CQ239+CR287*CR239+CS287*CS239+CT287*CT239+CU287*CU239</f>
        <v>0</v>
      </c>
      <c r="CY239" s="2838">
        <f>E288*E239+F288*F239+G288*G239+H288*H239+I288*I239+J288*J239+K288*K239+L288*L239+M288*M239+N288*N239+O288*O239+P288*P239+Q288*Q239+R288*R239+S288*S239+T288*T239+U288*U239+V288*V239+W288*W239+X288*X239+Y288*Y239+Z288*Z239+AA288*AA239+AB288*AB239+AC288*AC239+AD288*AD239+AE288*AE239+AF288*AF239+AG288*AG239+AH288*AH239+AI288*AI239+AJ288*AJ239+AK288*AK239+AL288*AL239+AM288*AM239+AN288*AN239+AO288*AO239+AP288*AP239+AQ288*AQ239+AR288*AR239+AS288*AS239+AT288*AT239+AU288*AU239+AV288*AV239+AW288*AW239+AX288*AX239+AY288*AY239+AZ288*AZ239+BA288*BA239+BB288*BB239+BC288*BC239+BD288*BD239+BE288*BE239+BF288*BF239+BG288*BG239+BH288*BH239+BI288*BI239+BJ288*BJ239+BK288*BK239+BL288*BL239+BM288*BM239+BN288*BN239+BO288*BO239+BP288*BP239+BQ288*BQ239+BR288*BR239+BS288*BS239+BT288*BT239+BU288*BU239+BV288*BV239+BW288*BW239+BX288*BX239+BY288*BY239+BZ288*BZ239+CA288*CA239+CB288*CB239+CC288*CC239+CD288*CD239+CE288*CE239+CF288*CF239+CG288*CG239+CH288*CH239+CI288*CI239+CJ288*CJ239+CK288*CK239+CL288*CL239+CM288*CM239+CN288*CN239+CO288*CO239+CP288*CP239+CQ288*CQ239+CR288*CR239+CS288*CS239+CT288*CT239+CU288*CU239</f>
        <v>0</v>
      </c>
      <c r="CZ239" s="2839">
        <f>E289*E239+F289*F239+G289*G239+H289*H239+I289*I239+J289*J239+K289*K239+L289*L239+M289*M239+N289*N239+O289*O239+P289*P239+Q289*Q239+R289*R239+S289*S239+T289*T239+U289*U239+V289*V239+W289*W239+X289*X239+Y289*Y239+Z289*Z239+AA289*AA239+AB289*AB239+AC289*AC239+AD289*AD239+AE289*AE239+AF289*AF239+AG289*AG239+AH289*AH239+AI289*AI239+AJ289*AJ239+AK289*AK239+AL289*AL239+AM289*AM239+AN289*AN239+AO289*AO239+AP289*AP239+AQ289*AQ239+AR289*AR239+AS289*AS239+AT289*AT239+AU289*AU239+AV289*AV239+AW289*AW239+AX289*AX239+AY289*AY239+AZ289*AZ239+BA289*BA239+BB289*BB239+BC289*BC239+BD289*BD239+BE289*BE239+BF289*BF239+BG289*BG239+BH289*BH239+BI289*BI239+BJ289*BJ239+BK289*BK239+BL289*BL239+BM289*BM239+BN289*BN239+BO289*BO239+BP289*BP239+BQ289*BQ239+BR289*BR239+BS289*BS239+BT289*BT239+BU289*BU239+BV289*BV239+BW289*BW239+BX289*BX239+BY289*BY239+BZ289*BZ239+CA289*CA239+CB289*CB239+CC289*CC239+CD289*CD239+CE289*CE239+CF289*CF239+CG289*CG239+CH289*CH239+CI289*CI239+CJ289*CJ239+CK289*CK239+CL289*CL239+CM289*CM239+CN289*CN239+CO289*CO239+CP289*CP239+CQ289*CQ239+CR289*CR239+CS289*CS239+CT289*CT239+CU289*CU239</f>
        <v>0</v>
      </c>
      <c r="DA239" s="2840">
        <f>E290*E239+F290*F239+G290*G239+H290*H239+I290*I239+J290*J239+K290*K239+L290*L239+M290*M239+N290*N239+O290*O239+P290*P239+Q290*Q239+R290*R239+S290*S239+T290*T239+U290*U239+V290*V239+W290*W239+X290*X239+Y290*Y239+Z290*Z239+AA290*AA239+AB290*AB239+AC290*AC239+AD290*AD239+AE290*AE239+AF290*AF239+AG290*AG239+AH290*AH239+AI290*AI239+AJ290*AJ239+AK290*AK239+AL290*AL239+AM290*AM239+AN290*AN239+AO290*AO239+AP290*AP239+AQ290*AQ239+AR290*AR239+AS290*AS239+AT290*AT239+AU290*AU239+AV290*AV239+AW290*AW239+AX290*AX239+AY290*AY239+AZ290*AZ239+BA290*BA239+BB290*BB239+BC290*BC239+BD290*BD239+BE290*BE239+BF290*BF239+BG290*BG239+BH290*BH239+BI290*BI239+BJ290*BJ239+BK290*BK239+BL290*BL239+BM290*BM239+BN290*BN239+BO290*BO239+BP290*BP239+BQ290*BQ239+BR290*BR239+BS290*BS239+BT290*BT239+BU290*BU239+BV290*BV239+BW290*BW239+BX290*BX239+BY290*BY239+BZ290*BZ239+CA290*CA239+CB290*CB239+CC290*CC239+CD290*CD239+CE290*CE239+CF290*CF239+CG290*CG239+CH290*CH239+CI290*CI239+CJ290*CJ239+CK290*CK239+CL290*CL239+CM290*CM239+CN290*CN239+CO290*CO239+CP290*CP239+CQ290*CQ239+CR290*CR239+CS290*CS239+CT290*CT239+CU290*CU239</f>
        <v>0</v>
      </c>
      <c r="DB239" s="2840">
        <f>E291*E239+F291*F239+G291*G239+H291*H239+I291*I239+J291*J239+K291*K239+L291*L239+M291*M239+N291*N239+O291*O239+P291*P239+Q291*Q239+R291*R239+S291*S239+T291*T239+U291*U239+V291*V239+W291*W239+X291*X239+Y291*Y239+Z291*Z239+AA291*AA239+AB291*AB239+AC291*AC239+AD291*AD239+AE291*AE239+AF291*AF239+AG291*AG239+AH291*AH239+AI291*AI239+AJ291*AJ239+AK291*AK239+AL291*AL239+AM291*AM239+AN291*AN239+AO291*AO239+AP291*AP239+AQ291*AQ239+AR291*AR239+AS291*AS239+AT291*AT239+AU291*AU239+AV291*AV239+AW291*AW239+AX291*AX239+AY291*AY239+AZ291*AZ239+BA291*BA239+BB291*BB239+BC291*BC239+BD291*BD239+BE291*BE239+BF291*BF239+BG291*BG239+BH291*BH239+BI291*BI239+BJ291*BJ239+BK291*BK239+BL291*BL239+BM291*BM239+BN291*BN239+BO291*BO239+BP291*BP239+BQ291*BQ239+BR291*BR239+BS291*BS239+BT291*BT239+BU291*BU239+BV291*BV239+BW291*BW239+BX291*BX239+BY291*BY239+BZ291*BZ239+CA291*CA239+CB291*CB239+CC291*CC239+CD291*CD239+CE291*CE239+CF291*CF239+CG291*CG239+CH291*CH239+CI291*CI239+CJ291*CJ239+CK291*CK239+CL291*CL239+CM291*CM239+CN291*CN239+CO291*CO239+CP291*CP239+CQ291*CQ239+CR291*CR239+CS291*CS239+CT291*CT239+CU291*CU239</f>
        <v>0</v>
      </c>
      <c r="DC239" s="2840">
        <f>E292*E239+F292*F239+G292*G239+H292*H239+I292*I239+J292*J239+K292*K239+L292*L239+M292*M239+N292*N239+O292*O239+P292*P239+Q292*Q239+R292*R239+S292*S239+T292*T239+U292*U239+V292*V239+W292*W239+X292*X239+Y292*Y239+Z292*Z239+AA292*AA239+AB292*AB239+AC292*AC239+AD292*AD239+AE292*AE239+AF292*AF239+AG292*AG239+AH292*AH239+AI292*AI239+AJ292*AJ239+AK292*AK239+AL292*AL239+AM292*AM239+AN292*AN239+AO292*AO239+AP292*AP239+AQ292*AQ239+AR292*AR239+AS292*AS239+AT292*AT239+AU292*AU239+AV292*AV239+AW292*AW239+AX292*AX239+AY292*AY239+AZ292*AZ239+BA292*BA239+BB292*BB239+BC292*BC239+BD292*BD239+BE292*BE239+BF292*BF239+BG292*BG239+BH292*BH239+BI292*BI239+BJ292*BJ239+BK292*BK239+BL292*BL239+BM292*BM239+BN292*BN239+BO292*BO239+BP292*BP239+BQ292*BQ239+BR292*BR239+BS292*BS239+BT292*BT239+BU292*BU239+BV292*BV239+BW292*BW239+BX292*BX239+BY292*BY239+BZ292*BZ239+CA292*CA239+CB292*CB239+CC292*CC239+CD292*CD239+CE292*CE239+CF292*CF239+CG292*CG239+CH292*CH239+CI292*CI239+CJ292*CJ239+CK292*CK239+CL292*CL239+CM292*CM239+CN292*CN239+CO292*CO239+CP292*CP239+CQ292*CQ239+CR292*CR239+CS292*CS239+CT292*CT239+CU292*CU239</f>
        <v>0</v>
      </c>
      <c r="DD239" s="2840">
        <f>E293*E239+F293*F239+G293*G239+H293*H239+I293*I239+J293*J239+K293*K239+L293*L239+M293*M239+N293*N239+O293*O239+P293*P239+Q293*Q239+R293*R239+S293*S239+T293*T239+U293*U239+V293*V239+W293*W239+X293*X239+Y293*Y239+Z293*Z239+AA293*AA239+AB293*AB239+AC293*AC239+AD293*AD239+AE293*AE239+AF293*AF239+AG293*AG239+AH293*AH239+AI293*AI239+AJ293*AJ239+AK293*AK239+AL293*AL239+AM293*AM239+AN293*AN239+AO293*AO239+AP293*AP239+AQ293*AQ239+AR293*AR239+AS293*AS239+AT293*AT239+AU293*AU239+AV293*AV239+AW293*AW239+AX293*AX239+AY293*AY239+AZ293*AZ239+BA293*BA239+BB293*BB239+BC293*BC239+BD293*BD239+BE293*BE239+BF293*BF239+BG293*BG239+BH293*BH239+BI293*BI239+BJ293*BJ239+BK293*BK239+BL293*BL239+BM293*BM239+BN293*BN239+BO293*BO239+BP293*BP239+BQ293*BQ239+BR293*BR239+BS293*BS239+BT293*BT239+BU293*BU239+BV293*BV239+BW293*BW239+BX293*BX239+BY293*BY239+BZ293*BZ239+CA293*CA239+CB293*CB239+CC293*CC239+CD293*CD239+CE293*CE239+CF293*CF239+CG293*CG239+CH293*CH239+CI293*CI239+CJ293*CJ239+CK293*CK239+CL293*CL239+CM293*CM239+CN293*CN239+CO293*CO239+CP293*CP239+CQ293*CQ239+CR293*CR239+CS293*CS239+CT293*CT239+CU293*CU239</f>
        <v>0</v>
      </c>
      <c r="DE239" s="2840">
        <f>E294*E239+F294*F239+G294*G239+H294*H239+I294*I239+J294*J239+K294*K239+L294*L239+M294*M239+N294*N239+O294*O239+P294*P239+Q294*Q239+R294*R239+S294*S239+T294*T239+U294*U239+V294*V239+W294*W239+X294*X239+Y294*Y239+Z294*Z239+AA294*AA239+AB294*AB239+AC294*AC239+AD294*AD239+AE294*AE239+AF294*AF239+AG294*AG239+AH294*AH239+AI294*AI239+AJ294*AJ239+AK294*AK239+AL294*AL239+AM294*AM239+AN294*AN239+AO294*AO239+AP294*AP239+AQ294*AQ239+AR294*AR239+AS294*AS239+AT294*AT239+AU294*AU239+AV294*AV239+AW294*AW239+AX294*AX239+AY294*AY239+AZ294*AZ239+BA294*BA239+BB294*BB239+BC294*BC239+BD294*BD239+BE294*BE239+BF294*BF239+BG294*BG239+BH294*BH239+BI294*BI239+BJ294*BJ239+BK294*BK239+BL294*BL239+BM294*BM239+BN294*BN239+BO294*BO239+BP294*BP239+BQ294*BQ239+BR294*BR239+BS294*BS239+BT294*BT239+BU294*BU239+BV294*BV239+BW294*BW239+BX294*BX239+BY294*BY239+BZ294*BZ239+CA294*CA239+CB294*CB239+CC294*CC239+CD294*CD239+CE294*CE239+CF294*CF239+CG294*CG239+CH294*CH239+CI294*CI239+CJ294*CJ239+CK294*CK239+CL294*CL239+CM294*CM239+CN294*CN239+CO294*CO239+CP294*CP239+CQ294*CQ239+CR294*CR239+CS294*CS239+CT294*CT239+CU294*CU239</f>
        <v>0</v>
      </c>
      <c r="DF239" s="2840">
        <f>E295*E239+F295*F239+G295*G239+H295*H239+I295*I239+J295*J239+K295*K239+L295*L239+M295*M239+N295*N239+O295*O239+P295*P239+Q295*Q239+R295*R239+S295*S239+T295*T239+U295*U239+V295*V239+W295*W239+X295*X239+Y295*Y239+Z295*Z239+AA295*AA239+AB295*AB239+AC295*AC239+AD295*AD239+AE295*AE239+AF295*AF239+AG295*AG239+AH295*AH239+AI295*AI239+AJ295*AJ239+AK295*AK239+AL295*AL239+AM295*AM239+AN295*AN239+AO295*AO239+AP295*AP239+AQ295*AQ239+AR295*AR239+AS295*AS239+AT295*AT239+AU295*AU239+AV295*AV239+AW295*AW239+AX295*AX239+AY295*AY239+AZ295*AZ239+BA295*BA239+BB295*BB239+BC295*BC239+BD295*BD239+BE295*BE239+BF295*BF239+BG295*BG239+BH295*BH239+BI295*BI239+BJ295*BJ239+BK295*BK239+BL295*BL239+BM295*BM239+BN295*BN239+BO295*BO239+BP295*BP239+BQ295*BQ239+BR295*BR239+BS295*BS239+BT295*BT239+BU295*BU239+BV295*BV239+BW295*BW239+BX295*BX239+BY295*BY239+BZ295*BZ239+CA295*CA239+CB295*CB239+CC295*CC239+CD295*CD239+CE295*CE239+CF295*CF239+CG295*CG239+CH295*CH239+CI295*CI239+CJ295*CJ239+CK295*CK239+CL295*CL239+CM295*CM239+CN295*CN239+CO295*CO239+CP295*CP239+CQ295*CQ239+CR295*CR239+CS295*CS239+CT295*CT239+CU295*CU239</f>
        <v>0</v>
      </c>
      <c r="DG239" s="2840">
        <f>E296*E239+F296*F239+G296*G239+H296*H239+I296*I239+J296*J239+K296*K239+L296*L239+M296*M239+N296*N239+O296*O239+P296*P239+Q296*Q239+R296*R239+S296*S239+T296*T239+U296*U239+V296*V239+W296*W239+X296*X239+Y296*Y239+Z296*Z239+AA296*AA239+AB296*AB239+AC296*AC239+AD296*AD239+AE296*AE239+AF296*AF239+AG296*AG239+AH296*AH239+AI296*AI239+AJ296*AJ239+AK296*AK239+AL296*AL239+AM296*AM239+AN296*AN239+AO296*AO239+AP296*AP239+AQ296*AQ239+AR296*AR239+AS296*AS239+AT296*AT239+AU296*AU239+AV296*AV239+AW296*AW239+AX296*AX239+AY296*AY239+AZ296*AZ239+BA296*BA239+BB296*BB239+BC296*BC239+BD296*BD239+BE296*BE239+BF296*BF239+BG296*BG239+BH296*BH239+BI296*BI239+BJ296*BJ239+BK296*BK239+BL296*BL239+BM296*BM239+BN296*BN239+BO296*BO239+BP296*BP239+BQ296*BQ239+BR296*BR239+BS296*BS239+BT296*BT239+BU296*BU239+BV296*BV239+BW296*BW239+BX296*BX239+BY296*BY239+BZ296*BZ239+CA296*CA239+CB296*CB239+CC296*CC239+CD296*CD239+CE296*CE239+CF296*CF239+CG296*CG239+CH296*CH239+CI296*CI239+CJ296*CJ239+CK296*CK239+CL296*CL239+CM296*CM239+CN296*CN239+CO296*CO239+CP296*CP239+CQ296*CQ239+CR296*CR239+CS296*CS239+CT296*CT239+CU296*CU239</f>
        <v>0</v>
      </c>
      <c r="DH239" s="2840">
        <f>E297*E239+F297*F239+G297*G239+H297*H239+I297*I239+J297*J239+K297*K239+L297*L239+M297*M239+N297*N239+O297*O239+P297*P239+Q297*Q239+R297*R239+S297*S239+T297*T239+U297*U239+V297*V239+W297*W239+X297*X239+Y297*Y239+Z297*Z239+AA297*AA239+AB297*AB239+AC297*AC239+AD297*AD239+AE297*AE239+AF297*AF239+AG297*AG239+AH297*AH239+AI297*AI239+AJ297*AJ239+AK297*AK239+AL297*AL239+AM297*AM239+AN297*AN239+AO297*AO239+AP297*AP239+AQ297*AQ239+AR297*AR239+AS297*AS239+AT297*AT239+AU297*AU239+AV297*AV239+AW297*AW239+AX297*AX239+AY297*AY239+AZ297*AZ239+BA297*BA239+BB297*BB239+BC297*BC239+BD297*BD239+BE297*BE239+BF297*BF239+BG297*BG239+BH297*BH239+BI297*BI239+BJ297*BJ239+BK297*BK239+BL297*BL239+BM297*BM239+BN297*BN239+BO297*BO239+BP297*BP239+BQ297*BQ239+BR297*BR239+BS297*BS239+BT297*BT239+BU297*BU239+BV297*BV239+BW297*BW239+BX297*BX239+BY297*BY239+BZ297*BZ239+CA297*CA239+CB297*CB239+CC297*CC239+CD297*CD239+CE297*CE239+CF297*CF239+CG297*CG239+CH297*CH239+CI297*CI239+CJ297*CJ239+CK297*CK239+CL297*CL239+CM297*CM239+CN297*CN239+CO297*CO239+CP297*CP239+CQ297*CQ239+CR297*CR239+CS297*CS239+CT297*CT239+CU297*CU239</f>
        <v>0</v>
      </c>
      <c r="DI239" s="2840">
        <f>E298*E239+F298*F239+G298*G239+H298*H239+I298*I239+J298*J239+K298*K239+L298*L239+M298*M239+N298*N239+O298*O239+P298*P239+Q298*Q239+R298*R239+S298*S239+T298*T239+U298*U239+V298*V239+W298*W239+X298*X239+Y298*Y239+Z298*Z239+AA298*AA239+AB298*AB239+AC298*AC239+AD298*AD239+AE298*AE239+AF298*AF239+AG298*AG239+AH298*AH239+AI298*AI239+AJ298*AJ239+AK298*AK239+AL298*AL239+AM298*AM239+AN298*AN239+AO298*AO239+AP298*AP239+AQ298*AQ239+AR298*AR239+AS298*AS239+AT298*AT239+AU298*AU239+AV298*AV239+AW298*AW239+AX298*AX239+AY298*AY239+AZ298*AZ239+BA298*BA239+BB298*BB239+BC298*BC239+BD298*BD239+BE298*BE239+BF298*BF239+BG298*BG239+BH298*BH239+BI298*BI239+BJ298*BJ239+BK298*BK239+BL298*BL239+BM298*BM239+BN298*BN239+BO298*BO239+BP298*BP239+BQ298*BQ239+BR298*BR239+BS298*BS239+BT298*BT239+BU298*BU239+BV298*BV239+BW298*BW239+BX298*BX239+BY298*BY239+BZ298*BZ239+CA298*CA239+CB298*CB239+CC298*CC239+CD298*CD239+CE298*CE239+CF298*CF239+CG298*CG239+CH298*CH239+CI298*CI239+CJ298*CJ239+CK298*CK239+CL298*CL239+CM298*CM239+CN298*CN239+CO298*CO239+CP298*CP239+CQ298*CQ239+CR298*CR239+CS298*CS239+CT298*CT239+CU298*CU239</f>
        <v>0</v>
      </c>
    </row>
    <row r="240" spans="2:113" ht="18" x14ac:dyDescent="0.25">
      <c r="B240" s="2512">
        <v>87</v>
      </c>
      <c r="C240" s="2449" t="s">
        <v>3302</v>
      </c>
      <c r="D240" s="2450" t="s">
        <v>2876</v>
      </c>
      <c r="E240" s="3128">
        <f>0</f>
        <v>0</v>
      </c>
      <c r="F240" s="3128">
        <f>0</f>
        <v>0</v>
      </c>
      <c r="G240" s="3128">
        <f>0</f>
        <v>0</v>
      </c>
      <c r="H240" s="3128">
        <f>0</f>
        <v>0</v>
      </c>
      <c r="I240" s="3128">
        <f>0</f>
        <v>0</v>
      </c>
      <c r="J240" s="3142">
        <f>0</f>
        <v>0</v>
      </c>
      <c r="K240" s="3128">
        <f>0</f>
        <v>0</v>
      </c>
      <c r="L240" s="3128">
        <f>0</f>
        <v>0</v>
      </c>
      <c r="M240" s="3128">
        <f>0</f>
        <v>0</v>
      </c>
      <c r="N240" s="3128">
        <f>0</f>
        <v>0</v>
      </c>
      <c r="O240" s="3128">
        <f>0</f>
        <v>0</v>
      </c>
      <c r="P240" s="3128">
        <f>0</f>
        <v>0</v>
      </c>
      <c r="Q240" s="3128">
        <f>0</f>
        <v>0</v>
      </c>
      <c r="R240" s="3155">
        <f>0</f>
        <v>0</v>
      </c>
      <c r="S240" s="3128">
        <f>0</f>
        <v>0</v>
      </c>
      <c r="T240" s="3128">
        <f>0</f>
        <v>0</v>
      </c>
      <c r="U240" s="3128">
        <f>0</f>
        <v>0</v>
      </c>
      <c r="V240" s="3128">
        <f>0</f>
        <v>0</v>
      </c>
      <c r="W240" s="3128">
        <f>0</f>
        <v>0</v>
      </c>
      <c r="X240" s="3128">
        <f>0</f>
        <v>0</v>
      </c>
      <c r="Y240" s="3128">
        <f>0</f>
        <v>0</v>
      </c>
      <c r="Z240" s="3128">
        <f>0</f>
        <v>0</v>
      </c>
      <c r="AA240" s="3128">
        <f>0</f>
        <v>0</v>
      </c>
      <c r="AB240" s="3128">
        <f>0</f>
        <v>0</v>
      </c>
      <c r="AC240" s="3128">
        <f>0</f>
        <v>0</v>
      </c>
      <c r="AD240" s="3128">
        <f>0</f>
        <v>0</v>
      </c>
      <c r="AE240" s="3128">
        <f>0</f>
        <v>0</v>
      </c>
      <c r="AF240" s="3128">
        <f>0</f>
        <v>0</v>
      </c>
      <c r="AG240" s="3128">
        <f>0</f>
        <v>0</v>
      </c>
      <c r="AH240" s="3128">
        <f>0</f>
        <v>0</v>
      </c>
      <c r="AI240" s="3128">
        <f>0</f>
        <v>0</v>
      </c>
      <c r="AJ240" s="3142">
        <f>0</f>
        <v>0</v>
      </c>
      <c r="AK240" s="3128">
        <f>0</f>
        <v>0</v>
      </c>
      <c r="AL240" s="3128">
        <f>0</f>
        <v>0</v>
      </c>
      <c r="AM240" s="3128">
        <f>0</f>
        <v>0</v>
      </c>
      <c r="AN240" s="3128">
        <f>0</f>
        <v>0</v>
      </c>
      <c r="AO240" s="3128">
        <f>0</f>
        <v>0</v>
      </c>
      <c r="AP240" s="3142">
        <f>0</f>
        <v>0</v>
      </c>
      <c r="AQ240" s="3128">
        <f>0</f>
        <v>0</v>
      </c>
      <c r="AR240" s="3128">
        <f>0</f>
        <v>0</v>
      </c>
      <c r="AS240" s="3128">
        <f>0</f>
        <v>0</v>
      </c>
      <c r="AT240" s="3128">
        <f>0</f>
        <v>0</v>
      </c>
      <c r="AU240" s="3128">
        <f>0</f>
        <v>0</v>
      </c>
      <c r="AV240" s="3128">
        <f>0</f>
        <v>0</v>
      </c>
      <c r="AW240" s="3128">
        <f>0</f>
        <v>0</v>
      </c>
      <c r="AX240" s="3128">
        <f>0</f>
        <v>0</v>
      </c>
      <c r="AY240" s="3128">
        <f>0</f>
        <v>0</v>
      </c>
      <c r="AZ240" s="3128">
        <f>0</f>
        <v>0</v>
      </c>
      <c r="BA240" s="3128">
        <f>0</f>
        <v>0</v>
      </c>
      <c r="BB240" s="3128">
        <f>0</f>
        <v>0</v>
      </c>
      <c r="BC240" s="3128">
        <f>0</f>
        <v>0</v>
      </c>
      <c r="BD240" s="3128">
        <f>0</f>
        <v>0</v>
      </c>
      <c r="BE240" s="3128">
        <f>0</f>
        <v>0</v>
      </c>
      <c r="BF240" s="3198">
        <f>-X_HFO_H/(X_HFO_H+X_HFO_H_P)</f>
        <v>-0.5</v>
      </c>
      <c r="BG240" s="3198">
        <f>X_HFO_H/(X_HFO_H+X_HFO_H_P)</f>
        <v>0.5</v>
      </c>
      <c r="BH240" s="3199">
        <f>0</f>
        <v>0</v>
      </c>
      <c r="BI240" s="3198">
        <f>-X_HFO_H_P/(X_HFO_H+X_HFO_H_P)</f>
        <v>-0.5</v>
      </c>
      <c r="BJ240" s="3199">
        <f>0</f>
        <v>0</v>
      </c>
      <c r="BK240" s="3198">
        <f>X_HFO_H_P/(X_HFO_H+X_HFO_H_P)</f>
        <v>0.5</v>
      </c>
      <c r="BL240" s="3199">
        <f>0</f>
        <v>0</v>
      </c>
      <c r="BM240" s="3200">
        <f>0</f>
        <v>0</v>
      </c>
      <c r="BN240" s="3200">
        <f>0</f>
        <v>0</v>
      </c>
      <c r="BO240" s="3128">
        <f>0</f>
        <v>0</v>
      </c>
      <c r="BP240" s="3200">
        <f>0</f>
        <v>0</v>
      </c>
      <c r="BQ240" s="3128">
        <f>0</f>
        <v>0</v>
      </c>
      <c r="BR240" s="3200">
        <f>0</f>
        <v>0</v>
      </c>
      <c r="BS240" s="3128">
        <f>0</f>
        <v>0</v>
      </c>
      <c r="BT240" s="3128">
        <f>0</f>
        <v>0</v>
      </c>
      <c r="BU240" s="3128">
        <f>0</f>
        <v>0</v>
      </c>
      <c r="BV240" s="3128">
        <f>0</f>
        <v>0</v>
      </c>
      <c r="BW240" s="3155">
        <f>0</f>
        <v>0</v>
      </c>
      <c r="BX240" s="3128">
        <f>0</f>
        <v>0</v>
      </c>
      <c r="BY240" s="3128">
        <f>0</f>
        <v>0</v>
      </c>
      <c r="BZ240" s="3142">
        <f>0</f>
        <v>0</v>
      </c>
      <c r="CA240" s="3142">
        <f>0</f>
        <v>0</v>
      </c>
      <c r="CB240" s="3142">
        <f>0</f>
        <v>0</v>
      </c>
      <c r="CC240" s="3142">
        <f>0</f>
        <v>0</v>
      </c>
      <c r="CD240" s="3128">
        <f>0</f>
        <v>0</v>
      </c>
      <c r="CE240" s="3128">
        <f>0</f>
        <v>0</v>
      </c>
      <c r="CF240" s="3128">
        <f>0</f>
        <v>0</v>
      </c>
      <c r="CG240" s="3155">
        <f>0</f>
        <v>0</v>
      </c>
      <c r="CH240" s="3155">
        <f>0</f>
        <v>0</v>
      </c>
      <c r="CI240" s="3155">
        <f>0</f>
        <v>0</v>
      </c>
      <c r="CJ240" s="3155">
        <f>0</f>
        <v>0</v>
      </c>
      <c r="CK240" s="3155">
        <f>0</f>
        <v>0</v>
      </c>
      <c r="CL240" s="3155">
        <f>0</f>
        <v>0</v>
      </c>
      <c r="CM240" s="3155">
        <f>0</f>
        <v>0</v>
      </c>
      <c r="CN240" s="3155">
        <f>0</f>
        <v>0</v>
      </c>
      <c r="CO240" s="3155">
        <f>0</f>
        <v>0</v>
      </c>
      <c r="CP240" s="3155">
        <f>0</f>
        <v>0</v>
      </c>
      <c r="CQ240" s="3155">
        <f>0</f>
        <v>0</v>
      </c>
      <c r="CR240" s="3155">
        <f>0</f>
        <v>0</v>
      </c>
      <c r="CS240" s="3155">
        <f>0</f>
        <v>0</v>
      </c>
      <c r="CT240" s="3155">
        <f>0</f>
        <v>0</v>
      </c>
      <c r="CU240" s="3155">
        <f>0</f>
        <v>0</v>
      </c>
      <c r="CV240" s="3234">
        <f>q_HFOH_AGING*(X_HFO_H+X_HFO_H_P)</f>
        <v>4.9999999999999999E-48</v>
      </c>
      <c r="CX240" s="2838">
        <f>E287*E240+F287*F240+G287*G240+H287*H240+I287*I240+J287*J240+K287*K240+L287*L240+M287*M240+N287*N240+O287*O240+P287*P240+Q287*Q240+R287*R240+S287*S240+T287*T240+U287*U240+V287*V240+W287*W240+X287*X240+Y287*Y240+Z287*Z240+AA287*AA240+AB287*AB240+AC287*AC240+AD287*AD240+AE287*AE240+AF287*AF240+AG287*AG240+AH287*AH240+AI287*AI240+AJ287*AJ240+AK287*AK240+AL287*AL240+AM287*AM240+AN287*AN240+AO287*AO240+AP287*AP240+AQ287*AQ240+AR287*AR240+AS287*AS240+AT287*AT240+AU287*AU240+AV287*AV240+AW287*AW240+AX287*AX240+AY287*AY240+AZ287*AZ240+BA287*BA240+BB287*BB240+BC287*BC240+BD287*BD240+BE287*BE240+BF287*BF240+BG287*BG240+BH287*BH240+BI287*BI240+BJ287*BJ240+BK287*BK240+BL287*BL240+BM287*BM240+BN287*BN240+BO287*BO240+BP287*BP240+BQ287*BQ240+BR287*BR240+BS287*BS240+BT287*BT240+BU287*BU240+BV287*BV240+BW287*BW240+BX287*BX240+BY287*BY240+BZ287*BZ240+CA287*CA240+CB287*CB240+CC287*CC240+CD287*CD240+CE287*CE240+CF287*CF240+CG287*CG240+CH287*CH240+CI287*CI240+CJ287*CJ240+CK287*CK240+CL287*CL240+CM287*CM240+CN287*CN240+CO287*CO240+CP287*CP240+CQ287*CQ240+CR287*CR240+CS287*CS240+CT287*CT240+CU287*CU240</f>
        <v>0</v>
      </c>
      <c r="CY240" s="2838">
        <f>E288*E240+F288*F240+G288*G240+H288*H240+I288*I240+J288*J240+K288*K240+L288*L240+M288*M240+N288*N240+O288*O240+P288*P240+Q288*Q240+R288*R240+S288*S240+T288*T240+U288*U240+V288*V240+W288*W240+X288*X240+Y288*Y240+Z288*Z240+AA288*AA240+AB288*AB240+AC288*AC240+AD288*AD240+AE288*AE240+AF288*AF240+AG288*AG240+AH288*AH240+AI288*AI240+AJ288*AJ240+AK288*AK240+AL288*AL240+AM288*AM240+AN288*AN240+AO288*AO240+AP288*AP240+AQ288*AQ240+AR288*AR240+AS288*AS240+AT288*AT240+AU288*AU240+AV288*AV240+AW288*AW240+AX288*AX240+AY288*AY240+AZ288*AZ240+BA288*BA240+BB288*BB240+BC288*BC240+BD288*BD240+BE288*BE240+BF288*BF240+BG288*BG240+BH288*BH240+BI288*BI240+BJ288*BJ240+BK288*BK240+BL288*BL240+BM288*BM240+BN288*BN240+BO288*BO240+BP288*BP240+BQ288*BQ240+BR288*BR240+BS288*BS240+BT288*BT240+BU288*BU240+BV288*BV240+BW288*BW240+BX288*BX240+BY288*BY240+BZ288*BZ240+CA288*CA240+CB288*CB240+CC288*CC240+CD288*CD240+CE288*CE240+CF288*CF240+CG288*CG240+CH288*CH240+CI288*CI240+CJ288*CJ240+CK288*CK240+CL288*CL240+CM288*CM240+CN288*CN240+CO288*CO240+CP288*CP240+CQ288*CQ240+CR288*CR240+CS288*CS240+CT288*CT240+CU288*CU240</f>
        <v>0</v>
      </c>
      <c r="CZ240" s="2839">
        <f>E289*E240+F289*F240+G289*G240+H289*H240+I289*I240+J289*J240+K289*K240+L289*L240+M289*M240+N289*N240+O289*O240+P289*P240+Q289*Q240+R289*R240+S289*S240+T289*T240+U289*U240+V289*V240+W289*W240+X289*X240+Y289*Y240+Z289*Z240+AA289*AA240+AB289*AB240+AC289*AC240+AD289*AD240+AE289*AE240+AF289*AF240+AG289*AG240+AH289*AH240+AI289*AI240+AJ289*AJ240+AK289*AK240+AL289*AL240+AM289*AM240+AN289*AN240+AO289*AO240+AP289*AP240+AQ289*AQ240+AR289*AR240+AS289*AS240+AT289*AT240+AU289*AU240+AV289*AV240+AW289*AW240+AX289*AX240+AY289*AY240+AZ289*AZ240+BA289*BA240+BB289*BB240+BC289*BC240+BD289*BD240+BE289*BE240+BF289*BF240+BG289*BG240+BH289*BH240+BI289*BI240+BJ289*BJ240+BK289*BK240+BL289*BL240+BM289*BM240+BN289*BN240+BO289*BO240+BP289*BP240+BQ289*BQ240+BR289*BR240+BS289*BS240+BT289*BT240+BU289*BU240+BV289*BV240+BW289*BW240+BX289*BX240+BY289*BY240+BZ289*BZ240+CA289*CA240+CB289*CB240+CC289*CC240+CD289*CD240+CE289*CE240+CF289*CF240+CG289*CG240+CH289*CH240+CI289*CI240+CJ289*CJ240+CK289*CK240+CL289*CL240+CM289*CM240+CN289*CN240+CO289*CO240+CP289*CP240+CQ289*CQ240+CR289*CR240+CS289*CS240+CT289*CT240+CU289*CU240</f>
        <v>0</v>
      </c>
      <c r="DA240" s="2840">
        <f>E290*E240+F290*F240+G290*G240+H290*H240+I290*I240+J290*J240+K290*K240+L290*L240+M290*M240+N290*N240+O290*O240+P290*P240+Q290*Q240+R290*R240+S290*S240+T290*T240+U290*U240+V290*V240+W290*W240+X290*X240+Y290*Y240+Z290*Z240+AA290*AA240+AB290*AB240+AC290*AC240+AD290*AD240+AE290*AE240+AF290*AF240+AG290*AG240+AH290*AH240+AI290*AI240+AJ290*AJ240+AK290*AK240+AL290*AL240+AM290*AM240+AN290*AN240+AO290*AO240+AP290*AP240+AQ290*AQ240+AR290*AR240+AS290*AS240+AT290*AT240+AU290*AU240+AV290*AV240+AW290*AW240+AX290*AX240+AY290*AY240+AZ290*AZ240+BA290*BA240+BB290*BB240+BC290*BC240+BD290*BD240+BE290*BE240+BF290*BF240+BG290*BG240+BH290*BH240+BI290*BI240+BJ290*BJ240+BK290*BK240+BL290*BL240+BM290*BM240+BN290*BN240+BO290*BO240+BP290*BP240+BQ290*BQ240+BR290*BR240+BS290*BS240+BT290*BT240+BU290*BU240+BV290*BV240+BW290*BW240+BX290*BX240+BY290*BY240+BZ290*BZ240+CA290*CA240+CB290*CB240+CC290*CC240+CD290*CD240+CE290*CE240+CF290*CF240+CG290*CG240+CH290*CH240+CI290*CI240+CJ290*CJ240+CK290*CK240+CL290*CL240+CM290*CM240+CN290*CN240+CO290*CO240+CP290*CP240+CQ290*CQ240+CR290*CR240+CS290*CS240+CT290*CT240+CU290*CU240</f>
        <v>0</v>
      </c>
      <c r="DB240" s="2840">
        <f>E291*E240+F291*F240+G291*G240+H291*H240+I291*I240+J291*J240+K291*K240+L291*L240+M291*M240+N291*N240+O291*O240+P291*P240+Q291*Q240+R291*R240+S291*S240+T291*T240+U291*U240+V291*V240+W291*W240+X291*X240+Y291*Y240+Z291*Z240+AA291*AA240+AB291*AB240+AC291*AC240+AD291*AD240+AE291*AE240+AF291*AF240+AG291*AG240+AH291*AH240+AI291*AI240+AJ291*AJ240+AK291*AK240+AL291*AL240+AM291*AM240+AN291*AN240+AO291*AO240+AP291*AP240+AQ291*AQ240+AR291*AR240+AS291*AS240+AT291*AT240+AU291*AU240+AV291*AV240+AW291*AW240+AX291*AX240+AY291*AY240+AZ291*AZ240+BA291*BA240+BB291*BB240+BC291*BC240+BD291*BD240+BE291*BE240+BF291*BF240+BG291*BG240+BH291*BH240+BI291*BI240+BJ291*BJ240+BK291*BK240+BL291*BL240+BM291*BM240+BN291*BN240+BO291*BO240+BP291*BP240+BQ291*BQ240+BR291*BR240+BS291*BS240+BT291*BT240+BU291*BU240+BV291*BV240+BW291*BW240+BX291*BX240+BY291*BY240+BZ291*BZ240+CA291*CA240+CB291*CB240+CC291*CC240+CD291*CD240+CE291*CE240+CF291*CF240+CG291*CG240+CH291*CH240+CI291*CI240+CJ291*CJ240+CK291*CK240+CL291*CL240+CM291*CM240+CN291*CN240+CO291*CO240+CP291*CP240+CQ291*CQ240+CR291*CR240+CS291*CS240+CT291*CT240+CU291*CU240</f>
        <v>0</v>
      </c>
      <c r="DC240" s="2840">
        <f>E292*E240+F292*F240+G292*G240+H292*H240+I292*I240+J292*J240+K292*K240+L292*L240+M292*M240+N292*N240+O292*O240+P292*P240+Q292*Q240+R292*R240+S292*S240+T292*T240+U292*U240+V292*V240+W292*W240+X292*X240+Y292*Y240+Z292*Z240+AA292*AA240+AB292*AB240+AC292*AC240+AD292*AD240+AE292*AE240+AF292*AF240+AG292*AG240+AH292*AH240+AI292*AI240+AJ292*AJ240+AK292*AK240+AL292*AL240+AM292*AM240+AN292*AN240+AO292*AO240+AP292*AP240+AQ292*AQ240+AR292*AR240+AS292*AS240+AT292*AT240+AU292*AU240+AV292*AV240+AW292*AW240+AX292*AX240+AY292*AY240+AZ292*AZ240+BA292*BA240+BB292*BB240+BC292*BC240+BD292*BD240+BE292*BE240+BF292*BF240+BG292*BG240+BH292*BH240+BI292*BI240+BJ292*BJ240+BK292*BK240+BL292*BL240+BM292*BM240+BN292*BN240+BO292*BO240+BP292*BP240+BQ292*BQ240+BR292*BR240+BS292*BS240+BT292*BT240+BU292*BU240+BV292*BV240+BW292*BW240+BX292*BX240+BY292*BY240+BZ292*BZ240+CA292*CA240+CB292*CB240+CC292*CC240+CD292*CD240+CE292*CE240+CF292*CF240+CG292*CG240+CH292*CH240+CI292*CI240+CJ292*CJ240+CK292*CK240+CL292*CL240+CM292*CM240+CN292*CN240+CO292*CO240+CP292*CP240+CQ292*CQ240+CR292*CR240+CS292*CS240+CT292*CT240+CU292*CU240</f>
        <v>0</v>
      </c>
      <c r="DD240" s="2840">
        <f>E293*E240+F293*F240+G293*G240+H293*H240+I293*I240+J293*J240+K293*K240+L293*L240+M293*M240+N293*N240+O293*O240+P293*P240+Q293*Q240+R293*R240+S293*S240+T293*T240+U293*U240+V293*V240+W293*W240+X293*X240+Y293*Y240+Z293*Z240+AA293*AA240+AB293*AB240+AC293*AC240+AD293*AD240+AE293*AE240+AF293*AF240+AG293*AG240+AH293*AH240+AI293*AI240+AJ293*AJ240+AK293*AK240+AL293*AL240+AM293*AM240+AN293*AN240+AO293*AO240+AP293*AP240+AQ293*AQ240+AR293*AR240+AS293*AS240+AT293*AT240+AU293*AU240+AV293*AV240+AW293*AW240+AX293*AX240+AY293*AY240+AZ293*AZ240+BA293*BA240+BB293*BB240+BC293*BC240+BD293*BD240+BE293*BE240+BF293*BF240+BG293*BG240+BH293*BH240+BI293*BI240+BJ293*BJ240+BK293*BK240+BL293*BL240+BM293*BM240+BN293*BN240+BO293*BO240+BP293*BP240+BQ293*BQ240+BR293*BR240+BS293*BS240+BT293*BT240+BU293*BU240+BV293*BV240+BW293*BW240+BX293*BX240+BY293*BY240+BZ293*BZ240+CA293*CA240+CB293*CB240+CC293*CC240+CD293*CD240+CE293*CE240+CF293*CF240+CG293*CG240+CH293*CH240+CI293*CI240+CJ293*CJ240+CK293*CK240+CL293*CL240+CM293*CM240+CN293*CN240+CO293*CO240+CP293*CP240+CQ293*CQ240+CR293*CR240+CS293*CS240+CT293*CT240+CU293*CU240</f>
        <v>0</v>
      </c>
      <c r="DE240" s="2840">
        <f>E294*E240+F294*F240+G294*G240+H294*H240+I294*I240+J294*J240+K294*K240+L294*L240+M294*M240+N294*N240+O294*O240+P294*P240+Q294*Q240+R294*R240+S294*S240+T294*T240+U294*U240+V294*V240+W294*W240+X294*X240+Y294*Y240+Z294*Z240+AA294*AA240+AB294*AB240+AC294*AC240+AD294*AD240+AE294*AE240+AF294*AF240+AG294*AG240+AH294*AH240+AI294*AI240+AJ294*AJ240+AK294*AK240+AL294*AL240+AM294*AM240+AN294*AN240+AO294*AO240+AP294*AP240+AQ294*AQ240+AR294*AR240+AS294*AS240+AT294*AT240+AU294*AU240+AV294*AV240+AW294*AW240+AX294*AX240+AY294*AY240+AZ294*AZ240+BA294*BA240+BB294*BB240+BC294*BC240+BD294*BD240+BE294*BE240+BF294*BF240+BG294*BG240+BH294*BH240+BI294*BI240+BJ294*BJ240+BK294*BK240+BL294*BL240+BM294*BM240+BN294*BN240+BO294*BO240+BP294*BP240+BQ294*BQ240+BR294*BR240+BS294*BS240+BT294*BT240+BU294*BU240+BV294*BV240+BW294*BW240+BX294*BX240+BY294*BY240+BZ294*BZ240+CA294*CA240+CB294*CB240+CC294*CC240+CD294*CD240+CE294*CE240+CF294*CF240+CG294*CG240+CH294*CH240+CI294*CI240+CJ294*CJ240+CK294*CK240+CL294*CL240+CM294*CM240+CN294*CN240+CO294*CO240+CP294*CP240+CQ294*CQ240+CR294*CR240+CS294*CS240+CT294*CT240+CU294*CU240</f>
        <v>0</v>
      </c>
      <c r="DF240" s="2840">
        <f>E295*E240+F295*F240+G295*G240+H295*H240+I295*I240+J295*J240+K295*K240+L295*L240+M295*M240+N295*N240+O295*O240+P295*P240+Q295*Q240+R295*R240+S295*S240+T295*T240+U295*U240+V295*V240+W295*W240+X295*X240+Y295*Y240+Z295*Z240+AA295*AA240+AB295*AB240+AC295*AC240+AD295*AD240+AE295*AE240+AF295*AF240+AG295*AG240+AH295*AH240+AI295*AI240+AJ295*AJ240+AK295*AK240+AL295*AL240+AM295*AM240+AN295*AN240+AO295*AO240+AP295*AP240+AQ295*AQ240+AR295*AR240+AS295*AS240+AT295*AT240+AU295*AU240+AV295*AV240+AW295*AW240+AX295*AX240+AY295*AY240+AZ295*AZ240+BA295*BA240+BB295*BB240+BC295*BC240+BD295*BD240+BE295*BE240+BF295*BF240+BG295*BG240+BH295*BH240+BI295*BI240+BJ295*BJ240+BK295*BK240+BL295*BL240+BM295*BM240+BN295*BN240+BO295*BO240+BP295*BP240+BQ295*BQ240+BR295*BR240+BS295*BS240+BT295*BT240+BU295*BU240+BV295*BV240+BW295*BW240+BX295*BX240+BY295*BY240+BZ295*BZ240+CA295*CA240+CB295*CB240+CC295*CC240+CD295*CD240+CE295*CE240+CF295*CF240+CG295*CG240+CH295*CH240+CI295*CI240+CJ295*CJ240+CK295*CK240+CL295*CL240+CM295*CM240+CN295*CN240+CO295*CO240+CP295*CP240+CQ295*CQ240+CR295*CR240+CS295*CS240+CT295*CT240+CU295*CU240</f>
        <v>0</v>
      </c>
      <c r="DG240" s="2840">
        <f>E296*E240+F296*F240+G296*G240+H296*H240+I296*I240+J296*J240+K296*K240+L296*L240+M296*M240+N296*N240+O296*O240+P296*P240+Q296*Q240+R296*R240+S296*S240+T296*T240+U296*U240+V296*V240+W296*W240+X296*X240+Y296*Y240+Z296*Z240+AA296*AA240+AB296*AB240+AC296*AC240+AD296*AD240+AE296*AE240+AF296*AF240+AG296*AG240+AH296*AH240+AI296*AI240+AJ296*AJ240+AK296*AK240+AL296*AL240+AM296*AM240+AN296*AN240+AO296*AO240+AP296*AP240+AQ296*AQ240+AR296*AR240+AS296*AS240+AT296*AT240+AU296*AU240+AV296*AV240+AW296*AW240+AX296*AX240+AY296*AY240+AZ296*AZ240+BA296*BA240+BB296*BB240+BC296*BC240+BD296*BD240+BE296*BE240+BF296*BF240+BG296*BG240+BH296*BH240+BI296*BI240+BJ296*BJ240+BK296*BK240+BL296*BL240+BM296*BM240+BN296*BN240+BO296*BO240+BP296*BP240+BQ296*BQ240+BR296*BR240+BS296*BS240+BT296*BT240+BU296*BU240+BV296*BV240+BW296*BW240+BX296*BX240+BY296*BY240+BZ296*BZ240+CA296*CA240+CB296*CB240+CC296*CC240+CD296*CD240+CE296*CE240+CF296*CF240+CG296*CG240+CH296*CH240+CI296*CI240+CJ296*CJ240+CK296*CK240+CL296*CL240+CM296*CM240+CN296*CN240+CO296*CO240+CP296*CP240+CQ296*CQ240+CR296*CR240+CS296*CS240+CT296*CT240+CU296*CU240</f>
        <v>0</v>
      </c>
      <c r="DH240" s="2840">
        <f>E297*E240+F297*F240+G297*G240+H297*H240+I297*I240+J297*J240+K297*K240+L297*L240+M297*M240+N297*N240+O297*O240+P297*P240+Q297*Q240+R297*R240+S297*S240+T297*T240+U297*U240+V297*V240+W297*W240+X297*X240+Y297*Y240+Z297*Z240+AA297*AA240+AB297*AB240+AC297*AC240+AD297*AD240+AE297*AE240+AF297*AF240+AG297*AG240+AH297*AH240+AI297*AI240+AJ297*AJ240+AK297*AK240+AL297*AL240+AM297*AM240+AN297*AN240+AO297*AO240+AP297*AP240+AQ297*AQ240+AR297*AR240+AS297*AS240+AT297*AT240+AU297*AU240+AV297*AV240+AW297*AW240+AX297*AX240+AY297*AY240+AZ297*AZ240+BA297*BA240+BB297*BB240+BC297*BC240+BD297*BD240+BE297*BE240+BF297*BF240+BG297*BG240+BH297*BH240+BI297*BI240+BJ297*BJ240+BK297*BK240+BL297*BL240+BM297*BM240+BN297*BN240+BO297*BO240+BP297*BP240+BQ297*BQ240+BR297*BR240+BS297*BS240+BT297*BT240+BU297*BU240+BV297*BV240+BW297*BW240+BX297*BX240+BY297*BY240+BZ297*BZ240+CA297*CA240+CB297*CB240+CC297*CC240+CD297*CD240+CE297*CE240+CF297*CF240+CG297*CG240+CH297*CH240+CI297*CI240+CJ297*CJ240+CK297*CK240+CL297*CL240+CM297*CM240+CN297*CN240+CO297*CO240+CP297*CP240+CQ297*CQ240+CR297*CR240+CS297*CS240+CT297*CT240+CU297*CU240</f>
        <v>0</v>
      </c>
      <c r="DI240" s="2840">
        <f>E298*E240+F298*F240+G298*G240+H298*H240+I298*I240+J298*J240+K298*K240+L298*L240+M298*M240+N298*N240+O298*O240+P298*P240+Q298*Q240+R298*R240+S298*S240+T298*T240+U298*U240+V298*V240+W298*W240+X298*X240+Y298*Y240+Z298*Z240+AA298*AA240+AB298*AB240+AC298*AC240+AD298*AD240+AE298*AE240+AF298*AF240+AG298*AG240+AH298*AH240+AI298*AI240+AJ298*AJ240+AK298*AK240+AL298*AL240+AM298*AM240+AN298*AN240+AO298*AO240+AP298*AP240+AQ298*AQ240+AR298*AR240+AS298*AS240+AT298*AT240+AU298*AU240+AV298*AV240+AW298*AW240+AX298*AX240+AY298*AY240+AZ298*AZ240+BA298*BA240+BB298*BB240+BC298*BC240+BD298*BD240+BE298*BE240+BF298*BF240+BG298*BG240+BH298*BH240+BI298*BI240+BJ298*BJ240+BK298*BK240+BL298*BL240+BM298*BM240+BN298*BN240+BO298*BO240+BP298*BP240+BQ298*BQ240+BR298*BR240+BS298*BS240+BT298*BT240+BU298*BU240+BV298*BV240+BW298*BW240+BX298*BX240+BY298*BY240+BZ298*BZ240+CA298*CA240+CB298*CB240+CC298*CC240+CD298*CD240+CE298*CE240+CF298*CF240+CG298*CG240+CH298*CH240+CI298*CI240+CJ298*CJ240+CK298*CK240+CL298*CL240+CM298*CM240+CN298*CN240+CO298*CO240+CP298*CP240+CQ298*CQ240+CR298*CR240+CS298*CS240+CT298*CT240+CU298*CU240</f>
        <v>0</v>
      </c>
    </row>
    <row r="241" spans="2:113" ht="18" x14ac:dyDescent="0.25">
      <c r="B241" s="2512">
        <v>88</v>
      </c>
      <c r="C241" s="2449" t="s">
        <v>3303</v>
      </c>
      <c r="D241" s="2450" t="s">
        <v>2877</v>
      </c>
      <c r="E241" s="3128">
        <f>0</f>
        <v>0</v>
      </c>
      <c r="F241" s="3128">
        <f>0</f>
        <v>0</v>
      </c>
      <c r="G241" s="3128">
        <f>0</f>
        <v>0</v>
      </c>
      <c r="H241" s="3128">
        <f>0</f>
        <v>0</v>
      </c>
      <c r="I241" s="3128">
        <f>0</f>
        <v>0</v>
      </c>
      <c r="J241" s="3142">
        <f>0</f>
        <v>0</v>
      </c>
      <c r="K241" s="3128">
        <f>0</f>
        <v>0</v>
      </c>
      <c r="L241" s="3128">
        <f>0</f>
        <v>0</v>
      </c>
      <c r="M241" s="3128">
        <f>0</f>
        <v>0</v>
      </c>
      <c r="N241" s="3128">
        <f>0</f>
        <v>0</v>
      </c>
      <c r="O241" s="3128">
        <f>0</f>
        <v>0</v>
      </c>
      <c r="P241" s="3128">
        <f>0</f>
        <v>0</v>
      </c>
      <c r="Q241" s="3128">
        <f>0</f>
        <v>0</v>
      </c>
      <c r="R241" s="3155">
        <f>0</f>
        <v>0</v>
      </c>
      <c r="S241" s="3128">
        <f>0</f>
        <v>0</v>
      </c>
      <c r="T241" s="3128">
        <f>0</f>
        <v>0</v>
      </c>
      <c r="U241" s="3128">
        <f>0</f>
        <v>0</v>
      </c>
      <c r="V241" s="3128">
        <f>0</f>
        <v>0</v>
      </c>
      <c r="W241" s="3128">
        <f>0</f>
        <v>0</v>
      </c>
      <c r="X241" s="3128">
        <f>0</f>
        <v>0</v>
      </c>
      <c r="Y241" s="3128">
        <f>0</f>
        <v>0</v>
      </c>
      <c r="Z241" s="3128">
        <f>0</f>
        <v>0</v>
      </c>
      <c r="AA241" s="3128">
        <f>0</f>
        <v>0</v>
      </c>
      <c r="AB241" s="3128">
        <f>0</f>
        <v>0</v>
      </c>
      <c r="AC241" s="3128">
        <f>0</f>
        <v>0</v>
      </c>
      <c r="AD241" s="3128">
        <f>0</f>
        <v>0</v>
      </c>
      <c r="AE241" s="3128">
        <f>0</f>
        <v>0</v>
      </c>
      <c r="AF241" s="3128">
        <f>0</f>
        <v>0</v>
      </c>
      <c r="AG241" s="3128">
        <f>0</f>
        <v>0</v>
      </c>
      <c r="AH241" s="3128">
        <f>0</f>
        <v>0</v>
      </c>
      <c r="AI241" s="3128">
        <f>0</f>
        <v>0</v>
      </c>
      <c r="AJ241" s="3142">
        <f>0</f>
        <v>0</v>
      </c>
      <c r="AK241" s="3128">
        <f>0</f>
        <v>0</v>
      </c>
      <c r="AL241" s="3128">
        <f>0</f>
        <v>0</v>
      </c>
      <c r="AM241" s="3128">
        <f>0</f>
        <v>0</v>
      </c>
      <c r="AN241" s="3128">
        <f>0</f>
        <v>0</v>
      </c>
      <c r="AO241" s="3128">
        <f>0</f>
        <v>0</v>
      </c>
      <c r="AP241" s="3142">
        <f>0</f>
        <v>0</v>
      </c>
      <c r="AQ241" s="3128">
        <f>0</f>
        <v>0</v>
      </c>
      <c r="AR241" s="3128">
        <f>0</f>
        <v>0</v>
      </c>
      <c r="AS241" s="3128">
        <f>0</f>
        <v>0</v>
      </c>
      <c r="AT241" s="3128">
        <f>0</f>
        <v>0</v>
      </c>
      <c r="AU241" s="3128">
        <f>0</f>
        <v>0</v>
      </c>
      <c r="AV241" s="3128">
        <f>0</f>
        <v>0</v>
      </c>
      <c r="AW241" s="3128">
        <f>0</f>
        <v>0</v>
      </c>
      <c r="AX241" s="3128">
        <f>0</f>
        <v>0</v>
      </c>
      <c r="AY241" s="3128">
        <f>0</f>
        <v>0</v>
      </c>
      <c r="AZ241" s="3128">
        <f>0</f>
        <v>0</v>
      </c>
      <c r="BA241" s="3128">
        <f>0</f>
        <v>0</v>
      </c>
      <c r="BB241" s="3128">
        <f>0</f>
        <v>0</v>
      </c>
      <c r="BC241" s="3128">
        <f>0</f>
        <v>0</v>
      </c>
      <c r="BD241" s="3128">
        <f>0</f>
        <v>0</v>
      </c>
      <c r="BE241" s="3128">
        <f>0</f>
        <v>0</v>
      </c>
      <c r="BF241" s="3199">
        <f>0</f>
        <v>0</v>
      </c>
      <c r="BG241" s="3198">
        <f>-X_HFO_L/(X_HFO_L+X_HFO_L_P)</f>
        <v>-0.5</v>
      </c>
      <c r="BH241" s="3198">
        <f>X_HFO_L/(X_HFO_L+X_HFO_L_P)</f>
        <v>0.5</v>
      </c>
      <c r="BI241" s="3198">
        <f>0</f>
        <v>0</v>
      </c>
      <c r="BJ241" s="3198">
        <f>-X_HFO_L_P/(X_HFO_L+X_HFO_L_P)</f>
        <v>-0.5</v>
      </c>
      <c r="BK241" s="3198">
        <f>0</f>
        <v>0</v>
      </c>
      <c r="BL241" s="3198">
        <f>X_HFO_L_P/(X_HFO_L+X_HFO_L_P)</f>
        <v>0.5</v>
      </c>
      <c r="BM241" s="3128">
        <f>0</f>
        <v>0</v>
      </c>
      <c r="BN241" s="3200">
        <f>0</f>
        <v>0</v>
      </c>
      <c r="BO241" s="3200">
        <f>0</f>
        <v>0</v>
      </c>
      <c r="BP241" s="3200">
        <f>0</f>
        <v>0</v>
      </c>
      <c r="BQ241" s="3200">
        <f>0</f>
        <v>0</v>
      </c>
      <c r="BR241" s="3200">
        <f>0</f>
        <v>0</v>
      </c>
      <c r="BS241" s="3200">
        <f>0</f>
        <v>0</v>
      </c>
      <c r="BT241" s="3128">
        <f>0</f>
        <v>0</v>
      </c>
      <c r="BU241" s="3128">
        <f>0</f>
        <v>0</v>
      </c>
      <c r="BV241" s="3128">
        <f>0</f>
        <v>0</v>
      </c>
      <c r="BW241" s="3155">
        <f>0</f>
        <v>0</v>
      </c>
      <c r="BX241" s="3128">
        <f>0</f>
        <v>0</v>
      </c>
      <c r="BY241" s="3128">
        <f>0</f>
        <v>0</v>
      </c>
      <c r="BZ241" s="3142">
        <f>0</f>
        <v>0</v>
      </c>
      <c r="CA241" s="3142">
        <f>0</f>
        <v>0</v>
      </c>
      <c r="CB241" s="3142">
        <f>0</f>
        <v>0</v>
      </c>
      <c r="CC241" s="3142">
        <f>0</f>
        <v>0</v>
      </c>
      <c r="CD241" s="3128">
        <f>0</f>
        <v>0</v>
      </c>
      <c r="CE241" s="3128">
        <f>0</f>
        <v>0</v>
      </c>
      <c r="CF241" s="3128">
        <f>0</f>
        <v>0</v>
      </c>
      <c r="CG241" s="3155">
        <f>0</f>
        <v>0</v>
      </c>
      <c r="CH241" s="3155">
        <f>0</f>
        <v>0</v>
      </c>
      <c r="CI241" s="3155">
        <f>0</f>
        <v>0</v>
      </c>
      <c r="CJ241" s="3155">
        <f>0</f>
        <v>0</v>
      </c>
      <c r="CK241" s="3155">
        <f>0</f>
        <v>0</v>
      </c>
      <c r="CL241" s="3155">
        <f>0</f>
        <v>0</v>
      </c>
      <c r="CM241" s="3155">
        <f>0</f>
        <v>0</v>
      </c>
      <c r="CN241" s="3155">
        <f>0</f>
        <v>0</v>
      </c>
      <c r="CO241" s="3155">
        <f>0</f>
        <v>0</v>
      </c>
      <c r="CP241" s="3155">
        <f>0</f>
        <v>0</v>
      </c>
      <c r="CQ241" s="3155">
        <f>0</f>
        <v>0</v>
      </c>
      <c r="CR241" s="3155">
        <f>0</f>
        <v>0</v>
      </c>
      <c r="CS241" s="3155">
        <f>0</f>
        <v>0</v>
      </c>
      <c r="CT241" s="3155">
        <f>0</f>
        <v>0</v>
      </c>
      <c r="CU241" s="3155">
        <f>0</f>
        <v>0</v>
      </c>
      <c r="CV241" s="3234">
        <f>q_HFOL_AGING*(X_HFO_L+X_HFO_L_P)</f>
        <v>2E-50</v>
      </c>
      <c r="CX241" s="2838">
        <f>E287*E241+F287*F241+G287*G241+H287*H241+I287*I241+J287*J241+K287*K241+L287*L241+M287*M241+N287*N241+O287*O241+P287*P241+Q287*Q241+R287*R241+S287*S241+T287*T241+U287*U241+V287*V241+W287*W241+X287*X241+Y287*Y241+Z287*Z241+AA287*AA241+AB287*AB241+AC287*AC241+AD287*AD241+AE287*AE241+AF287*AF241+AG287*AG241+AH287*AH241+AI287*AI241+AJ287*AJ241+AK287*AK241+AL287*AL241+AM287*AM241+AN287*AN241+AO287*AO241+AP287*AP241+AQ287*AQ241+AR287*AR241+AS287*AS241+AT287*AT241+AU287*AU241+AV287*AV241+AW287*AW241+AX287*AX241+AY287*AY241+AZ287*AZ241+BA287*BA241+BB287*BB241+BC287*BC241+BD287*BD241+BE287*BE241+BF287*BF241+BG287*BG241+BH287*BH241+BI287*BI241+BJ287*BJ241+BK287*BK241+BL287*BL241+BM287*BM241+BN287*BN241+BO287*BO241+BP287*BP241+BQ287*BQ241+BR287*BR241+BS287*BS241+BT287*BT241+BU287*BU241+BV287*BV241+BW287*BW241+BX287*BX241+BY287*BY241+BZ287*BZ241+CA287*CA241+CB287*CB241+CC287*CC241+CD287*CD241+CE287*CE241+CF287*CF241+CG287*CG241+CH287*CH241+CI287*CI241+CJ287*CJ241+CK287*CK241+CL287*CL241+CM287*CM241+CN287*CN241+CO287*CO241+CP287*CP241+CQ287*CQ241+CR287*CR241+CS287*CS241+CT287*CT241+CU287*CU241</f>
        <v>0</v>
      </c>
      <c r="CY241" s="2838">
        <f>E288*E241+F288*F241+G288*G241+H288*H241+I288*I241+J288*J241+K288*K241+L288*L241+M288*M241+N288*N241+O288*O241+P288*P241+Q288*Q241+R288*R241+S288*S241+T288*T241+U288*U241+V288*V241+W288*W241+X288*X241+Y288*Y241+Z288*Z241+AA288*AA241+AB288*AB241+AC288*AC241+AD288*AD241+AE288*AE241+AF288*AF241+AG288*AG241+AH288*AH241+AI288*AI241+AJ288*AJ241+AK288*AK241+AL288*AL241+AM288*AM241+AN288*AN241+AO288*AO241+AP288*AP241+AQ288*AQ241+AR288*AR241+AS288*AS241+AT288*AT241+AU288*AU241+AV288*AV241+AW288*AW241+AX288*AX241+AY288*AY241+AZ288*AZ241+BA288*BA241+BB288*BB241+BC288*BC241+BD288*BD241+BE288*BE241+BF288*BF241+BG288*BG241+BH288*BH241+BI288*BI241+BJ288*BJ241+BK288*BK241+BL288*BL241+BM288*BM241+BN288*BN241+BO288*BO241+BP288*BP241+BQ288*BQ241+BR288*BR241+BS288*BS241+BT288*BT241+BU288*BU241+BV288*BV241+BW288*BW241+BX288*BX241+BY288*BY241+BZ288*BZ241+CA288*CA241+CB288*CB241+CC288*CC241+CD288*CD241+CE288*CE241+CF288*CF241+CG288*CG241+CH288*CH241+CI288*CI241+CJ288*CJ241+CK288*CK241+CL288*CL241+CM288*CM241+CN288*CN241+CO288*CO241+CP288*CP241+CQ288*CQ241+CR288*CR241+CS288*CS241+CT288*CT241+CU288*CU241</f>
        <v>0</v>
      </c>
      <c r="CZ241" s="2839">
        <f>E289*E241+F289*F241+G289*G241+H289*H241+I289*I241+J289*J241+K289*K241+L289*L241+M289*M241+N289*N241+O289*O241+P289*P241+Q289*Q241+R289*R241+S289*S241+T289*T241+U289*U241+V289*V241+W289*W241+X289*X241+Y289*Y241+Z289*Z241+AA289*AA241+AB289*AB241+AC289*AC241+AD289*AD241+AE289*AE241+AF289*AF241+AG289*AG241+AH289*AH241+AI289*AI241+AJ289*AJ241+AK289*AK241+AL289*AL241+AM289*AM241+AN289*AN241+AO289*AO241+AP289*AP241+AQ289*AQ241+AR289*AR241+AS289*AS241+AT289*AT241+AU289*AU241+AV289*AV241+AW289*AW241+AX289*AX241+AY289*AY241+AZ289*AZ241+BA289*BA241+BB289*BB241+BC289*BC241+BD289*BD241+BE289*BE241+BF289*BF241+BG289*BG241+BH289*BH241+BI289*BI241+BJ289*BJ241+BK289*BK241+BL289*BL241+BM289*BM241+BN289*BN241+BO289*BO241+BP289*BP241+BQ289*BQ241+BR289*BR241+BS289*BS241+BT289*BT241+BU289*BU241+BV289*BV241+BW289*BW241+BX289*BX241+BY289*BY241+BZ289*BZ241+CA289*CA241+CB289*CB241+CC289*CC241+CD289*CD241+CE289*CE241+CF289*CF241+CG289*CG241+CH289*CH241+CI289*CI241+CJ289*CJ241+CK289*CK241+CL289*CL241+CM289*CM241+CN289*CN241+CO289*CO241+CP289*CP241+CQ289*CQ241+CR289*CR241+CS289*CS241+CT289*CT241+CU289*CU241</f>
        <v>0</v>
      </c>
      <c r="DA241" s="2840">
        <f>E290*E241+F290*F241+G290*G241+H290*H241+I290*I241+J290*J241+K290*K241+L290*L241+M290*M241+N290*N241+O290*O241+P290*P241+Q290*Q241+R290*R241+S290*S241+T290*T241+U290*U241+V290*V241+W290*W241+X290*X241+Y290*Y241+Z290*Z241+AA290*AA241+AB290*AB241+AC290*AC241+AD290*AD241+AE290*AE241+AF290*AF241+AG290*AG241+AH290*AH241+AI290*AI241+AJ290*AJ241+AK290*AK241+AL290*AL241+AM290*AM241+AN290*AN241+AO290*AO241+AP290*AP241+AQ290*AQ241+AR290*AR241+AS290*AS241+AT290*AT241+AU290*AU241+AV290*AV241+AW290*AW241+AX290*AX241+AY290*AY241+AZ290*AZ241+BA290*BA241+BB290*BB241+BC290*BC241+BD290*BD241+BE290*BE241+BF290*BF241+BG290*BG241+BH290*BH241+BI290*BI241+BJ290*BJ241+BK290*BK241+BL290*BL241+BM290*BM241+BN290*BN241+BO290*BO241+BP290*BP241+BQ290*BQ241+BR290*BR241+BS290*BS241+BT290*BT241+BU290*BU241+BV290*BV241+BW290*BW241+BX290*BX241+BY290*BY241+BZ290*BZ241+CA290*CA241+CB290*CB241+CC290*CC241+CD290*CD241+CE290*CE241+CF290*CF241+CG290*CG241+CH290*CH241+CI290*CI241+CJ290*CJ241+CK290*CK241+CL290*CL241+CM290*CM241+CN290*CN241+CO290*CO241+CP290*CP241+CQ290*CQ241+CR290*CR241+CS290*CS241+CT290*CT241+CU290*CU241</f>
        <v>0</v>
      </c>
      <c r="DB241" s="2840">
        <f>E291*E241+F291*F241+G291*G241+H291*H241+I291*I241+J291*J241+K291*K241+L291*L241+M291*M241+N291*N241+O291*O241+P291*P241+Q291*Q241+R291*R241+S291*S241+T291*T241+U291*U241+V291*V241+W291*W241+X291*X241+Y291*Y241+Z291*Z241+AA291*AA241+AB291*AB241+AC291*AC241+AD291*AD241+AE291*AE241+AF291*AF241+AG291*AG241+AH291*AH241+AI291*AI241+AJ291*AJ241+AK291*AK241+AL291*AL241+AM291*AM241+AN291*AN241+AO291*AO241+AP291*AP241+AQ291*AQ241+AR291*AR241+AS291*AS241+AT291*AT241+AU291*AU241+AV291*AV241+AW291*AW241+AX291*AX241+AY291*AY241+AZ291*AZ241+BA291*BA241+BB291*BB241+BC291*BC241+BD291*BD241+BE291*BE241+BF291*BF241+BG291*BG241+BH291*BH241+BI291*BI241+BJ291*BJ241+BK291*BK241+BL291*BL241+BM291*BM241+BN291*BN241+BO291*BO241+BP291*BP241+BQ291*BQ241+BR291*BR241+BS291*BS241+BT291*BT241+BU291*BU241+BV291*BV241+BW291*BW241+BX291*BX241+BY291*BY241+BZ291*BZ241+CA291*CA241+CB291*CB241+CC291*CC241+CD291*CD241+CE291*CE241+CF291*CF241+CG291*CG241+CH291*CH241+CI291*CI241+CJ291*CJ241+CK291*CK241+CL291*CL241+CM291*CM241+CN291*CN241+CO291*CO241+CP291*CP241+CQ291*CQ241+CR291*CR241+CS291*CS241+CT291*CT241+CU291*CU241</f>
        <v>0</v>
      </c>
      <c r="DC241" s="2840">
        <f>E292*E241+F292*F241+G292*G241+H292*H241+I292*I241+J292*J241+K292*K241+L292*L241+M292*M241+N292*N241+O292*O241+P292*P241+Q292*Q241+R292*R241+S292*S241+T292*T241+U292*U241+V292*V241+W292*W241+X292*X241+Y292*Y241+Z292*Z241+AA292*AA241+AB292*AB241+AC292*AC241+AD292*AD241+AE292*AE241+AF292*AF241+AG292*AG241+AH292*AH241+AI292*AI241+AJ292*AJ241+AK292*AK241+AL292*AL241+AM292*AM241+AN292*AN241+AO292*AO241+AP292*AP241+AQ292*AQ241+AR292*AR241+AS292*AS241+AT292*AT241+AU292*AU241+AV292*AV241+AW292*AW241+AX292*AX241+AY292*AY241+AZ292*AZ241+BA292*BA241+BB292*BB241+BC292*BC241+BD292*BD241+BE292*BE241+BF292*BF241+BG292*BG241+BH292*BH241+BI292*BI241+BJ292*BJ241+BK292*BK241+BL292*BL241+BM292*BM241+BN292*BN241+BO292*BO241+BP292*BP241+BQ292*BQ241+BR292*BR241+BS292*BS241+BT292*BT241+BU292*BU241+BV292*BV241+BW292*BW241+BX292*BX241+BY292*BY241+BZ292*BZ241+CA292*CA241+CB292*CB241+CC292*CC241+CD292*CD241+CE292*CE241+CF292*CF241+CG292*CG241+CH292*CH241+CI292*CI241+CJ292*CJ241+CK292*CK241+CL292*CL241+CM292*CM241+CN292*CN241+CO292*CO241+CP292*CP241+CQ292*CQ241+CR292*CR241+CS292*CS241+CT292*CT241+CU292*CU241</f>
        <v>0</v>
      </c>
      <c r="DD241" s="2840">
        <f>E293*E241+F293*F241+G293*G241+H293*H241+I293*I241+J293*J241+K293*K241+L293*L241+M293*M241+N293*N241+O293*O241+P293*P241+Q293*Q241+R293*R241+S293*S241+T293*T241+U293*U241+V293*V241+W293*W241+X293*X241+Y293*Y241+Z293*Z241+AA293*AA241+AB293*AB241+AC293*AC241+AD293*AD241+AE293*AE241+AF293*AF241+AG293*AG241+AH293*AH241+AI293*AI241+AJ293*AJ241+AK293*AK241+AL293*AL241+AM293*AM241+AN293*AN241+AO293*AO241+AP293*AP241+AQ293*AQ241+AR293*AR241+AS293*AS241+AT293*AT241+AU293*AU241+AV293*AV241+AW293*AW241+AX293*AX241+AY293*AY241+AZ293*AZ241+BA293*BA241+BB293*BB241+BC293*BC241+BD293*BD241+BE293*BE241+BF293*BF241+BG293*BG241+BH293*BH241+BI293*BI241+BJ293*BJ241+BK293*BK241+BL293*BL241+BM293*BM241+BN293*BN241+BO293*BO241+BP293*BP241+BQ293*BQ241+BR293*BR241+BS293*BS241+BT293*BT241+BU293*BU241+BV293*BV241+BW293*BW241+BX293*BX241+BY293*BY241+BZ293*BZ241+CA293*CA241+CB293*CB241+CC293*CC241+CD293*CD241+CE293*CE241+CF293*CF241+CG293*CG241+CH293*CH241+CI293*CI241+CJ293*CJ241+CK293*CK241+CL293*CL241+CM293*CM241+CN293*CN241+CO293*CO241+CP293*CP241+CQ293*CQ241+CR293*CR241+CS293*CS241+CT293*CT241+CU293*CU241</f>
        <v>0</v>
      </c>
      <c r="DE241" s="2840">
        <f>E294*E241+F294*F241+G294*G241+H294*H241+I294*I241+J294*J241+K294*K241+L294*L241+M294*M241+N294*N241+O294*O241+P294*P241+Q294*Q241+R294*R241+S294*S241+T294*T241+U294*U241+V294*V241+W294*W241+X294*X241+Y294*Y241+Z294*Z241+AA294*AA241+AB294*AB241+AC294*AC241+AD294*AD241+AE294*AE241+AF294*AF241+AG294*AG241+AH294*AH241+AI294*AI241+AJ294*AJ241+AK294*AK241+AL294*AL241+AM294*AM241+AN294*AN241+AO294*AO241+AP294*AP241+AQ294*AQ241+AR294*AR241+AS294*AS241+AT294*AT241+AU294*AU241+AV294*AV241+AW294*AW241+AX294*AX241+AY294*AY241+AZ294*AZ241+BA294*BA241+BB294*BB241+BC294*BC241+BD294*BD241+BE294*BE241+BF294*BF241+BG294*BG241+BH294*BH241+BI294*BI241+BJ294*BJ241+BK294*BK241+BL294*BL241+BM294*BM241+BN294*BN241+BO294*BO241+BP294*BP241+BQ294*BQ241+BR294*BR241+BS294*BS241+BT294*BT241+BU294*BU241+BV294*BV241+BW294*BW241+BX294*BX241+BY294*BY241+BZ294*BZ241+CA294*CA241+CB294*CB241+CC294*CC241+CD294*CD241+CE294*CE241+CF294*CF241+CG294*CG241+CH294*CH241+CI294*CI241+CJ294*CJ241+CK294*CK241+CL294*CL241+CM294*CM241+CN294*CN241+CO294*CO241+CP294*CP241+CQ294*CQ241+CR294*CR241+CS294*CS241+CT294*CT241+CU294*CU241</f>
        <v>0</v>
      </c>
      <c r="DF241" s="2840">
        <f>E295*E241+F295*F241+G295*G241+H295*H241+I295*I241+J295*J241+K295*K241+L295*L241+M295*M241+N295*N241+O295*O241+P295*P241+Q295*Q241+R295*R241+S295*S241+T295*T241+U295*U241+V295*V241+W295*W241+X295*X241+Y295*Y241+Z295*Z241+AA295*AA241+AB295*AB241+AC295*AC241+AD295*AD241+AE295*AE241+AF295*AF241+AG295*AG241+AH295*AH241+AI295*AI241+AJ295*AJ241+AK295*AK241+AL295*AL241+AM295*AM241+AN295*AN241+AO295*AO241+AP295*AP241+AQ295*AQ241+AR295*AR241+AS295*AS241+AT295*AT241+AU295*AU241+AV295*AV241+AW295*AW241+AX295*AX241+AY295*AY241+AZ295*AZ241+BA295*BA241+BB295*BB241+BC295*BC241+BD295*BD241+BE295*BE241+BF295*BF241+BG295*BG241+BH295*BH241+BI295*BI241+BJ295*BJ241+BK295*BK241+BL295*BL241+BM295*BM241+BN295*BN241+BO295*BO241+BP295*BP241+BQ295*BQ241+BR295*BR241+BS295*BS241+BT295*BT241+BU295*BU241+BV295*BV241+BW295*BW241+BX295*BX241+BY295*BY241+BZ295*BZ241+CA295*CA241+CB295*CB241+CC295*CC241+CD295*CD241+CE295*CE241+CF295*CF241+CG295*CG241+CH295*CH241+CI295*CI241+CJ295*CJ241+CK295*CK241+CL295*CL241+CM295*CM241+CN295*CN241+CO295*CO241+CP295*CP241+CQ295*CQ241+CR295*CR241+CS295*CS241+CT295*CT241+CU295*CU241</f>
        <v>0</v>
      </c>
      <c r="DG241" s="2840">
        <f>E296*E241+F296*F241+G296*G241+H296*H241+I296*I241+J296*J241+K296*K241+L296*L241+M296*M241+N296*N241+O296*O241+P296*P241+Q296*Q241+R296*R241+S296*S241+T296*T241+U296*U241+V296*V241+W296*W241+X296*X241+Y296*Y241+Z296*Z241+AA296*AA241+AB296*AB241+AC296*AC241+AD296*AD241+AE296*AE241+AF296*AF241+AG296*AG241+AH296*AH241+AI296*AI241+AJ296*AJ241+AK296*AK241+AL296*AL241+AM296*AM241+AN296*AN241+AO296*AO241+AP296*AP241+AQ296*AQ241+AR296*AR241+AS296*AS241+AT296*AT241+AU296*AU241+AV296*AV241+AW296*AW241+AX296*AX241+AY296*AY241+AZ296*AZ241+BA296*BA241+BB296*BB241+BC296*BC241+BD296*BD241+BE296*BE241+BF296*BF241+BG296*BG241+BH296*BH241+BI296*BI241+BJ296*BJ241+BK296*BK241+BL296*BL241+BM296*BM241+BN296*BN241+BO296*BO241+BP296*BP241+BQ296*BQ241+BR296*BR241+BS296*BS241+BT296*BT241+BU296*BU241+BV296*BV241+BW296*BW241+BX296*BX241+BY296*BY241+BZ296*BZ241+CA296*CA241+CB296*CB241+CC296*CC241+CD296*CD241+CE296*CE241+CF296*CF241+CG296*CG241+CH296*CH241+CI296*CI241+CJ296*CJ241+CK296*CK241+CL296*CL241+CM296*CM241+CN296*CN241+CO296*CO241+CP296*CP241+CQ296*CQ241+CR296*CR241+CS296*CS241+CT296*CT241+CU296*CU241</f>
        <v>0</v>
      </c>
      <c r="DH241" s="2840">
        <f>E297*E241+F297*F241+G297*G241+H297*H241+I297*I241+J297*J241+K297*K241+L297*L241+M297*M241+N297*N241+O297*O241+P297*P241+Q297*Q241+R297*R241+S297*S241+T297*T241+U297*U241+V297*V241+W297*W241+X297*X241+Y297*Y241+Z297*Z241+AA297*AA241+AB297*AB241+AC297*AC241+AD297*AD241+AE297*AE241+AF297*AF241+AG297*AG241+AH297*AH241+AI297*AI241+AJ297*AJ241+AK297*AK241+AL297*AL241+AM297*AM241+AN297*AN241+AO297*AO241+AP297*AP241+AQ297*AQ241+AR297*AR241+AS297*AS241+AT297*AT241+AU297*AU241+AV297*AV241+AW297*AW241+AX297*AX241+AY297*AY241+AZ297*AZ241+BA297*BA241+BB297*BB241+BC297*BC241+BD297*BD241+BE297*BE241+BF297*BF241+BG297*BG241+BH297*BH241+BI297*BI241+BJ297*BJ241+BK297*BK241+BL297*BL241+BM297*BM241+BN297*BN241+BO297*BO241+BP297*BP241+BQ297*BQ241+BR297*BR241+BS297*BS241+BT297*BT241+BU297*BU241+BV297*BV241+BW297*BW241+BX297*BX241+BY297*BY241+BZ297*BZ241+CA297*CA241+CB297*CB241+CC297*CC241+CD297*CD241+CE297*CE241+CF297*CF241+CG297*CG241+CH297*CH241+CI297*CI241+CJ297*CJ241+CK297*CK241+CL297*CL241+CM297*CM241+CN297*CN241+CO297*CO241+CP297*CP241+CQ297*CQ241+CR297*CR241+CS297*CS241+CT297*CT241+CU297*CU241</f>
        <v>0</v>
      </c>
      <c r="DI241" s="2840">
        <f>E298*E241+F298*F241+G298*G241+H298*H241+I298*I241+J298*J241+K298*K241+L298*L241+M298*M241+N298*N241+O298*O241+P298*P241+Q298*Q241+R298*R241+S298*S241+T298*T241+U298*U241+V298*V241+W298*W241+X298*X241+Y298*Y241+Z298*Z241+AA298*AA241+AB298*AB241+AC298*AC241+AD298*AD241+AE298*AE241+AF298*AF241+AG298*AG241+AH298*AH241+AI298*AI241+AJ298*AJ241+AK298*AK241+AL298*AL241+AM298*AM241+AN298*AN241+AO298*AO241+AP298*AP241+AQ298*AQ241+AR298*AR241+AS298*AS241+AT298*AT241+AU298*AU241+AV298*AV241+AW298*AW241+AX298*AX241+AY298*AY241+AZ298*AZ241+BA298*BA241+BB298*BB241+BC298*BC241+BD298*BD241+BE298*BE241+BF298*BF241+BG298*BG241+BH298*BH241+BI298*BI241+BJ298*BJ241+BK298*BK241+BL298*BL241+BM298*BM241+BN298*BN241+BO298*BO241+BP298*BP241+BQ298*BQ241+BR298*BR241+BS298*BS241+BT298*BT241+BU298*BU241+BV298*BV241+BW298*BW241+BX298*BX241+BY298*BY241+BZ298*BZ241+CA298*CA241+CB298*CB241+CC298*CC241+CD298*CD241+CE298*CE241+CF298*CF241+CG298*CG241+CH298*CH241+CI298*CI241+CJ298*CJ241+CK298*CK241+CL298*CL241+CM298*CM241+CN298*CN241+CO298*CO241+CP298*CP241+CQ298*CQ241+CR298*CR241+CS298*CS241+CT298*CT241+CU298*CU241</f>
        <v>0</v>
      </c>
    </row>
    <row r="242" spans="2:113" ht="18" x14ac:dyDescent="0.25">
      <c r="B242" s="2512">
        <v>89</v>
      </c>
      <c r="C242" s="2449" t="s">
        <v>3304</v>
      </c>
      <c r="D242" s="2450" t="s">
        <v>2878</v>
      </c>
      <c r="E242" s="3128">
        <f>0</f>
        <v>0</v>
      </c>
      <c r="F242" s="3128">
        <f>0</f>
        <v>0</v>
      </c>
      <c r="G242" s="3128">
        <f>0</f>
        <v>0</v>
      </c>
      <c r="H242" s="3128">
        <f>0</f>
        <v>0</v>
      </c>
      <c r="I242" s="3128">
        <f>0</f>
        <v>0</v>
      </c>
      <c r="J242" s="3142">
        <f>0</f>
        <v>0</v>
      </c>
      <c r="K242" s="3128">
        <f>0</f>
        <v>0</v>
      </c>
      <c r="L242" s="3128">
        <f>0</f>
        <v>0</v>
      </c>
      <c r="M242" s="3128">
        <f>0</f>
        <v>0</v>
      </c>
      <c r="N242" s="3128">
        <f>0</f>
        <v>0</v>
      </c>
      <c r="O242" s="3128">
        <f>0</f>
        <v>0</v>
      </c>
      <c r="P242" s="3128">
        <f>0</f>
        <v>0</v>
      </c>
      <c r="Q242" s="3128">
        <f>0</f>
        <v>0</v>
      </c>
      <c r="R242" s="3155">
        <f>0</f>
        <v>0</v>
      </c>
      <c r="S242" s="3128">
        <f>0</f>
        <v>0</v>
      </c>
      <c r="T242" s="3128">
        <f>0</f>
        <v>0</v>
      </c>
      <c r="U242" s="3128">
        <f>0</f>
        <v>0</v>
      </c>
      <c r="V242" s="3128">
        <f>0</f>
        <v>0</v>
      </c>
      <c r="W242" s="3128">
        <f>0</f>
        <v>0</v>
      </c>
      <c r="X242" s="3128">
        <f>0</f>
        <v>0</v>
      </c>
      <c r="Y242" s="3128">
        <f>0</f>
        <v>0</v>
      </c>
      <c r="Z242" s="3128">
        <f>0</f>
        <v>0</v>
      </c>
      <c r="AA242" s="3128">
        <f>0</f>
        <v>0</v>
      </c>
      <c r="AB242" s="3128">
        <f>0</f>
        <v>0</v>
      </c>
      <c r="AC242" s="3128">
        <f>0</f>
        <v>0</v>
      </c>
      <c r="AD242" s="3128">
        <f>0</f>
        <v>0</v>
      </c>
      <c r="AE242" s="3128">
        <f>0</f>
        <v>0</v>
      </c>
      <c r="AF242" s="3128">
        <f>0</f>
        <v>0</v>
      </c>
      <c r="AG242" s="3128">
        <f>0</f>
        <v>0</v>
      </c>
      <c r="AH242" s="3128">
        <f>0</f>
        <v>0</v>
      </c>
      <c r="AI242" s="3128">
        <f>0</f>
        <v>0</v>
      </c>
      <c r="AJ242" s="3142">
        <f>0</f>
        <v>0</v>
      </c>
      <c r="AK242" s="3128">
        <f>0</f>
        <v>0</v>
      </c>
      <c r="AL242" s="3128">
        <f>-1</f>
        <v>-1</v>
      </c>
      <c r="AM242" s="3128">
        <f>0</f>
        <v>0</v>
      </c>
      <c r="AN242" s="3128">
        <f>0</f>
        <v>0</v>
      </c>
      <c r="AO242" s="3128">
        <f>0</f>
        <v>0</v>
      </c>
      <c r="AP242" s="3142">
        <f>0</f>
        <v>0</v>
      </c>
      <c r="AQ242" s="3128">
        <f>0</f>
        <v>0</v>
      </c>
      <c r="AR242" s="3128">
        <f>0</f>
        <v>0</v>
      </c>
      <c r="AS242" s="3128">
        <f>0</f>
        <v>0</v>
      </c>
      <c r="AT242" s="3128">
        <f>0</f>
        <v>0</v>
      </c>
      <c r="AU242" s="3128">
        <f>0</f>
        <v>0</v>
      </c>
      <c r="AV242" s="3128">
        <f>0</f>
        <v>0</v>
      </c>
      <c r="AW242" s="3128">
        <f>0</f>
        <v>0</v>
      </c>
      <c r="AX242" s="3128">
        <f>0</f>
        <v>0</v>
      </c>
      <c r="AY242" s="3128">
        <f>0</f>
        <v>0</v>
      </c>
      <c r="AZ242" s="3128">
        <f>0</f>
        <v>0</v>
      </c>
      <c r="BA242" s="3128">
        <f>0</f>
        <v>0</v>
      </c>
      <c r="BB242" s="3128">
        <f>0</f>
        <v>0</v>
      </c>
      <c r="BC242" s="3128">
        <f>0</f>
        <v>0</v>
      </c>
      <c r="BD242" s="3128">
        <f>0</f>
        <v>0</v>
      </c>
      <c r="BE242" s="3128">
        <f>0</f>
        <v>0</v>
      </c>
      <c r="BF242" s="3167">
        <f>-1/(A_SFHFO_H*(A_MP/A_MFe))</f>
        <v>-1.5024813485524857</v>
      </c>
      <c r="BG242" s="3199">
        <f>0</f>
        <v>0</v>
      </c>
      <c r="BH242" s="3199">
        <f>0</f>
        <v>0</v>
      </c>
      <c r="BI242" s="3167">
        <f>1/(A_SFHFO_H*(A_MP/A_MFe))</f>
        <v>1.5024813485524857</v>
      </c>
      <c r="BJ242" s="3199">
        <f>0</f>
        <v>0</v>
      </c>
      <c r="BK242" s="3167">
        <f>0</f>
        <v>0</v>
      </c>
      <c r="BL242" s="3167">
        <f>0</f>
        <v>0</v>
      </c>
      <c r="BM242" s="3155">
        <f>0</f>
        <v>0</v>
      </c>
      <c r="BN242" s="3128">
        <f>0</f>
        <v>0</v>
      </c>
      <c r="BO242" s="3128">
        <f>0</f>
        <v>0</v>
      </c>
      <c r="BP242" s="3155">
        <f>0</f>
        <v>0</v>
      </c>
      <c r="BQ242" s="3128">
        <f>0</f>
        <v>0</v>
      </c>
      <c r="BR242" s="3155">
        <f>0</f>
        <v>0</v>
      </c>
      <c r="BS242" s="3155">
        <f>0</f>
        <v>0</v>
      </c>
      <c r="BT242" s="3128">
        <f>0</f>
        <v>0</v>
      </c>
      <c r="BU242" s="3128">
        <f>0</f>
        <v>0</v>
      </c>
      <c r="BV242" s="3128">
        <f>0</f>
        <v>0</v>
      </c>
      <c r="BW242" s="3155">
        <f>0</f>
        <v>0</v>
      </c>
      <c r="BX242" s="3128">
        <f>0</f>
        <v>0</v>
      </c>
      <c r="BY242" s="3128">
        <f>0</f>
        <v>0</v>
      </c>
      <c r="BZ242" s="3142">
        <f>0</f>
        <v>0</v>
      </c>
      <c r="CA242" s="3142">
        <f>0</f>
        <v>0</v>
      </c>
      <c r="CB242" s="3142">
        <f>0</f>
        <v>0</v>
      </c>
      <c r="CC242" s="3142">
        <f>0</f>
        <v>0</v>
      </c>
      <c r="CD242" s="3128">
        <f>0</f>
        <v>0</v>
      </c>
      <c r="CE242" s="3128">
        <f>0</f>
        <v>0</v>
      </c>
      <c r="CF242" s="3128">
        <f>0</f>
        <v>0</v>
      </c>
      <c r="CG242" s="3155">
        <f>0</f>
        <v>0</v>
      </c>
      <c r="CH242" s="3155">
        <f>0</f>
        <v>0</v>
      </c>
      <c r="CI242" s="3155">
        <f>0</f>
        <v>0</v>
      </c>
      <c r="CJ242" s="3155">
        <f>0</f>
        <v>0</v>
      </c>
      <c r="CK242" s="3155">
        <f>0</f>
        <v>0</v>
      </c>
      <c r="CL242" s="3155">
        <f>0</f>
        <v>0</v>
      </c>
      <c r="CM242" s="3155">
        <f>0</f>
        <v>0</v>
      </c>
      <c r="CN242" s="3155">
        <f>0</f>
        <v>0</v>
      </c>
      <c r="CO242" s="3155">
        <f>0</f>
        <v>0</v>
      </c>
      <c r="CP242" s="3155">
        <f>0</f>
        <v>0</v>
      </c>
      <c r="CQ242" s="3155">
        <f>0</f>
        <v>0</v>
      </c>
      <c r="CR242" s="3155">
        <f>0</f>
        <v>0</v>
      </c>
      <c r="CS242" s="3155">
        <f>0</f>
        <v>0</v>
      </c>
      <c r="CT242" s="3155">
        <f>0</f>
        <v>0</v>
      </c>
      <c r="CU242" s="3155">
        <f>0</f>
        <v>0</v>
      </c>
      <c r="CV242" s="3234">
        <f>q_P_HFO_COPREC*X_HFO_H*M_satSPO4_KP_HFO_BIND</f>
        <v>1.25E-48</v>
      </c>
      <c r="CX242" s="2838">
        <f>E287*E242+F287*F242+G287*G242+H287*H242+I287*I242+J287*J242+K287*K242+L287*L242+M287*M242+N287*N242+O287*O242+P287*P242+Q287*Q242+R287*R242+S287*S242+T287*T242+U287*U242+V287*V242+W287*W242+X287*X242+Y287*Y242+Z287*Z242+AA287*AA242+AB287*AB242+AC287*AC242+AD287*AD242+AE287*AE242+AF287*AF242+AG287*AG242+AH287*AH242+AI287*AI242+AJ287*AJ242+AK287*AK242+AL287*AL242+AM287*AM242+AN287*AN242+AO287*AO242+AP287*AP242+AQ287*AQ242+AR287*AR242+AS287*AS242+AT287*AT242+AU287*AU242+AV287*AV242+AW287*AW242+AX287*AX242+AY287*AY242+AZ287*AZ242+BA287*BA242+BB287*BB242+BC287*BC242+BD287*BD242+BE287*BE242+BF287*BF242+BG287*BG242+BH287*BH242+BI287*BI242+BJ287*BJ242+BK287*BK242+BL287*BL242+BM287*BM242+BN287*BN242+BO287*BO242+BP287*BP242+BQ287*BQ242+BR287*BR242+BS287*BS242+BT287*BT242+BU287*BU242+BV287*BV242+BW287*BW242+BX287*BX242+BY287*BY242+BZ287*BZ242+CA287*CA242+CB287*CB242+CC287*CC242+CD287*CD242+CE287*CE242+CF287*CF242+CG287*CG242+CH287*CH242+CI287*CI242+CJ287*CJ242+CK287*CK242+CL287*CL242+CM287*CM242+CN287*CN242+CO287*CO242+CP287*CP242+CQ287*CQ242+CR287*CR242+CS287*CS242+CT287*CT242+CU287*CU242</f>
        <v>0</v>
      </c>
      <c r="CY242" s="2838">
        <f>E288*E242+F288*F242+G288*G242+H288*H242+I288*I242+J288*J242+K288*K242+L288*L242+M288*M242+N288*N242+O288*O242+P288*P242+Q288*Q242+R288*R242+S288*S242+T288*T242+U288*U242+V288*V242+W288*W242+X288*X242+Y288*Y242+Z288*Z242+AA288*AA242+AB288*AB242+AC288*AC242+AD288*AD242+AE288*AE242+AF288*AF242+AG288*AG242+AH288*AH242+AI288*AI242+AJ288*AJ242+AK288*AK242+AL288*AL242+AM288*AM242+AN288*AN242+AO288*AO242+AP288*AP242+AQ288*AQ242+AR288*AR242+AS288*AS242+AT288*AT242+AU288*AU242+AV288*AV242+AW288*AW242+AX288*AX242+AY288*AY242+AZ288*AZ242+BA288*BA242+BB288*BB242+BC288*BC242+BD288*BD242+BE288*BE242+BF288*BF242+BG288*BG242+BH288*BH242+BI288*BI242+BJ288*BJ242+BK288*BK242+BL288*BL242+BM288*BM242+BN288*BN242+BO288*BO242+BP288*BP242+BQ288*BQ242+BR288*BR242+BS288*BS242+BT288*BT242+BU288*BU242+BV288*BV242+BW288*BW242+BX288*BX242+BY288*BY242+BZ288*BZ242+CA288*CA242+CB288*CB242+CC288*CC242+CD288*CD242+CE288*CE242+CF288*CF242+CG288*CG242+CH288*CH242+CI288*CI242+CJ288*CJ242+CK288*CK242+CL288*CL242+CM288*CM242+CN288*CN242+CO288*CO242+CP288*CP242+CQ288*CQ242+CR288*CR242+CS288*CS242+CT288*CT242+CU288*CU242</f>
        <v>0</v>
      </c>
      <c r="CZ242" s="2839">
        <f>E289*E242+F289*F242+G289*G242+H289*H242+I289*I242+J289*J242+K289*K242+L289*L242+M289*M242+N289*N242+O289*O242+P289*P242+Q289*Q242+R289*R242+S289*S242+T289*T242+U289*U242+V289*V242+W289*W242+X289*X242+Y289*Y242+Z289*Z242+AA289*AA242+AB289*AB242+AC289*AC242+AD289*AD242+AE289*AE242+AF289*AF242+AG289*AG242+AH289*AH242+AI289*AI242+AJ289*AJ242+AK289*AK242+AL289*AL242+AM289*AM242+AN289*AN242+AO289*AO242+AP289*AP242+AQ289*AQ242+AR289*AR242+AS289*AS242+AT289*AT242+AU289*AU242+AV289*AV242+AW289*AW242+AX289*AX242+AY289*AY242+AZ289*AZ242+BA289*BA242+BB289*BB242+BC289*BC242+BD289*BD242+BE289*BE242+BF289*BF242+BG289*BG242+BH289*BH242+BI289*BI242+BJ289*BJ242+BK289*BK242+BL289*BL242+BM289*BM242+BN289*BN242+BO289*BO242+BP289*BP242+BQ289*BQ242+BR289*BR242+BS289*BS242+BT289*BT242+BU289*BU242+BV289*BV242+BW289*BW242+BX289*BX242+BY289*BY242+BZ289*BZ242+CA289*CA242+CB289*CB242+CC289*CC242+CD289*CD242+CE289*CE242+CF289*CF242+CG289*CG242+CH289*CH242+CI289*CI242+CJ289*CJ242+CK289*CK242+CL289*CL242+CM289*CM242+CN289*CN242+CO289*CO242+CP289*CP242+CQ289*CQ242+CR289*CR242+CS289*CS242+CT289*CT242+CU289*CU242</f>
        <v>0</v>
      </c>
      <c r="DA242" s="2840">
        <f>E290*E242+F290*F242+G290*G242+H290*H242+I290*I242+J290*J242+K290*K242+L290*L242+M290*M242+N290*N242+O290*O242+P290*P242+Q290*Q242+R290*R242+S290*S242+T290*T242+U290*U242+V290*V242+W290*W242+X290*X242+Y290*Y242+Z290*Z242+AA290*AA242+AB290*AB242+AC290*AC242+AD290*AD242+AE290*AE242+AF290*AF242+AG290*AG242+AH290*AH242+AI290*AI242+AJ290*AJ242+AK290*AK242+AL290*AL242+AM290*AM242+AN290*AN242+AO290*AO242+AP290*AP242+AQ290*AQ242+AR290*AR242+AS290*AS242+AT290*AT242+AU290*AU242+AV290*AV242+AW290*AW242+AX290*AX242+AY290*AY242+AZ290*AZ242+BA290*BA242+BB290*BB242+BC290*BC242+BD290*BD242+BE290*BE242+BF290*BF242+BG290*BG242+BH290*BH242+BI290*BI242+BJ290*BJ242+BK290*BK242+BL290*BL242+BM290*BM242+BN290*BN242+BO290*BO242+BP290*BP242+BQ290*BQ242+BR290*BR242+BS290*BS242+BT290*BT242+BU290*BU242+BV290*BV242+BW290*BW242+BX290*BX242+BY290*BY242+BZ290*BZ242+CA290*CA242+CB290*CB242+CC290*CC242+CD290*CD242+CE290*CE242+CF290*CF242+CG290*CG242+CH290*CH242+CI290*CI242+CJ290*CJ242+CK290*CK242+CL290*CL242+CM290*CM242+CN290*CN242+CO290*CO242+CP290*CP242+CQ290*CQ242+CR290*CR242+CS290*CS242+CT290*CT242+CU290*CU242</f>
        <v>0</v>
      </c>
      <c r="DB242" s="2840">
        <f>E291*E242+F291*F242+G291*G242+H291*H242+I291*I242+J291*J242+K291*K242+L291*L242+M291*M242+N291*N242+O291*O242+P291*P242+Q291*Q242+R291*R242+S291*S242+T291*T242+U291*U242+V291*V242+W291*W242+X291*X242+Y291*Y242+Z291*Z242+AA291*AA242+AB291*AB242+AC291*AC242+AD291*AD242+AE291*AE242+AF291*AF242+AG291*AG242+AH291*AH242+AI291*AI242+AJ291*AJ242+AK291*AK242+AL291*AL242+AM291*AM242+AN291*AN242+AO291*AO242+AP291*AP242+AQ291*AQ242+AR291*AR242+AS291*AS242+AT291*AT242+AU291*AU242+AV291*AV242+AW291*AW242+AX291*AX242+AY291*AY242+AZ291*AZ242+BA291*BA242+BB291*BB242+BC291*BC242+BD291*BD242+BE291*BE242+BF291*BF242+BG291*BG242+BH291*BH242+BI291*BI242+BJ291*BJ242+BK291*BK242+BL291*BL242+BM291*BM242+BN291*BN242+BO291*BO242+BP291*BP242+BQ291*BQ242+BR291*BR242+BS291*BS242+BT291*BT242+BU291*BU242+BV291*BV242+BW291*BW242+BX291*BX242+BY291*BY242+BZ291*BZ242+CA291*CA242+CB291*CB242+CC291*CC242+CD291*CD242+CE291*CE242+CF291*CF242+CG291*CG242+CH291*CH242+CI291*CI242+CJ291*CJ242+CK291*CK242+CL291*CL242+CM291*CM242+CN291*CN242+CO291*CO242+CP291*CP242+CQ291*CQ242+CR291*CR242+CS291*CS242+CT291*CT242+CU291*CU242</f>
        <v>0</v>
      </c>
      <c r="DC242" s="2840">
        <f>E292*E242+F292*F242+G292*G242+H292*H242+I292*I242+J292*J242+K292*K242+L292*L242+M292*M242+N292*N242+O292*O242+P292*P242+Q292*Q242+R292*R242+S292*S242+T292*T242+U292*U242+V292*V242+W292*W242+X292*X242+Y292*Y242+Z292*Z242+AA292*AA242+AB292*AB242+AC292*AC242+AD292*AD242+AE292*AE242+AF292*AF242+AG292*AG242+AH292*AH242+AI292*AI242+AJ292*AJ242+AK292*AK242+AL292*AL242+AM292*AM242+AN292*AN242+AO292*AO242+AP292*AP242+AQ292*AQ242+AR292*AR242+AS292*AS242+AT292*AT242+AU292*AU242+AV292*AV242+AW292*AW242+AX292*AX242+AY292*AY242+AZ292*AZ242+BA292*BA242+BB292*BB242+BC292*BC242+BD292*BD242+BE292*BE242+BF292*BF242+BG292*BG242+BH292*BH242+BI292*BI242+BJ292*BJ242+BK292*BK242+BL292*BL242+BM292*BM242+BN292*BN242+BO292*BO242+BP292*BP242+BQ292*BQ242+BR292*BR242+BS292*BS242+BT292*BT242+BU292*BU242+BV292*BV242+BW292*BW242+BX292*BX242+BY292*BY242+BZ292*BZ242+CA292*CA242+CB292*CB242+CC292*CC242+CD292*CD242+CE292*CE242+CF292*CF242+CG292*CG242+CH292*CH242+CI292*CI242+CJ292*CJ242+CK292*CK242+CL292*CL242+CM292*CM242+CN292*CN242+CO292*CO242+CP292*CP242+CQ292*CQ242+CR292*CR242+CS292*CS242+CT292*CT242+CU292*CU242</f>
        <v>0</v>
      </c>
      <c r="DD242" s="2840">
        <f>E293*E242+F293*F242+G293*G242+H293*H242+I293*I242+J293*J242+K293*K242+L293*L242+M293*M242+N293*N242+O293*O242+P293*P242+Q293*Q242+R293*R242+S293*S242+T293*T242+U293*U242+V293*V242+W293*W242+X293*X242+Y293*Y242+Z293*Z242+AA293*AA242+AB293*AB242+AC293*AC242+AD293*AD242+AE293*AE242+AF293*AF242+AG293*AG242+AH293*AH242+AI293*AI242+AJ293*AJ242+AK293*AK242+AL293*AL242+AM293*AM242+AN293*AN242+AO293*AO242+AP293*AP242+AQ293*AQ242+AR293*AR242+AS293*AS242+AT293*AT242+AU293*AU242+AV293*AV242+AW293*AW242+AX293*AX242+AY293*AY242+AZ293*AZ242+BA293*BA242+BB293*BB242+BC293*BC242+BD293*BD242+BE293*BE242+BF293*BF242+BG293*BG242+BH293*BH242+BI293*BI242+BJ293*BJ242+BK293*BK242+BL293*BL242+BM293*BM242+BN293*BN242+BO293*BO242+BP293*BP242+BQ293*BQ242+BR293*BR242+BS293*BS242+BT293*BT242+BU293*BU242+BV293*BV242+BW293*BW242+BX293*BX242+BY293*BY242+BZ293*BZ242+CA293*CA242+CB293*CB242+CC293*CC242+CD293*CD242+CE293*CE242+CF293*CF242+CG293*CG242+CH293*CH242+CI293*CI242+CJ293*CJ242+CK293*CK242+CL293*CL242+CM293*CM242+CN293*CN242+CO293*CO242+CP293*CP242+CQ293*CQ242+CR293*CR242+CS293*CS242+CT293*CT242+CU293*CU242</f>
        <v>0</v>
      </c>
      <c r="DE242" s="2840">
        <f>E294*E242+F294*F242+G294*G242+H294*H242+I294*I242+J294*J242+K294*K242+L294*L242+M294*M242+N294*N242+O294*O242+P294*P242+Q294*Q242+R294*R242+S294*S242+T294*T242+U294*U242+V294*V242+W294*W242+X294*X242+Y294*Y242+Z294*Z242+AA294*AA242+AB294*AB242+AC294*AC242+AD294*AD242+AE294*AE242+AF294*AF242+AG294*AG242+AH294*AH242+AI294*AI242+AJ294*AJ242+AK294*AK242+AL294*AL242+AM294*AM242+AN294*AN242+AO294*AO242+AP294*AP242+AQ294*AQ242+AR294*AR242+AS294*AS242+AT294*AT242+AU294*AU242+AV294*AV242+AW294*AW242+AX294*AX242+AY294*AY242+AZ294*AZ242+BA294*BA242+BB294*BB242+BC294*BC242+BD294*BD242+BE294*BE242+BF294*BF242+BG294*BG242+BH294*BH242+BI294*BI242+BJ294*BJ242+BK294*BK242+BL294*BL242+BM294*BM242+BN294*BN242+BO294*BO242+BP294*BP242+BQ294*BQ242+BR294*BR242+BS294*BS242+BT294*BT242+BU294*BU242+BV294*BV242+BW294*BW242+BX294*BX242+BY294*BY242+BZ294*BZ242+CA294*CA242+CB294*CB242+CC294*CC242+CD294*CD242+CE294*CE242+CF294*CF242+CG294*CG242+CH294*CH242+CI294*CI242+CJ294*CJ242+CK294*CK242+CL294*CL242+CM294*CM242+CN294*CN242+CO294*CO242+CP294*CP242+CQ294*CQ242+CR294*CR242+CS294*CS242+CT294*CT242+CU294*CU242</f>
        <v>0</v>
      </c>
      <c r="DF242" s="2840">
        <f>E295*E242+F295*F242+G295*G242+H295*H242+I295*I242+J295*J242+K295*K242+L295*L242+M295*M242+N295*N242+O295*O242+P295*P242+Q295*Q242+R295*R242+S295*S242+T295*T242+U295*U242+V295*V242+W295*W242+X295*X242+Y295*Y242+Z295*Z242+AA295*AA242+AB295*AB242+AC295*AC242+AD295*AD242+AE295*AE242+AF295*AF242+AG295*AG242+AH295*AH242+AI295*AI242+AJ295*AJ242+AK295*AK242+AL295*AL242+AM295*AM242+AN295*AN242+AO295*AO242+AP295*AP242+AQ295*AQ242+AR295*AR242+AS295*AS242+AT295*AT242+AU295*AU242+AV295*AV242+AW295*AW242+AX295*AX242+AY295*AY242+AZ295*AZ242+BA295*BA242+BB295*BB242+BC295*BC242+BD295*BD242+BE295*BE242+BF295*BF242+BG295*BG242+BH295*BH242+BI295*BI242+BJ295*BJ242+BK295*BK242+BL295*BL242+BM295*BM242+BN295*BN242+BO295*BO242+BP295*BP242+BQ295*BQ242+BR295*BR242+BS295*BS242+BT295*BT242+BU295*BU242+BV295*BV242+BW295*BW242+BX295*BX242+BY295*BY242+BZ295*BZ242+CA295*CA242+CB295*CB242+CC295*CC242+CD295*CD242+CE295*CE242+CF295*CF242+CG295*CG242+CH295*CH242+CI295*CI242+CJ295*CJ242+CK295*CK242+CL295*CL242+CM295*CM242+CN295*CN242+CO295*CO242+CP295*CP242+CQ295*CQ242+CR295*CR242+CS295*CS242+CT295*CT242+CU295*CU242</f>
        <v>0</v>
      </c>
      <c r="DG242" s="2840">
        <f>E296*E242+F296*F242+G296*G242+H296*H242+I296*I242+J296*J242+K296*K242+L296*L242+M296*M242+N296*N242+O296*O242+P296*P242+Q296*Q242+R296*R242+S296*S242+T296*T242+U296*U242+V296*V242+W296*W242+X296*X242+Y296*Y242+Z296*Z242+AA296*AA242+AB296*AB242+AC296*AC242+AD296*AD242+AE296*AE242+AF296*AF242+AG296*AG242+AH296*AH242+AI296*AI242+AJ296*AJ242+AK296*AK242+AL296*AL242+AM296*AM242+AN296*AN242+AO296*AO242+AP296*AP242+AQ296*AQ242+AR296*AR242+AS296*AS242+AT296*AT242+AU296*AU242+AV296*AV242+AW296*AW242+AX296*AX242+AY296*AY242+AZ296*AZ242+BA296*BA242+BB296*BB242+BC296*BC242+BD296*BD242+BE296*BE242+BF296*BF242+BG296*BG242+BH296*BH242+BI296*BI242+BJ296*BJ242+BK296*BK242+BL296*BL242+BM296*BM242+BN296*BN242+BO296*BO242+BP296*BP242+BQ296*BQ242+BR296*BR242+BS296*BS242+BT296*BT242+BU296*BU242+BV296*BV242+BW296*BW242+BX296*BX242+BY296*BY242+BZ296*BZ242+CA296*CA242+CB296*CB242+CC296*CC242+CD296*CD242+CE296*CE242+CF296*CF242+CG296*CG242+CH296*CH242+CI296*CI242+CJ296*CJ242+CK296*CK242+CL296*CL242+CM296*CM242+CN296*CN242+CO296*CO242+CP296*CP242+CQ296*CQ242+CR296*CR242+CS296*CS242+CT296*CT242+CU296*CU242</f>
        <v>0</v>
      </c>
      <c r="DH242" s="2840">
        <f>E297*E242+F297*F242+G297*G242+H297*H242+I297*I242+J297*J242+K297*K242+L297*L242+M297*M242+N297*N242+O297*O242+P297*P242+Q297*Q242+R297*R242+S297*S242+T297*T242+U297*U242+V297*V242+W297*W242+X297*X242+Y297*Y242+Z297*Z242+AA297*AA242+AB297*AB242+AC297*AC242+AD297*AD242+AE297*AE242+AF297*AF242+AG297*AG242+AH297*AH242+AI297*AI242+AJ297*AJ242+AK297*AK242+AL297*AL242+AM297*AM242+AN297*AN242+AO297*AO242+AP297*AP242+AQ297*AQ242+AR297*AR242+AS297*AS242+AT297*AT242+AU297*AU242+AV297*AV242+AW297*AW242+AX297*AX242+AY297*AY242+AZ297*AZ242+BA297*BA242+BB297*BB242+BC297*BC242+BD297*BD242+BE297*BE242+BF297*BF242+BG297*BG242+BH297*BH242+BI297*BI242+BJ297*BJ242+BK297*BK242+BL297*BL242+BM297*BM242+BN297*BN242+BO297*BO242+BP297*BP242+BQ297*BQ242+BR297*BR242+BS297*BS242+BT297*BT242+BU297*BU242+BV297*BV242+BW297*BW242+BX297*BX242+BY297*BY242+BZ297*BZ242+CA297*CA242+CB297*CB242+CC297*CC242+CD297*CD242+CE297*CE242+CF297*CF242+CG297*CG242+CH297*CH242+CI297*CI242+CJ297*CJ242+CK297*CK242+CL297*CL242+CM297*CM242+CN297*CN242+CO297*CO242+CP297*CP242+CQ297*CQ242+CR297*CR242+CS297*CS242+CT297*CT242+CU297*CU242</f>
        <v>0</v>
      </c>
      <c r="DI242" s="2840">
        <f>E298*E242+F298*F242+G298*G242+H298*H242+I298*I242+J298*J242+K298*K242+L298*L242+M298*M242+N298*N242+O298*O242+P298*P242+Q298*Q242+R298*R242+S298*S242+T298*T242+U298*U242+V298*V242+W298*W242+X298*X242+Y298*Y242+Z298*Z242+AA298*AA242+AB298*AB242+AC298*AC242+AD298*AD242+AE298*AE242+AF298*AF242+AG298*AG242+AH298*AH242+AI298*AI242+AJ298*AJ242+AK298*AK242+AL298*AL242+AM298*AM242+AN298*AN242+AO298*AO242+AP298*AP242+AQ298*AQ242+AR298*AR242+AS298*AS242+AT298*AT242+AU298*AU242+AV298*AV242+AW298*AW242+AX298*AX242+AY298*AY242+AZ298*AZ242+BA298*BA242+BB298*BB242+BC298*BC242+BD298*BD242+BE298*BE242+BF298*BF242+BG298*BG242+BH298*BH242+BI298*BI242+BJ298*BJ242+BK298*BK242+BL298*BL242+BM298*BM242+BN298*BN242+BO298*BO242+BP298*BP242+BQ298*BQ242+BR298*BR242+BS298*BS242+BT298*BT242+BU298*BU242+BV298*BV242+BW298*BW242+BX298*BX242+BY298*BY242+BZ298*BZ242+CA298*CA242+CB298*CB242+CC298*CC242+CD298*CD242+CE298*CE242+CF298*CF242+CG298*CG242+CH298*CH242+CI298*CI242+CJ298*CJ242+CK298*CK242+CL298*CL242+CM298*CM242+CN298*CN242+CO298*CO242+CP298*CP242+CQ298*CQ242+CR298*CR242+CS298*CS242+CT298*CT242+CU298*CU242</f>
        <v>0</v>
      </c>
    </row>
    <row r="243" spans="2:113" ht="18" x14ac:dyDescent="0.25">
      <c r="B243" s="2512">
        <v>90</v>
      </c>
      <c r="C243" s="2449" t="s">
        <v>3305</v>
      </c>
      <c r="D243" s="2450" t="s">
        <v>2879</v>
      </c>
      <c r="E243" s="3128">
        <f>0</f>
        <v>0</v>
      </c>
      <c r="F243" s="3128">
        <f>0</f>
        <v>0</v>
      </c>
      <c r="G243" s="3128">
        <f>0</f>
        <v>0</v>
      </c>
      <c r="H243" s="3128">
        <f>0</f>
        <v>0</v>
      </c>
      <c r="I243" s="3128">
        <f>0</f>
        <v>0</v>
      </c>
      <c r="J243" s="3142">
        <f>0</f>
        <v>0</v>
      </c>
      <c r="K243" s="3128">
        <f>0</f>
        <v>0</v>
      </c>
      <c r="L243" s="3128">
        <f>0</f>
        <v>0</v>
      </c>
      <c r="M243" s="3128">
        <f>0</f>
        <v>0</v>
      </c>
      <c r="N243" s="3128">
        <f>0</f>
        <v>0</v>
      </c>
      <c r="O243" s="3128">
        <f>0</f>
        <v>0</v>
      </c>
      <c r="P243" s="3128">
        <f>0</f>
        <v>0</v>
      </c>
      <c r="Q243" s="3128">
        <f>0</f>
        <v>0</v>
      </c>
      <c r="R243" s="3155">
        <f>0</f>
        <v>0</v>
      </c>
      <c r="S243" s="3128">
        <f>0</f>
        <v>0</v>
      </c>
      <c r="T243" s="3128">
        <f>0</f>
        <v>0</v>
      </c>
      <c r="U243" s="3128">
        <f>0</f>
        <v>0</v>
      </c>
      <c r="V243" s="3128">
        <f>0</f>
        <v>0</v>
      </c>
      <c r="W243" s="3128">
        <f>0</f>
        <v>0</v>
      </c>
      <c r="X243" s="3128">
        <f>0</f>
        <v>0</v>
      </c>
      <c r="Y243" s="3128">
        <f>0</f>
        <v>0</v>
      </c>
      <c r="Z243" s="3128">
        <f>0</f>
        <v>0</v>
      </c>
      <c r="AA243" s="3128">
        <f>0</f>
        <v>0</v>
      </c>
      <c r="AB243" s="3128">
        <f>0</f>
        <v>0</v>
      </c>
      <c r="AC243" s="3128">
        <f>0</f>
        <v>0</v>
      </c>
      <c r="AD243" s="3128">
        <f>0</f>
        <v>0</v>
      </c>
      <c r="AE243" s="3128">
        <f>0</f>
        <v>0</v>
      </c>
      <c r="AF243" s="3128">
        <f>0</f>
        <v>0</v>
      </c>
      <c r="AG243" s="3128">
        <f>0</f>
        <v>0</v>
      </c>
      <c r="AH243" s="3128">
        <f>0</f>
        <v>0</v>
      </c>
      <c r="AI243" s="3128">
        <f>0</f>
        <v>0</v>
      </c>
      <c r="AJ243" s="3142">
        <f>0</f>
        <v>0</v>
      </c>
      <c r="AK243" s="3128">
        <f>0</f>
        <v>0</v>
      </c>
      <c r="AL243" s="3128">
        <f>-1</f>
        <v>-1</v>
      </c>
      <c r="AM243" s="3128">
        <f>0</f>
        <v>0</v>
      </c>
      <c r="AN243" s="3128">
        <f>0</f>
        <v>0</v>
      </c>
      <c r="AO243" s="3128">
        <f>0</f>
        <v>0</v>
      </c>
      <c r="AP243" s="3142">
        <f>0</f>
        <v>0</v>
      </c>
      <c r="AQ243" s="3128">
        <f>0</f>
        <v>0</v>
      </c>
      <c r="AR243" s="3128">
        <f>0</f>
        <v>0</v>
      </c>
      <c r="AS243" s="3128">
        <f>0</f>
        <v>0</v>
      </c>
      <c r="AT243" s="3128">
        <f>0</f>
        <v>0</v>
      </c>
      <c r="AU243" s="3128">
        <f>0</f>
        <v>0</v>
      </c>
      <c r="AV243" s="3128">
        <f>0</f>
        <v>0</v>
      </c>
      <c r="AW243" s="3128">
        <f>0</f>
        <v>0</v>
      </c>
      <c r="AX243" s="3128">
        <f>0</f>
        <v>0</v>
      </c>
      <c r="AY243" s="3128">
        <f>0</f>
        <v>0</v>
      </c>
      <c r="AZ243" s="3128">
        <f>0</f>
        <v>0</v>
      </c>
      <c r="BA243" s="3128">
        <f>0</f>
        <v>0</v>
      </c>
      <c r="BB243" s="3128">
        <f>0</f>
        <v>0</v>
      </c>
      <c r="BC243" s="3128">
        <f>0</f>
        <v>0</v>
      </c>
      <c r="BD243" s="3128">
        <f>0</f>
        <v>0</v>
      </c>
      <c r="BE243" s="3128">
        <f>0</f>
        <v>0</v>
      </c>
      <c r="BF243" s="3199">
        <f>0</f>
        <v>0</v>
      </c>
      <c r="BG243" s="3167">
        <f>-1/(A_SFHFO_L*(A_MP/A_MFe))</f>
        <v>-9.0148880913149121</v>
      </c>
      <c r="BH243" s="3199">
        <f>0</f>
        <v>0</v>
      </c>
      <c r="BI243" s="3199">
        <f>0</f>
        <v>0</v>
      </c>
      <c r="BJ243" s="3167">
        <f>1/(A_SFHFO_L*(A_MP/A_MFe))</f>
        <v>9.0148880913149121</v>
      </c>
      <c r="BK243" s="3199">
        <f>0</f>
        <v>0</v>
      </c>
      <c r="BL243" s="3199">
        <f>0</f>
        <v>0</v>
      </c>
      <c r="BM243" s="3128">
        <f>0</f>
        <v>0</v>
      </c>
      <c r="BN243" s="3155">
        <f>0</f>
        <v>0</v>
      </c>
      <c r="BO243" s="3128">
        <f>0</f>
        <v>0</v>
      </c>
      <c r="BP243" s="3128">
        <f>0</f>
        <v>0</v>
      </c>
      <c r="BQ243" s="3155">
        <f>0</f>
        <v>0</v>
      </c>
      <c r="BR243" s="3128">
        <f>0</f>
        <v>0</v>
      </c>
      <c r="BS243" s="3128">
        <f>0</f>
        <v>0</v>
      </c>
      <c r="BT243" s="3128">
        <f>0</f>
        <v>0</v>
      </c>
      <c r="BU243" s="3128">
        <f>0</f>
        <v>0</v>
      </c>
      <c r="BV243" s="3128">
        <f>0</f>
        <v>0</v>
      </c>
      <c r="BW243" s="3155">
        <f>0</f>
        <v>0</v>
      </c>
      <c r="BX243" s="3128">
        <f>0</f>
        <v>0</v>
      </c>
      <c r="BY243" s="3128">
        <f>0</f>
        <v>0</v>
      </c>
      <c r="BZ243" s="3142">
        <f>0</f>
        <v>0</v>
      </c>
      <c r="CA243" s="3142">
        <f>0</f>
        <v>0</v>
      </c>
      <c r="CB243" s="3142">
        <f>0</f>
        <v>0</v>
      </c>
      <c r="CC243" s="3142">
        <f>0</f>
        <v>0</v>
      </c>
      <c r="CD243" s="3128">
        <f>0</f>
        <v>0</v>
      </c>
      <c r="CE243" s="3128">
        <f>0</f>
        <v>0</v>
      </c>
      <c r="CF243" s="3128">
        <f>0</f>
        <v>0</v>
      </c>
      <c r="CG243" s="3155">
        <f>0</f>
        <v>0</v>
      </c>
      <c r="CH243" s="3155">
        <f>0</f>
        <v>0</v>
      </c>
      <c r="CI243" s="3155">
        <f>0</f>
        <v>0</v>
      </c>
      <c r="CJ243" s="3155">
        <f>0</f>
        <v>0</v>
      </c>
      <c r="CK243" s="3155">
        <f>0</f>
        <v>0</v>
      </c>
      <c r="CL243" s="3155">
        <f>0</f>
        <v>0</v>
      </c>
      <c r="CM243" s="3155">
        <f>0</f>
        <v>0</v>
      </c>
      <c r="CN243" s="3155">
        <f>0</f>
        <v>0</v>
      </c>
      <c r="CO243" s="3155">
        <f>0</f>
        <v>0</v>
      </c>
      <c r="CP243" s="3155">
        <f>0</f>
        <v>0</v>
      </c>
      <c r="CQ243" s="3155">
        <f>0</f>
        <v>0</v>
      </c>
      <c r="CR243" s="3155">
        <f>0</f>
        <v>0</v>
      </c>
      <c r="CS243" s="3155">
        <f>0</f>
        <v>0</v>
      </c>
      <c r="CT243" s="3155">
        <f>0</f>
        <v>0</v>
      </c>
      <c r="CU243" s="3155">
        <f>0</f>
        <v>0</v>
      </c>
      <c r="CV243" s="3234">
        <f>q_P_HFO_BIND*X_HFO_L*M_satSPO4_KP_HFO_BIND</f>
        <v>8.3333333333333332E-51</v>
      </c>
      <c r="CX243" s="2838">
        <f>E287*E243+F287*F243+G287*G243+H287*H243+I287*I243+J287*J243+K287*K243+L287*L243+M287*M243+N287*N243+O287*O243+P287*P243+Q287*Q243+R287*R243+S287*S243+T287*T243+U287*U243+V287*V243+W287*W243+X287*X243+Y287*Y243+Z287*Z243+AA287*AA243+AB287*AB243+AC287*AC243+AD287*AD243+AE287*AE243+AF287*AF243+AG287*AG243+AH287*AH243+AI287*AI243+AJ287*AJ243+AK287*AK243+AL287*AL243+AM287*AM243+AN287*AN243+AO287*AO243+AP287*AP243+AQ287*AQ243+AR287*AR243+AS287*AS243+AT287*AT243+AU287*AU243+AV287*AV243+AW287*AW243+AX287*AX243+AY287*AY243+AZ287*AZ243+BA287*BA243+BB287*BB243+BC287*BC243+BD287*BD243+BE287*BE243+BF287*BF243+BG287*BG243+BH287*BH243+BI287*BI243+BJ287*BJ243+BK287*BK243+BL287*BL243+BM287*BM243+BN287*BN243+BO287*BO243+BP287*BP243+BQ287*BQ243+BR287*BR243+BS287*BS243+BT287*BT243+BU287*BU243+BV287*BV243+BW287*BW243+BX287*BX243+BY287*BY243+BZ287*BZ243+CA287*CA243+CB287*CB243+CC287*CC243+CD287*CD243+CE287*CE243+CF287*CF243+CG287*CG243+CH287*CH243+CI287*CI243+CJ287*CJ243+CK287*CK243+CL287*CL243+CM287*CM243+CN287*CN243+CO287*CO243+CP287*CP243+CQ287*CQ243+CR287*CR243+CS287*CS243+CT287*CT243+CU287*CU243</f>
        <v>0</v>
      </c>
      <c r="CY243" s="2838">
        <f>E288*E243+F288*F243+G288*G243+H288*H243+I288*I243+J288*J243+K288*K243+L288*L243+M288*M243+N288*N243+O288*O243+P288*P243+Q288*Q243+R288*R243+S288*S243+T288*T243+U288*U243+V288*V243+W288*W243+X288*X243+Y288*Y243+Z288*Z243+AA288*AA243+AB288*AB243+AC288*AC243+AD288*AD243+AE288*AE243+AF288*AF243+AG288*AG243+AH288*AH243+AI288*AI243+AJ288*AJ243+AK288*AK243+AL288*AL243+AM288*AM243+AN288*AN243+AO288*AO243+AP288*AP243+AQ288*AQ243+AR288*AR243+AS288*AS243+AT288*AT243+AU288*AU243+AV288*AV243+AW288*AW243+AX288*AX243+AY288*AY243+AZ288*AZ243+BA288*BA243+BB288*BB243+BC288*BC243+BD288*BD243+BE288*BE243+BF288*BF243+BG288*BG243+BH288*BH243+BI288*BI243+BJ288*BJ243+BK288*BK243+BL288*BL243+BM288*BM243+BN288*BN243+BO288*BO243+BP288*BP243+BQ288*BQ243+BR288*BR243+BS288*BS243+BT288*BT243+BU288*BU243+BV288*BV243+BW288*BW243+BX288*BX243+BY288*BY243+BZ288*BZ243+CA288*CA243+CB288*CB243+CC288*CC243+CD288*CD243+CE288*CE243+CF288*CF243+CG288*CG243+CH288*CH243+CI288*CI243+CJ288*CJ243+CK288*CK243+CL288*CL243+CM288*CM243+CN288*CN243+CO288*CO243+CP288*CP243+CQ288*CQ243+CR288*CR243+CS288*CS243+CT288*CT243+CU288*CU243</f>
        <v>0</v>
      </c>
      <c r="CZ243" s="2839">
        <f>E289*E243+F289*F243+G289*G243+H289*H243+I289*I243+J289*J243+K289*K243+L289*L243+M289*M243+N289*N243+O289*O243+P289*P243+Q289*Q243+R289*R243+S289*S243+T289*T243+U289*U243+V289*V243+W289*W243+X289*X243+Y289*Y243+Z289*Z243+AA289*AA243+AB289*AB243+AC289*AC243+AD289*AD243+AE289*AE243+AF289*AF243+AG289*AG243+AH289*AH243+AI289*AI243+AJ289*AJ243+AK289*AK243+AL289*AL243+AM289*AM243+AN289*AN243+AO289*AO243+AP289*AP243+AQ289*AQ243+AR289*AR243+AS289*AS243+AT289*AT243+AU289*AU243+AV289*AV243+AW289*AW243+AX289*AX243+AY289*AY243+AZ289*AZ243+BA289*BA243+BB289*BB243+BC289*BC243+BD289*BD243+BE289*BE243+BF289*BF243+BG289*BG243+BH289*BH243+BI289*BI243+BJ289*BJ243+BK289*BK243+BL289*BL243+BM289*BM243+BN289*BN243+BO289*BO243+BP289*BP243+BQ289*BQ243+BR289*BR243+BS289*BS243+BT289*BT243+BU289*BU243+BV289*BV243+BW289*BW243+BX289*BX243+BY289*BY243+BZ289*BZ243+CA289*CA243+CB289*CB243+CC289*CC243+CD289*CD243+CE289*CE243+CF289*CF243+CG289*CG243+CH289*CH243+CI289*CI243+CJ289*CJ243+CK289*CK243+CL289*CL243+CM289*CM243+CN289*CN243+CO289*CO243+CP289*CP243+CQ289*CQ243+CR289*CR243+CS289*CS243+CT289*CT243+CU289*CU243</f>
        <v>0</v>
      </c>
      <c r="DA243" s="2840">
        <f>E290*E243+F290*F243+G290*G243+H290*H243+I290*I243+J290*J243+K290*K243+L290*L243+M290*M243+N290*N243+O290*O243+P290*P243+Q290*Q243+R290*R243+S290*S243+T290*T243+U290*U243+V290*V243+W290*W243+X290*X243+Y290*Y243+Z290*Z243+AA290*AA243+AB290*AB243+AC290*AC243+AD290*AD243+AE290*AE243+AF290*AF243+AG290*AG243+AH290*AH243+AI290*AI243+AJ290*AJ243+AK290*AK243+AL290*AL243+AM290*AM243+AN290*AN243+AO290*AO243+AP290*AP243+AQ290*AQ243+AR290*AR243+AS290*AS243+AT290*AT243+AU290*AU243+AV290*AV243+AW290*AW243+AX290*AX243+AY290*AY243+AZ290*AZ243+BA290*BA243+BB290*BB243+BC290*BC243+BD290*BD243+BE290*BE243+BF290*BF243+BG290*BG243+BH290*BH243+BI290*BI243+BJ290*BJ243+BK290*BK243+BL290*BL243+BM290*BM243+BN290*BN243+BO290*BO243+BP290*BP243+BQ290*BQ243+BR290*BR243+BS290*BS243+BT290*BT243+BU290*BU243+BV290*BV243+BW290*BW243+BX290*BX243+BY290*BY243+BZ290*BZ243+CA290*CA243+CB290*CB243+CC290*CC243+CD290*CD243+CE290*CE243+CF290*CF243+CG290*CG243+CH290*CH243+CI290*CI243+CJ290*CJ243+CK290*CK243+CL290*CL243+CM290*CM243+CN290*CN243+CO290*CO243+CP290*CP243+CQ290*CQ243+CR290*CR243+CS290*CS243+CT290*CT243+CU290*CU243</f>
        <v>0</v>
      </c>
      <c r="DB243" s="2840">
        <f>E291*E243+F291*F243+G291*G243+H291*H243+I291*I243+J291*J243+K291*K243+L291*L243+M291*M243+N291*N243+O291*O243+P291*P243+Q291*Q243+R291*R243+S291*S243+T291*T243+U291*U243+V291*V243+W291*W243+X291*X243+Y291*Y243+Z291*Z243+AA291*AA243+AB291*AB243+AC291*AC243+AD291*AD243+AE291*AE243+AF291*AF243+AG291*AG243+AH291*AH243+AI291*AI243+AJ291*AJ243+AK291*AK243+AL291*AL243+AM291*AM243+AN291*AN243+AO291*AO243+AP291*AP243+AQ291*AQ243+AR291*AR243+AS291*AS243+AT291*AT243+AU291*AU243+AV291*AV243+AW291*AW243+AX291*AX243+AY291*AY243+AZ291*AZ243+BA291*BA243+BB291*BB243+BC291*BC243+BD291*BD243+BE291*BE243+BF291*BF243+BG291*BG243+BH291*BH243+BI291*BI243+BJ291*BJ243+BK291*BK243+BL291*BL243+BM291*BM243+BN291*BN243+BO291*BO243+BP291*BP243+BQ291*BQ243+BR291*BR243+BS291*BS243+BT291*BT243+BU291*BU243+BV291*BV243+BW291*BW243+BX291*BX243+BY291*BY243+BZ291*BZ243+CA291*CA243+CB291*CB243+CC291*CC243+CD291*CD243+CE291*CE243+CF291*CF243+CG291*CG243+CH291*CH243+CI291*CI243+CJ291*CJ243+CK291*CK243+CL291*CL243+CM291*CM243+CN291*CN243+CO291*CO243+CP291*CP243+CQ291*CQ243+CR291*CR243+CS291*CS243+CT291*CT243+CU291*CU243</f>
        <v>0</v>
      </c>
      <c r="DC243" s="2840">
        <f>E292*E243+F292*F243+G292*G243+H292*H243+I292*I243+J292*J243+K292*K243+L292*L243+M292*M243+N292*N243+O292*O243+P292*P243+Q292*Q243+R292*R243+S292*S243+T292*T243+U292*U243+V292*V243+W292*W243+X292*X243+Y292*Y243+Z292*Z243+AA292*AA243+AB292*AB243+AC292*AC243+AD292*AD243+AE292*AE243+AF292*AF243+AG292*AG243+AH292*AH243+AI292*AI243+AJ292*AJ243+AK292*AK243+AL292*AL243+AM292*AM243+AN292*AN243+AO292*AO243+AP292*AP243+AQ292*AQ243+AR292*AR243+AS292*AS243+AT292*AT243+AU292*AU243+AV292*AV243+AW292*AW243+AX292*AX243+AY292*AY243+AZ292*AZ243+BA292*BA243+BB292*BB243+BC292*BC243+BD292*BD243+BE292*BE243+BF292*BF243+BG292*BG243+BH292*BH243+BI292*BI243+BJ292*BJ243+BK292*BK243+BL292*BL243+BM292*BM243+BN292*BN243+BO292*BO243+BP292*BP243+BQ292*BQ243+BR292*BR243+BS292*BS243+BT292*BT243+BU292*BU243+BV292*BV243+BW292*BW243+BX292*BX243+BY292*BY243+BZ292*BZ243+CA292*CA243+CB292*CB243+CC292*CC243+CD292*CD243+CE292*CE243+CF292*CF243+CG292*CG243+CH292*CH243+CI292*CI243+CJ292*CJ243+CK292*CK243+CL292*CL243+CM292*CM243+CN292*CN243+CO292*CO243+CP292*CP243+CQ292*CQ243+CR292*CR243+CS292*CS243+CT292*CT243+CU292*CU243</f>
        <v>0</v>
      </c>
      <c r="DD243" s="2840">
        <f>E293*E243+F293*F243+G293*G243+H293*H243+I293*I243+J293*J243+K293*K243+L293*L243+M293*M243+N293*N243+O293*O243+P293*P243+Q293*Q243+R293*R243+S293*S243+T293*T243+U293*U243+V293*V243+W293*W243+X293*X243+Y293*Y243+Z293*Z243+AA293*AA243+AB293*AB243+AC293*AC243+AD293*AD243+AE293*AE243+AF293*AF243+AG293*AG243+AH293*AH243+AI293*AI243+AJ293*AJ243+AK293*AK243+AL293*AL243+AM293*AM243+AN293*AN243+AO293*AO243+AP293*AP243+AQ293*AQ243+AR293*AR243+AS293*AS243+AT293*AT243+AU293*AU243+AV293*AV243+AW293*AW243+AX293*AX243+AY293*AY243+AZ293*AZ243+BA293*BA243+BB293*BB243+BC293*BC243+BD293*BD243+BE293*BE243+BF293*BF243+BG293*BG243+BH293*BH243+BI293*BI243+BJ293*BJ243+BK293*BK243+BL293*BL243+BM293*BM243+BN293*BN243+BO293*BO243+BP293*BP243+BQ293*BQ243+BR293*BR243+BS293*BS243+BT293*BT243+BU293*BU243+BV293*BV243+BW293*BW243+BX293*BX243+BY293*BY243+BZ293*BZ243+CA293*CA243+CB293*CB243+CC293*CC243+CD293*CD243+CE293*CE243+CF293*CF243+CG293*CG243+CH293*CH243+CI293*CI243+CJ293*CJ243+CK293*CK243+CL293*CL243+CM293*CM243+CN293*CN243+CO293*CO243+CP293*CP243+CQ293*CQ243+CR293*CR243+CS293*CS243+CT293*CT243+CU293*CU243</f>
        <v>0</v>
      </c>
      <c r="DE243" s="2840">
        <f>E294*E243+F294*F243+G294*G243+H294*H243+I294*I243+J294*J243+K294*K243+L294*L243+M294*M243+N294*N243+O294*O243+P294*P243+Q294*Q243+R294*R243+S294*S243+T294*T243+U294*U243+V294*V243+W294*W243+X294*X243+Y294*Y243+Z294*Z243+AA294*AA243+AB294*AB243+AC294*AC243+AD294*AD243+AE294*AE243+AF294*AF243+AG294*AG243+AH294*AH243+AI294*AI243+AJ294*AJ243+AK294*AK243+AL294*AL243+AM294*AM243+AN294*AN243+AO294*AO243+AP294*AP243+AQ294*AQ243+AR294*AR243+AS294*AS243+AT294*AT243+AU294*AU243+AV294*AV243+AW294*AW243+AX294*AX243+AY294*AY243+AZ294*AZ243+BA294*BA243+BB294*BB243+BC294*BC243+BD294*BD243+BE294*BE243+BF294*BF243+BG294*BG243+BH294*BH243+BI294*BI243+BJ294*BJ243+BK294*BK243+BL294*BL243+BM294*BM243+BN294*BN243+BO294*BO243+BP294*BP243+BQ294*BQ243+BR294*BR243+BS294*BS243+BT294*BT243+BU294*BU243+BV294*BV243+BW294*BW243+BX294*BX243+BY294*BY243+BZ294*BZ243+CA294*CA243+CB294*CB243+CC294*CC243+CD294*CD243+CE294*CE243+CF294*CF243+CG294*CG243+CH294*CH243+CI294*CI243+CJ294*CJ243+CK294*CK243+CL294*CL243+CM294*CM243+CN294*CN243+CO294*CO243+CP294*CP243+CQ294*CQ243+CR294*CR243+CS294*CS243+CT294*CT243+CU294*CU243</f>
        <v>0</v>
      </c>
      <c r="DF243" s="2840">
        <f>E295*E243+F295*F243+G295*G243+H295*H243+I295*I243+J295*J243+K295*K243+L295*L243+M295*M243+N295*N243+O295*O243+P295*P243+Q295*Q243+R295*R243+S295*S243+T295*T243+U295*U243+V295*V243+W295*W243+X295*X243+Y295*Y243+Z295*Z243+AA295*AA243+AB295*AB243+AC295*AC243+AD295*AD243+AE295*AE243+AF295*AF243+AG295*AG243+AH295*AH243+AI295*AI243+AJ295*AJ243+AK295*AK243+AL295*AL243+AM295*AM243+AN295*AN243+AO295*AO243+AP295*AP243+AQ295*AQ243+AR295*AR243+AS295*AS243+AT295*AT243+AU295*AU243+AV295*AV243+AW295*AW243+AX295*AX243+AY295*AY243+AZ295*AZ243+BA295*BA243+BB295*BB243+BC295*BC243+BD295*BD243+BE295*BE243+BF295*BF243+BG295*BG243+BH295*BH243+BI295*BI243+BJ295*BJ243+BK295*BK243+BL295*BL243+BM295*BM243+BN295*BN243+BO295*BO243+BP295*BP243+BQ295*BQ243+BR295*BR243+BS295*BS243+BT295*BT243+BU295*BU243+BV295*BV243+BW295*BW243+BX295*BX243+BY295*BY243+BZ295*BZ243+CA295*CA243+CB295*CB243+CC295*CC243+CD295*CD243+CE295*CE243+CF295*CF243+CG295*CG243+CH295*CH243+CI295*CI243+CJ295*CJ243+CK295*CK243+CL295*CL243+CM295*CM243+CN295*CN243+CO295*CO243+CP295*CP243+CQ295*CQ243+CR295*CR243+CS295*CS243+CT295*CT243+CU295*CU243</f>
        <v>0</v>
      </c>
      <c r="DG243" s="2840">
        <f>E296*E243+F296*F243+G296*G243+H296*H243+I296*I243+J296*J243+K296*K243+L296*L243+M296*M243+N296*N243+O296*O243+P296*P243+Q296*Q243+R296*R243+S296*S243+T296*T243+U296*U243+V296*V243+W296*W243+X296*X243+Y296*Y243+Z296*Z243+AA296*AA243+AB296*AB243+AC296*AC243+AD296*AD243+AE296*AE243+AF296*AF243+AG296*AG243+AH296*AH243+AI296*AI243+AJ296*AJ243+AK296*AK243+AL296*AL243+AM296*AM243+AN296*AN243+AO296*AO243+AP296*AP243+AQ296*AQ243+AR296*AR243+AS296*AS243+AT296*AT243+AU296*AU243+AV296*AV243+AW296*AW243+AX296*AX243+AY296*AY243+AZ296*AZ243+BA296*BA243+BB296*BB243+BC296*BC243+BD296*BD243+BE296*BE243+BF296*BF243+BG296*BG243+BH296*BH243+BI296*BI243+BJ296*BJ243+BK296*BK243+BL296*BL243+BM296*BM243+BN296*BN243+BO296*BO243+BP296*BP243+BQ296*BQ243+BR296*BR243+BS296*BS243+BT296*BT243+BU296*BU243+BV296*BV243+BW296*BW243+BX296*BX243+BY296*BY243+BZ296*BZ243+CA296*CA243+CB296*CB243+CC296*CC243+CD296*CD243+CE296*CE243+CF296*CF243+CG296*CG243+CH296*CH243+CI296*CI243+CJ296*CJ243+CK296*CK243+CL296*CL243+CM296*CM243+CN296*CN243+CO296*CO243+CP296*CP243+CQ296*CQ243+CR296*CR243+CS296*CS243+CT296*CT243+CU296*CU243</f>
        <v>0</v>
      </c>
      <c r="DH243" s="2840">
        <f>E297*E243+F297*F243+G297*G243+H297*H243+I297*I243+J297*J243+K297*K243+L297*L243+M297*M243+N297*N243+O297*O243+P297*P243+Q297*Q243+R297*R243+S297*S243+T297*T243+U297*U243+V297*V243+W297*W243+X297*X243+Y297*Y243+Z297*Z243+AA297*AA243+AB297*AB243+AC297*AC243+AD297*AD243+AE297*AE243+AF297*AF243+AG297*AG243+AH297*AH243+AI297*AI243+AJ297*AJ243+AK297*AK243+AL297*AL243+AM297*AM243+AN297*AN243+AO297*AO243+AP297*AP243+AQ297*AQ243+AR297*AR243+AS297*AS243+AT297*AT243+AU297*AU243+AV297*AV243+AW297*AW243+AX297*AX243+AY297*AY243+AZ297*AZ243+BA297*BA243+BB297*BB243+BC297*BC243+BD297*BD243+BE297*BE243+BF297*BF243+BG297*BG243+BH297*BH243+BI297*BI243+BJ297*BJ243+BK297*BK243+BL297*BL243+BM297*BM243+BN297*BN243+BO297*BO243+BP297*BP243+BQ297*BQ243+BR297*BR243+BS297*BS243+BT297*BT243+BU297*BU243+BV297*BV243+BW297*BW243+BX297*BX243+BY297*BY243+BZ297*BZ243+CA297*CA243+CB297*CB243+CC297*CC243+CD297*CD243+CE297*CE243+CF297*CF243+CG297*CG243+CH297*CH243+CI297*CI243+CJ297*CJ243+CK297*CK243+CL297*CL243+CM297*CM243+CN297*CN243+CO297*CO243+CP297*CP243+CQ297*CQ243+CR297*CR243+CS297*CS243+CT297*CT243+CU297*CU243</f>
        <v>0</v>
      </c>
      <c r="DI243" s="2840">
        <f>E298*E243+F298*F243+G298*G243+H298*H243+I298*I243+J298*J243+K298*K243+L298*L243+M298*M243+N298*N243+O298*O243+P298*P243+Q298*Q243+R298*R243+S298*S243+T298*T243+U298*U243+V298*V243+W298*W243+X298*X243+Y298*Y243+Z298*Z243+AA298*AA243+AB298*AB243+AC298*AC243+AD298*AD243+AE298*AE243+AF298*AF243+AG298*AG243+AH298*AH243+AI298*AI243+AJ298*AJ243+AK298*AK243+AL298*AL243+AM298*AM243+AN298*AN243+AO298*AO243+AP298*AP243+AQ298*AQ243+AR298*AR243+AS298*AS243+AT298*AT243+AU298*AU243+AV298*AV243+AW298*AW243+AX298*AX243+AY298*AY243+AZ298*AZ243+BA298*BA243+BB298*BB243+BC298*BC243+BD298*BD243+BE298*BE243+BF298*BF243+BG298*BG243+BH298*BH243+BI298*BI243+BJ298*BJ243+BK298*BK243+BL298*BL243+BM298*BM243+BN298*BN243+BO298*BO243+BP298*BP243+BQ298*BQ243+BR298*BR243+BS298*BS243+BT298*BT243+BU298*BU243+BV298*BV243+BW298*BW243+BX298*BX243+BY298*BY243+BZ298*BZ243+CA298*CA243+CB298*CB243+CC298*CC243+CD298*CD243+CE298*CE243+CF298*CF243+CG298*CG243+CH298*CH243+CI298*CI243+CJ298*CJ243+CK298*CK243+CL298*CL243+CM298*CM243+CN298*CN243+CO298*CO243+CP298*CP243+CQ298*CQ243+CR298*CR243+CS298*CS243+CT298*CT243+CU298*CU243</f>
        <v>0</v>
      </c>
    </row>
    <row r="244" spans="2:113" ht="18" x14ac:dyDescent="0.25">
      <c r="B244" s="2512">
        <v>91</v>
      </c>
      <c r="C244" s="2449" t="s">
        <v>3306</v>
      </c>
      <c r="D244" s="2450" t="s">
        <v>3890</v>
      </c>
      <c r="E244" s="3128">
        <f>0</f>
        <v>0</v>
      </c>
      <c r="F244" s="3128">
        <f>0</f>
        <v>0</v>
      </c>
      <c r="G244" s="3128">
        <f>0</f>
        <v>0</v>
      </c>
      <c r="H244" s="3128">
        <f>0</f>
        <v>0</v>
      </c>
      <c r="I244" s="3128">
        <f>0</f>
        <v>0</v>
      </c>
      <c r="J244" s="3142">
        <f>0</f>
        <v>0</v>
      </c>
      <c r="K244" s="3128">
        <f>0</f>
        <v>0</v>
      </c>
      <c r="L244" s="3128">
        <f>0</f>
        <v>0</v>
      </c>
      <c r="M244" s="3128">
        <f>0</f>
        <v>0</v>
      </c>
      <c r="N244" s="3128">
        <f>0</f>
        <v>0</v>
      </c>
      <c r="O244" s="3128">
        <f>0</f>
        <v>0</v>
      </c>
      <c r="P244" s="3128">
        <f>0</f>
        <v>0</v>
      </c>
      <c r="Q244" s="3128">
        <f>0</f>
        <v>0</v>
      </c>
      <c r="R244" s="3155">
        <f>0</f>
        <v>0</v>
      </c>
      <c r="S244" s="3128">
        <f>0</f>
        <v>0</v>
      </c>
      <c r="T244" s="3128">
        <f>0</f>
        <v>0</v>
      </c>
      <c r="U244" s="3128">
        <f>0</f>
        <v>0</v>
      </c>
      <c r="V244" s="3128">
        <f>0</f>
        <v>0</v>
      </c>
      <c r="W244" s="3128">
        <f>0</f>
        <v>0</v>
      </c>
      <c r="X244" s="3128">
        <f>0</f>
        <v>0</v>
      </c>
      <c r="Y244" s="3128">
        <f>0</f>
        <v>0</v>
      </c>
      <c r="Z244" s="3128">
        <f>0</f>
        <v>0</v>
      </c>
      <c r="AA244" s="3128">
        <f>0</f>
        <v>0</v>
      </c>
      <c r="AB244" s="3128">
        <f>0</f>
        <v>0</v>
      </c>
      <c r="AC244" s="3128">
        <f>0</f>
        <v>0</v>
      </c>
      <c r="AD244" s="3128">
        <f>0</f>
        <v>0</v>
      </c>
      <c r="AE244" s="3128">
        <f>0</f>
        <v>0</v>
      </c>
      <c r="AF244" s="3128">
        <f>0</f>
        <v>0</v>
      </c>
      <c r="AG244" s="3128">
        <f>0</f>
        <v>0</v>
      </c>
      <c r="AH244" s="3128">
        <f>0</f>
        <v>0</v>
      </c>
      <c r="AI244" s="3128">
        <f>0</f>
        <v>0</v>
      </c>
      <c r="AJ244" s="3142">
        <f>0</f>
        <v>0</v>
      </c>
      <c r="AK244" s="3128">
        <f>0</f>
        <v>0</v>
      </c>
      <c r="AL244" s="3167">
        <f>(A_SFHFO_H*(A_MP/A_MFe))</f>
        <v>0.66556566639806602</v>
      </c>
      <c r="AM244" s="3128">
        <f>0</f>
        <v>0</v>
      </c>
      <c r="AN244" s="3128">
        <f>0</f>
        <v>0</v>
      </c>
      <c r="AO244" s="3128">
        <f>0</f>
        <v>0</v>
      </c>
      <c r="AP244" s="3142">
        <f>0</f>
        <v>0</v>
      </c>
      <c r="AQ244" s="3128">
        <f>0</f>
        <v>0</v>
      </c>
      <c r="AR244" s="3128">
        <f>0</f>
        <v>0</v>
      </c>
      <c r="AS244" s="3128">
        <f>0</f>
        <v>0</v>
      </c>
      <c r="AT244" s="3128">
        <f>0</f>
        <v>0</v>
      </c>
      <c r="AU244" s="3128">
        <f>0</f>
        <v>0</v>
      </c>
      <c r="AV244" s="3128">
        <f>0</f>
        <v>0</v>
      </c>
      <c r="AW244" s="3128">
        <f>0</f>
        <v>0</v>
      </c>
      <c r="AX244" s="3128">
        <f>0</f>
        <v>0</v>
      </c>
      <c r="AY244" s="3128">
        <f>0</f>
        <v>0</v>
      </c>
      <c r="AZ244" s="3128">
        <f>0</f>
        <v>0</v>
      </c>
      <c r="BA244" s="3128">
        <f>0</f>
        <v>0</v>
      </c>
      <c r="BB244" s="3128">
        <f>0</f>
        <v>0</v>
      </c>
      <c r="BC244" s="3128">
        <f>0</f>
        <v>0</v>
      </c>
      <c r="BD244" s="3128">
        <f>0</f>
        <v>0</v>
      </c>
      <c r="BE244" s="3155">
        <f>0</f>
        <v>0</v>
      </c>
      <c r="BF244" s="3199">
        <f>1</f>
        <v>1</v>
      </c>
      <c r="BG244" s="3199">
        <f>0</f>
        <v>0</v>
      </c>
      <c r="BH244" s="3167">
        <f>0</f>
        <v>0</v>
      </c>
      <c r="BI244" s="3167">
        <f>-1</f>
        <v>-1</v>
      </c>
      <c r="BJ244" s="3199">
        <f>0</f>
        <v>0</v>
      </c>
      <c r="BK244" s="3167">
        <f>0</f>
        <v>0</v>
      </c>
      <c r="BL244" s="3167">
        <f>0</f>
        <v>0</v>
      </c>
      <c r="BM244" s="3128">
        <f>0</f>
        <v>0</v>
      </c>
      <c r="BN244" s="3128">
        <f>0</f>
        <v>0</v>
      </c>
      <c r="BO244" s="3155">
        <f>0</f>
        <v>0</v>
      </c>
      <c r="BP244" s="3155">
        <f>0</f>
        <v>0</v>
      </c>
      <c r="BQ244" s="3128">
        <f>0</f>
        <v>0</v>
      </c>
      <c r="BR244" s="3155">
        <f>0</f>
        <v>0</v>
      </c>
      <c r="BS244" s="3155">
        <f>0</f>
        <v>0</v>
      </c>
      <c r="BT244" s="3155">
        <f>0</f>
        <v>0</v>
      </c>
      <c r="BU244" s="3155">
        <f>0</f>
        <v>0</v>
      </c>
      <c r="BV244" s="3155">
        <f>0</f>
        <v>0</v>
      </c>
      <c r="BW244" s="3155">
        <f>0</f>
        <v>0</v>
      </c>
      <c r="BX244" s="3155">
        <f>0</f>
        <v>0</v>
      </c>
      <c r="BY244" s="3155">
        <f>0</f>
        <v>0</v>
      </c>
      <c r="BZ244" s="3207">
        <f>0</f>
        <v>0</v>
      </c>
      <c r="CA244" s="3207">
        <f>0</f>
        <v>0</v>
      </c>
      <c r="CB244" s="3207">
        <f>0</f>
        <v>0</v>
      </c>
      <c r="CC244" s="3207">
        <f>0</f>
        <v>0</v>
      </c>
      <c r="CD244" s="3155">
        <f>0</f>
        <v>0</v>
      </c>
      <c r="CE244" s="3155">
        <f>0</f>
        <v>0</v>
      </c>
      <c r="CF244" s="3155">
        <f>0</f>
        <v>0</v>
      </c>
      <c r="CG244" s="3155">
        <f>0</f>
        <v>0</v>
      </c>
      <c r="CH244" s="3155">
        <f>0</f>
        <v>0</v>
      </c>
      <c r="CI244" s="3155">
        <f>0</f>
        <v>0</v>
      </c>
      <c r="CJ244" s="3155">
        <f>0</f>
        <v>0</v>
      </c>
      <c r="CK244" s="3155">
        <f>0</f>
        <v>0</v>
      </c>
      <c r="CL244" s="3155">
        <f>0</f>
        <v>0</v>
      </c>
      <c r="CM244" s="3155">
        <f>0</f>
        <v>0</v>
      </c>
      <c r="CN244" s="3155">
        <f>0</f>
        <v>0</v>
      </c>
      <c r="CO244" s="3155">
        <f>0</f>
        <v>0</v>
      </c>
      <c r="CP244" s="3155">
        <f>0</f>
        <v>0</v>
      </c>
      <c r="CQ244" s="3155">
        <f>0</f>
        <v>0</v>
      </c>
      <c r="CR244" s="3155">
        <f>0</f>
        <v>0</v>
      </c>
      <c r="CS244" s="3155">
        <f>0</f>
        <v>0</v>
      </c>
      <c r="CT244" s="3155">
        <f>0</f>
        <v>0</v>
      </c>
      <c r="CU244" s="3155">
        <f>0</f>
        <v>0</v>
      </c>
      <c r="CV244" s="3234">
        <f>q_HFOH_DESORP*X_HFO_H_P*M_inhSPO4_KiP_HFO_DESORP</f>
        <v>1.6666666666666669E-49</v>
      </c>
      <c r="CX244" s="2838">
        <f>E287*E244+F287*F244+G287*G244+H287*H244+I287*I244+J287*J244+K287*K244+L287*L244+M287*M244+N287*N244+O287*O244+P287*P244+Q287*Q244+R287*R244+S287*S244+T287*T244+U287*U244+V287*V244+W287*W244+X287*X244+Y287*Y244+Z287*Z244+AA287*AA244+AB287*AB244+AC287*AC244+AD287*AD244+AE287*AE244+AF287*AF244+AG287*AG244+AH287*AH244+AI287*AI244+AJ287*AJ244+AK287*AK244+AL287*AL244+AM287*AM244+AN287*AN244+AO287*AO244+AP287*AP244+AQ287*AQ244+AR287*AR244+AS287*AS244+AT287*AT244+AU287*AU244+AV287*AV244+AW287*AW244+AX287*AX244+AY287*AY244+AZ287*AZ244+BA287*BA244+BB287*BB244+BC287*BC244+BD287*BD244+BE287*BE244+BF287*BF244+BG287*BG244+BH287*BH244+BI287*BI244+BJ287*BJ244+BK287*BK244+BL287*BL244+BM287*BM244+BN287*BN244+BO287*BO244+BP287*BP244+BQ287*BQ244+BR287*BR244+BS287*BS244+BT287*BT244+BU287*BU244+BV287*BV244+BW287*BW244+BX287*BX244+BY287*BY244+BZ287*BZ244+CA287*CA244+CB287*CB244+CC287*CC244+CD287*CD244+CE287*CE244+CF287*CF244+CG287*CG244+CH287*CH244+CI287*CI244+CJ287*CJ244+CK287*CK244+CL287*CL244+CM287*CM244+CN287*CN244+CO287*CO244+CP287*CP244+CQ287*CQ244+CR287*CR244+CS287*CS244+CT287*CT244+CU287*CU244</f>
        <v>0</v>
      </c>
      <c r="CY244" s="2838">
        <f>E288*E244+F288*F244+G288*G244+H288*H244+I288*I244+J288*J244+K288*K244+L288*L244+M288*M244+N288*N244+O288*O244+P288*P244+Q288*Q244+R288*R244+S288*S244+T288*T244+U288*U244+V288*V244+W288*W244+X288*X244+Y288*Y244+Z288*Z244+AA288*AA244+AB288*AB244+AC288*AC244+AD288*AD244+AE288*AE244+AF288*AF244+AG288*AG244+AH288*AH244+AI288*AI244+AJ288*AJ244+AK288*AK244+AL288*AL244+AM288*AM244+AN288*AN244+AO288*AO244+AP288*AP244+AQ288*AQ244+AR288*AR244+AS288*AS244+AT288*AT244+AU288*AU244+AV288*AV244+AW288*AW244+AX288*AX244+AY288*AY244+AZ288*AZ244+BA288*BA244+BB288*BB244+BC288*BC244+BD288*BD244+BE288*BE244+BF288*BF244+BG288*BG244+BH288*BH244+BI288*BI244+BJ288*BJ244+BK288*BK244+BL288*BL244+BM288*BM244+BN288*BN244+BO288*BO244+BP288*BP244+BQ288*BQ244+BR288*BR244+BS288*BS244+BT288*BT244+BU288*BU244+BV288*BV244+BW288*BW244+BX288*BX244+BY288*BY244+BZ288*BZ244+CA288*CA244+CB288*CB244+CC288*CC244+CD288*CD244+CE288*CE244+CF288*CF244+CG288*CG244+CH288*CH244+CI288*CI244+CJ288*CJ244+CK288*CK244+CL288*CL244+CM288*CM244+CN288*CN244+CO288*CO244+CP288*CP244+CQ288*CQ244+CR288*CR244+CS288*CS244+CT288*CT244+CU288*CU244</f>
        <v>0</v>
      </c>
      <c r="CZ244" s="2839">
        <f>E289*E244+F289*F244+G289*G244+H289*H244+I289*I244+J289*J244+K289*K244+L289*L244+M289*M244+N289*N244+O289*O244+P289*P244+Q289*Q244+R289*R244+S289*S244+T289*T244+U289*U244+V289*V244+W289*W244+X289*X244+Y289*Y244+Z289*Z244+AA289*AA244+AB289*AB244+AC289*AC244+AD289*AD244+AE289*AE244+AF289*AF244+AG289*AG244+AH289*AH244+AI289*AI244+AJ289*AJ244+AK289*AK244+AL289*AL244+AM289*AM244+AN289*AN244+AO289*AO244+AP289*AP244+AQ289*AQ244+AR289*AR244+AS289*AS244+AT289*AT244+AU289*AU244+AV289*AV244+AW289*AW244+AX289*AX244+AY289*AY244+AZ289*AZ244+BA289*BA244+BB289*BB244+BC289*BC244+BD289*BD244+BE289*BE244+BF289*BF244+BG289*BG244+BH289*BH244+BI289*BI244+BJ289*BJ244+BK289*BK244+BL289*BL244+BM289*BM244+BN289*BN244+BO289*BO244+BP289*BP244+BQ289*BQ244+BR289*BR244+BS289*BS244+BT289*BT244+BU289*BU244+BV289*BV244+BW289*BW244+BX289*BX244+BY289*BY244+BZ289*BZ244+CA289*CA244+CB289*CB244+CC289*CC244+CD289*CD244+CE289*CE244+CF289*CF244+CG289*CG244+CH289*CH244+CI289*CI244+CJ289*CJ244+CK289*CK244+CL289*CL244+CM289*CM244+CN289*CN244+CO289*CO244+CP289*CP244+CQ289*CQ244+CR289*CR244+CS289*CS244+CT289*CT244+CU289*CU244</f>
        <v>0</v>
      </c>
      <c r="DA244" s="2840">
        <f>E290*E244+F290*F244+G290*G244+H290*H244+I290*I244+J290*J244+K290*K244+L290*L244+M290*M244+N290*N244+O290*O244+P290*P244+Q290*Q244+R290*R244+S290*S244+T290*T244+U290*U244+V290*V244+W290*W244+X290*X244+Y290*Y244+Z290*Z244+AA290*AA244+AB290*AB244+AC290*AC244+AD290*AD244+AE290*AE244+AF290*AF244+AG290*AG244+AH290*AH244+AI290*AI244+AJ290*AJ244+AK290*AK244+AL290*AL244+AM290*AM244+AN290*AN244+AO290*AO244+AP290*AP244+AQ290*AQ244+AR290*AR244+AS290*AS244+AT290*AT244+AU290*AU244+AV290*AV244+AW290*AW244+AX290*AX244+AY290*AY244+AZ290*AZ244+BA290*BA244+BB290*BB244+BC290*BC244+BD290*BD244+BE290*BE244+BF290*BF244+BG290*BG244+BH290*BH244+BI290*BI244+BJ290*BJ244+BK290*BK244+BL290*BL244+BM290*BM244+BN290*BN244+BO290*BO244+BP290*BP244+BQ290*BQ244+BR290*BR244+BS290*BS244+BT290*BT244+BU290*BU244+BV290*BV244+BW290*BW244+BX290*BX244+BY290*BY244+BZ290*BZ244+CA290*CA244+CB290*CB244+CC290*CC244+CD290*CD244+CE290*CE244+CF290*CF244+CG290*CG244+CH290*CH244+CI290*CI244+CJ290*CJ244+CK290*CK244+CL290*CL244+CM290*CM244+CN290*CN244+CO290*CO244+CP290*CP244+CQ290*CQ244+CR290*CR244+CS290*CS244+CT290*CT244+CU290*CU244</f>
        <v>0</v>
      </c>
      <c r="DB244" s="2840">
        <f>E291*E244+F291*F244+G291*G244+H291*H244+I291*I244+J291*J244+K291*K244+L291*L244+M291*M244+N291*N244+O291*O244+P291*P244+Q291*Q244+R291*R244+S291*S244+T291*T244+U291*U244+V291*V244+W291*W244+X291*X244+Y291*Y244+Z291*Z244+AA291*AA244+AB291*AB244+AC291*AC244+AD291*AD244+AE291*AE244+AF291*AF244+AG291*AG244+AH291*AH244+AI291*AI244+AJ291*AJ244+AK291*AK244+AL291*AL244+AM291*AM244+AN291*AN244+AO291*AO244+AP291*AP244+AQ291*AQ244+AR291*AR244+AS291*AS244+AT291*AT244+AU291*AU244+AV291*AV244+AW291*AW244+AX291*AX244+AY291*AY244+AZ291*AZ244+BA291*BA244+BB291*BB244+BC291*BC244+BD291*BD244+BE291*BE244+BF291*BF244+BG291*BG244+BH291*BH244+BI291*BI244+BJ291*BJ244+BK291*BK244+BL291*BL244+BM291*BM244+BN291*BN244+BO291*BO244+BP291*BP244+BQ291*BQ244+BR291*BR244+BS291*BS244+BT291*BT244+BU291*BU244+BV291*BV244+BW291*BW244+BX291*BX244+BY291*BY244+BZ291*BZ244+CA291*CA244+CB291*CB244+CC291*CC244+CD291*CD244+CE291*CE244+CF291*CF244+CG291*CG244+CH291*CH244+CI291*CI244+CJ291*CJ244+CK291*CK244+CL291*CL244+CM291*CM244+CN291*CN244+CO291*CO244+CP291*CP244+CQ291*CQ244+CR291*CR244+CS291*CS244+CT291*CT244+CU291*CU244</f>
        <v>0</v>
      </c>
      <c r="DC244" s="2840">
        <f>E292*E244+F292*F244+G292*G244+H292*H244+I292*I244+J292*J244+K292*K244+L292*L244+M292*M244+N292*N244+O292*O244+P292*P244+Q292*Q244+R292*R244+S292*S244+T292*T244+U292*U244+V292*V244+W292*W244+X292*X244+Y292*Y244+Z292*Z244+AA292*AA244+AB292*AB244+AC292*AC244+AD292*AD244+AE292*AE244+AF292*AF244+AG292*AG244+AH292*AH244+AI292*AI244+AJ292*AJ244+AK292*AK244+AL292*AL244+AM292*AM244+AN292*AN244+AO292*AO244+AP292*AP244+AQ292*AQ244+AR292*AR244+AS292*AS244+AT292*AT244+AU292*AU244+AV292*AV244+AW292*AW244+AX292*AX244+AY292*AY244+AZ292*AZ244+BA292*BA244+BB292*BB244+BC292*BC244+BD292*BD244+BE292*BE244+BF292*BF244+BG292*BG244+BH292*BH244+BI292*BI244+BJ292*BJ244+BK292*BK244+BL292*BL244+BM292*BM244+BN292*BN244+BO292*BO244+BP292*BP244+BQ292*BQ244+BR292*BR244+BS292*BS244+BT292*BT244+BU292*BU244+BV292*BV244+BW292*BW244+BX292*BX244+BY292*BY244+BZ292*BZ244+CA292*CA244+CB292*CB244+CC292*CC244+CD292*CD244+CE292*CE244+CF292*CF244+CG292*CG244+CH292*CH244+CI292*CI244+CJ292*CJ244+CK292*CK244+CL292*CL244+CM292*CM244+CN292*CN244+CO292*CO244+CP292*CP244+CQ292*CQ244+CR292*CR244+CS292*CS244+CT292*CT244+CU292*CU244</f>
        <v>0</v>
      </c>
      <c r="DD244" s="2840">
        <f>E293*E244+F293*F244+G293*G244+H293*H244+I293*I244+J293*J244+K293*K244+L293*L244+M293*M244+N293*N244+O293*O244+P293*P244+Q293*Q244+R293*R244+S293*S244+T293*T244+U293*U244+V293*V244+W293*W244+X293*X244+Y293*Y244+Z293*Z244+AA293*AA244+AB293*AB244+AC293*AC244+AD293*AD244+AE293*AE244+AF293*AF244+AG293*AG244+AH293*AH244+AI293*AI244+AJ293*AJ244+AK293*AK244+AL293*AL244+AM293*AM244+AN293*AN244+AO293*AO244+AP293*AP244+AQ293*AQ244+AR293*AR244+AS293*AS244+AT293*AT244+AU293*AU244+AV293*AV244+AW293*AW244+AX293*AX244+AY293*AY244+AZ293*AZ244+BA293*BA244+BB293*BB244+BC293*BC244+BD293*BD244+BE293*BE244+BF293*BF244+BG293*BG244+BH293*BH244+BI293*BI244+BJ293*BJ244+BK293*BK244+BL293*BL244+BM293*BM244+BN293*BN244+BO293*BO244+BP293*BP244+BQ293*BQ244+BR293*BR244+BS293*BS244+BT293*BT244+BU293*BU244+BV293*BV244+BW293*BW244+BX293*BX244+BY293*BY244+BZ293*BZ244+CA293*CA244+CB293*CB244+CC293*CC244+CD293*CD244+CE293*CE244+CF293*CF244+CG293*CG244+CH293*CH244+CI293*CI244+CJ293*CJ244+CK293*CK244+CL293*CL244+CM293*CM244+CN293*CN244+CO293*CO244+CP293*CP244+CQ293*CQ244+CR293*CR244+CS293*CS244+CT293*CT244+CU293*CU244</f>
        <v>0</v>
      </c>
      <c r="DE244" s="2840">
        <f>E294*E244+F294*F244+G294*G244+H294*H244+I294*I244+J294*J244+K294*K244+L294*L244+M294*M244+N294*N244+O294*O244+P294*P244+Q294*Q244+R294*R244+S294*S244+T294*T244+U294*U244+V294*V244+W294*W244+X294*X244+Y294*Y244+Z294*Z244+AA294*AA244+AB294*AB244+AC294*AC244+AD294*AD244+AE294*AE244+AF294*AF244+AG294*AG244+AH294*AH244+AI294*AI244+AJ294*AJ244+AK294*AK244+AL294*AL244+AM294*AM244+AN294*AN244+AO294*AO244+AP294*AP244+AQ294*AQ244+AR294*AR244+AS294*AS244+AT294*AT244+AU294*AU244+AV294*AV244+AW294*AW244+AX294*AX244+AY294*AY244+AZ294*AZ244+BA294*BA244+BB294*BB244+BC294*BC244+BD294*BD244+BE294*BE244+BF294*BF244+BG294*BG244+BH294*BH244+BI294*BI244+BJ294*BJ244+BK294*BK244+BL294*BL244+BM294*BM244+BN294*BN244+BO294*BO244+BP294*BP244+BQ294*BQ244+BR294*BR244+BS294*BS244+BT294*BT244+BU294*BU244+BV294*BV244+BW294*BW244+BX294*BX244+BY294*BY244+BZ294*BZ244+CA294*CA244+CB294*CB244+CC294*CC244+CD294*CD244+CE294*CE244+CF294*CF244+CG294*CG244+CH294*CH244+CI294*CI244+CJ294*CJ244+CK294*CK244+CL294*CL244+CM294*CM244+CN294*CN244+CO294*CO244+CP294*CP244+CQ294*CQ244+CR294*CR244+CS294*CS244+CT294*CT244+CU294*CU244</f>
        <v>0</v>
      </c>
      <c r="DF244" s="2840">
        <f>E295*E244+F295*F244+G295*G244+H295*H244+I295*I244+J295*J244+K295*K244+L295*L244+M295*M244+N295*N244+O295*O244+P295*P244+Q295*Q244+R295*R244+S295*S244+T295*T244+U295*U244+V295*V244+W295*W244+X295*X244+Y295*Y244+Z295*Z244+AA295*AA244+AB295*AB244+AC295*AC244+AD295*AD244+AE295*AE244+AF295*AF244+AG295*AG244+AH295*AH244+AI295*AI244+AJ295*AJ244+AK295*AK244+AL295*AL244+AM295*AM244+AN295*AN244+AO295*AO244+AP295*AP244+AQ295*AQ244+AR295*AR244+AS295*AS244+AT295*AT244+AU295*AU244+AV295*AV244+AW295*AW244+AX295*AX244+AY295*AY244+AZ295*AZ244+BA295*BA244+BB295*BB244+BC295*BC244+BD295*BD244+BE295*BE244+BF295*BF244+BG295*BG244+BH295*BH244+BI295*BI244+BJ295*BJ244+BK295*BK244+BL295*BL244+BM295*BM244+BN295*BN244+BO295*BO244+BP295*BP244+BQ295*BQ244+BR295*BR244+BS295*BS244+BT295*BT244+BU295*BU244+BV295*BV244+BW295*BW244+BX295*BX244+BY295*BY244+BZ295*BZ244+CA295*CA244+CB295*CB244+CC295*CC244+CD295*CD244+CE295*CE244+CF295*CF244+CG295*CG244+CH295*CH244+CI295*CI244+CJ295*CJ244+CK295*CK244+CL295*CL244+CM295*CM244+CN295*CN244+CO295*CO244+CP295*CP244+CQ295*CQ244+CR295*CR244+CS295*CS244+CT295*CT244+CU295*CU244</f>
        <v>0</v>
      </c>
      <c r="DG244" s="2840">
        <f>E296*E244+F296*F244+G296*G244+H296*H244+I296*I244+J296*J244+K296*K244+L296*L244+M296*M244+N296*N244+O296*O244+P296*P244+Q296*Q244+R296*R244+S296*S244+T296*T244+U296*U244+V296*V244+W296*W244+X296*X244+Y296*Y244+Z296*Z244+AA296*AA244+AB296*AB244+AC296*AC244+AD296*AD244+AE296*AE244+AF296*AF244+AG296*AG244+AH296*AH244+AI296*AI244+AJ296*AJ244+AK296*AK244+AL296*AL244+AM296*AM244+AN296*AN244+AO296*AO244+AP296*AP244+AQ296*AQ244+AR296*AR244+AS296*AS244+AT296*AT244+AU296*AU244+AV296*AV244+AW296*AW244+AX296*AX244+AY296*AY244+AZ296*AZ244+BA296*BA244+BB296*BB244+BC296*BC244+BD296*BD244+BE296*BE244+BF296*BF244+BG296*BG244+BH296*BH244+BI296*BI244+BJ296*BJ244+BK296*BK244+BL296*BL244+BM296*BM244+BN296*BN244+BO296*BO244+BP296*BP244+BQ296*BQ244+BR296*BR244+BS296*BS244+BT296*BT244+BU296*BU244+BV296*BV244+BW296*BW244+BX296*BX244+BY296*BY244+BZ296*BZ244+CA296*CA244+CB296*CB244+CC296*CC244+CD296*CD244+CE296*CE244+CF296*CF244+CG296*CG244+CH296*CH244+CI296*CI244+CJ296*CJ244+CK296*CK244+CL296*CL244+CM296*CM244+CN296*CN244+CO296*CO244+CP296*CP244+CQ296*CQ244+CR296*CR244+CS296*CS244+CT296*CT244+CU296*CU244</f>
        <v>0</v>
      </c>
      <c r="DH244" s="2840">
        <f>E297*E244+F297*F244+G297*G244+H297*H244+I297*I244+J297*J244+K297*K244+L297*L244+M297*M244+N297*N244+O297*O244+P297*P244+Q297*Q244+R297*R244+S297*S244+T297*T244+U297*U244+V297*V244+W297*W244+X297*X244+Y297*Y244+Z297*Z244+AA297*AA244+AB297*AB244+AC297*AC244+AD297*AD244+AE297*AE244+AF297*AF244+AG297*AG244+AH297*AH244+AI297*AI244+AJ297*AJ244+AK297*AK244+AL297*AL244+AM297*AM244+AN297*AN244+AO297*AO244+AP297*AP244+AQ297*AQ244+AR297*AR244+AS297*AS244+AT297*AT244+AU297*AU244+AV297*AV244+AW297*AW244+AX297*AX244+AY297*AY244+AZ297*AZ244+BA297*BA244+BB297*BB244+BC297*BC244+BD297*BD244+BE297*BE244+BF297*BF244+BG297*BG244+BH297*BH244+BI297*BI244+BJ297*BJ244+BK297*BK244+BL297*BL244+BM297*BM244+BN297*BN244+BO297*BO244+BP297*BP244+BQ297*BQ244+BR297*BR244+BS297*BS244+BT297*BT244+BU297*BU244+BV297*BV244+BW297*BW244+BX297*BX244+BY297*BY244+BZ297*BZ244+CA297*CA244+CB297*CB244+CC297*CC244+CD297*CD244+CE297*CE244+CF297*CF244+CG297*CG244+CH297*CH244+CI297*CI244+CJ297*CJ244+CK297*CK244+CL297*CL244+CM297*CM244+CN297*CN244+CO297*CO244+CP297*CP244+CQ297*CQ244+CR297*CR244+CS297*CS244+CT297*CT244+CU297*CU244</f>
        <v>0</v>
      </c>
      <c r="DI244" s="2840">
        <f>E298*E244+F298*F244+G298*G244+H298*H244+I298*I244+J298*J244+K298*K244+L298*L244+M298*M244+N298*N244+O298*O244+P298*P244+Q298*Q244+R298*R244+S298*S244+T298*T244+U298*U244+V298*V244+W298*W244+X298*X244+Y298*Y244+Z298*Z244+AA298*AA244+AB298*AB244+AC298*AC244+AD298*AD244+AE298*AE244+AF298*AF244+AG298*AG244+AH298*AH244+AI298*AI244+AJ298*AJ244+AK298*AK244+AL298*AL244+AM298*AM244+AN298*AN244+AO298*AO244+AP298*AP244+AQ298*AQ244+AR298*AR244+AS298*AS244+AT298*AT244+AU298*AU244+AV298*AV244+AW298*AW244+AX298*AX244+AY298*AY244+AZ298*AZ244+BA298*BA244+BB298*BB244+BC298*BC244+BD298*BD244+BE298*BE244+BF298*BF244+BG298*BG244+BH298*BH244+BI298*BI244+BJ298*BJ244+BK298*BK244+BL298*BL244+BM298*BM244+BN298*BN244+BO298*BO244+BP298*BP244+BQ298*BQ244+BR298*BR244+BS298*BS244+BT298*BT244+BU298*BU244+BV298*BV244+BW298*BW244+BX298*BX244+BY298*BY244+BZ298*BZ244+CA298*CA244+CB298*CB244+CC298*CC244+CD298*CD244+CE298*CE244+CF298*CF244+CG298*CG244+CH298*CH244+CI298*CI244+CJ298*CJ244+CK298*CK244+CL298*CL244+CM298*CM244+CN298*CN244+CO298*CO244+CP298*CP244+CQ298*CQ244+CR298*CR244+CS298*CS244+CT298*CT244+CU298*CU244</f>
        <v>0</v>
      </c>
    </row>
    <row r="245" spans="2:113" ht="18" x14ac:dyDescent="0.25">
      <c r="B245" s="2512">
        <v>92</v>
      </c>
      <c r="C245" s="2449" t="s">
        <v>3307</v>
      </c>
      <c r="D245" s="2450" t="s">
        <v>3891</v>
      </c>
      <c r="E245" s="3128">
        <f>0</f>
        <v>0</v>
      </c>
      <c r="F245" s="3128">
        <f>0</f>
        <v>0</v>
      </c>
      <c r="G245" s="3128">
        <f>0</f>
        <v>0</v>
      </c>
      <c r="H245" s="3128">
        <f>0</f>
        <v>0</v>
      </c>
      <c r="I245" s="3128">
        <f>0</f>
        <v>0</v>
      </c>
      <c r="J245" s="3142">
        <f>0</f>
        <v>0</v>
      </c>
      <c r="K245" s="3128">
        <f>0</f>
        <v>0</v>
      </c>
      <c r="L245" s="3128">
        <f>0</f>
        <v>0</v>
      </c>
      <c r="M245" s="3128">
        <f>0</f>
        <v>0</v>
      </c>
      <c r="N245" s="3128">
        <f>0</f>
        <v>0</v>
      </c>
      <c r="O245" s="3128">
        <f>0</f>
        <v>0</v>
      </c>
      <c r="P245" s="3128">
        <f>0</f>
        <v>0</v>
      </c>
      <c r="Q245" s="3128">
        <f>0</f>
        <v>0</v>
      </c>
      <c r="R245" s="3155">
        <f>0</f>
        <v>0</v>
      </c>
      <c r="S245" s="3128">
        <f>0</f>
        <v>0</v>
      </c>
      <c r="T245" s="3128">
        <f>0</f>
        <v>0</v>
      </c>
      <c r="U245" s="3128">
        <f>0</f>
        <v>0</v>
      </c>
      <c r="V245" s="3128">
        <f>0</f>
        <v>0</v>
      </c>
      <c r="W245" s="3128">
        <f>0</f>
        <v>0</v>
      </c>
      <c r="X245" s="3128">
        <f>0</f>
        <v>0</v>
      </c>
      <c r="Y245" s="3128">
        <f>0</f>
        <v>0</v>
      </c>
      <c r="Z245" s="3128">
        <f>0</f>
        <v>0</v>
      </c>
      <c r="AA245" s="3128">
        <f>0</f>
        <v>0</v>
      </c>
      <c r="AB245" s="3128">
        <f>0</f>
        <v>0</v>
      </c>
      <c r="AC245" s="3128">
        <f>0</f>
        <v>0</v>
      </c>
      <c r="AD245" s="3128">
        <f>0</f>
        <v>0</v>
      </c>
      <c r="AE245" s="3128">
        <f>0</f>
        <v>0</v>
      </c>
      <c r="AF245" s="3128">
        <f>0</f>
        <v>0</v>
      </c>
      <c r="AG245" s="3128">
        <f>0</f>
        <v>0</v>
      </c>
      <c r="AH245" s="3128">
        <f>0</f>
        <v>0</v>
      </c>
      <c r="AI245" s="3128">
        <f>0</f>
        <v>0</v>
      </c>
      <c r="AJ245" s="3142">
        <f>0</f>
        <v>0</v>
      </c>
      <c r="AK245" s="3128">
        <f>0</f>
        <v>0</v>
      </c>
      <c r="AL245" s="3167">
        <f>(A_SFHFO_L*(A_MP/A_MFe))</f>
        <v>0.11092761106634436</v>
      </c>
      <c r="AM245" s="3128">
        <f>0</f>
        <v>0</v>
      </c>
      <c r="AN245" s="3128">
        <f>0</f>
        <v>0</v>
      </c>
      <c r="AO245" s="3128">
        <f>0</f>
        <v>0</v>
      </c>
      <c r="AP245" s="3142">
        <f>0</f>
        <v>0</v>
      </c>
      <c r="AQ245" s="3128">
        <f>0</f>
        <v>0</v>
      </c>
      <c r="AR245" s="3128">
        <f>0</f>
        <v>0</v>
      </c>
      <c r="AS245" s="3128">
        <f>0</f>
        <v>0</v>
      </c>
      <c r="AT245" s="3128">
        <f>0</f>
        <v>0</v>
      </c>
      <c r="AU245" s="3128">
        <f>0</f>
        <v>0</v>
      </c>
      <c r="AV245" s="3128">
        <f>0</f>
        <v>0</v>
      </c>
      <c r="AW245" s="3128">
        <f>0</f>
        <v>0</v>
      </c>
      <c r="AX245" s="3128">
        <f>0</f>
        <v>0</v>
      </c>
      <c r="AY245" s="3128">
        <f>0</f>
        <v>0</v>
      </c>
      <c r="AZ245" s="3128">
        <f>0</f>
        <v>0</v>
      </c>
      <c r="BA245" s="3128">
        <f>0</f>
        <v>0</v>
      </c>
      <c r="BB245" s="3128">
        <f>0</f>
        <v>0</v>
      </c>
      <c r="BC245" s="3128">
        <f>0</f>
        <v>0</v>
      </c>
      <c r="BD245" s="3128">
        <f>0</f>
        <v>0</v>
      </c>
      <c r="BE245" s="3155">
        <f>0</f>
        <v>0</v>
      </c>
      <c r="BF245" s="3199">
        <f>0</f>
        <v>0</v>
      </c>
      <c r="BG245" s="3199">
        <f>1</f>
        <v>1</v>
      </c>
      <c r="BH245" s="3167">
        <f>0</f>
        <v>0</v>
      </c>
      <c r="BI245" s="3167">
        <f>0</f>
        <v>0</v>
      </c>
      <c r="BJ245" s="3199">
        <f>-1</f>
        <v>-1</v>
      </c>
      <c r="BK245" s="3167">
        <f>0</f>
        <v>0</v>
      </c>
      <c r="BL245" s="3167">
        <f>0</f>
        <v>0</v>
      </c>
      <c r="BM245" s="3128">
        <f>0</f>
        <v>0</v>
      </c>
      <c r="BN245" s="3128">
        <f>0</f>
        <v>0</v>
      </c>
      <c r="BO245" s="3155">
        <f>0</f>
        <v>0</v>
      </c>
      <c r="BP245" s="3155">
        <f>0</f>
        <v>0</v>
      </c>
      <c r="BQ245" s="3128">
        <f>0</f>
        <v>0</v>
      </c>
      <c r="BR245" s="3155">
        <f>0</f>
        <v>0</v>
      </c>
      <c r="BS245" s="3155">
        <f>0</f>
        <v>0</v>
      </c>
      <c r="BT245" s="3155">
        <f>0</f>
        <v>0</v>
      </c>
      <c r="BU245" s="3155">
        <f>0</f>
        <v>0</v>
      </c>
      <c r="BV245" s="3155">
        <f>0</f>
        <v>0</v>
      </c>
      <c r="BW245" s="3155">
        <f>0</f>
        <v>0</v>
      </c>
      <c r="BX245" s="3155">
        <f>0</f>
        <v>0</v>
      </c>
      <c r="BY245" s="3155">
        <f>0</f>
        <v>0</v>
      </c>
      <c r="BZ245" s="3207">
        <f>0</f>
        <v>0</v>
      </c>
      <c r="CA245" s="3207">
        <f>0</f>
        <v>0</v>
      </c>
      <c r="CB245" s="3207">
        <f>0</f>
        <v>0</v>
      </c>
      <c r="CC245" s="3207">
        <f>0</f>
        <v>0</v>
      </c>
      <c r="CD245" s="3155">
        <f>0</f>
        <v>0</v>
      </c>
      <c r="CE245" s="3155">
        <f>0</f>
        <v>0</v>
      </c>
      <c r="CF245" s="3155">
        <f>0</f>
        <v>0</v>
      </c>
      <c r="CG245" s="3155">
        <f>0</f>
        <v>0</v>
      </c>
      <c r="CH245" s="3155">
        <f>0</f>
        <v>0</v>
      </c>
      <c r="CI245" s="3155">
        <f>0</f>
        <v>0</v>
      </c>
      <c r="CJ245" s="3155">
        <f>0</f>
        <v>0</v>
      </c>
      <c r="CK245" s="3155">
        <f>0</f>
        <v>0</v>
      </c>
      <c r="CL245" s="3155">
        <f>0</f>
        <v>0</v>
      </c>
      <c r="CM245" s="3155">
        <f>0</f>
        <v>0</v>
      </c>
      <c r="CN245" s="3155">
        <f>0</f>
        <v>0</v>
      </c>
      <c r="CO245" s="3155">
        <f>0</f>
        <v>0</v>
      </c>
      <c r="CP245" s="3155">
        <f>0</f>
        <v>0</v>
      </c>
      <c r="CQ245" s="3155">
        <f>0</f>
        <v>0</v>
      </c>
      <c r="CR245" s="3155">
        <f>0</f>
        <v>0</v>
      </c>
      <c r="CS245" s="3155">
        <f>0</f>
        <v>0</v>
      </c>
      <c r="CT245" s="3155">
        <f>0</f>
        <v>0</v>
      </c>
      <c r="CU245" s="3155">
        <f>0</f>
        <v>0</v>
      </c>
      <c r="CV245" s="3234">
        <f>q_HFOL_DESORP*X_HFO_L_P*M_inhSPO4_KiP_HFO_DESORP</f>
        <v>1.6666666666666666E-50</v>
      </c>
      <c r="CX245" s="2838">
        <f>E287*E245+F287*F245+G287*G245+H287*H245+I287*I245+J287*J245+K287*K245+L287*L245+M287*M245+N287*N245+O287*O245+P287*P245+Q287*Q245+R287*R245+S287*S245+T287*T245+U287*U245+V287*V245+W287*W245+X287*X245+Y287*Y245+Z287*Z245+AA287*AA245+AB287*AB245+AC287*AC245+AD287*AD245+AE287*AE245+AF287*AF245+AG287*AG245+AH287*AH245+AI287*AI245+AJ287*AJ245+AK287*AK245+AL287*AL245+AM287*AM245+AN287*AN245+AO287*AO245+AP287*AP245+AQ287*AQ245+AR287*AR245+AS287*AS245+AT287*AT245+AU287*AU245+AV287*AV245+AW287*AW245+AX287*AX245+AY287*AY245+AZ287*AZ245+BA287*BA245+BB287*BB245+BC287*BC245+BD287*BD245+BE287*BE245+BF287*BF245+BG287*BG245+BH287*BH245+BI287*BI245+BJ287*BJ245+BK287*BK245+BL287*BL245+BM287*BM245+BN287*BN245+BO287*BO245+BP287*BP245+BQ287*BQ245+BR287*BR245+BS287*BS245+BT287*BT245+BU287*BU245+BV287*BV245+BW287*BW245+BX287*BX245+BY287*BY245+BZ287*BZ245+CA287*CA245+CB287*CB245+CC287*CC245+CD287*CD245+CE287*CE245+CF287*CF245+CG287*CG245+CH287*CH245+CI287*CI245+CJ287*CJ245+CK287*CK245+CL287*CL245+CM287*CM245+CN287*CN245+CO287*CO245+CP287*CP245+CQ287*CQ245+CR287*CR245+CS287*CS245+CT287*CT245+CU287*CU245</f>
        <v>0</v>
      </c>
      <c r="CY245" s="2838">
        <f>E288*E245+F288*F245+G288*G245+H288*H245+I288*I245+J288*J245+K288*K245+L288*L245+M288*M245+N288*N245+O288*O245+P288*P245+Q288*Q245+R288*R245+S288*S245+T288*T245+U288*U245+V288*V245+W288*W245+X288*X245+Y288*Y245+Z288*Z245+AA288*AA245+AB288*AB245+AC288*AC245+AD288*AD245+AE288*AE245+AF288*AF245+AG288*AG245+AH288*AH245+AI288*AI245+AJ288*AJ245+AK288*AK245+AL288*AL245+AM288*AM245+AN288*AN245+AO288*AO245+AP288*AP245+AQ288*AQ245+AR288*AR245+AS288*AS245+AT288*AT245+AU288*AU245+AV288*AV245+AW288*AW245+AX288*AX245+AY288*AY245+AZ288*AZ245+BA288*BA245+BB288*BB245+BC288*BC245+BD288*BD245+BE288*BE245+BF288*BF245+BG288*BG245+BH288*BH245+BI288*BI245+BJ288*BJ245+BK288*BK245+BL288*BL245+BM288*BM245+BN288*BN245+BO288*BO245+BP288*BP245+BQ288*BQ245+BR288*BR245+BS288*BS245+BT288*BT245+BU288*BU245+BV288*BV245+BW288*BW245+BX288*BX245+BY288*BY245+BZ288*BZ245+CA288*CA245+CB288*CB245+CC288*CC245+CD288*CD245+CE288*CE245+CF288*CF245+CG288*CG245+CH288*CH245+CI288*CI245+CJ288*CJ245+CK288*CK245+CL288*CL245+CM288*CM245+CN288*CN245+CO288*CO245+CP288*CP245+CQ288*CQ245+CR288*CR245+CS288*CS245+CT288*CT245+CU288*CU245</f>
        <v>0</v>
      </c>
      <c r="CZ245" s="2839">
        <f>E289*E245+F289*F245+G289*G245+H289*H245+I289*I245+J289*J245+K289*K245+L289*L245+M289*M245+N289*N245+O289*O245+P289*P245+Q289*Q245+R289*R245+S289*S245+T289*T245+U289*U245+V289*V245+W289*W245+X289*X245+Y289*Y245+Z289*Z245+AA289*AA245+AB289*AB245+AC289*AC245+AD289*AD245+AE289*AE245+AF289*AF245+AG289*AG245+AH289*AH245+AI289*AI245+AJ289*AJ245+AK289*AK245+AL289*AL245+AM289*AM245+AN289*AN245+AO289*AO245+AP289*AP245+AQ289*AQ245+AR289*AR245+AS289*AS245+AT289*AT245+AU289*AU245+AV289*AV245+AW289*AW245+AX289*AX245+AY289*AY245+AZ289*AZ245+BA289*BA245+BB289*BB245+BC289*BC245+BD289*BD245+BE289*BE245+BF289*BF245+BG289*BG245+BH289*BH245+BI289*BI245+BJ289*BJ245+BK289*BK245+BL289*BL245+BM289*BM245+BN289*BN245+BO289*BO245+BP289*BP245+BQ289*BQ245+BR289*BR245+BS289*BS245+BT289*BT245+BU289*BU245+BV289*BV245+BW289*BW245+BX289*BX245+BY289*BY245+BZ289*BZ245+CA289*CA245+CB289*CB245+CC289*CC245+CD289*CD245+CE289*CE245+CF289*CF245+CG289*CG245+CH289*CH245+CI289*CI245+CJ289*CJ245+CK289*CK245+CL289*CL245+CM289*CM245+CN289*CN245+CO289*CO245+CP289*CP245+CQ289*CQ245+CR289*CR245+CS289*CS245+CT289*CT245+CU289*CU245</f>
        <v>0</v>
      </c>
      <c r="DA245" s="2840">
        <f>E290*E245+F290*F245+G290*G245+H290*H245+I290*I245+J290*J245+K290*K245+L290*L245+M290*M245+N290*N245+O290*O245+P290*P245+Q290*Q245+R290*R245+S290*S245+T290*T245+U290*U245+V290*V245+W290*W245+X290*X245+Y290*Y245+Z290*Z245+AA290*AA245+AB290*AB245+AC290*AC245+AD290*AD245+AE290*AE245+AF290*AF245+AG290*AG245+AH290*AH245+AI290*AI245+AJ290*AJ245+AK290*AK245+AL290*AL245+AM290*AM245+AN290*AN245+AO290*AO245+AP290*AP245+AQ290*AQ245+AR290*AR245+AS290*AS245+AT290*AT245+AU290*AU245+AV290*AV245+AW290*AW245+AX290*AX245+AY290*AY245+AZ290*AZ245+BA290*BA245+BB290*BB245+BC290*BC245+BD290*BD245+BE290*BE245+BF290*BF245+BG290*BG245+BH290*BH245+BI290*BI245+BJ290*BJ245+BK290*BK245+BL290*BL245+BM290*BM245+BN290*BN245+BO290*BO245+BP290*BP245+BQ290*BQ245+BR290*BR245+BS290*BS245+BT290*BT245+BU290*BU245+BV290*BV245+BW290*BW245+BX290*BX245+BY290*BY245+BZ290*BZ245+CA290*CA245+CB290*CB245+CC290*CC245+CD290*CD245+CE290*CE245+CF290*CF245+CG290*CG245+CH290*CH245+CI290*CI245+CJ290*CJ245+CK290*CK245+CL290*CL245+CM290*CM245+CN290*CN245+CO290*CO245+CP290*CP245+CQ290*CQ245+CR290*CR245+CS290*CS245+CT290*CT245+CU290*CU245</f>
        <v>0</v>
      </c>
      <c r="DB245" s="2840">
        <f>E291*E245+F291*F245+G291*G245+H291*H245+I291*I245+J291*J245+K291*K245+L291*L245+M291*M245+N291*N245+O291*O245+P291*P245+Q291*Q245+R291*R245+S291*S245+T291*T245+U291*U245+V291*V245+W291*W245+X291*X245+Y291*Y245+Z291*Z245+AA291*AA245+AB291*AB245+AC291*AC245+AD291*AD245+AE291*AE245+AF291*AF245+AG291*AG245+AH291*AH245+AI291*AI245+AJ291*AJ245+AK291*AK245+AL291*AL245+AM291*AM245+AN291*AN245+AO291*AO245+AP291*AP245+AQ291*AQ245+AR291*AR245+AS291*AS245+AT291*AT245+AU291*AU245+AV291*AV245+AW291*AW245+AX291*AX245+AY291*AY245+AZ291*AZ245+BA291*BA245+BB291*BB245+BC291*BC245+BD291*BD245+BE291*BE245+BF291*BF245+BG291*BG245+BH291*BH245+BI291*BI245+BJ291*BJ245+BK291*BK245+BL291*BL245+BM291*BM245+BN291*BN245+BO291*BO245+BP291*BP245+BQ291*BQ245+BR291*BR245+BS291*BS245+BT291*BT245+BU291*BU245+BV291*BV245+BW291*BW245+BX291*BX245+BY291*BY245+BZ291*BZ245+CA291*CA245+CB291*CB245+CC291*CC245+CD291*CD245+CE291*CE245+CF291*CF245+CG291*CG245+CH291*CH245+CI291*CI245+CJ291*CJ245+CK291*CK245+CL291*CL245+CM291*CM245+CN291*CN245+CO291*CO245+CP291*CP245+CQ291*CQ245+CR291*CR245+CS291*CS245+CT291*CT245+CU291*CU245</f>
        <v>0</v>
      </c>
      <c r="DC245" s="2840">
        <f>E292*E245+F292*F245+G292*G245+H292*H245+I292*I245+J292*J245+K292*K245+L292*L245+M292*M245+N292*N245+O292*O245+P292*P245+Q292*Q245+R292*R245+S292*S245+T292*T245+U292*U245+V292*V245+W292*W245+X292*X245+Y292*Y245+Z292*Z245+AA292*AA245+AB292*AB245+AC292*AC245+AD292*AD245+AE292*AE245+AF292*AF245+AG292*AG245+AH292*AH245+AI292*AI245+AJ292*AJ245+AK292*AK245+AL292*AL245+AM292*AM245+AN292*AN245+AO292*AO245+AP292*AP245+AQ292*AQ245+AR292*AR245+AS292*AS245+AT292*AT245+AU292*AU245+AV292*AV245+AW292*AW245+AX292*AX245+AY292*AY245+AZ292*AZ245+BA292*BA245+BB292*BB245+BC292*BC245+BD292*BD245+BE292*BE245+BF292*BF245+BG292*BG245+BH292*BH245+BI292*BI245+BJ292*BJ245+BK292*BK245+BL292*BL245+BM292*BM245+BN292*BN245+BO292*BO245+BP292*BP245+BQ292*BQ245+BR292*BR245+BS292*BS245+BT292*BT245+BU292*BU245+BV292*BV245+BW292*BW245+BX292*BX245+BY292*BY245+BZ292*BZ245+CA292*CA245+CB292*CB245+CC292*CC245+CD292*CD245+CE292*CE245+CF292*CF245+CG292*CG245+CH292*CH245+CI292*CI245+CJ292*CJ245+CK292*CK245+CL292*CL245+CM292*CM245+CN292*CN245+CO292*CO245+CP292*CP245+CQ292*CQ245+CR292*CR245+CS292*CS245+CT292*CT245+CU292*CU245</f>
        <v>0</v>
      </c>
      <c r="DD245" s="2840">
        <f>E293*E245+F293*F245+G293*G245+H293*H245+I293*I245+J293*J245+K293*K245+L293*L245+M293*M245+N293*N245+O293*O245+P293*P245+Q293*Q245+R293*R245+S293*S245+T293*T245+U293*U245+V293*V245+W293*W245+X293*X245+Y293*Y245+Z293*Z245+AA293*AA245+AB293*AB245+AC293*AC245+AD293*AD245+AE293*AE245+AF293*AF245+AG293*AG245+AH293*AH245+AI293*AI245+AJ293*AJ245+AK293*AK245+AL293*AL245+AM293*AM245+AN293*AN245+AO293*AO245+AP293*AP245+AQ293*AQ245+AR293*AR245+AS293*AS245+AT293*AT245+AU293*AU245+AV293*AV245+AW293*AW245+AX293*AX245+AY293*AY245+AZ293*AZ245+BA293*BA245+BB293*BB245+BC293*BC245+BD293*BD245+BE293*BE245+BF293*BF245+BG293*BG245+BH293*BH245+BI293*BI245+BJ293*BJ245+BK293*BK245+BL293*BL245+BM293*BM245+BN293*BN245+BO293*BO245+BP293*BP245+BQ293*BQ245+BR293*BR245+BS293*BS245+BT293*BT245+BU293*BU245+BV293*BV245+BW293*BW245+BX293*BX245+BY293*BY245+BZ293*BZ245+CA293*CA245+CB293*CB245+CC293*CC245+CD293*CD245+CE293*CE245+CF293*CF245+CG293*CG245+CH293*CH245+CI293*CI245+CJ293*CJ245+CK293*CK245+CL293*CL245+CM293*CM245+CN293*CN245+CO293*CO245+CP293*CP245+CQ293*CQ245+CR293*CR245+CS293*CS245+CT293*CT245+CU293*CU245</f>
        <v>0</v>
      </c>
      <c r="DE245" s="2840">
        <f>E294*E245+F294*F245+G294*G245+H294*H245+I294*I245+J294*J245+K294*K245+L294*L245+M294*M245+N294*N245+O294*O245+P294*P245+Q294*Q245+R294*R245+S294*S245+T294*T245+U294*U245+V294*V245+W294*W245+X294*X245+Y294*Y245+Z294*Z245+AA294*AA245+AB294*AB245+AC294*AC245+AD294*AD245+AE294*AE245+AF294*AF245+AG294*AG245+AH294*AH245+AI294*AI245+AJ294*AJ245+AK294*AK245+AL294*AL245+AM294*AM245+AN294*AN245+AO294*AO245+AP294*AP245+AQ294*AQ245+AR294*AR245+AS294*AS245+AT294*AT245+AU294*AU245+AV294*AV245+AW294*AW245+AX294*AX245+AY294*AY245+AZ294*AZ245+BA294*BA245+BB294*BB245+BC294*BC245+BD294*BD245+BE294*BE245+BF294*BF245+BG294*BG245+BH294*BH245+BI294*BI245+BJ294*BJ245+BK294*BK245+BL294*BL245+BM294*BM245+BN294*BN245+BO294*BO245+BP294*BP245+BQ294*BQ245+BR294*BR245+BS294*BS245+BT294*BT245+BU294*BU245+BV294*BV245+BW294*BW245+BX294*BX245+BY294*BY245+BZ294*BZ245+CA294*CA245+CB294*CB245+CC294*CC245+CD294*CD245+CE294*CE245+CF294*CF245+CG294*CG245+CH294*CH245+CI294*CI245+CJ294*CJ245+CK294*CK245+CL294*CL245+CM294*CM245+CN294*CN245+CO294*CO245+CP294*CP245+CQ294*CQ245+CR294*CR245+CS294*CS245+CT294*CT245+CU294*CU245</f>
        <v>0</v>
      </c>
      <c r="DF245" s="2840">
        <f>E295*E245+F295*F245+G295*G245+H295*H245+I295*I245+J295*J245+K295*K245+L295*L245+M295*M245+N295*N245+O295*O245+P295*P245+Q295*Q245+R295*R245+S295*S245+T295*T245+U295*U245+V295*V245+W295*W245+X295*X245+Y295*Y245+Z295*Z245+AA295*AA245+AB295*AB245+AC295*AC245+AD295*AD245+AE295*AE245+AF295*AF245+AG295*AG245+AH295*AH245+AI295*AI245+AJ295*AJ245+AK295*AK245+AL295*AL245+AM295*AM245+AN295*AN245+AO295*AO245+AP295*AP245+AQ295*AQ245+AR295*AR245+AS295*AS245+AT295*AT245+AU295*AU245+AV295*AV245+AW295*AW245+AX295*AX245+AY295*AY245+AZ295*AZ245+BA295*BA245+BB295*BB245+BC295*BC245+BD295*BD245+BE295*BE245+BF295*BF245+BG295*BG245+BH295*BH245+BI295*BI245+BJ295*BJ245+BK295*BK245+BL295*BL245+BM295*BM245+BN295*BN245+BO295*BO245+BP295*BP245+BQ295*BQ245+BR295*BR245+BS295*BS245+BT295*BT245+BU295*BU245+BV295*BV245+BW295*BW245+BX295*BX245+BY295*BY245+BZ295*BZ245+CA295*CA245+CB295*CB245+CC295*CC245+CD295*CD245+CE295*CE245+CF295*CF245+CG295*CG245+CH295*CH245+CI295*CI245+CJ295*CJ245+CK295*CK245+CL295*CL245+CM295*CM245+CN295*CN245+CO295*CO245+CP295*CP245+CQ295*CQ245+CR295*CR245+CS295*CS245+CT295*CT245+CU295*CU245</f>
        <v>0</v>
      </c>
      <c r="DG245" s="2840">
        <f>E296*E245+F296*F245+G296*G245+H296*H245+I296*I245+J296*J245+K296*K245+L296*L245+M296*M245+N296*N245+O296*O245+P296*P245+Q296*Q245+R296*R245+S296*S245+T296*T245+U296*U245+V296*V245+W296*W245+X296*X245+Y296*Y245+Z296*Z245+AA296*AA245+AB296*AB245+AC296*AC245+AD296*AD245+AE296*AE245+AF296*AF245+AG296*AG245+AH296*AH245+AI296*AI245+AJ296*AJ245+AK296*AK245+AL296*AL245+AM296*AM245+AN296*AN245+AO296*AO245+AP296*AP245+AQ296*AQ245+AR296*AR245+AS296*AS245+AT296*AT245+AU296*AU245+AV296*AV245+AW296*AW245+AX296*AX245+AY296*AY245+AZ296*AZ245+BA296*BA245+BB296*BB245+BC296*BC245+BD296*BD245+BE296*BE245+BF296*BF245+BG296*BG245+BH296*BH245+BI296*BI245+BJ296*BJ245+BK296*BK245+BL296*BL245+BM296*BM245+BN296*BN245+BO296*BO245+BP296*BP245+BQ296*BQ245+BR296*BR245+BS296*BS245+BT296*BT245+BU296*BU245+BV296*BV245+BW296*BW245+BX296*BX245+BY296*BY245+BZ296*BZ245+CA296*CA245+CB296*CB245+CC296*CC245+CD296*CD245+CE296*CE245+CF296*CF245+CG296*CG245+CH296*CH245+CI296*CI245+CJ296*CJ245+CK296*CK245+CL296*CL245+CM296*CM245+CN296*CN245+CO296*CO245+CP296*CP245+CQ296*CQ245+CR296*CR245+CS296*CS245+CT296*CT245+CU296*CU245</f>
        <v>0</v>
      </c>
      <c r="DH245" s="2840">
        <f>E297*E245+F297*F245+G297*G245+H297*H245+I297*I245+J297*J245+K297*K245+L297*L245+M297*M245+N297*N245+O297*O245+P297*P245+Q297*Q245+R297*R245+S297*S245+T297*T245+U297*U245+V297*V245+W297*W245+X297*X245+Y297*Y245+Z297*Z245+AA297*AA245+AB297*AB245+AC297*AC245+AD297*AD245+AE297*AE245+AF297*AF245+AG297*AG245+AH297*AH245+AI297*AI245+AJ297*AJ245+AK297*AK245+AL297*AL245+AM297*AM245+AN297*AN245+AO297*AO245+AP297*AP245+AQ297*AQ245+AR297*AR245+AS297*AS245+AT297*AT245+AU297*AU245+AV297*AV245+AW297*AW245+AX297*AX245+AY297*AY245+AZ297*AZ245+BA297*BA245+BB297*BB245+BC297*BC245+BD297*BD245+BE297*BE245+BF297*BF245+BG297*BG245+BH297*BH245+BI297*BI245+BJ297*BJ245+BK297*BK245+BL297*BL245+BM297*BM245+BN297*BN245+BO297*BO245+BP297*BP245+BQ297*BQ245+BR297*BR245+BS297*BS245+BT297*BT245+BU297*BU245+BV297*BV245+BW297*BW245+BX297*BX245+BY297*BY245+BZ297*BZ245+CA297*CA245+CB297*CB245+CC297*CC245+CD297*CD245+CE297*CE245+CF297*CF245+CG297*CG245+CH297*CH245+CI297*CI245+CJ297*CJ245+CK297*CK245+CL297*CL245+CM297*CM245+CN297*CN245+CO297*CO245+CP297*CP245+CQ297*CQ245+CR297*CR245+CS297*CS245+CT297*CT245+CU297*CU245</f>
        <v>0</v>
      </c>
      <c r="DI245" s="2840">
        <f>E298*E245+F298*F245+G298*G245+H298*H245+I298*I245+J298*J245+K298*K245+L298*L245+M298*M245+N298*N245+O298*O245+P298*P245+Q298*Q245+R298*R245+S298*S245+T298*T245+U298*U245+V298*V245+W298*W245+X298*X245+Y298*Y245+Z298*Z245+AA298*AA245+AB298*AB245+AC298*AC245+AD298*AD245+AE298*AE245+AF298*AF245+AG298*AG245+AH298*AH245+AI298*AI245+AJ298*AJ245+AK298*AK245+AL298*AL245+AM298*AM245+AN298*AN245+AO298*AO245+AP298*AP245+AQ298*AQ245+AR298*AR245+AS298*AS245+AT298*AT245+AU298*AU245+AV298*AV245+AW298*AW245+AX298*AX245+AY298*AY245+AZ298*AZ245+BA298*BA245+BB298*BB245+BC298*BC245+BD298*BD245+BE298*BE245+BF298*BF245+BG298*BG245+BH298*BH245+BI298*BI245+BJ298*BJ245+BK298*BK245+BL298*BL245+BM298*BM245+BN298*BN245+BO298*BO245+BP298*BP245+BQ298*BQ245+BR298*BR245+BS298*BS245+BT298*BT245+BU298*BU245+BV298*BV245+BW298*BW245+BX298*BX245+BY298*BY245+BZ298*BZ245+CA298*CA245+CB298*CB245+CC298*CC245+CD298*CD245+CE298*CE245+CF298*CF245+CG298*CG245+CH298*CH245+CI298*CI245+CJ298*CJ245+CK298*CK245+CL298*CL245+CM298*CM245+CN298*CN245+CO298*CO245+CP298*CP245+CQ298*CQ245+CR298*CR245+CS298*CS245+CT298*CT245+CU298*CU245</f>
        <v>0</v>
      </c>
    </row>
    <row r="246" spans="2:113" ht="18" x14ac:dyDescent="0.25">
      <c r="B246" s="2512">
        <v>93</v>
      </c>
      <c r="C246" s="2449" t="s">
        <v>3308</v>
      </c>
      <c r="D246" s="2450" t="s">
        <v>3892</v>
      </c>
      <c r="E246" s="3128">
        <f>0</f>
        <v>0</v>
      </c>
      <c r="F246" s="3128">
        <f>0</f>
        <v>0</v>
      </c>
      <c r="G246" s="3128">
        <f>0</f>
        <v>0</v>
      </c>
      <c r="H246" s="3128">
        <f>0</f>
        <v>0</v>
      </c>
      <c r="I246" s="3128">
        <f>0</f>
        <v>0</v>
      </c>
      <c r="J246" s="3142">
        <f>0</f>
        <v>0</v>
      </c>
      <c r="K246" s="3128">
        <f>0</f>
        <v>0</v>
      </c>
      <c r="L246" s="3128">
        <f>0</f>
        <v>0</v>
      </c>
      <c r="M246" s="3128">
        <f>0</f>
        <v>0</v>
      </c>
      <c r="N246" s="3128">
        <f>0</f>
        <v>0</v>
      </c>
      <c r="O246" s="3128">
        <f>0</f>
        <v>0</v>
      </c>
      <c r="P246" s="3128">
        <f>0</f>
        <v>0</v>
      </c>
      <c r="Q246" s="3128">
        <f>0</f>
        <v>0</v>
      </c>
      <c r="R246" s="3155">
        <f>0</f>
        <v>0</v>
      </c>
      <c r="S246" s="3128">
        <f>0</f>
        <v>0</v>
      </c>
      <c r="T246" s="3128">
        <f>0</f>
        <v>0</v>
      </c>
      <c r="U246" s="3128">
        <f>0</f>
        <v>0</v>
      </c>
      <c r="V246" s="3128">
        <f>0</f>
        <v>0</v>
      </c>
      <c r="W246" s="3128">
        <f>0</f>
        <v>0</v>
      </c>
      <c r="X246" s="3128">
        <f>0</f>
        <v>0</v>
      </c>
      <c r="Y246" s="3128">
        <f>0</f>
        <v>0</v>
      </c>
      <c r="Z246" s="3128">
        <f>0</f>
        <v>0</v>
      </c>
      <c r="AA246" s="3128">
        <f>0</f>
        <v>0</v>
      </c>
      <c r="AB246" s="3128">
        <f>0</f>
        <v>0</v>
      </c>
      <c r="AC246" s="3128">
        <f>0</f>
        <v>0</v>
      </c>
      <c r="AD246" s="3128">
        <f>0</f>
        <v>0</v>
      </c>
      <c r="AE246" s="3128">
        <f>0</f>
        <v>0</v>
      </c>
      <c r="AF246" s="3128">
        <f>0</f>
        <v>0</v>
      </c>
      <c r="AG246" s="3128">
        <f>0</f>
        <v>0</v>
      </c>
      <c r="AH246" s="3128">
        <f>0</f>
        <v>0</v>
      </c>
      <c r="AI246" s="3128">
        <f>0</f>
        <v>0</v>
      </c>
      <c r="AJ246" s="3142">
        <f>0</f>
        <v>0</v>
      </c>
      <c r="AK246" s="3128">
        <f>0</f>
        <v>0</v>
      </c>
      <c r="AL246" s="3167">
        <f>(A_SFHFO_H*(A_MP/A_MFe))*X_HFO_H_P_old/(X_HFO_H_P_old+X_HFO_L_P_old)+(A_SFHFO_L*(A_MP/A_MFe))*X_HFO_L_P_old/(X_HFO_H_P_old+X_HFO_L_P_old)</f>
        <v>0.38824663873220522</v>
      </c>
      <c r="AM246" s="3128">
        <f>0</f>
        <v>0</v>
      </c>
      <c r="AN246" s="3128">
        <f>0</f>
        <v>0</v>
      </c>
      <c r="AO246" s="3128">
        <f>0</f>
        <v>0</v>
      </c>
      <c r="AP246" s="3142">
        <f>0</f>
        <v>0</v>
      </c>
      <c r="AQ246" s="3128">
        <f>0</f>
        <v>0</v>
      </c>
      <c r="AR246" s="3128">
        <f>0</f>
        <v>0</v>
      </c>
      <c r="AS246" s="3128">
        <f>0</f>
        <v>0</v>
      </c>
      <c r="AT246" s="3128">
        <f>0</f>
        <v>0</v>
      </c>
      <c r="AU246" s="3128">
        <f>0</f>
        <v>0</v>
      </c>
      <c r="AV246" s="3128">
        <f>0</f>
        <v>0</v>
      </c>
      <c r="AW246" s="3128">
        <f>0</f>
        <v>0</v>
      </c>
      <c r="AX246" s="3128">
        <f>0</f>
        <v>0</v>
      </c>
      <c r="AY246" s="3128">
        <f>0</f>
        <v>0</v>
      </c>
      <c r="AZ246" s="3128">
        <f>0</f>
        <v>0</v>
      </c>
      <c r="BA246" s="3128">
        <f>0</f>
        <v>0</v>
      </c>
      <c r="BB246" s="3128">
        <f>0</f>
        <v>0</v>
      </c>
      <c r="BC246" s="3128">
        <f>0</f>
        <v>0</v>
      </c>
      <c r="BD246" s="3128">
        <f>0</f>
        <v>0</v>
      </c>
      <c r="BE246" s="3155">
        <f>0</f>
        <v>0</v>
      </c>
      <c r="BF246" s="3199">
        <f>0</f>
        <v>0</v>
      </c>
      <c r="BG246" s="3199">
        <f>0</f>
        <v>0</v>
      </c>
      <c r="BH246" s="3167">
        <f>1</f>
        <v>1</v>
      </c>
      <c r="BI246" s="3167">
        <f>0</f>
        <v>0</v>
      </c>
      <c r="BJ246" s="3199">
        <f>0</f>
        <v>0</v>
      </c>
      <c r="BK246" s="3198">
        <f>-X_HFO_H_P_old/(X_HFO_H_P_old+X_HFO_L_P_old)</f>
        <v>-0.5</v>
      </c>
      <c r="BL246" s="3198">
        <f>-X_HFO_L_P_old/(X_HFO_H_P_old+X_HFO_L_P_old)</f>
        <v>-0.5</v>
      </c>
      <c r="BM246" s="3199">
        <f>0</f>
        <v>0</v>
      </c>
      <c r="BN246" s="3199">
        <f>0</f>
        <v>0</v>
      </c>
      <c r="BO246" s="3167">
        <f>0</f>
        <v>0</v>
      </c>
      <c r="BP246" s="3167">
        <f>0</f>
        <v>0</v>
      </c>
      <c r="BQ246" s="3199">
        <f>0</f>
        <v>0</v>
      </c>
      <c r="BR246" s="3198">
        <f>0</f>
        <v>0</v>
      </c>
      <c r="BS246" s="3198">
        <f>0</f>
        <v>0</v>
      </c>
      <c r="BT246" s="3155">
        <f>0</f>
        <v>0</v>
      </c>
      <c r="BU246" s="3155">
        <f>0</f>
        <v>0</v>
      </c>
      <c r="BV246" s="3155">
        <f>0</f>
        <v>0</v>
      </c>
      <c r="BW246" s="3155">
        <f>0</f>
        <v>0</v>
      </c>
      <c r="BX246" s="3155">
        <f>0</f>
        <v>0</v>
      </c>
      <c r="BY246" s="3155">
        <f>0</f>
        <v>0</v>
      </c>
      <c r="BZ246" s="3207">
        <f>0</f>
        <v>0</v>
      </c>
      <c r="CA246" s="3207">
        <f>0</f>
        <v>0</v>
      </c>
      <c r="CB246" s="3207">
        <f>0</f>
        <v>0</v>
      </c>
      <c r="CC246" s="3207">
        <f>0</f>
        <v>0</v>
      </c>
      <c r="CD246" s="3155">
        <f>0</f>
        <v>0</v>
      </c>
      <c r="CE246" s="3155">
        <f>0</f>
        <v>0</v>
      </c>
      <c r="CF246" s="3155">
        <f>0</f>
        <v>0</v>
      </c>
      <c r="CG246" s="3155">
        <f>0</f>
        <v>0</v>
      </c>
      <c r="CH246" s="3155">
        <f>0</f>
        <v>0</v>
      </c>
      <c r="CI246" s="3155">
        <f>0</f>
        <v>0</v>
      </c>
      <c r="CJ246" s="3155">
        <f>0</f>
        <v>0</v>
      </c>
      <c r="CK246" s="3155">
        <f>0</f>
        <v>0</v>
      </c>
      <c r="CL246" s="3155">
        <f>0</f>
        <v>0</v>
      </c>
      <c r="CM246" s="3155">
        <f>0</f>
        <v>0</v>
      </c>
      <c r="CN246" s="3155">
        <f>0</f>
        <v>0</v>
      </c>
      <c r="CO246" s="3155">
        <f>0</f>
        <v>0</v>
      </c>
      <c r="CP246" s="3155">
        <f>0</f>
        <v>0</v>
      </c>
      <c r="CQ246" s="3155">
        <f>0</f>
        <v>0</v>
      </c>
      <c r="CR246" s="3155">
        <f>0</f>
        <v>0</v>
      </c>
      <c r="CS246" s="3155">
        <f>0</f>
        <v>0</v>
      </c>
      <c r="CT246" s="3155">
        <f>0</f>
        <v>0</v>
      </c>
      <c r="CU246" s="3155">
        <f>0</f>
        <v>0</v>
      </c>
      <c r="CV246" s="3234">
        <f>q_HFO_DISS*(X_HFO_H_P_old+X_HFO_L_P_old)*L_oginhSPO4_KiP_HFO_DISS</f>
        <v>0</v>
      </c>
      <c r="CX246" s="2838">
        <f>E287*E246+F287*F246+G287*G246+H287*H246+I287*I246+J287*J246+K287*K246+L287*L246+M287*M246+N287*N246+O287*O246+P287*P246+Q287*Q246+R287*R246+S287*S246+T287*T246+U287*U246+V287*V246+W287*W246+X287*X246+Y287*Y246+Z287*Z246+AA287*AA246+AB287*AB246+AC287*AC246+AD287*AD246+AE287*AE246+AF287*AF246+AG287*AG246+AH287*AH246+AI287*AI246+AJ287*AJ246+AK287*AK246+AL287*AL246+AM287*AM246+AN287*AN246+AO287*AO246+AP287*AP246+AQ287*AQ246+AR287*AR246+AS287*AS246+AT287*AT246+AU287*AU246+AV287*AV246+AW287*AW246+AX287*AX246+AY287*AY246+AZ287*AZ246+BA287*BA246+BB287*BB246+BC287*BC246+BD287*BD246+BE287*BE246+BF287*BF246+BG287*BG246+BH287*BH246+BI287*BI246+BJ287*BJ246+BK287*BK246+BL287*BL246+BM287*BM246+BN287*BN246+BO287*BO246+BP287*BP246+BQ287*BQ246+BR287*BR246+BS287*BS246+BT287*BT246+BU287*BU246+BV287*BV246+BW287*BW246+BX287*BX246+BY287*BY246+BZ287*BZ246+CA287*CA246+CB287*CB246+CC287*CC246+CD287*CD246+CE287*CE246+CF287*CF246+CG287*CG246+CH287*CH246+CI287*CI246+CJ287*CJ246+CK287*CK246+CL287*CL246+CM287*CM246+CN287*CN246+CO287*CO246+CP287*CP246+CQ287*CQ246+CR287*CR246+CS287*CS246+CT287*CT246+CU287*CU246</f>
        <v>0</v>
      </c>
      <c r="CY246" s="2838">
        <f>E288*E246+F288*F246+G288*G246+H288*H246+I288*I246+J288*J246+K288*K246+L288*L246+M288*M246+N288*N246+O288*O246+P288*P246+Q288*Q246+R288*R246+S288*S246+T288*T246+U288*U246+V288*V246+W288*W246+X288*X246+Y288*Y246+Z288*Z246+AA288*AA246+AB288*AB246+AC288*AC246+AD288*AD246+AE288*AE246+AF288*AF246+AG288*AG246+AH288*AH246+AI288*AI246+AJ288*AJ246+AK288*AK246+AL288*AL246+AM288*AM246+AN288*AN246+AO288*AO246+AP288*AP246+AQ288*AQ246+AR288*AR246+AS288*AS246+AT288*AT246+AU288*AU246+AV288*AV246+AW288*AW246+AX288*AX246+AY288*AY246+AZ288*AZ246+BA288*BA246+BB288*BB246+BC288*BC246+BD288*BD246+BE288*BE246+BF288*BF246+BG288*BG246+BH288*BH246+BI288*BI246+BJ288*BJ246+BK288*BK246+BL288*BL246+BM288*BM246+BN288*BN246+BO288*BO246+BP288*BP246+BQ288*BQ246+BR288*BR246+BS288*BS246+BT288*BT246+BU288*BU246+BV288*BV246+BW288*BW246+BX288*BX246+BY288*BY246+BZ288*BZ246+CA288*CA246+CB288*CB246+CC288*CC246+CD288*CD246+CE288*CE246+CF288*CF246+CG288*CG246+CH288*CH246+CI288*CI246+CJ288*CJ246+CK288*CK246+CL288*CL246+CM288*CM246+CN288*CN246+CO288*CO246+CP288*CP246+CQ288*CQ246+CR288*CR246+CS288*CS246+CT288*CT246+CU288*CU246</f>
        <v>0</v>
      </c>
      <c r="CZ246" s="2839">
        <f>E289*E246+F289*F246+G289*G246+H289*H246+I289*I246+J289*J246+K289*K246+L289*L246+M289*M246+N289*N246+O289*O246+P289*P246+Q289*Q246+R289*R246+S289*S246+T289*T246+U289*U246+V289*V246+W289*W246+X289*X246+Y289*Y246+Z289*Z246+AA289*AA246+AB289*AB246+AC289*AC246+AD289*AD246+AE289*AE246+AF289*AF246+AG289*AG246+AH289*AH246+AI289*AI246+AJ289*AJ246+AK289*AK246+AL289*AL246+AM289*AM246+AN289*AN246+AO289*AO246+AP289*AP246+AQ289*AQ246+AR289*AR246+AS289*AS246+AT289*AT246+AU289*AU246+AV289*AV246+AW289*AW246+AX289*AX246+AY289*AY246+AZ289*AZ246+BA289*BA246+BB289*BB246+BC289*BC246+BD289*BD246+BE289*BE246+BF289*BF246+BG289*BG246+BH289*BH246+BI289*BI246+BJ289*BJ246+BK289*BK246+BL289*BL246+BM289*BM246+BN289*BN246+BO289*BO246+BP289*BP246+BQ289*BQ246+BR289*BR246+BS289*BS246+BT289*BT246+BU289*BU246+BV289*BV246+BW289*BW246+BX289*BX246+BY289*BY246+BZ289*BZ246+CA289*CA246+CB289*CB246+CC289*CC246+CD289*CD246+CE289*CE246+CF289*CF246+CG289*CG246+CH289*CH246+CI289*CI246+CJ289*CJ246+CK289*CK246+CL289*CL246+CM289*CM246+CN289*CN246+CO289*CO246+CP289*CP246+CQ289*CQ246+CR289*CR246+CS289*CS246+CT289*CT246+CU289*CU246</f>
        <v>0</v>
      </c>
      <c r="DA246" s="2840">
        <f>E290*E246+F290*F246+G290*G246+H290*H246+I290*I246+J290*J246+K290*K246+L290*L246+M290*M246+N290*N246+O290*O246+P290*P246+Q290*Q246+R290*R246+S290*S246+T290*T246+U290*U246+V290*V246+W290*W246+X290*X246+Y290*Y246+Z290*Z246+AA290*AA246+AB290*AB246+AC290*AC246+AD290*AD246+AE290*AE246+AF290*AF246+AG290*AG246+AH290*AH246+AI290*AI246+AJ290*AJ246+AK290*AK246+AL290*AL246+AM290*AM246+AN290*AN246+AO290*AO246+AP290*AP246+AQ290*AQ246+AR290*AR246+AS290*AS246+AT290*AT246+AU290*AU246+AV290*AV246+AW290*AW246+AX290*AX246+AY290*AY246+AZ290*AZ246+BA290*BA246+BB290*BB246+BC290*BC246+BD290*BD246+BE290*BE246+BF290*BF246+BG290*BG246+BH290*BH246+BI290*BI246+BJ290*BJ246+BK290*BK246+BL290*BL246+BM290*BM246+BN290*BN246+BO290*BO246+BP290*BP246+BQ290*BQ246+BR290*BR246+BS290*BS246+BT290*BT246+BU290*BU246+BV290*BV246+BW290*BW246+BX290*BX246+BY290*BY246+BZ290*BZ246+CA290*CA246+CB290*CB246+CC290*CC246+CD290*CD246+CE290*CE246+CF290*CF246+CG290*CG246+CH290*CH246+CI290*CI246+CJ290*CJ246+CK290*CK246+CL290*CL246+CM290*CM246+CN290*CN246+CO290*CO246+CP290*CP246+CQ290*CQ246+CR290*CR246+CS290*CS246+CT290*CT246+CU290*CU246</f>
        <v>2.7755575615628914E-17</v>
      </c>
      <c r="DB246" s="2840">
        <f>E291*E246+F291*F246+G291*G246+H291*H246+I291*I246+J291*J246+K291*K246+L291*L246+M291*M246+N291*N246+O291*O246+P291*P246+Q291*Q246+R291*R246+S291*S246+T291*T246+U291*U246+V291*V246+W291*W246+X291*X246+Y291*Y246+Z291*Z246+AA291*AA246+AB291*AB246+AC291*AC246+AD291*AD246+AE291*AE246+AF291*AF246+AG291*AG246+AH291*AH246+AI291*AI246+AJ291*AJ246+AK291*AK246+AL291*AL246+AM291*AM246+AN291*AN246+AO291*AO246+AP291*AP246+AQ291*AQ246+AR291*AR246+AS291*AS246+AT291*AT246+AU291*AU246+AV291*AV246+AW291*AW246+AX291*AX246+AY291*AY246+AZ291*AZ246+BA291*BA246+BB291*BB246+BC291*BC246+BD291*BD246+BE291*BE246+BF291*BF246+BG291*BG246+BH291*BH246+BI291*BI246+BJ291*BJ246+BK291*BK246+BL291*BL246+BM291*BM246+BN291*BN246+BO291*BO246+BP291*BP246+BQ291*BQ246+BR291*BR246+BS291*BS246+BT291*BT246+BU291*BU246+BV291*BV246+BW291*BW246+BX291*BX246+BY291*BY246+BZ291*BZ246+CA291*CA246+CB291*CB246+CC291*CC246+CD291*CD246+CE291*CE246+CF291*CF246+CG291*CG246+CH291*CH246+CI291*CI246+CJ291*CJ246+CK291*CK246+CL291*CL246+CM291*CM246+CN291*CN246+CO291*CO246+CP291*CP246+CQ291*CQ246+CR291*CR246+CS291*CS246+CT291*CT246+CU291*CU246</f>
        <v>0</v>
      </c>
      <c r="DC246" s="2840">
        <f>E292*E246+F292*F246+G292*G246+H292*H246+I292*I246+J292*J246+K292*K246+L292*L246+M292*M246+N292*N246+O292*O246+P292*P246+Q292*Q246+R292*R246+S292*S246+T292*T246+U292*U246+V292*V246+W292*W246+X292*X246+Y292*Y246+Z292*Z246+AA292*AA246+AB292*AB246+AC292*AC246+AD292*AD246+AE292*AE246+AF292*AF246+AG292*AG246+AH292*AH246+AI292*AI246+AJ292*AJ246+AK292*AK246+AL292*AL246+AM292*AM246+AN292*AN246+AO292*AO246+AP292*AP246+AQ292*AQ246+AR292*AR246+AS292*AS246+AT292*AT246+AU292*AU246+AV292*AV246+AW292*AW246+AX292*AX246+AY292*AY246+AZ292*AZ246+BA292*BA246+BB292*BB246+BC292*BC246+BD292*BD246+BE292*BE246+BF292*BF246+BG292*BG246+BH292*BH246+BI292*BI246+BJ292*BJ246+BK292*BK246+BL292*BL246+BM292*BM246+BN292*BN246+BO292*BO246+BP292*BP246+BQ292*BQ246+BR292*BR246+BS292*BS246+BT292*BT246+BU292*BU246+BV292*BV246+BW292*BW246+BX292*BX246+BY292*BY246+BZ292*BZ246+CA292*CA246+CB292*CB246+CC292*CC246+CD292*CD246+CE292*CE246+CF292*CF246+CG292*CG246+CH292*CH246+CI292*CI246+CJ292*CJ246+CK292*CK246+CL292*CL246+CM292*CM246+CN292*CN246+CO292*CO246+CP292*CP246+CQ292*CQ246+CR292*CR246+CS292*CS246+CT292*CT246+CU292*CU246</f>
        <v>0</v>
      </c>
      <c r="DD246" s="2840">
        <f>E293*E246+F293*F246+G293*G246+H293*H246+I293*I246+J293*J246+K293*K246+L293*L246+M293*M246+N293*N246+O293*O246+P293*P246+Q293*Q246+R293*R246+S293*S246+T293*T246+U293*U246+V293*V246+W293*W246+X293*X246+Y293*Y246+Z293*Z246+AA293*AA246+AB293*AB246+AC293*AC246+AD293*AD246+AE293*AE246+AF293*AF246+AG293*AG246+AH293*AH246+AI293*AI246+AJ293*AJ246+AK293*AK246+AL293*AL246+AM293*AM246+AN293*AN246+AO293*AO246+AP293*AP246+AQ293*AQ246+AR293*AR246+AS293*AS246+AT293*AT246+AU293*AU246+AV293*AV246+AW293*AW246+AX293*AX246+AY293*AY246+AZ293*AZ246+BA293*BA246+BB293*BB246+BC293*BC246+BD293*BD246+BE293*BE246+BF293*BF246+BG293*BG246+BH293*BH246+BI293*BI246+BJ293*BJ246+BK293*BK246+BL293*BL246+BM293*BM246+BN293*BN246+BO293*BO246+BP293*BP246+BQ293*BQ246+BR293*BR246+BS293*BS246+BT293*BT246+BU293*BU246+BV293*BV246+BW293*BW246+BX293*BX246+BY293*BY246+BZ293*BZ246+CA293*CA246+CB293*CB246+CC293*CC246+CD293*CD246+CE293*CE246+CF293*CF246+CG293*CG246+CH293*CH246+CI293*CI246+CJ293*CJ246+CK293*CK246+CL293*CL246+CM293*CM246+CN293*CN246+CO293*CO246+CP293*CP246+CQ293*CQ246+CR293*CR246+CS293*CS246+CT293*CT246+CU293*CU246</f>
        <v>0</v>
      </c>
      <c r="DE246" s="2840">
        <f>E294*E246+F294*F246+G294*G246+H294*H246+I294*I246+J294*J246+K294*K246+L294*L246+M294*M246+N294*N246+O294*O246+P294*P246+Q294*Q246+R294*R246+S294*S246+T294*T246+U294*U246+V294*V246+W294*W246+X294*X246+Y294*Y246+Z294*Z246+AA294*AA246+AB294*AB246+AC294*AC246+AD294*AD246+AE294*AE246+AF294*AF246+AG294*AG246+AH294*AH246+AI294*AI246+AJ294*AJ246+AK294*AK246+AL294*AL246+AM294*AM246+AN294*AN246+AO294*AO246+AP294*AP246+AQ294*AQ246+AR294*AR246+AS294*AS246+AT294*AT246+AU294*AU246+AV294*AV246+AW294*AW246+AX294*AX246+AY294*AY246+AZ294*AZ246+BA294*BA246+BB294*BB246+BC294*BC246+BD294*BD246+BE294*BE246+BF294*BF246+BG294*BG246+BH294*BH246+BI294*BI246+BJ294*BJ246+BK294*BK246+BL294*BL246+BM294*BM246+BN294*BN246+BO294*BO246+BP294*BP246+BQ294*BQ246+BR294*BR246+BS294*BS246+BT294*BT246+BU294*BU246+BV294*BV246+BW294*BW246+BX294*BX246+BY294*BY246+BZ294*BZ246+CA294*CA246+CB294*CB246+CC294*CC246+CD294*CD246+CE294*CE246+CF294*CF246+CG294*CG246+CH294*CH246+CI294*CI246+CJ294*CJ246+CK294*CK246+CL294*CL246+CM294*CM246+CN294*CN246+CO294*CO246+CP294*CP246+CQ294*CQ246+CR294*CR246+CS294*CS246+CT294*CT246+CU294*CU246</f>
        <v>0</v>
      </c>
      <c r="DF246" s="2840">
        <f>E295*E246+F295*F246+G295*G246+H295*H246+I295*I246+J295*J246+K295*K246+L295*L246+M295*M246+N295*N246+O295*O246+P295*P246+Q295*Q246+R295*R246+S295*S246+T295*T246+U295*U246+V295*V246+W295*W246+X295*X246+Y295*Y246+Z295*Z246+AA295*AA246+AB295*AB246+AC295*AC246+AD295*AD246+AE295*AE246+AF295*AF246+AG295*AG246+AH295*AH246+AI295*AI246+AJ295*AJ246+AK295*AK246+AL295*AL246+AM295*AM246+AN295*AN246+AO295*AO246+AP295*AP246+AQ295*AQ246+AR295*AR246+AS295*AS246+AT295*AT246+AU295*AU246+AV295*AV246+AW295*AW246+AX295*AX246+AY295*AY246+AZ295*AZ246+BA295*BA246+BB295*BB246+BC295*BC246+BD295*BD246+BE295*BE246+BF295*BF246+BG295*BG246+BH295*BH246+BI295*BI246+BJ295*BJ246+BK295*BK246+BL295*BL246+BM295*BM246+BN295*BN246+BO295*BO246+BP295*BP246+BQ295*BQ246+BR295*BR246+BS295*BS246+BT295*BT246+BU295*BU246+BV295*BV246+BW295*BW246+BX295*BX246+BY295*BY246+BZ295*BZ246+CA295*CA246+CB295*CB246+CC295*CC246+CD295*CD246+CE295*CE246+CF295*CF246+CG295*CG246+CH295*CH246+CI295*CI246+CJ295*CJ246+CK295*CK246+CL295*CL246+CM295*CM246+CN295*CN246+CO295*CO246+CP295*CP246+CQ295*CQ246+CR295*CR246+CS295*CS246+CT295*CT246+CU295*CU246</f>
        <v>0</v>
      </c>
      <c r="DG246" s="2840">
        <f>E296*E246+F296*F246+G296*G246+H296*H246+I296*I246+J296*J246+K296*K246+L296*L246+M296*M246+N296*N246+O296*O246+P296*P246+Q296*Q246+R296*R246+S296*S246+T296*T246+U296*U246+V296*V246+W296*W246+X296*X246+Y296*Y246+Z296*Z246+AA296*AA246+AB296*AB246+AC296*AC246+AD296*AD246+AE296*AE246+AF296*AF246+AG296*AG246+AH296*AH246+AI296*AI246+AJ296*AJ246+AK296*AK246+AL296*AL246+AM296*AM246+AN296*AN246+AO296*AO246+AP296*AP246+AQ296*AQ246+AR296*AR246+AS296*AS246+AT296*AT246+AU296*AU246+AV296*AV246+AW296*AW246+AX296*AX246+AY296*AY246+AZ296*AZ246+BA296*BA246+BB296*BB246+BC296*BC246+BD296*BD246+BE296*BE246+BF296*BF246+BG296*BG246+BH296*BH246+BI296*BI246+BJ296*BJ246+BK296*BK246+BL296*BL246+BM296*BM246+BN296*BN246+BO296*BO246+BP296*BP246+BQ296*BQ246+BR296*BR246+BS296*BS246+BT296*BT246+BU296*BU246+BV296*BV246+BW296*BW246+BX296*BX246+BY296*BY246+BZ296*BZ246+CA296*CA246+CB296*CB246+CC296*CC246+CD296*CD246+CE296*CE246+CF296*CF246+CG296*CG246+CH296*CH246+CI296*CI246+CJ296*CJ246+CK296*CK246+CL296*CL246+CM296*CM246+CN296*CN246+CO296*CO246+CP296*CP246+CQ296*CQ246+CR296*CR246+CS296*CS246+CT296*CT246+CU296*CU246</f>
        <v>0</v>
      </c>
      <c r="DH246" s="2840">
        <f>E297*E246+F297*F246+G297*G246+H297*H246+I297*I246+J297*J246+K297*K246+L297*L246+M297*M246+N297*N246+O297*O246+P297*P246+Q297*Q246+R297*R246+S297*S246+T297*T246+U297*U246+V297*V246+W297*W246+X297*X246+Y297*Y246+Z297*Z246+AA297*AA246+AB297*AB246+AC297*AC246+AD297*AD246+AE297*AE246+AF297*AF246+AG297*AG246+AH297*AH246+AI297*AI246+AJ297*AJ246+AK297*AK246+AL297*AL246+AM297*AM246+AN297*AN246+AO297*AO246+AP297*AP246+AQ297*AQ246+AR297*AR246+AS297*AS246+AT297*AT246+AU297*AU246+AV297*AV246+AW297*AW246+AX297*AX246+AY297*AY246+AZ297*AZ246+BA297*BA246+BB297*BB246+BC297*BC246+BD297*BD246+BE297*BE246+BF297*BF246+BG297*BG246+BH297*BH246+BI297*BI246+BJ297*BJ246+BK297*BK246+BL297*BL246+BM297*BM246+BN297*BN246+BO297*BO246+BP297*BP246+BQ297*BQ246+BR297*BR246+BS297*BS246+BT297*BT246+BU297*BU246+BV297*BV246+BW297*BW246+BX297*BX246+BY297*BY246+BZ297*BZ246+CA297*CA246+CB297*CB246+CC297*CC246+CD297*CD246+CE297*CE246+CF297*CF246+CG297*CG246+CH297*CH246+CI297*CI246+CJ297*CJ246+CK297*CK246+CL297*CL246+CM297*CM246+CN297*CN246+CO297*CO246+CP297*CP246+CQ297*CQ246+CR297*CR246+CS297*CS246+CT297*CT246+CU297*CU246</f>
        <v>0</v>
      </c>
      <c r="DI246" s="2840">
        <f>E298*E246+F298*F246+G298*G246+H298*H246+I298*I246+J298*J246+K298*K246+L298*L246+M298*M246+N298*N246+O298*O246+P298*P246+Q298*Q246+R298*R246+S298*S246+T298*T246+U298*U246+V298*V246+W298*W246+X298*X246+Y298*Y246+Z298*Z246+AA298*AA246+AB298*AB246+AC298*AC246+AD298*AD246+AE298*AE246+AF298*AF246+AG298*AG246+AH298*AH246+AI298*AI246+AJ298*AJ246+AK298*AK246+AL298*AL246+AM298*AM246+AN298*AN246+AO298*AO246+AP298*AP246+AQ298*AQ246+AR298*AR246+AS298*AS246+AT298*AT246+AU298*AU246+AV298*AV246+AW298*AW246+AX298*AX246+AY298*AY246+AZ298*AZ246+BA298*BA246+BB298*BB246+BC298*BC246+BD298*BD246+BE298*BE246+BF298*BF246+BG298*BG246+BH298*BH246+BI298*BI246+BJ298*BJ246+BK298*BK246+BL298*BL246+BM298*BM246+BN298*BN246+BO298*BO246+BP298*BP246+BQ298*BQ246+BR298*BR246+BS298*BS246+BT298*BT246+BU298*BU246+BV298*BV246+BW298*BW246+BX298*BX246+BY298*BY246+BZ298*BZ246+CA298*CA246+CB298*CB246+CC298*CC246+CD298*CD246+CE298*CE246+CF298*CF246+CG298*CG246+CH298*CH246+CI298*CI246+CJ298*CJ246+CK298*CK246+CL298*CL246+CM298*CM246+CN298*CN246+CO298*CO246+CP298*CP246+CQ298*CQ246+CR298*CR246+CS298*CS246+CT298*CT246+CU298*CU246</f>
        <v>0</v>
      </c>
    </row>
    <row r="247" spans="2:113" ht="18" x14ac:dyDescent="0.25">
      <c r="B247" s="2514">
        <v>94</v>
      </c>
      <c r="C247" s="2456" t="s">
        <v>3309</v>
      </c>
      <c r="D247" s="2457" t="s">
        <v>4309</v>
      </c>
      <c r="E247" s="3129">
        <f>0</f>
        <v>0</v>
      </c>
      <c r="F247" s="3129">
        <f>0</f>
        <v>0</v>
      </c>
      <c r="G247" s="3129">
        <f>0</f>
        <v>0</v>
      </c>
      <c r="H247" s="3129">
        <f>0</f>
        <v>0</v>
      </c>
      <c r="I247" s="3129">
        <f>0</f>
        <v>0</v>
      </c>
      <c r="J247" s="3143">
        <f>0</f>
        <v>0</v>
      </c>
      <c r="K247" s="3129">
        <f>0</f>
        <v>0</v>
      </c>
      <c r="L247" s="3129">
        <f>0</f>
        <v>0</v>
      </c>
      <c r="M247" s="3129">
        <f>0</f>
        <v>0</v>
      </c>
      <c r="N247" s="3129">
        <f>0</f>
        <v>0</v>
      </c>
      <c r="O247" s="3129">
        <f>0</f>
        <v>0</v>
      </c>
      <c r="P247" s="3129">
        <f>0</f>
        <v>0</v>
      </c>
      <c r="Q247" s="3129">
        <f>0</f>
        <v>0</v>
      </c>
      <c r="R247" s="3129">
        <f>0</f>
        <v>0</v>
      </c>
      <c r="S247" s="3129">
        <f>0</f>
        <v>0</v>
      </c>
      <c r="T247" s="3129">
        <f>0</f>
        <v>0</v>
      </c>
      <c r="U247" s="3129">
        <f>0</f>
        <v>0</v>
      </c>
      <c r="V247" s="3129">
        <f>0</f>
        <v>0</v>
      </c>
      <c r="W247" s="3129">
        <f>0</f>
        <v>0</v>
      </c>
      <c r="X247" s="3129">
        <f>0</f>
        <v>0</v>
      </c>
      <c r="Y247" s="3129">
        <f>0</f>
        <v>0</v>
      </c>
      <c r="Z247" s="3129">
        <f>0</f>
        <v>0</v>
      </c>
      <c r="AA247" s="3129">
        <f>0</f>
        <v>0</v>
      </c>
      <c r="AB247" s="3129">
        <f>0</f>
        <v>0</v>
      </c>
      <c r="AC247" s="3129">
        <f>0</f>
        <v>0</v>
      </c>
      <c r="AD247" s="3129">
        <f>0</f>
        <v>0</v>
      </c>
      <c r="AE247" s="3129">
        <f>0</f>
        <v>0</v>
      </c>
      <c r="AF247" s="3129">
        <f>0</f>
        <v>0</v>
      </c>
      <c r="AG247" s="3129">
        <f>0</f>
        <v>0</v>
      </c>
      <c r="AH247" s="3129">
        <f>0</f>
        <v>0</v>
      </c>
      <c r="AI247" s="3129">
        <f>0</f>
        <v>0</v>
      </c>
      <c r="AJ247" s="3143">
        <f>0</f>
        <v>0</v>
      </c>
      <c r="AK247" s="3129">
        <f>0</f>
        <v>0</v>
      </c>
      <c r="AL247" s="3168">
        <f>0</f>
        <v>0</v>
      </c>
      <c r="AM247" s="3129">
        <f>0</f>
        <v>0</v>
      </c>
      <c r="AN247" s="3129">
        <f>0</f>
        <v>0</v>
      </c>
      <c r="AO247" s="3129">
        <f>0</f>
        <v>0</v>
      </c>
      <c r="AP247" s="3143">
        <f>0</f>
        <v>0</v>
      </c>
      <c r="AQ247" s="3129">
        <f>0</f>
        <v>0</v>
      </c>
      <c r="AR247" s="3129">
        <f>0</f>
        <v>0</v>
      </c>
      <c r="AS247" s="3129">
        <f>0</f>
        <v>0</v>
      </c>
      <c r="AT247" s="3129">
        <f>0</f>
        <v>0</v>
      </c>
      <c r="AU247" s="3129">
        <f>0</f>
        <v>0</v>
      </c>
      <c r="AV247" s="3129">
        <f>0</f>
        <v>0</v>
      </c>
      <c r="AW247" s="3129">
        <f>0</f>
        <v>0</v>
      </c>
      <c r="AX247" s="3129">
        <f>0</f>
        <v>0</v>
      </c>
      <c r="AY247" s="3129">
        <f>0</f>
        <v>0</v>
      </c>
      <c r="AZ247" s="3129">
        <f>0</f>
        <v>0</v>
      </c>
      <c r="BA247" s="3129">
        <f>0</f>
        <v>0</v>
      </c>
      <c r="BB247" s="3129">
        <f>0</f>
        <v>0</v>
      </c>
      <c r="BC247" s="3129">
        <f>0</f>
        <v>0</v>
      </c>
      <c r="BD247" s="3129">
        <f>0</f>
        <v>0</v>
      </c>
      <c r="BE247" s="3129">
        <f>0</f>
        <v>0</v>
      </c>
      <c r="BF247" s="3129">
        <f>0</f>
        <v>0</v>
      </c>
      <c r="BG247" s="3129">
        <f>0</f>
        <v>0</v>
      </c>
      <c r="BH247" s="3129">
        <f>0</f>
        <v>0</v>
      </c>
      <c r="BI247" s="3129">
        <f>0</f>
        <v>0</v>
      </c>
      <c r="BJ247" s="3129">
        <f>0</f>
        <v>0</v>
      </c>
      <c r="BK247" s="3129">
        <f>0</f>
        <v>0</v>
      </c>
      <c r="BL247" s="3129">
        <f>0</f>
        <v>0</v>
      </c>
      <c r="BM247" s="3201">
        <f>-X_HAO_H/(X_HAO_H+X_HAO_H_P)</f>
        <v>-0.5</v>
      </c>
      <c r="BN247" s="3201">
        <f>X_HAO_H/(X_HAO_H+X_HAO_H_P)</f>
        <v>0.5</v>
      </c>
      <c r="BO247" s="3202">
        <f>0</f>
        <v>0</v>
      </c>
      <c r="BP247" s="3201">
        <f>-X_HAO_H_P/(X_HAO_H+X_HAO_H_P)</f>
        <v>-0.5</v>
      </c>
      <c r="BQ247" s="3202">
        <f>0</f>
        <v>0</v>
      </c>
      <c r="BR247" s="3201">
        <f>X_HAO_H_P/(X_HAO_H+X_HAO_H_P)</f>
        <v>0.5</v>
      </c>
      <c r="BS247" s="3202">
        <f>0</f>
        <v>0</v>
      </c>
      <c r="BT247" s="3129">
        <f>0</f>
        <v>0</v>
      </c>
      <c r="BU247" s="3129">
        <f>0</f>
        <v>0</v>
      </c>
      <c r="BV247" s="3129">
        <f>0</f>
        <v>0</v>
      </c>
      <c r="BW247" s="3129">
        <f>0</f>
        <v>0</v>
      </c>
      <c r="BX247" s="3129">
        <f>0</f>
        <v>0</v>
      </c>
      <c r="BY247" s="3129">
        <f>0</f>
        <v>0</v>
      </c>
      <c r="BZ247" s="3143">
        <f>0</f>
        <v>0</v>
      </c>
      <c r="CA247" s="3143">
        <f>0</f>
        <v>0</v>
      </c>
      <c r="CB247" s="3143">
        <f>0</f>
        <v>0</v>
      </c>
      <c r="CC247" s="3143">
        <f>0</f>
        <v>0</v>
      </c>
      <c r="CD247" s="3129">
        <f>0</f>
        <v>0</v>
      </c>
      <c r="CE247" s="3129">
        <f>0</f>
        <v>0</v>
      </c>
      <c r="CF247" s="3129">
        <f>0</f>
        <v>0</v>
      </c>
      <c r="CG247" s="3129">
        <f>0</f>
        <v>0</v>
      </c>
      <c r="CH247" s="3129">
        <f>0</f>
        <v>0</v>
      </c>
      <c r="CI247" s="3129">
        <f>0</f>
        <v>0</v>
      </c>
      <c r="CJ247" s="3129">
        <f>0</f>
        <v>0</v>
      </c>
      <c r="CK247" s="3129">
        <f>0</f>
        <v>0</v>
      </c>
      <c r="CL247" s="3129">
        <f>0</f>
        <v>0</v>
      </c>
      <c r="CM247" s="3129">
        <f>0</f>
        <v>0</v>
      </c>
      <c r="CN247" s="3129">
        <f>0</f>
        <v>0</v>
      </c>
      <c r="CO247" s="3129">
        <f>0</f>
        <v>0</v>
      </c>
      <c r="CP247" s="3129">
        <f>0</f>
        <v>0</v>
      </c>
      <c r="CQ247" s="3129">
        <f>0</f>
        <v>0</v>
      </c>
      <c r="CR247" s="3129">
        <f>0</f>
        <v>0</v>
      </c>
      <c r="CS247" s="3129">
        <f>0</f>
        <v>0</v>
      </c>
      <c r="CT247" s="3129">
        <f>0</f>
        <v>0</v>
      </c>
      <c r="CU247" s="3129">
        <f>0</f>
        <v>0</v>
      </c>
      <c r="CV247" s="3233">
        <f>q_HAOH_AGING*(X_HAO_H+X_HAO_H_P)</f>
        <v>1.5E-48</v>
      </c>
      <c r="CX247" s="2838">
        <f>E287*E247+F287*F247+G287*G247+H287*H247+I287*I247+J287*J247+K287*K247+L287*L247+M287*M247+N287*N247+O287*O247+P287*P247+Q287*Q247+R287*R247+S287*S247+T287*T247+U287*U247+V287*V247+W287*W247+X287*X247+Y287*Y247+Z287*Z247+AA287*AA247+AB287*AB247+AC287*AC247+AD287*AD247+AE287*AE247+AF287*AF247+AG287*AG247+AH287*AH247+AI287*AI247+AJ287*AJ247+AK287*AK247+AL287*AL247+AM287*AM247+AN287*AN247+AO287*AO247+AP287*AP247+AQ287*AQ247+AR287*AR247+AS287*AS247+AT287*AT247+AU287*AU247+AV287*AV247+AW287*AW247+AX287*AX247+AY287*AY247+AZ287*AZ247+BA287*BA247+BB287*BB247+BC287*BC247+BD287*BD247+BE287*BE247+BF287*BF247+BG287*BG247+BH287*BH247+BI287*BI247+BJ287*BJ247+BK287*BK247+BL287*BL247+BM287*BM247+BN287*BN247+BO287*BO247+BP287*BP247+BQ287*BQ247+BR287*BR247+BS287*BS247+BT287*BT247+BU287*BU247+BV287*BV247+BW287*BW247+BX287*BX247+BY287*BY247+BZ287*BZ247+CA287*CA247+CB287*CB247+CC287*CC247+CD287*CD247+CE287*CE247+CF287*CF247+CG287*CG247+CH287*CH247+CI287*CI247+CJ287*CJ247+CK287*CK247+CL287*CL247+CM287*CM247+CN287*CN247+CO287*CO247+CP287*CP247+CQ287*CQ247+CR287*CR247+CS287*CS247+CT287*CT247+CU287*CU247</f>
        <v>0</v>
      </c>
      <c r="CY247" s="2838">
        <f>E288*E247+F288*F247+G288*G247+H288*H247+I288*I247+J288*J247+K288*K247+L288*L247+M288*M247+N288*N247+O288*O247+P288*P247+Q288*Q247+R288*R247+S288*S247+T288*T247+U288*U247+V288*V247+W288*W247+X288*X247+Y288*Y247+Z288*Z247+AA288*AA247+AB288*AB247+AC288*AC247+AD288*AD247+AE288*AE247+AF288*AF247+AG288*AG247+AH288*AH247+AI288*AI247+AJ288*AJ247+AK288*AK247+AL288*AL247+AM288*AM247+AN288*AN247+AO288*AO247+AP288*AP247+AQ288*AQ247+AR288*AR247+AS288*AS247+AT288*AT247+AU288*AU247+AV288*AV247+AW288*AW247+AX288*AX247+AY288*AY247+AZ288*AZ247+BA288*BA247+BB288*BB247+BC288*BC247+BD288*BD247+BE288*BE247+BF288*BF247+BG288*BG247+BH288*BH247+BI288*BI247+BJ288*BJ247+BK288*BK247+BL288*BL247+BM288*BM247+BN288*BN247+BO288*BO247+BP288*BP247+BQ288*BQ247+BR288*BR247+BS288*BS247+BT288*BT247+BU288*BU247+BV288*BV247+BW288*BW247+BX288*BX247+BY288*BY247+BZ288*BZ247+CA288*CA247+CB288*CB247+CC288*CC247+CD288*CD247+CE288*CE247+CF288*CF247+CG288*CG247+CH288*CH247+CI288*CI247+CJ288*CJ247+CK288*CK247+CL288*CL247+CM288*CM247+CN288*CN247+CO288*CO247+CP288*CP247+CQ288*CQ247+CR288*CR247+CS288*CS247+CT288*CT247+CU288*CU247</f>
        <v>0</v>
      </c>
      <c r="CZ247" s="2839">
        <f>E289*E247+F289*F247+G289*G247+H289*H247+I289*I247+J289*J247+K289*K247+L289*L247+M289*M247+N289*N247+O289*O247+P289*P247+Q289*Q247+R289*R247+S289*S247+T289*T247+U289*U247+V289*V247+W289*W247+X289*X247+Y289*Y247+Z289*Z247+AA289*AA247+AB289*AB247+AC289*AC247+AD289*AD247+AE289*AE247+AF289*AF247+AG289*AG247+AH289*AH247+AI289*AI247+AJ289*AJ247+AK289*AK247+AL289*AL247+AM289*AM247+AN289*AN247+AO289*AO247+AP289*AP247+AQ289*AQ247+AR289*AR247+AS289*AS247+AT289*AT247+AU289*AU247+AV289*AV247+AW289*AW247+AX289*AX247+AY289*AY247+AZ289*AZ247+BA289*BA247+BB289*BB247+BC289*BC247+BD289*BD247+BE289*BE247+BF289*BF247+BG289*BG247+BH289*BH247+BI289*BI247+BJ289*BJ247+BK289*BK247+BL289*BL247+BM289*BM247+BN289*BN247+BO289*BO247+BP289*BP247+BQ289*BQ247+BR289*BR247+BS289*BS247+BT289*BT247+BU289*BU247+BV289*BV247+BW289*BW247+BX289*BX247+BY289*BY247+BZ289*BZ247+CA289*CA247+CB289*CB247+CC289*CC247+CD289*CD247+CE289*CE247+CF289*CF247+CG289*CG247+CH289*CH247+CI289*CI247+CJ289*CJ247+CK289*CK247+CL289*CL247+CM289*CM247+CN289*CN247+CO289*CO247+CP289*CP247+CQ289*CQ247+CR289*CR247+CS289*CS247+CT289*CT247+CU289*CU247</f>
        <v>0</v>
      </c>
      <c r="DA247" s="2840">
        <f>E290*E247+F290*F247+G290*G247+H290*H247+I290*I247+J290*J247+K290*K247+L290*L247+M290*M247+N290*N247+O290*O247+P290*P247+Q290*Q247+R290*R247+S290*S247+T290*T247+U290*U247+V290*V247+W290*W247+X290*X247+Y290*Y247+Z290*Z247+AA290*AA247+AB290*AB247+AC290*AC247+AD290*AD247+AE290*AE247+AF290*AF247+AG290*AG247+AH290*AH247+AI290*AI247+AJ290*AJ247+AK290*AK247+AL290*AL247+AM290*AM247+AN290*AN247+AO290*AO247+AP290*AP247+AQ290*AQ247+AR290*AR247+AS290*AS247+AT290*AT247+AU290*AU247+AV290*AV247+AW290*AW247+AX290*AX247+AY290*AY247+AZ290*AZ247+BA290*BA247+BB290*BB247+BC290*BC247+BD290*BD247+BE290*BE247+BF290*BF247+BG290*BG247+BH290*BH247+BI290*BI247+BJ290*BJ247+BK290*BK247+BL290*BL247+BM290*BM247+BN290*BN247+BO290*BO247+BP290*BP247+BQ290*BQ247+BR290*BR247+BS290*BS247+BT290*BT247+BU290*BU247+BV290*BV247+BW290*BW247+BX290*BX247+BY290*BY247+BZ290*BZ247+CA290*CA247+CB290*CB247+CC290*CC247+CD290*CD247+CE290*CE247+CF290*CF247+CG290*CG247+CH290*CH247+CI290*CI247+CJ290*CJ247+CK290*CK247+CL290*CL247+CM290*CM247+CN290*CN247+CO290*CO247+CP290*CP247+CQ290*CQ247+CR290*CR247+CS290*CS247+CT290*CT247+CU290*CU247</f>
        <v>0</v>
      </c>
      <c r="DB247" s="2840">
        <f>E291*E247+F291*F247+G291*G247+H291*H247+I291*I247+J291*J247+K291*K247+L291*L247+M291*M247+N291*N247+O291*O247+P291*P247+Q291*Q247+R291*R247+S291*S247+T291*T247+U291*U247+V291*V247+W291*W247+X291*X247+Y291*Y247+Z291*Z247+AA291*AA247+AB291*AB247+AC291*AC247+AD291*AD247+AE291*AE247+AF291*AF247+AG291*AG247+AH291*AH247+AI291*AI247+AJ291*AJ247+AK291*AK247+AL291*AL247+AM291*AM247+AN291*AN247+AO291*AO247+AP291*AP247+AQ291*AQ247+AR291*AR247+AS291*AS247+AT291*AT247+AU291*AU247+AV291*AV247+AW291*AW247+AX291*AX247+AY291*AY247+AZ291*AZ247+BA291*BA247+BB291*BB247+BC291*BC247+BD291*BD247+BE291*BE247+BF291*BF247+BG291*BG247+BH291*BH247+BI291*BI247+BJ291*BJ247+BK291*BK247+BL291*BL247+BM291*BM247+BN291*BN247+BO291*BO247+BP291*BP247+BQ291*BQ247+BR291*BR247+BS291*BS247+BT291*BT247+BU291*BU247+BV291*BV247+BW291*BW247+BX291*BX247+BY291*BY247+BZ291*BZ247+CA291*CA247+CB291*CB247+CC291*CC247+CD291*CD247+CE291*CE247+CF291*CF247+CG291*CG247+CH291*CH247+CI291*CI247+CJ291*CJ247+CK291*CK247+CL291*CL247+CM291*CM247+CN291*CN247+CO291*CO247+CP291*CP247+CQ291*CQ247+CR291*CR247+CS291*CS247+CT291*CT247+CU291*CU247</f>
        <v>0</v>
      </c>
      <c r="DC247" s="2840">
        <f>E292*E247+F292*F247+G292*G247+H292*H247+I292*I247+J292*J247+K292*K247+L292*L247+M292*M247+N292*N247+O292*O247+P292*P247+Q292*Q247+R292*R247+S292*S247+T292*T247+U292*U247+V292*V247+W292*W247+X292*X247+Y292*Y247+Z292*Z247+AA292*AA247+AB292*AB247+AC292*AC247+AD292*AD247+AE292*AE247+AF292*AF247+AG292*AG247+AH292*AH247+AI292*AI247+AJ292*AJ247+AK292*AK247+AL292*AL247+AM292*AM247+AN292*AN247+AO292*AO247+AP292*AP247+AQ292*AQ247+AR292*AR247+AS292*AS247+AT292*AT247+AU292*AU247+AV292*AV247+AW292*AW247+AX292*AX247+AY292*AY247+AZ292*AZ247+BA292*BA247+BB292*BB247+BC292*BC247+BD292*BD247+BE292*BE247+BF292*BF247+BG292*BG247+BH292*BH247+BI292*BI247+BJ292*BJ247+BK292*BK247+BL292*BL247+BM292*BM247+BN292*BN247+BO292*BO247+BP292*BP247+BQ292*BQ247+BR292*BR247+BS292*BS247+BT292*BT247+BU292*BU247+BV292*BV247+BW292*BW247+BX292*BX247+BY292*BY247+BZ292*BZ247+CA292*CA247+CB292*CB247+CC292*CC247+CD292*CD247+CE292*CE247+CF292*CF247+CG292*CG247+CH292*CH247+CI292*CI247+CJ292*CJ247+CK292*CK247+CL292*CL247+CM292*CM247+CN292*CN247+CO292*CO247+CP292*CP247+CQ292*CQ247+CR292*CR247+CS292*CS247+CT292*CT247+CU292*CU247</f>
        <v>0</v>
      </c>
      <c r="DD247" s="2840">
        <f>E293*E247+F293*F247+G293*G247+H293*H247+I293*I247+J293*J247+K293*K247+L293*L247+M293*M247+N293*N247+O293*O247+P293*P247+Q293*Q247+R293*R247+S293*S247+T293*T247+U293*U247+V293*V247+W293*W247+X293*X247+Y293*Y247+Z293*Z247+AA293*AA247+AB293*AB247+AC293*AC247+AD293*AD247+AE293*AE247+AF293*AF247+AG293*AG247+AH293*AH247+AI293*AI247+AJ293*AJ247+AK293*AK247+AL293*AL247+AM293*AM247+AN293*AN247+AO293*AO247+AP293*AP247+AQ293*AQ247+AR293*AR247+AS293*AS247+AT293*AT247+AU293*AU247+AV293*AV247+AW293*AW247+AX293*AX247+AY293*AY247+AZ293*AZ247+BA293*BA247+BB293*BB247+BC293*BC247+BD293*BD247+BE293*BE247+BF293*BF247+BG293*BG247+BH293*BH247+BI293*BI247+BJ293*BJ247+BK293*BK247+BL293*BL247+BM293*BM247+BN293*BN247+BO293*BO247+BP293*BP247+BQ293*BQ247+BR293*BR247+BS293*BS247+BT293*BT247+BU293*BU247+BV293*BV247+BW293*BW247+BX293*BX247+BY293*BY247+BZ293*BZ247+CA293*CA247+CB293*CB247+CC293*CC247+CD293*CD247+CE293*CE247+CF293*CF247+CG293*CG247+CH293*CH247+CI293*CI247+CJ293*CJ247+CK293*CK247+CL293*CL247+CM293*CM247+CN293*CN247+CO293*CO247+CP293*CP247+CQ293*CQ247+CR293*CR247+CS293*CS247+CT293*CT247+CU293*CU247</f>
        <v>0</v>
      </c>
      <c r="DE247" s="2840">
        <f>E294*E247+F294*F247+G294*G247+H294*H247+I294*I247+J294*J247+K294*K247+L294*L247+M294*M247+N294*N247+O294*O247+P294*P247+Q294*Q247+R294*R247+S294*S247+T294*T247+U294*U247+V294*V247+W294*W247+X294*X247+Y294*Y247+Z294*Z247+AA294*AA247+AB294*AB247+AC294*AC247+AD294*AD247+AE294*AE247+AF294*AF247+AG294*AG247+AH294*AH247+AI294*AI247+AJ294*AJ247+AK294*AK247+AL294*AL247+AM294*AM247+AN294*AN247+AO294*AO247+AP294*AP247+AQ294*AQ247+AR294*AR247+AS294*AS247+AT294*AT247+AU294*AU247+AV294*AV247+AW294*AW247+AX294*AX247+AY294*AY247+AZ294*AZ247+BA294*BA247+BB294*BB247+BC294*BC247+BD294*BD247+BE294*BE247+BF294*BF247+BG294*BG247+BH294*BH247+BI294*BI247+BJ294*BJ247+BK294*BK247+BL294*BL247+BM294*BM247+BN294*BN247+BO294*BO247+BP294*BP247+BQ294*BQ247+BR294*BR247+BS294*BS247+BT294*BT247+BU294*BU247+BV294*BV247+BW294*BW247+BX294*BX247+BY294*BY247+BZ294*BZ247+CA294*CA247+CB294*CB247+CC294*CC247+CD294*CD247+CE294*CE247+CF294*CF247+CG294*CG247+CH294*CH247+CI294*CI247+CJ294*CJ247+CK294*CK247+CL294*CL247+CM294*CM247+CN294*CN247+CO294*CO247+CP294*CP247+CQ294*CQ247+CR294*CR247+CS294*CS247+CT294*CT247+CU294*CU247</f>
        <v>0</v>
      </c>
      <c r="DF247" s="2840">
        <f>E295*E247+F295*F247+G295*G247+H295*H247+I295*I247+J295*J247+K295*K247+L295*L247+M295*M247+N295*N247+O295*O247+P295*P247+Q295*Q247+R295*R247+S295*S247+T295*T247+U295*U247+V295*V247+W295*W247+X295*X247+Y295*Y247+Z295*Z247+AA295*AA247+AB295*AB247+AC295*AC247+AD295*AD247+AE295*AE247+AF295*AF247+AG295*AG247+AH295*AH247+AI295*AI247+AJ295*AJ247+AK295*AK247+AL295*AL247+AM295*AM247+AN295*AN247+AO295*AO247+AP295*AP247+AQ295*AQ247+AR295*AR247+AS295*AS247+AT295*AT247+AU295*AU247+AV295*AV247+AW295*AW247+AX295*AX247+AY295*AY247+AZ295*AZ247+BA295*BA247+BB295*BB247+BC295*BC247+BD295*BD247+BE295*BE247+BF295*BF247+BG295*BG247+BH295*BH247+BI295*BI247+BJ295*BJ247+BK295*BK247+BL295*BL247+BM295*BM247+BN295*BN247+BO295*BO247+BP295*BP247+BQ295*BQ247+BR295*BR247+BS295*BS247+BT295*BT247+BU295*BU247+BV295*BV247+BW295*BW247+BX295*BX247+BY295*BY247+BZ295*BZ247+CA295*CA247+CB295*CB247+CC295*CC247+CD295*CD247+CE295*CE247+CF295*CF247+CG295*CG247+CH295*CH247+CI295*CI247+CJ295*CJ247+CK295*CK247+CL295*CL247+CM295*CM247+CN295*CN247+CO295*CO247+CP295*CP247+CQ295*CQ247+CR295*CR247+CS295*CS247+CT295*CT247+CU295*CU247</f>
        <v>0</v>
      </c>
      <c r="DG247" s="2840">
        <f>E296*E247+F296*F247+G296*G247+H296*H247+I296*I247+J296*J247+K296*K247+L296*L247+M296*M247+N296*N247+O296*O247+P296*P247+Q296*Q247+R296*R247+S296*S247+T296*T247+U296*U247+V296*V247+W296*W247+X296*X247+Y296*Y247+Z296*Z247+AA296*AA247+AB296*AB247+AC296*AC247+AD296*AD247+AE296*AE247+AF296*AF247+AG296*AG247+AH296*AH247+AI296*AI247+AJ296*AJ247+AK296*AK247+AL296*AL247+AM296*AM247+AN296*AN247+AO296*AO247+AP296*AP247+AQ296*AQ247+AR296*AR247+AS296*AS247+AT296*AT247+AU296*AU247+AV296*AV247+AW296*AW247+AX296*AX247+AY296*AY247+AZ296*AZ247+BA296*BA247+BB296*BB247+BC296*BC247+BD296*BD247+BE296*BE247+BF296*BF247+BG296*BG247+BH296*BH247+BI296*BI247+BJ296*BJ247+BK296*BK247+BL296*BL247+BM296*BM247+BN296*BN247+BO296*BO247+BP296*BP247+BQ296*BQ247+BR296*BR247+BS296*BS247+BT296*BT247+BU296*BU247+BV296*BV247+BW296*BW247+BX296*BX247+BY296*BY247+BZ296*BZ247+CA296*CA247+CB296*CB247+CC296*CC247+CD296*CD247+CE296*CE247+CF296*CF247+CG296*CG247+CH296*CH247+CI296*CI247+CJ296*CJ247+CK296*CK247+CL296*CL247+CM296*CM247+CN296*CN247+CO296*CO247+CP296*CP247+CQ296*CQ247+CR296*CR247+CS296*CS247+CT296*CT247+CU296*CU247</f>
        <v>0</v>
      </c>
      <c r="DH247" s="2840">
        <f>E297*E247+F297*F247+G297*G247+H297*H247+I297*I247+J297*J247+K297*K247+L297*L247+M297*M247+N297*N247+O297*O247+P297*P247+Q297*Q247+R297*R247+S297*S247+T297*T247+U297*U247+V297*V247+W297*W247+X297*X247+Y297*Y247+Z297*Z247+AA297*AA247+AB297*AB247+AC297*AC247+AD297*AD247+AE297*AE247+AF297*AF247+AG297*AG247+AH297*AH247+AI297*AI247+AJ297*AJ247+AK297*AK247+AL297*AL247+AM297*AM247+AN297*AN247+AO297*AO247+AP297*AP247+AQ297*AQ247+AR297*AR247+AS297*AS247+AT297*AT247+AU297*AU247+AV297*AV247+AW297*AW247+AX297*AX247+AY297*AY247+AZ297*AZ247+BA297*BA247+BB297*BB247+BC297*BC247+BD297*BD247+BE297*BE247+BF297*BF247+BG297*BG247+BH297*BH247+BI297*BI247+BJ297*BJ247+BK297*BK247+BL297*BL247+BM297*BM247+BN297*BN247+BO297*BO247+BP297*BP247+BQ297*BQ247+BR297*BR247+BS297*BS247+BT297*BT247+BU297*BU247+BV297*BV247+BW297*BW247+BX297*BX247+BY297*BY247+BZ297*BZ247+CA297*CA247+CB297*CB247+CC297*CC247+CD297*CD247+CE297*CE247+CF297*CF247+CG297*CG247+CH297*CH247+CI297*CI247+CJ297*CJ247+CK297*CK247+CL297*CL247+CM297*CM247+CN297*CN247+CO297*CO247+CP297*CP247+CQ297*CQ247+CR297*CR247+CS297*CS247+CT297*CT247+CU297*CU247</f>
        <v>0</v>
      </c>
      <c r="DI247" s="2840">
        <f>E298*E247+F298*F247+G298*G247+H298*H247+I298*I247+J298*J247+K298*K247+L298*L247+M298*M247+N298*N247+O298*O247+P298*P247+Q298*Q247+R298*R247+S298*S247+T298*T247+U298*U247+V298*V247+W298*W247+X298*X247+Y298*Y247+Z298*Z247+AA298*AA247+AB298*AB247+AC298*AC247+AD298*AD247+AE298*AE247+AF298*AF247+AG298*AG247+AH298*AH247+AI298*AI247+AJ298*AJ247+AK298*AK247+AL298*AL247+AM298*AM247+AN298*AN247+AO298*AO247+AP298*AP247+AQ298*AQ247+AR298*AR247+AS298*AS247+AT298*AT247+AU298*AU247+AV298*AV247+AW298*AW247+AX298*AX247+AY298*AY247+AZ298*AZ247+BA298*BA247+BB298*BB247+BC298*BC247+BD298*BD247+BE298*BE247+BF298*BF247+BG298*BG247+BH298*BH247+BI298*BI247+BJ298*BJ247+BK298*BK247+BL298*BL247+BM298*BM247+BN298*BN247+BO298*BO247+BP298*BP247+BQ298*BQ247+BR298*BR247+BS298*BS247+BT298*BT247+BU298*BU247+BV298*BV247+BW298*BW247+BX298*BX247+BY298*BY247+BZ298*BZ247+CA298*CA247+CB298*CB247+CC298*CC247+CD298*CD247+CE298*CE247+CF298*CF247+CG298*CG247+CH298*CH247+CI298*CI247+CJ298*CJ247+CK298*CK247+CL298*CL247+CM298*CM247+CN298*CN247+CO298*CO247+CP298*CP247+CQ298*CQ247+CR298*CR247+CS298*CS247+CT298*CT247+CU298*CU247</f>
        <v>0</v>
      </c>
    </row>
    <row r="248" spans="2:113" ht="18" x14ac:dyDescent="0.25">
      <c r="B248" s="2514">
        <v>95</v>
      </c>
      <c r="C248" s="2456" t="s">
        <v>3310</v>
      </c>
      <c r="D248" s="2457" t="s">
        <v>4310</v>
      </c>
      <c r="E248" s="3129">
        <f>0</f>
        <v>0</v>
      </c>
      <c r="F248" s="3129">
        <f>0</f>
        <v>0</v>
      </c>
      <c r="G248" s="3129">
        <f>0</f>
        <v>0</v>
      </c>
      <c r="H248" s="3129">
        <f>0</f>
        <v>0</v>
      </c>
      <c r="I248" s="3129">
        <f>0</f>
        <v>0</v>
      </c>
      <c r="J248" s="3143">
        <f>0</f>
        <v>0</v>
      </c>
      <c r="K248" s="3129">
        <f>0</f>
        <v>0</v>
      </c>
      <c r="L248" s="3129">
        <f>0</f>
        <v>0</v>
      </c>
      <c r="M248" s="3129">
        <f>0</f>
        <v>0</v>
      </c>
      <c r="N248" s="3129">
        <f>0</f>
        <v>0</v>
      </c>
      <c r="O248" s="3129">
        <f>0</f>
        <v>0</v>
      </c>
      <c r="P248" s="3129">
        <f>0</f>
        <v>0</v>
      </c>
      <c r="Q248" s="3129">
        <f>0</f>
        <v>0</v>
      </c>
      <c r="R248" s="3129">
        <f>0</f>
        <v>0</v>
      </c>
      <c r="S248" s="3129">
        <f>0</f>
        <v>0</v>
      </c>
      <c r="T248" s="3129">
        <f>0</f>
        <v>0</v>
      </c>
      <c r="U248" s="3129">
        <f>0</f>
        <v>0</v>
      </c>
      <c r="V248" s="3129">
        <f>0</f>
        <v>0</v>
      </c>
      <c r="W248" s="3129">
        <f>0</f>
        <v>0</v>
      </c>
      <c r="X248" s="3129">
        <f>0</f>
        <v>0</v>
      </c>
      <c r="Y248" s="3129">
        <f>0</f>
        <v>0</v>
      </c>
      <c r="Z248" s="3129">
        <f>0</f>
        <v>0</v>
      </c>
      <c r="AA248" s="3129">
        <f>0</f>
        <v>0</v>
      </c>
      <c r="AB248" s="3129">
        <f>0</f>
        <v>0</v>
      </c>
      <c r="AC248" s="3129">
        <f>0</f>
        <v>0</v>
      </c>
      <c r="AD248" s="3129">
        <f>0</f>
        <v>0</v>
      </c>
      <c r="AE248" s="3129">
        <f>0</f>
        <v>0</v>
      </c>
      <c r="AF248" s="3129">
        <f>0</f>
        <v>0</v>
      </c>
      <c r="AG248" s="3129">
        <f>0</f>
        <v>0</v>
      </c>
      <c r="AH248" s="3129">
        <f>0</f>
        <v>0</v>
      </c>
      <c r="AI248" s="3129">
        <f>0</f>
        <v>0</v>
      </c>
      <c r="AJ248" s="3143">
        <f>0</f>
        <v>0</v>
      </c>
      <c r="AK248" s="3129">
        <f>0</f>
        <v>0</v>
      </c>
      <c r="AL248" s="3168">
        <f>0</f>
        <v>0</v>
      </c>
      <c r="AM248" s="3129">
        <f>0</f>
        <v>0</v>
      </c>
      <c r="AN248" s="3129">
        <f>0</f>
        <v>0</v>
      </c>
      <c r="AO248" s="3129">
        <f>0</f>
        <v>0</v>
      </c>
      <c r="AP248" s="3143">
        <f>0</f>
        <v>0</v>
      </c>
      <c r="AQ248" s="3129">
        <f>0</f>
        <v>0</v>
      </c>
      <c r="AR248" s="3129">
        <f>0</f>
        <v>0</v>
      </c>
      <c r="AS248" s="3129">
        <f>0</f>
        <v>0</v>
      </c>
      <c r="AT248" s="3129">
        <f>0</f>
        <v>0</v>
      </c>
      <c r="AU248" s="3129">
        <f>0</f>
        <v>0</v>
      </c>
      <c r="AV248" s="3129">
        <f>0</f>
        <v>0</v>
      </c>
      <c r="AW248" s="3129">
        <f>0</f>
        <v>0</v>
      </c>
      <c r="AX248" s="3129">
        <f>0</f>
        <v>0</v>
      </c>
      <c r="AY248" s="3129">
        <f>0</f>
        <v>0</v>
      </c>
      <c r="AZ248" s="3129">
        <f>0</f>
        <v>0</v>
      </c>
      <c r="BA248" s="3129">
        <f>0</f>
        <v>0</v>
      </c>
      <c r="BB248" s="3129">
        <f>0</f>
        <v>0</v>
      </c>
      <c r="BC248" s="3129">
        <f>0</f>
        <v>0</v>
      </c>
      <c r="BD248" s="3129">
        <f>0</f>
        <v>0</v>
      </c>
      <c r="BE248" s="3129">
        <f>0</f>
        <v>0</v>
      </c>
      <c r="BF248" s="3129">
        <f>0</f>
        <v>0</v>
      </c>
      <c r="BG248" s="3129">
        <f>0</f>
        <v>0</v>
      </c>
      <c r="BH248" s="3129">
        <f>0</f>
        <v>0</v>
      </c>
      <c r="BI248" s="3129">
        <f>0</f>
        <v>0</v>
      </c>
      <c r="BJ248" s="3129">
        <f>0</f>
        <v>0</v>
      </c>
      <c r="BK248" s="3129">
        <f>0</f>
        <v>0</v>
      </c>
      <c r="BL248" s="3129">
        <f>0</f>
        <v>0</v>
      </c>
      <c r="BM248" s="3202">
        <f>0</f>
        <v>0</v>
      </c>
      <c r="BN248" s="3201">
        <f>-X_HAO_L/(X_HAO_L+X_HAO_L_P)</f>
        <v>-0.5</v>
      </c>
      <c r="BO248" s="3201">
        <f>X_HAO_L/(X_HAO_L+X_HAO_L_P)</f>
        <v>0.5</v>
      </c>
      <c r="BP248" s="3201">
        <f>0</f>
        <v>0</v>
      </c>
      <c r="BQ248" s="3201">
        <f>-X_HAO_L_P/(X_HAO_L+X_HAO_L_P)</f>
        <v>-0.5</v>
      </c>
      <c r="BR248" s="3201">
        <f>0</f>
        <v>0</v>
      </c>
      <c r="BS248" s="3201">
        <f>X_HAO_L_P/(X_HAO_L+X_HAO_L_P)</f>
        <v>0.5</v>
      </c>
      <c r="BT248" s="3129">
        <f>0</f>
        <v>0</v>
      </c>
      <c r="BU248" s="3129">
        <f>0</f>
        <v>0</v>
      </c>
      <c r="BV248" s="3129">
        <f>0</f>
        <v>0</v>
      </c>
      <c r="BW248" s="3129">
        <f>0</f>
        <v>0</v>
      </c>
      <c r="BX248" s="3129">
        <f>0</f>
        <v>0</v>
      </c>
      <c r="BY248" s="3129">
        <f>0</f>
        <v>0</v>
      </c>
      <c r="BZ248" s="3143">
        <f>0</f>
        <v>0</v>
      </c>
      <c r="CA248" s="3143">
        <f>0</f>
        <v>0</v>
      </c>
      <c r="CB248" s="3143">
        <f>0</f>
        <v>0</v>
      </c>
      <c r="CC248" s="3143">
        <f>0</f>
        <v>0</v>
      </c>
      <c r="CD248" s="3129">
        <f>0</f>
        <v>0</v>
      </c>
      <c r="CE248" s="3129">
        <f>0</f>
        <v>0</v>
      </c>
      <c r="CF248" s="3129">
        <f>0</f>
        <v>0</v>
      </c>
      <c r="CG248" s="3129">
        <f>0</f>
        <v>0</v>
      </c>
      <c r="CH248" s="3129">
        <f>0</f>
        <v>0</v>
      </c>
      <c r="CI248" s="3129">
        <f>0</f>
        <v>0</v>
      </c>
      <c r="CJ248" s="3129">
        <f>0</f>
        <v>0</v>
      </c>
      <c r="CK248" s="3129">
        <f>0</f>
        <v>0</v>
      </c>
      <c r="CL248" s="3129">
        <f>0</f>
        <v>0</v>
      </c>
      <c r="CM248" s="3129">
        <f>0</f>
        <v>0</v>
      </c>
      <c r="CN248" s="3129">
        <f>0</f>
        <v>0</v>
      </c>
      <c r="CO248" s="3129">
        <f>0</f>
        <v>0</v>
      </c>
      <c r="CP248" s="3129">
        <f>0</f>
        <v>0</v>
      </c>
      <c r="CQ248" s="3129">
        <f>0</f>
        <v>0</v>
      </c>
      <c r="CR248" s="3129">
        <f>0</f>
        <v>0</v>
      </c>
      <c r="CS248" s="3129">
        <f>0</f>
        <v>0</v>
      </c>
      <c r="CT248" s="3129">
        <f>0</f>
        <v>0</v>
      </c>
      <c r="CU248" s="3129">
        <f>0</f>
        <v>0</v>
      </c>
      <c r="CV248" s="3233">
        <f>q_HAOL_AGING*(X_HAO_L+X_HAO_L_P)</f>
        <v>2E-50</v>
      </c>
      <c r="CX248" s="2838">
        <f>E287*E248+F287*F248+G287*G248+H287*H248+I287*I248+J287*J248+K287*K248+L287*L248+M287*M248+N287*N248+O287*O248+P287*P248+Q287*Q248+R287*R248+S287*S248+T287*T248+U287*U248+V287*V248+W287*W248+X287*X248+Y287*Y248+Z287*Z248+AA287*AA248+AB287*AB248+AC287*AC248+AD287*AD248+AE287*AE248+AF287*AF248+AG287*AG248+AH287*AH248+AI287*AI248+AJ287*AJ248+AK287*AK248+AL287*AL248+AM287*AM248+AN287*AN248+AO287*AO248+AP287*AP248+AQ287*AQ248+AR287*AR248+AS287*AS248+AT287*AT248+AU287*AU248+AV287*AV248+AW287*AW248+AX287*AX248+AY287*AY248+AZ287*AZ248+BA287*BA248+BB287*BB248+BC287*BC248+BD287*BD248+BE287*BE248+BF287*BF248+BG287*BG248+BH287*BH248+BI287*BI248+BJ287*BJ248+BK287*BK248+BL287*BL248+BM287*BM248+BN287*BN248+BO287*BO248+BP287*BP248+BQ287*BQ248+BR287*BR248+BS287*BS248+BT287*BT248+BU287*BU248+BV287*BV248+BW287*BW248+BX287*BX248+BY287*BY248+BZ287*BZ248+CA287*CA248+CB287*CB248+CC287*CC248+CD287*CD248+CE287*CE248+CF287*CF248+CG287*CG248+CH287*CH248+CI287*CI248+CJ287*CJ248+CK287*CK248+CL287*CL248+CM287*CM248+CN287*CN248+CO287*CO248+CP287*CP248+CQ287*CQ248+CR287*CR248+CS287*CS248+CT287*CT248+CU287*CU248</f>
        <v>0</v>
      </c>
      <c r="CY248" s="2838">
        <f>E288*E248+F288*F248+G288*G248+H288*H248+I288*I248+J288*J248+K288*K248+L288*L248+M288*M248+N288*N248+O288*O248+P288*P248+Q288*Q248+R288*R248+S288*S248+T288*T248+U288*U248+V288*V248+W288*W248+X288*X248+Y288*Y248+Z288*Z248+AA288*AA248+AB288*AB248+AC288*AC248+AD288*AD248+AE288*AE248+AF288*AF248+AG288*AG248+AH288*AH248+AI288*AI248+AJ288*AJ248+AK288*AK248+AL288*AL248+AM288*AM248+AN288*AN248+AO288*AO248+AP288*AP248+AQ288*AQ248+AR288*AR248+AS288*AS248+AT288*AT248+AU288*AU248+AV288*AV248+AW288*AW248+AX288*AX248+AY288*AY248+AZ288*AZ248+BA288*BA248+BB288*BB248+BC288*BC248+BD288*BD248+BE288*BE248+BF288*BF248+BG288*BG248+BH288*BH248+BI288*BI248+BJ288*BJ248+BK288*BK248+BL288*BL248+BM288*BM248+BN288*BN248+BO288*BO248+BP288*BP248+BQ288*BQ248+BR288*BR248+BS288*BS248+BT288*BT248+BU288*BU248+BV288*BV248+BW288*BW248+BX288*BX248+BY288*BY248+BZ288*BZ248+CA288*CA248+CB288*CB248+CC288*CC248+CD288*CD248+CE288*CE248+CF288*CF248+CG288*CG248+CH288*CH248+CI288*CI248+CJ288*CJ248+CK288*CK248+CL288*CL248+CM288*CM248+CN288*CN248+CO288*CO248+CP288*CP248+CQ288*CQ248+CR288*CR248+CS288*CS248+CT288*CT248+CU288*CU248</f>
        <v>0</v>
      </c>
      <c r="CZ248" s="2839">
        <f>E289*E248+F289*F248+G289*G248+H289*H248+I289*I248+J289*J248+K289*K248+L289*L248+M289*M248+N289*N248+O289*O248+P289*P248+Q289*Q248+R289*R248+S289*S248+T289*T248+U289*U248+V289*V248+W289*W248+X289*X248+Y289*Y248+Z289*Z248+AA289*AA248+AB289*AB248+AC289*AC248+AD289*AD248+AE289*AE248+AF289*AF248+AG289*AG248+AH289*AH248+AI289*AI248+AJ289*AJ248+AK289*AK248+AL289*AL248+AM289*AM248+AN289*AN248+AO289*AO248+AP289*AP248+AQ289*AQ248+AR289*AR248+AS289*AS248+AT289*AT248+AU289*AU248+AV289*AV248+AW289*AW248+AX289*AX248+AY289*AY248+AZ289*AZ248+BA289*BA248+BB289*BB248+BC289*BC248+BD289*BD248+BE289*BE248+BF289*BF248+BG289*BG248+BH289*BH248+BI289*BI248+BJ289*BJ248+BK289*BK248+BL289*BL248+BM289*BM248+BN289*BN248+BO289*BO248+BP289*BP248+BQ289*BQ248+BR289*BR248+BS289*BS248+BT289*BT248+BU289*BU248+BV289*BV248+BW289*BW248+BX289*BX248+BY289*BY248+BZ289*BZ248+CA289*CA248+CB289*CB248+CC289*CC248+CD289*CD248+CE289*CE248+CF289*CF248+CG289*CG248+CH289*CH248+CI289*CI248+CJ289*CJ248+CK289*CK248+CL289*CL248+CM289*CM248+CN289*CN248+CO289*CO248+CP289*CP248+CQ289*CQ248+CR289*CR248+CS289*CS248+CT289*CT248+CU289*CU248</f>
        <v>0</v>
      </c>
      <c r="DA248" s="2840">
        <f>E290*E248+F290*F248+G290*G248+H290*H248+I290*I248+J290*J248+K290*K248+L290*L248+M290*M248+N290*N248+O290*O248+P290*P248+Q290*Q248+R290*R248+S290*S248+T290*T248+U290*U248+V290*V248+W290*W248+X290*X248+Y290*Y248+Z290*Z248+AA290*AA248+AB290*AB248+AC290*AC248+AD290*AD248+AE290*AE248+AF290*AF248+AG290*AG248+AH290*AH248+AI290*AI248+AJ290*AJ248+AK290*AK248+AL290*AL248+AM290*AM248+AN290*AN248+AO290*AO248+AP290*AP248+AQ290*AQ248+AR290*AR248+AS290*AS248+AT290*AT248+AU290*AU248+AV290*AV248+AW290*AW248+AX290*AX248+AY290*AY248+AZ290*AZ248+BA290*BA248+BB290*BB248+BC290*BC248+BD290*BD248+BE290*BE248+BF290*BF248+BG290*BG248+BH290*BH248+BI290*BI248+BJ290*BJ248+BK290*BK248+BL290*BL248+BM290*BM248+BN290*BN248+BO290*BO248+BP290*BP248+BQ290*BQ248+BR290*BR248+BS290*BS248+BT290*BT248+BU290*BU248+BV290*BV248+BW290*BW248+BX290*BX248+BY290*BY248+BZ290*BZ248+CA290*CA248+CB290*CB248+CC290*CC248+CD290*CD248+CE290*CE248+CF290*CF248+CG290*CG248+CH290*CH248+CI290*CI248+CJ290*CJ248+CK290*CK248+CL290*CL248+CM290*CM248+CN290*CN248+CO290*CO248+CP290*CP248+CQ290*CQ248+CR290*CR248+CS290*CS248+CT290*CT248+CU290*CU248</f>
        <v>0</v>
      </c>
      <c r="DB248" s="2840">
        <f>E291*E248+F291*F248+G291*G248+H291*H248+I291*I248+J291*J248+K291*K248+L291*L248+M291*M248+N291*N248+O291*O248+P291*P248+Q291*Q248+R291*R248+S291*S248+T291*T248+U291*U248+V291*V248+W291*W248+X291*X248+Y291*Y248+Z291*Z248+AA291*AA248+AB291*AB248+AC291*AC248+AD291*AD248+AE291*AE248+AF291*AF248+AG291*AG248+AH291*AH248+AI291*AI248+AJ291*AJ248+AK291*AK248+AL291*AL248+AM291*AM248+AN291*AN248+AO291*AO248+AP291*AP248+AQ291*AQ248+AR291*AR248+AS291*AS248+AT291*AT248+AU291*AU248+AV291*AV248+AW291*AW248+AX291*AX248+AY291*AY248+AZ291*AZ248+BA291*BA248+BB291*BB248+BC291*BC248+BD291*BD248+BE291*BE248+BF291*BF248+BG291*BG248+BH291*BH248+BI291*BI248+BJ291*BJ248+BK291*BK248+BL291*BL248+BM291*BM248+BN291*BN248+BO291*BO248+BP291*BP248+BQ291*BQ248+BR291*BR248+BS291*BS248+BT291*BT248+BU291*BU248+BV291*BV248+BW291*BW248+BX291*BX248+BY291*BY248+BZ291*BZ248+CA291*CA248+CB291*CB248+CC291*CC248+CD291*CD248+CE291*CE248+CF291*CF248+CG291*CG248+CH291*CH248+CI291*CI248+CJ291*CJ248+CK291*CK248+CL291*CL248+CM291*CM248+CN291*CN248+CO291*CO248+CP291*CP248+CQ291*CQ248+CR291*CR248+CS291*CS248+CT291*CT248+CU291*CU248</f>
        <v>0</v>
      </c>
      <c r="DC248" s="2840">
        <f>E292*E248+F292*F248+G292*G248+H292*H248+I292*I248+J292*J248+K292*K248+L292*L248+M292*M248+N292*N248+O292*O248+P292*P248+Q292*Q248+R292*R248+S292*S248+T292*T248+U292*U248+V292*V248+W292*W248+X292*X248+Y292*Y248+Z292*Z248+AA292*AA248+AB292*AB248+AC292*AC248+AD292*AD248+AE292*AE248+AF292*AF248+AG292*AG248+AH292*AH248+AI292*AI248+AJ292*AJ248+AK292*AK248+AL292*AL248+AM292*AM248+AN292*AN248+AO292*AO248+AP292*AP248+AQ292*AQ248+AR292*AR248+AS292*AS248+AT292*AT248+AU292*AU248+AV292*AV248+AW292*AW248+AX292*AX248+AY292*AY248+AZ292*AZ248+BA292*BA248+BB292*BB248+BC292*BC248+BD292*BD248+BE292*BE248+BF292*BF248+BG292*BG248+BH292*BH248+BI292*BI248+BJ292*BJ248+BK292*BK248+BL292*BL248+BM292*BM248+BN292*BN248+BO292*BO248+BP292*BP248+BQ292*BQ248+BR292*BR248+BS292*BS248+BT292*BT248+BU292*BU248+BV292*BV248+BW292*BW248+BX292*BX248+BY292*BY248+BZ292*BZ248+CA292*CA248+CB292*CB248+CC292*CC248+CD292*CD248+CE292*CE248+CF292*CF248+CG292*CG248+CH292*CH248+CI292*CI248+CJ292*CJ248+CK292*CK248+CL292*CL248+CM292*CM248+CN292*CN248+CO292*CO248+CP292*CP248+CQ292*CQ248+CR292*CR248+CS292*CS248+CT292*CT248+CU292*CU248</f>
        <v>0</v>
      </c>
      <c r="DD248" s="2840">
        <f>E293*E248+F293*F248+G293*G248+H293*H248+I293*I248+J293*J248+K293*K248+L293*L248+M293*M248+N293*N248+O293*O248+P293*P248+Q293*Q248+R293*R248+S293*S248+T293*T248+U293*U248+V293*V248+W293*W248+X293*X248+Y293*Y248+Z293*Z248+AA293*AA248+AB293*AB248+AC293*AC248+AD293*AD248+AE293*AE248+AF293*AF248+AG293*AG248+AH293*AH248+AI293*AI248+AJ293*AJ248+AK293*AK248+AL293*AL248+AM293*AM248+AN293*AN248+AO293*AO248+AP293*AP248+AQ293*AQ248+AR293*AR248+AS293*AS248+AT293*AT248+AU293*AU248+AV293*AV248+AW293*AW248+AX293*AX248+AY293*AY248+AZ293*AZ248+BA293*BA248+BB293*BB248+BC293*BC248+BD293*BD248+BE293*BE248+BF293*BF248+BG293*BG248+BH293*BH248+BI293*BI248+BJ293*BJ248+BK293*BK248+BL293*BL248+BM293*BM248+BN293*BN248+BO293*BO248+BP293*BP248+BQ293*BQ248+BR293*BR248+BS293*BS248+BT293*BT248+BU293*BU248+BV293*BV248+BW293*BW248+BX293*BX248+BY293*BY248+BZ293*BZ248+CA293*CA248+CB293*CB248+CC293*CC248+CD293*CD248+CE293*CE248+CF293*CF248+CG293*CG248+CH293*CH248+CI293*CI248+CJ293*CJ248+CK293*CK248+CL293*CL248+CM293*CM248+CN293*CN248+CO293*CO248+CP293*CP248+CQ293*CQ248+CR293*CR248+CS293*CS248+CT293*CT248+CU293*CU248</f>
        <v>0</v>
      </c>
      <c r="DE248" s="2840">
        <f>E294*E248+F294*F248+G294*G248+H294*H248+I294*I248+J294*J248+K294*K248+L294*L248+M294*M248+N294*N248+O294*O248+P294*P248+Q294*Q248+R294*R248+S294*S248+T294*T248+U294*U248+V294*V248+W294*W248+X294*X248+Y294*Y248+Z294*Z248+AA294*AA248+AB294*AB248+AC294*AC248+AD294*AD248+AE294*AE248+AF294*AF248+AG294*AG248+AH294*AH248+AI294*AI248+AJ294*AJ248+AK294*AK248+AL294*AL248+AM294*AM248+AN294*AN248+AO294*AO248+AP294*AP248+AQ294*AQ248+AR294*AR248+AS294*AS248+AT294*AT248+AU294*AU248+AV294*AV248+AW294*AW248+AX294*AX248+AY294*AY248+AZ294*AZ248+BA294*BA248+BB294*BB248+BC294*BC248+BD294*BD248+BE294*BE248+BF294*BF248+BG294*BG248+BH294*BH248+BI294*BI248+BJ294*BJ248+BK294*BK248+BL294*BL248+BM294*BM248+BN294*BN248+BO294*BO248+BP294*BP248+BQ294*BQ248+BR294*BR248+BS294*BS248+BT294*BT248+BU294*BU248+BV294*BV248+BW294*BW248+BX294*BX248+BY294*BY248+BZ294*BZ248+CA294*CA248+CB294*CB248+CC294*CC248+CD294*CD248+CE294*CE248+CF294*CF248+CG294*CG248+CH294*CH248+CI294*CI248+CJ294*CJ248+CK294*CK248+CL294*CL248+CM294*CM248+CN294*CN248+CO294*CO248+CP294*CP248+CQ294*CQ248+CR294*CR248+CS294*CS248+CT294*CT248+CU294*CU248</f>
        <v>0</v>
      </c>
      <c r="DF248" s="2840">
        <f>E295*E248+F295*F248+G295*G248+H295*H248+I295*I248+J295*J248+K295*K248+L295*L248+M295*M248+N295*N248+O295*O248+P295*P248+Q295*Q248+R295*R248+S295*S248+T295*T248+U295*U248+V295*V248+W295*W248+X295*X248+Y295*Y248+Z295*Z248+AA295*AA248+AB295*AB248+AC295*AC248+AD295*AD248+AE295*AE248+AF295*AF248+AG295*AG248+AH295*AH248+AI295*AI248+AJ295*AJ248+AK295*AK248+AL295*AL248+AM295*AM248+AN295*AN248+AO295*AO248+AP295*AP248+AQ295*AQ248+AR295*AR248+AS295*AS248+AT295*AT248+AU295*AU248+AV295*AV248+AW295*AW248+AX295*AX248+AY295*AY248+AZ295*AZ248+BA295*BA248+BB295*BB248+BC295*BC248+BD295*BD248+BE295*BE248+BF295*BF248+BG295*BG248+BH295*BH248+BI295*BI248+BJ295*BJ248+BK295*BK248+BL295*BL248+BM295*BM248+BN295*BN248+BO295*BO248+BP295*BP248+BQ295*BQ248+BR295*BR248+BS295*BS248+BT295*BT248+BU295*BU248+BV295*BV248+BW295*BW248+BX295*BX248+BY295*BY248+BZ295*BZ248+CA295*CA248+CB295*CB248+CC295*CC248+CD295*CD248+CE295*CE248+CF295*CF248+CG295*CG248+CH295*CH248+CI295*CI248+CJ295*CJ248+CK295*CK248+CL295*CL248+CM295*CM248+CN295*CN248+CO295*CO248+CP295*CP248+CQ295*CQ248+CR295*CR248+CS295*CS248+CT295*CT248+CU295*CU248</f>
        <v>0</v>
      </c>
      <c r="DG248" s="2840">
        <f>E296*E248+F296*F248+G296*G248+H296*H248+I296*I248+J296*J248+K296*K248+L296*L248+M296*M248+N296*N248+O296*O248+P296*P248+Q296*Q248+R296*R248+S296*S248+T296*T248+U296*U248+V296*V248+W296*W248+X296*X248+Y296*Y248+Z296*Z248+AA296*AA248+AB296*AB248+AC296*AC248+AD296*AD248+AE296*AE248+AF296*AF248+AG296*AG248+AH296*AH248+AI296*AI248+AJ296*AJ248+AK296*AK248+AL296*AL248+AM296*AM248+AN296*AN248+AO296*AO248+AP296*AP248+AQ296*AQ248+AR296*AR248+AS296*AS248+AT296*AT248+AU296*AU248+AV296*AV248+AW296*AW248+AX296*AX248+AY296*AY248+AZ296*AZ248+BA296*BA248+BB296*BB248+BC296*BC248+BD296*BD248+BE296*BE248+BF296*BF248+BG296*BG248+BH296*BH248+BI296*BI248+BJ296*BJ248+BK296*BK248+BL296*BL248+BM296*BM248+BN296*BN248+BO296*BO248+BP296*BP248+BQ296*BQ248+BR296*BR248+BS296*BS248+BT296*BT248+BU296*BU248+BV296*BV248+BW296*BW248+BX296*BX248+BY296*BY248+BZ296*BZ248+CA296*CA248+CB296*CB248+CC296*CC248+CD296*CD248+CE296*CE248+CF296*CF248+CG296*CG248+CH296*CH248+CI296*CI248+CJ296*CJ248+CK296*CK248+CL296*CL248+CM296*CM248+CN296*CN248+CO296*CO248+CP296*CP248+CQ296*CQ248+CR296*CR248+CS296*CS248+CT296*CT248+CU296*CU248</f>
        <v>0</v>
      </c>
      <c r="DH248" s="2840">
        <f>E297*E248+F297*F248+G297*G248+H297*H248+I297*I248+J297*J248+K297*K248+L297*L248+M297*M248+N297*N248+O297*O248+P297*P248+Q297*Q248+R297*R248+S297*S248+T297*T248+U297*U248+V297*V248+W297*W248+X297*X248+Y297*Y248+Z297*Z248+AA297*AA248+AB297*AB248+AC297*AC248+AD297*AD248+AE297*AE248+AF297*AF248+AG297*AG248+AH297*AH248+AI297*AI248+AJ297*AJ248+AK297*AK248+AL297*AL248+AM297*AM248+AN297*AN248+AO297*AO248+AP297*AP248+AQ297*AQ248+AR297*AR248+AS297*AS248+AT297*AT248+AU297*AU248+AV297*AV248+AW297*AW248+AX297*AX248+AY297*AY248+AZ297*AZ248+BA297*BA248+BB297*BB248+BC297*BC248+BD297*BD248+BE297*BE248+BF297*BF248+BG297*BG248+BH297*BH248+BI297*BI248+BJ297*BJ248+BK297*BK248+BL297*BL248+BM297*BM248+BN297*BN248+BO297*BO248+BP297*BP248+BQ297*BQ248+BR297*BR248+BS297*BS248+BT297*BT248+BU297*BU248+BV297*BV248+BW297*BW248+BX297*BX248+BY297*BY248+BZ297*BZ248+CA297*CA248+CB297*CB248+CC297*CC248+CD297*CD248+CE297*CE248+CF297*CF248+CG297*CG248+CH297*CH248+CI297*CI248+CJ297*CJ248+CK297*CK248+CL297*CL248+CM297*CM248+CN297*CN248+CO297*CO248+CP297*CP248+CQ297*CQ248+CR297*CR248+CS297*CS248+CT297*CT248+CU297*CU248</f>
        <v>0</v>
      </c>
      <c r="DI248" s="2840">
        <f>E298*E248+F298*F248+G298*G248+H298*H248+I298*I248+J298*J248+K298*K248+L298*L248+M298*M248+N298*N248+O298*O248+P298*P248+Q298*Q248+R298*R248+S298*S248+T298*T248+U298*U248+V298*V248+W298*W248+X298*X248+Y298*Y248+Z298*Z248+AA298*AA248+AB298*AB248+AC298*AC248+AD298*AD248+AE298*AE248+AF298*AF248+AG298*AG248+AH298*AH248+AI298*AI248+AJ298*AJ248+AK298*AK248+AL298*AL248+AM298*AM248+AN298*AN248+AO298*AO248+AP298*AP248+AQ298*AQ248+AR298*AR248+AS298*AS248+AT298*AT248+AU298*AU248+AV298*AV248+AW298*AW248+AX298*AX248+AY298*AY248+AZ298*AZ248+BA298*BA248+BB298*BB248+BC298*BC248+BD298*BD248+BE298*BE248+BF298*BF248+BG298*BG248+BH298*BH248+BI298*BI248+BJ298*BJ248+BK298*BK248+BL298*BL248+BM298*BM248+BN298*BN248+BO298*BO248+BP298*BP248+BQ298*BQ248+BR298*BR248+BS298*BS248+BT298*BT248+BU298*BU248+BV298*BV248+BW298*BW248+BX298*BX248+BY298*BY248+BZ298*BZ248+CA298*CA248+CB298*CB248+CC298*CC248+CD298*CD248+CE298*CE248+CF298*CF248+CG298*CG248+CH298*CH248+CI298*CI248+CJ298*CJ248+CK298*CK248+CL298*CL248+CM298*CM248+CN298*CN248+CO298*CO248+CP298*CP248+CQ298*CQ248+CR298*CR248+CS298*CS248+CT298*CT248+CU298*CU248</f>
        <v>0</v>
      </c>
    </row>
    <row r="249" spans="2:113" ht="18" x14ac:dyDescent="0.25">
      <c r="B249" s="2514">
        <v>96</v>
      </c>
      <c r="C249" s="2456" t="s">
        <v>3311</v>
      </c>
      <c r="D249" s="2457" t="s">
        <v>4311</v>
      </c>
      <c r="E249" s="3129">
        <f>0</f>
        <v>0</v>
      </c>
      <c r="F249" s="3129">
        <f>0</f>
        <v>0</v>
      </c>
      <c r="G249" s="3129">
        <f>0</f>
        <v>0</v>
      </c>
      <c r="H249" s="3129">
        <f>0</f>
        <v>0</v>
      </c>
      <c r="I249" s="3129">
        <f>0</f>
        <v>0</v>
      </c>
      <c r="J249" s="3143">
        <f>0</f>
        <v>0</v>
      </c>
      <c r="K249" s="3129">
        <f>0</f>
        <v>0</v>
      </c>
      <c r="L249" s="3129">
        <f>0</f>
        <v>0</v>
      </c>
      <c r="M249" s="3129">
        <f>0</f>
        <v>0</v>
      </c>
      <c r="N249" s="3129">
        <f>0</f>
        <v>0</v>
      </c>
      <c r="O249" s="3129">
        <f>0</f>
        <v>0</v>
      </c>
      <c r="P249" s="3129">
        <f>0</f>
        <v>0</v>
      </c>
      <c r="Q249" s="3129">
        <f>0</f>
        <v>0</v>
      </c>
      <c r="R249" s="3129">
        <f>0</f>
        <v>0</v>
      </c>
      <c r="S249" s="3129">
        <f>0</f>
        <v>0</v>
      </c>
      <c r="T249" s="3129">
        <f>0</f>
        <v>0</v>
      </c>
      <c r="U249" s="3129">
        <f>0</f>
        <v>0</v>
      </c>
      <c r="V249" s="3129">
        <f>0</f>
        <v>0</v>
      </c>
      <c r="W249" s="3129">
        <f>0</f>
        <v>0</v>
      </c>
      <c r="X249" s="3129">
        <f>0</f>
        <v>0</v>
      </c>
      <c r="Y249" s="3129">
        <f>0</f>
        <v>0</v>
      </c>
      <c r="Z249" s="3129">
        <f>0</f>
        <v>0</v>
      </c>
      <c r="AA249" s="3129">
        <f>0</f>
        <v>0</v>
      </c>
      <c r="AB249" s="3129">
        <f>0</f>
        <v>0</v>
      </c>
      <c r="AC249" s="3129">
        <f>0</f>
        <v>0</v>
      </c>
      <c r="AD249" s="3129">
        <f>0</f>
        <v>0</v>
      </c>
      <c r="AE249" s="3129">
        <f>0</f>
        <v>0</v>
      </c>
      <c r="AF249" s="3129">
        <f>0</f>
        <v>0</v>
      </c>
      <c r="AG249" s="3129">
        <f>0</f>
        <v>0</v>
      </c>
      <c r="AH249" s="3129">
        <f>0</f>
        <v>0</v>
      </c>
      <c r="AI249" s="3129">
        <f>0</f>
        <v>0</v>
      </c>
      <c r="AJ249" s="3143">
        <f>0</f>
        <v>0</v>
      </c>
      <c r="AK249" s="3129">
        <f>0</f>
        <v>0</v>
      </c>
      <c r="AL249" s="3168">
        <f>-1</f>
        <v>-1</v>
      </c>
      <c r="AM249" s="3129">
        <f>0</f>
        <v>0</v>
      </c>
      <c r="AN249" s="3129">
        <f>0</f>
        <v>0</v>
      </c>
      <c r="AO249" s="3129">
        <f>0</f>
        <v>0</v>
      </c>
      <c r="AP249" s="3143">
        <f>0</f>
        <v>0</v>
      </c>
      <c r="AQ249" s="3129">
        <f>0</f>
        <v>0</v>
      </c>
      <c r="AR249" s="3129">
        <f>0</f>
        <v>0</v>
      </c>
      <c r="AS249" s="3129">
        <f>0</f>
        <v>0</v>
      </c>
      <c r="AT249" s="3129">
        <f>0</f>
        <v>0</v>
      </c>
      <c r="AU249" s="3129">
        <f>0</f>
        <v>0</v>
      </c>
      <c r="AV249" s="3129">
        <f>0</f>
        <v>0</v>
      </c>
      <c r="AW249" s="3129">
        <f>0</f>
        <v>0</v>
      </c>
      <c r="AX249" s="3129">
        <f>0</f>
        <v>0</v>
      </c>
      <c r="AY249" s="3129">
        <f>0</f>
        <v>0</v>
      </c>
      <c r="AZ249" s="3129">
        <f>0</f>
        <v>0</v>
      </c>
      <c r="BA249" s="3129">
        <f>0</f>
        <v>0</v>
      </c>
      <c r="BB249" s="3129">
        <f>0</f>
        <v>0</v>
      </c>
      <c r="BC249" s="3129">
        <f>0</f>
        <v>0</v>
      </c>
      <c r="BD249" s="3129">
        <f>0</f>
        <v>0</v>
      </c>
      <c r="BE249" s="3129">
        <f>0</f>
        <v>0</v>
      </c>
      <c r="BF249" s="3129">
        <f>0</f>
        <v>0</v>
      </c>
      <c r="BG249" s="3129">
        <f>0</f>
        <v>0</v>
      </c>
      <c r="BH249" s="3129">
        <f>0</f>
        <v>0</v>
      </c>
      <c r="BI249" s="3129">
        <f>0</f>
        <v>0</v>
      </c>
      <c r="BJ249" s="3129">
        <f>0</f>
        <v>0</v>
      </c>
      <c r="BK249" s="3129">
        <f>0</f>
        <v>0</v>
      </c>
      <c r="BL249" s="3129">
        <f>0</f>
        <v>0</v>
      </c>
      <c r="BM249" s="3169">
        <f>-1/(A_SFHAO_H*(A_MP/A_MAl))</f>
        <v>-0.87110825691042471</v>
      </c>
      <c r="BN249" s="3202">
        <f>0</f>
        <v>0</v>
      </c>
      <c r="BO249" s="3202">
        <f>0</f>
        <v>0</v>
      </c>
      <c r="BP249" s="3169">
        <f>1/(A_SFHAO_H*(A_MP/A_MAl))</f>
        <v>0.87110825691042471</v>
      </c>
      <c r="BQ249" s="3202">
        <f>0</f>
        <v>0</v>
      </c>
      <c r="BR249" s="3169">
        <f>0</f>
        <v>0</v>
      </c>
      <c r="BS249" s="3169">
        <f>0</f>
        <v>0</v>
      </c>
      <c r="BT249" s="3129">
        <f>0</f>
        <v>0</v>
      </c>
      <c r="BU249" s="3129">
        <f>0</f>
        <v>0</v>
      </c>
      <c r="BV249" s="3129">
        <f>0</f>
        <v>0</v>
      </c>
      <c r="BW249" s="3129">
        <f>0</f>
        <v>0</v>
      </c>
      <c r="BX249" s="3129">
        <f>0</f>
        <v>0</v>
      </c>
      <c r="BY249" s="3129">
        <f>0</f>
        <v>0</v>
      </c>
      <c r="BZ249" s="3143">
        <f>0</f>
        <v>0</v>
      </c>
      <c r="CA249" s="3143">
        <f>0</f>
        <v>0</v>
      </c>
      <c r="CB249" s="3143">
        <f>0</f>
        <v>0</v>
      </c>
      <c r="CC249" s="3143">
        <f>0</f>
        <v>0</v>
      </c>
      <c r="CD249" s="3129">
        <f>0</f>
        <v>0</v>
      </c>
      <c r="CE249" s="3129">
        <f>0</f>
        <v>0</v>
      </c>
      <c r="CF249" s="3129">
        <f>0</f>
        <v>0</v>
      </c>
      <c r="CG249" s="3129">
        <f>0</f>
        <v>0</v>
      </c>
      <c r="CH249" s="3129">
        <f>0</f>
        <v>0</v>
      </c>
      <c r="CI249" s="3129">
        <f>0</f>
        <v>0</v>
      </c>
      <c r="CJ249" s="3129">
        <f>0</f>
        <v>0</v>
      </c>
      <c r="CK249" s="3129">
        <f>0</f>
        <v>0</v>
      </c>
      <c r="CL249" s="3129">
        <f>0</f>
        <v>0</v>
      </c>
      <c r="CM249" s="3129">
        <f>0</f>
        <v>0</v>
      </c>
      <c r="CN249" s="3129">
        <f>0</f>
        <v>0</v>
      </c>
      <c r="CO249" s="3129">
        <f>0</f>
        <v>0</v>
      </c>
      <c r="CP249" s="3129">
        <f>0</f>
        <v>0</v>
      </c>
      <c r="CQ249" s="3129">
        <f>0</f>
        <v>0</v>
      </c>
      <c r="CR249" s="3129">
        <f>0</f>
        <v>0</v>
      </c>
      <c r="CS249" s="3129">
        <f>0</f>
        <v>0</v>
      </c>
      <c r="CT249" s="3129">
        <f>0</f>
        <v>0</v>
      </c>
      <c r="CU249" s="3129">
        <f>0</f>
        <v>0</v>
      </c>
      <c r="CV249" s="3233">
        <f>q_P_HAO_COPREC*X_HAO_H*M_satSPO4_KP_HAO_BIND</f>
        <v>1.4583333333333333E-48</v>
      </c>
      <c r="CX249" s="2838">
        <f>E287*E249+F287*F249+G287*G249+H287*H249+I287*I249+J287*J249+K287*K249+L287*L249+M287*M249+N287*N249+O287*O249+P287*P249+Q287*Q249+R287*R249+S287*S249+T287*T249+U287*U249+V287*V249+W287*W249+X287*X249+Y287*Y249+Z287*Z249+AA287*AA249+AB287*AB249+AC287*AC249+AD287*AD249+AE287*AE249+AF287*AF249+AG287*AG249+AH287*AH249+AI287*AI249+AJ287*AJ249+AK287*AK249+AL287*AL249+AM287*AM249+AN287*AN249+AO287*AO249+AP287*AP249+AQ287*AQ249+AR287*AR249+AS287*AS249+AT287*AT249+AU287*AU249+AV287*AV249+AW287*AW249+AX287*AX249+AY287*AY249+AZ287*AZ249+BA287*BA249+BB287*BB249+BC287*BC249+BD287*BD249+BE287*BE249+BF287*BF249+BG287*BG249+BH287*BH249+BI287*BI249+BJ287*BJ249+BK287*BK249+BL287*BL249+BM287*BM249+BN287*BN249+BO287*BO249+BP287*BP249+BQ287*BQ249+BR287*BR249+BS287*BS249+BT287*BT249+BU287*BU249+BV287*BV249+BW287*BW249+BX287*BX249+BY287*BY249+BZ287*BZ249+CA287*CA249+CB287*CB249+CC287*CC249+CD287*CD249+CE287*CE249+CF287*CF249+CG287*CG249+CH287*CH249+CI287*CI249+CJ287*CJ249+CK287*CK249+CL287*CL249+CM287*CM249+CN287*CN249+CO287*CO249+CP287*CP249+CQ287*CQ249+CR287*CR249+CS287*CS249+CT287*CT249+CU287*CU249</f>
        <v>0</v>
      </c>
      <c r="CY249" s="2838">
        <f>E288*E249+F288*F249+G288*G249+H288*H249+I288*I249+J288*J249+K288*K249+L288*L249+M288*M249+N288*N249+O288*O249+P288*P249+Q288*Q249+R288*R249+S288*S249+T288*T249+U288*U249+V288*V249+W288*W249+X288*X249+Y288*Y249+Z288*Z249+AA288*AA249+AB288*AB249+AC288*AC249+AD288*AD249+AE288*AE249+AF288*AF249+AG288*AG249+AH288*AH249+AI288*AI249+AJ288*AJ249+AK288*AK249+AL288*AL249+AM288*AM249+AN288*AN249+AO288*AO249+AP288*AP249+AQ288*AQ249+AR288*AR249+AS288*AS249+AT288*AT249+AU288*AU249+AV288*AV249+AW288*AW249+AX288*AX249+AY288*AY249+AZ288*AZ249+BA288*BA249+BB288*BB249+BC288*BC249+BD288*BD249+BE288*BE249+BF288*BF249+BG288*BG249+BH288*BH249+BI288*BI249+BJ288*BJ249+BK288*BK249+BL288*BL249+BM288*BM249+BN288*BN249+BO288*BO249+BP288*BP249+BQ288*BQ249+BR288*BR249+BS288*BS249+BT288*BT249+BU288*BU249+BV288*BV249+BW288*BW249+BX288*BX249+BY288*BY249+BZ288*BZ249+CA288*CA249+CB288*CB249+CC288*CC249+CD288*CD249+CE288*CE249+CF288*CF249+CG288*CG249+CH288*CH249+CI288*CI249+CJ288*CJ249+CK288*CK249+CL288*CL249+CM288*CM249+CN288*CN249+CO288*CO249+CP288*CP249+CQ288*CQ249+CR288*CR249+CS288*CS249+CT288*CT249+CU288*CU249</f>
        <v>0</v>
      </c>
      <c r="CZ249" s="2839">
        <f>E289*E249+F289*F249+G289*G249+H289*H249+I289*I249+J289*J249+K289*K249+L289*L249+M289*M249+N289*N249+O289*O249+P289*P249+Q289*Q249+R289*R249+S289*S249+T289*T249+U289*U249+V289*V249+W289*W249+X289*X249+Y289*Y249+Z289*Z249+AA289*AA249+AB289*AB249+AC289*AC249+AD289*AD249+AE289*AE249+AF289*AF249+AG289*AG249+AH289*AH249+AI289*AI249+AJ289*AJ249+AK289*AK249+AL289*AL249+AM289*AM249+AN289*AN249+AO289*AO249+AP289*AP249+AQ289*AQ249+AR289*AR249+AS289*AS249+AT289*AT249+AU289*AU249+AV289*AV249+AW289*AW249+AX289*AX249+AY289*AY249+AZ289*AZ249+BA289*BA249+BB289*BB249+BC289*BC249+BD289*BD249+BE289*BE249+BF289*BF249+BG289*BG249+BH289*BH249+BI289*BI249+BJ289*BJ249+BK289*BK249+BL289*BL249+BM289*BM249+BN289*BN249+BO289*BO249+BP289*BP249+BQ289*BQ249+BR289*BR249+BS289*BS249+BT289*BT249+BU289*BU249+BV289*BV249+BW289*BW249+BX289*BX249+BY289*BY249+BZ289*BZ249+CA289*CA249+CB289*CB249+CC289*CC249+CD289*CD249+CE289*CE249+CF289*CF249+CG289*CG249+CH289*CH249+CI289*CI249+CJ289*CJ249+CK289*CK249+CL289*CL249+CM289*CM249+CN289*CN249+CO289*CO249+CP289*CP249+CQ289*CQ249+CR289*CR249+CS289*CS249+CT289*CT249+CU289*CU249</f>
        <v>0</v>
      </c>
      <c r="DA249" s="2840">
        <f>E290*E249+F290*F249+G290*G249+H290*H249+I290*I249+J290*J249+K290*K249+L290*L249+M290*M249+N290*N249+O290*O249+P290*P249+Q290*Q249+R290*R249+S290*S249+T290*T249+U290*U249+V290*V249+W290*W249+X290*X249+Y290*Y249+Z290*Z249+AA290*AA249+AB290*AB249+AC290*AC249+AD290*AD249+AE290*AE249+AF290*AF249+AG290*AG249+AH290*AH249+AI290*AI249+AJ290*AJ249+AK290*AK249+AL290*AL249+AM290*AM249+AN290*AN249+AO290*AO249+AP290*AP249+AQ290*AQ249+AR290*AR249+AS290*AS249+AT290*AT249+AU290*AU249+AV290*AV249+AW290*AW249+AX290*AX249+AY290*AY249+AZ290*AZ249+BA290*BA249+BB290*BB249+BC290*BC249+BD290*BD249+BE290*BE249+BF290*BF249+BG290*BG249+BH290*BH249+BI290*BI249+BJ290*BJ249+BK290*BK249+BL290*BL249+BM290*BM249+BN290*BN249+BO290*BO249+BP290*BP249+BQ290*BQ249+BR290*BR249+BS290*BS249+BT290*BT249+BU290*BU249+BV290*BV249+BW290*BW249+BX290*BX249+BY290*BY249+BZ290*BZ249+CA290*CA249+CB290*CB249+CC290*CC249+CD290*CD249+CE290*CE249+CF290*CF249+CG290*CG249+CH290*CH249+CI290*CI249+CJ290*CJ249+CK290*CK249+CL290*CL249+CM290*CM249+CN290*CN249+CO290*CO249+CP290*CP249+CQ290*CQ249+CR290*CR249+CS290*CS249+CT290*CT249+CU290*CU249</f>
        <v>0</v>
      </c>
      <c r="DB249" s="2840">
        <f>E291*E249+F291*F249+G291*G249+H291*H249+I291*I249+J291*J249+K291*K249+L291*L249+M291*M249+N291*N249+O291*O249+P291*P249+Q291*Q249+R291*R249+S291*S249+T291*T249+U291*U249+V291*V249+W291*W249+X291*X249+Y291*Y249+Z291*Z249+AA291*AA249+AB291*AB249+AC291*AC249+AD291*AD249+AE291*AE249+AF291*AF249+AG291*AG249+AH291*AH249+AI291*AI249+AJ291*AJ249+AK291*AK249+AL291*AL249+AM291*AM249+AN291*AN249+AO291*AO249+AP291*AP249+AQ291*AQ249+AR291*AR249+AS291*AS249+AT291*AT249+AU291*AU249+AV291*AV249+AW291*AW249+AX291*AX249+AY291*AY249+AZ291*AZ249+BA291*BA249+BB291*BB249+BC291*BC249+BD291*BD249+BE291*BE249+BF291*BF249+BG291*BG249+BH291*BH249+BI291*BI249+BJ291*BJ249+BK291*BK249+BL291*BL249+BM291*BM249+BN291*BN249+BO291*BO249+BP291*BP249+BQ291*BQ249+BR291*BR249+BS291*BS249+BT291*BT249+BU291*BU249+BV291*BV249+BW291*BW249+BX291*BX249+BY291*BY249+BZ291*BZ249+CA291*CA249+CB291*CB249+CC291*CC249+CD291*CD249+CE291*CE249+CF291*CF249+CG291*CG249+CH291*CH249+CI291*CI249+CJ291*CJ249+CK291*CK249+CL291*CL249+CM291*CM249+CN291*CN249+CO291*CO249+CP291*CP249+CQ291*CQ249+CR291*CR249+CS291*CS249+CT291*CT249+CU291*CU249</f>
        <v>0</v>
      </c>
      <c r="DC249" s="2840">
        <f>E292*E249+F292*F249+G292*G249+H292*H249+I292*I249+J292*J249+K292*K249+L292*L249+M292*M249+N292*N249+O292*O249+P292*P249+Q292*Q249+R292*R249+S292*S249+T292*T249+U292*U249+V292*V249+W292*W249+X292*X249+Y292*Y249+Z292*Z249+AA292*AA249+AB292*AB249+AC292*AC249+AD292*AD249+AE292*AE249+AF292*AF249+AG292*AG249+AH292*AH249+AI292*AI249+AJ292*AJ249+AK292*AK249+AL292*AL249+AM292*AM249+AN292*AN249+AO292*AO249+AP292*AP249+AQ292*AQ249+AR292*AR249+AS292*AS249+AT292*AT249+AU292*AU249+AV292*AV249+AW292*AW249+AX292*AX249+AY292*AY249+AZ292*AZ249+BA292*BA249+BB292*BB249+BC292*BC249+BD292*BD249+BE292*BE249+BF292*BF249+BG292*BG249+BH292*BH249+BI292*BI249+BJ292*BJ249+BK292*BK249+BL292*BL249+BM292*BM249+BN292*BN249+BO292*BO249+BP292*BP249+BQ292*BQ249+BR292*BR249+BS292*BS249+BT292*BT249+BU292*BU249+BV292*BV249+BW292*BW249+BX292*BX249+BY292*BY249+BZ292*BZ249+CA292*CA249+CB292*CB249+CC292*CC249+CD292*CD249+CE292*CE249+CF292*CF249+CG292*CG249+CH292*CH249+CI292*CI249+CJ292*CJ249+CK292*CK249+CL292*CL249+CM292*CM249+CN292*CN249+CO292*CO249+CP292*CP249+CQ292*CQ249+CR292*CR249+CS292*CS249+CT292*CT249+CU292*CU249</f>
        <v>0</v>
      </c>
      <c r="DD249" s="2840">
        <f>E293*E249+F293*F249+G293*G249+H293*H249+I293*I249+J293*J249+K293*K249+L293*L249+M293*M249+N293*N249+O293*O249+P293*P249+Q293*Q249+R293*R249+S293*S249+T293*T249+U293*U249+V293*V249+W293*W249+X293*X249+Y293*Y249+Z293*Z249+AA293*AA249+AB293*AB249+AC293*AC249+AD293*AD249+AE293*AE249+AF293*AF249+AG293*AG249+AH293*AH249+AI293*AI249+AJ293*AJ249+AK293*AK249+AL293*AL249+AM293*AM249+AN293*AN249+AO293*AO249+AP293*AP249+AQ293*AQ249+AR293*AR249+AS293*AS249+AT293*AT249+AU293*AU249+AV293*AV249+AW293*AW249+AX293*AX249+AY293*AY249+AZ293*AZ249+BA293*BA249+BB293*BB249+BC293*BC249+BD293*BD249+BE293*BE249+BF293*BF249+BG293*BG249+BH293*BH249+BI293*BI249+BJ293*BJ249+BK293*BK249+BL293*BL249+BM293*BM249+BN293*BN249+BO293*BO249+BP293*BP249+BQ293*BQ249+BR293*BR249+BS293*BS249+BT293*BT249+BU293*BU249+BV293*BV249+BW293*BW249+BX293*BX249+BY293*BY249+BZ293*BZ249+CA293*CA249+CB293*CB249+CC293*CC249+CD293*CD249+CE293*CE249+CF293*CF249+CG293*CG249+CH293*CH249+CI293*CI249+CJ293*CJ249+CK293*CK249+CL293*CL249+CM293*CM249+CN293*CN249+CO293*CO249+CP293*CP249+CQ293*CQ249+CR293*CR249+CS293*CS249+CT293*CT249+CU293*CU249</f>
        <v>0</v>
      </c>
      <c r="DE249" s="2840">
        <f>E294*E249+F294*F249+G294*G249+H294*H249+I294*I249+J294*J249+K294*K249+L294*L249+M294*M249+N294*N249+O294*O249+P294*P249+Q294*Q249+R294*R249+S294*S249+T294*T249+U294*U249+V294*V249+W294*W249+X294*X249+Y294*Y249+Z294*Z249+AA294*AA249+AB294*AB249+AC294*AC249+AD294*AD249+AE294*AE249+AF294*AF249+AG294*AG249+AH294*AH249+AI294*AI249+AJ294*AJ249+AK294*AK249+AL294*AL249+AM294*AM249+AN294*AN249+AO294*AO249+AP294*AP249+AQ294*AQ249+AR294*AR249+AS294*AS249+AT294*AT249+AU294*AU249+AV294*AV249+AW294*AW249+AX294*AX249+AY294*AY249+AZ294*AZ249+BA294*BA249+BB294*BB249+BC294*BC249+BD294*BD249+BE294*BE249+BF294*BF249+BG294*BG249+BH294*BH249+BI294*BI249+BJ294*BJ249+BK294*BK249+BL294*BL249+BM294*BM249+BN294*BN249+BO294*BO249+BP294*BP249+BQ294*BQ249+BR294*BR249+BS294*BS249+BT294*BT249+BU294*BU249+BV294*BV249+BW294*BW249+BX294*BX249+BY294*BY249+BZ294*BZ249+CA294*CA249+CB294*CB249+CC294*CC249+CD294*CD249+CE294*CE249+CF294*CF249+CG294*CG249+CH294*CH249+CI294*CI249+CJ294*CJ249+CK294*CK249+CL294*CL249+CM294*CM249+CN294*CN249+CO294*CO249+CP294*CP249+CQ294*CQ249+CR294*CR249+CS294*CS249+CT294*CT249+CU294*CU249</f>
        <v>0</v>
      </c>
      <c r="DF249" s="2840">
        <f>E295*E249+F295*F249+G295*G249+H295*H249+I295*I249+J295*J249+K295*K249+L295*L249+M295*M249+N295*N249+O295*O249+P295*P249+Q295*Q249+R295*R249+S295*S249+T295*T249+U295*U249+V295*V249+W295*W249+X295*X249+Y295*Y249+Z295*Z249+AA295*AA249+AB295*AB249+AC295*AC249+AD295*AD249+AE295*AE249+AF295*AF249+AG295*AG249+AH295*AH249+AI295*AI249+AJ295*AJ249+AK295*AK249+AL295*AL249+AM295*AM249+AN295*AN249+AO295*AO249+AP295*AP249+AQ295*AQ249+AR295*AR249+AS295*AS249+AT295*AT249+AU295*AU249+AV295*AV249+AW295*AW249+AX295*AX249+AY295*AY249+AZ295*AZ249+BA295*BA249+BB295*BB249+BC295*BC249+BD295*BD249+BE295*BE249+BF295*BF249+BG295*BG249+BH295*BH249+BI295*BI249+BJ295*BJ249+BK295*BK249+BL295*BL249+BM295*BM249+BN295*BN249+BO295*BO249+BP295*BP249+BQ295*BQ249+BR295*BR249+BS295*BS249+BT295*BT249+BU295*BU249+BV295*BV249+BW295*BW249+BX295*BX249+BY295*BY249+BZ295*BZ249+CA295*CA249+CB295*CB249+CC295*CC249+CD295*CD249+CE295*CE249+CF295*CF249+CG295*CG249+CH295*CH249+CI295*CI249+CJ295*CJ249+CK295*CK249+CL295*CL249+CM295*CM249+CN295*CN249+CO295*CO249+CP295*CP249+CQ295*CQ249+CR295*CR249+CS295*CS249+CT295*CT249+CU295*CU249</f>
        <v>0</v>
      </c>
      <c r="DG249" s="2840">
        <f>E296*E249+F296*F249+G296*G249+H296*H249+I296*I249+J296*J249+K296*K249+L296*L249+M296*M249+N296*N249+O296*O249+P296*P249+Q296*Q249+R296*R249+S296*S249+T296*T249+U296*U249+V296*V249+W296*W249+X296*X249+Y296*Y249+Z296*Z249+AA296*AA249+AB296*AB249+AC296*AC249+AD296*AD249+AE296*AE249+AF296*AF249+AG296*AG249+AH296*AH249+AI296*AI249+AJ296*AJ249+AK296*AK249+AL296*AL249+AM296*AM249+AN296*AN249+AO296*AO249+AP296*AP249+AQ296*AQ249+AR296*AR249+AS296*AS249+AT296*AT249+AU296*AU249+AV296*AV249+AW296*AW249+AX296*AX249+AY296*AY249+AZ296*AZ249+BA296*BA249+BB296*BB249+BC296*BC249+BD296*BD249+BE296*BE249+BF296*BF249+BG296*BG249+BH296*BH249+BI296*BI249+BJ296*BJ249+BK296*BK249+BL296*BL249+BM296*BM249+BN296*BN249+BO296*BO249+BP296*BP249+BQ296*BQ249+BR296*BR249+BS296*BS249+BT296*BT249+BU296*BU249+BV296*BV249+BW296*BW249+BX296*BX249+BY296*BY249+BZ296*BZ249+CA296*CA249+CB296*CB249+CC296*CC249+CD296*CD249+CE296*CE249+CF296*CF249+CG296*CG249+CH296*CH249+CI296*CI249+CJ296*CJ249+CK296*CK249+CL296*CL249+CM296*CM249+CN296*CN249+CO296*CO249+CP296*CP249+CQ296*CQ249+CR296*CR249+CS296*CS249+CT296*CT249+CU296*CU249</f>
        <v>0</v>
      </c>
      <c r="DH249" s="2840">
        <f>E297*E249+F297*F249+G297*G249+H297*H249+I297*I249+J297*J249+K297*K249+L297*L249+M297*M249+N297*N249+O297*O249+P297*P249+Q297*Q249+R297*R249+S297*S249+T297*T249+U297*U249+V297*V249+W297*W249+X297*X249+Y297*Y249+Z297*Z249+AA297*AA249+AB297*AB249+AC297*AC249+AD297*AD249+AE297*AE249+AF297*AF249+AG297*AG249+AH297*AH249+AI297*AI249+AJ297*AJ249+AK297*AK249+AL297*AL249+AM297*AM249+AN297*AN249+AO297*AO249+AP297*AP249+AQ297*AQ249+AR297*AR249+AS297*AS249+AT297*AT249+AU297*AU249+AV297*AV249+AW297*AW249+AX297*AX249+AY297*AY249+AZ297*AZ249+BA297*BA249+BB297*BB249+BC297*BC249+BD297*BD249+BE297*BE249+BF297*BF249+BG297*BG249+BH297*BH249+BI297*BI249+BJ297*BJ249+BK297*BK249+BL297*BL249+BM297*BM249+BN297*BN249+BO297*BO249+BP297*BP249+BQ297*BQ249+BR297*BR249+BS297*BS249+BT297*BT249+BU297*BU249+BV297*BV249+BW297*BW249+BX297*BX249+BY297*BY249+BZ297*BZ249+CA297*CA249+CB297*CB249+CC297*CC249+CD297*CD249+CE297*CE249+CF297*CF249+CG297*CG249+CH297*CH249+CI297*CI249+CJ297*CJ249+CK297*CK249+CL297*CL249+CM297*CM249+CN297*CN249+CO297*CO249+CP297*CP249+CQ297*CQ249+CR297*CR249+CS297*CS249+CT297*CT249+CU297*CU249</f>
        <v>0</v>
      </c>
      <c r="DI249" s="2840">
        <f>E298*E249+F298*F249+G298*G249+H298*H249+I298*I249+J298*J249+K298*K249+L298*L249+M298*M249+N298*N249+O298*O249+P298*P249+Q298*Q249+R298*R249+S298*S249+T298*T249+U298*U249+V298*V249+W298*W249+X298*X249+Y298*Y249+Z298*Z249+AA298*AA249+AB298*AB249+AC298*AC249+AD298*AD249+AE298*AE249+AF298*AF249+AG298*AG249+AH298*AH249+AI298*AI249+AJ298*AJ249+AK298*AK249+AL298*AL249+AM298*AM249+AN298*AN249+AO298*AO249+AP298*AP249+AQ298*AQ249+AR298*AR249+AS298*AS249+AT298*AT249+AU298*AU249+AV298*AV249+AW298*AW249+AX298*AX249+AY298*AY249+AZ298*AZ249+BA298*BA249+BB298*BB249+BC298*BC249+BD298*BD249+BE298*BE249+BF298*BF249+BG298*BG249+BH298*BH249+BI298*BI249+BJ298*BJ249+BK298*BK249+BL298*BL249+BM298*BM249+BN298*BN249+BO298*BO249+BP298*BP249+BQ298*BQ249+BR298*BR249+BS298*BS249+BT298*BT249+BU298*BU249+BV298*BV249+BW298*BW249+BX298*BX249+BY298*BY249+BZ298*BZ249+CA298*CA249+CB298*CB249+CC298*CC249+CD298*CD249+CE298*CE249+CF298*CF249+CG298*CG249+CH298*CH249+CI298*CI249+CJ298*CJ249+CK298*CK249+CL298*CL249+CM298*CM249+CN298*CN249+CO298*CO249+CP298*CP249+CQ298*CQ249+CR298*CR249+CS298*CS249+CT298*CT249+CU298*CU249</f>
        <v>0</v>
      </c>
    </row>
    <row r="250" spans="2:113" ht="18" x14ac:dyDescent="0.25">
      <c r="B250" s="2514">
        <v>97</v>
      </c>
      <c r="C250" s="2456" t="s">
        <v>3312</v>
      </c>
      <c r="D250" s="2457" t="s">
        <v>4312</v>
      </c>
      <c r="E250" s="3129">
        <f>0</f>
        <v>0</v>
      </c>
      <c r="F250" s="3129">
        <f>0</f>
        <v>0</v>
      </c>
      <c r="G250" s="3129">
        <f>0</f>
        <v>0</v>
      </c>
      <c r="H250" s="3129">
        <f>0</f>
        <v>0</v>
      </c>
      <c r="I250" s="3129">
        <f>0</f>
        <v>0</v>
      </c>
      <c r="J250" s="3143">
        <f>0</f>
        <v>0</v>
      </c>
      <c r="K250" s="3129">
        <f>0</f>
        <v>0</v>
      </c>
      <c r="L250" s="3129">
        <f>0</f>
        <v>0</v>
      </c>
      <c r="M250" s="3129">
        <f>0</f>
        <v>0</v>
      </c>
      <c r="N250" s="3129">
        <f>0</f>
        <v>0</v>
      </c>
      <c r="O250" s="3129">
        <f>0</f>
        <v>0</v>
      </c>
      <c r="P250" s="3129">
        <f>0</f>
        <v>0</v>
      </c>
      <c r="Q250" s="3129">
        <f>0</f>
        <v>0</v>
      </c>
      <c r="R250" s="3129">
        <f>0</f>
        <v>0</v>
      </c>
      <c r="S250" s="3129">
        <f>0</f>
        <v>0</v>
      </c>
      <c r="T250" s="3129">
        <f>0</f>
        <v>0</v>
      </c>
      <c r="U250" s="3129">
        <f>0</f>
        <v>0</v>
      </c>
      <c r="V250" s="3129">
        <f>0</f>
        <v>0</v>
      </c>
      <c r="W250" s="3129">
        <f>0</f>
        <v>0</v>
      </c>
      <c r="X250" s="3129">
        <f>0</f>
        <v>0</v>
      </c>
      <c r="Y250" s="3129">
        <f>0</f>
        <v>0</v>
      </c>
      <c r="Z250" s="3129">
        <f>0</f>
        <v>0</v>
      </c>
      <c r="AA250" s="3129">
        <f>0</f>
        <v>0</v>
      </c>
      <c r="AB250" s="3129">
        <f>0</f>
        <v>0</v>
      </c>
      <c r="AC250" s="3129">
        <f>0</f>
        <v>0</v>
      </c>
      <c r="AD250" s="3129">
        <f>0</f>
        <v>0</v>
      </c>
      <c r="AE250" s="3129">
        <f>0</f>
        <v>0</v>
      </c>
      <c r="AF250" s="3129">
        <f>0</f>
        <v>0</v>
      </c>
      <c r="AG250" s="3129">
        <f>0</f>
        <v>0</v>
      </c>
      <c r="AH250" s="3129">
        <f>0</f>
        <v>0</v>
      </c>
      <c r="AI250" s="3129">
        <f>0</f>
        <v>0</v>
      </c>
      <c r="AJ250" s="3143">
        <f>0</f>
        <v>0</v>
      </c>
      <c r="AK250" s="3129">
        <f>0</f>
        <v>0</v>
      </c>
      <c r="AL250" s="3168">
        <f>-1</f>
        <v>-1</v>
      </c>
      <c r="AM250" s="3129">
        <f>0</f>
        <v>0</v>
      </c>
      <c r="AN250" s="3129">
        <f>0</f>
        <v>0</v>
      </c>
      <c r="AO250" s="3129">
        <f>0</f>
        <v>0</v>
      </c>
      <c r="AP250" s="3143">
        <f>0</f>
        <v>0</v>
      </c>
      <c r="AQ250" s="3129">
        <f>0</f>
        <v>0</v>
      </c>
      <c r="AR250" s="3129">
        <f>0</f>
        <v>0</v>
      </c>
      <c r="AS250" s="3129">
        <f>0</f>
        <v>0</v>
      </c>
      <c r="AT250" s="3129">
        <f>0</f>
        <v>0</v>
      </c>
      <c r="AU250" s="3129">
        <f>0</f>
        <v>0</v>
      </c>
      <c r="AV250" s="3129">
        <f>0</f>
        <v>0</v>
      </c>
      <c r="AW250" s="3129">
        <f>0</f>
        <v>0</v>
      </c>
      <c r="AX250" s="3129">
        <f>0</f>
        <v>0</v>
      </c>
      <c r="AY250" s="3129">
        <f>0</f>
        <v>0</v>
      </c>
      <c r="AZ250" s="3129">
        <f>0</f>
        <v>0</v>
      </c>
      <c r="BA250" s="3129">
        <f>0</f>
        <v>0</v>
      </c>
      <c r="BB250" s="3129">
        <f>0</f>
        <v>0</v>
      </c>
      <c r="BC250" s="3129">
        <f>0</f>
        <v>0</v>
      </c>
      <c r="BD250" s="3129">
        <f>0</f>
        <v>0</v>
      </c>
      <c r="BE250" s="3129">
        <f>0</f>
        <v>0</v>
      </c>
      <c r="BF250" s="3129">
        <f>0</f>
        <v>0</v>
      </c>
      <c r="BG250" s="3129">
        <f>0</f>
        <v>0</v>
      </c>
      <c r="BH250" s="3129">
        <f>0</f>
        <v>0</v>
      </c>
      <c r="BI250" s="3129">
        <f>0</f>
        <v>0</v>
      </c>
      <c r="BJ250" s="3129">
        <f>0</f>
        <v>0</v>
      </c>
      <c r="BK250" s="3129">
        <f>0</f>
        <v>0</v>
      </c>
      <c r="BL250" s="3129">
        <f>0</f>
        <v>0</v>
      </c>
      <c r="BM250" s="3202">
        <f>0</f>
        <v>0</v>
      </c>
      <c r="BN250" s="3169">
        <f>-1/(A_SFHAO_L*(A_MP/A_MAl))</f>
        <v>-8.7110825691042457</v>
      </c>
      <c r="BO250" s="3202">
        <f>0</f>
        <v>0</v>
      </c>
      <c r="BP250" s="3202">
        <f>0</f>
        <v>0</v>
      </c>
      <c r="BQ250" s="3169">
        <f>1/(A_SFHAO_L*(A_MP/A_MAl))</f>
        <v>8.7110825691042457</v>
      </c>
      <c r="BR250" s="3202">
        <f>0</f>
        <v>0</v>
      </c>
      <c r="BS250" s="3202">
        <f>0</f>
        <v>0</v>
      </c>
      <c r="BT250" s="3129">
        <f>0</f>
        <v>0</v>
      </c>
      <c r="BU250" s="3129">
        <f>0</f>
        <v>0</v>
      </c>
      <c r="BV250" s="3129">
        <f>0</f>
        <v>0</v>
      </c>
      <c r="BW250" s="3129">
        <f>0</f>
        <v>0</v>
      </c>
      <c r="BX250" s="3129">
        <f>0</f>
        <v>0</v>
      </c>
      <c r="BY250" s="3129">
        <f>0</f>
        <v>0</v>
      </c>
      <c r="BZ250" s="3143">
        <f>0</f>
        <v>0</v>
      </c>
      <c r="CA250" s="3143">
        <f>0</f>
        <v>0</v>
      </c>
      <c r="CB250" s="3143">
        <f>0</f>
        <v>0</v>
      </c>
      <c r="CC250" s="3143">
        <f>0</f>
        <v>0</v>
      </c>
      <c r="CD250" s="3129">
        <f>0</f>
        <v>0</v>
      </c>
      <c r="CE250" s="3129">
        <f>0</f>
        <v>0</v>
      </c>
      <c r="CF250" s="3129">
        <f>0</f>
        <v>0</v>
      </c>
      <c r="CG250" s="3129">
        <f>0</f>
        <v>0</v>
      </c>
      <c r="CH250" s="3129">
        <f>0</f>
        <v>0</v>
      </c>
      <c r="CI250" s="3129">
        <f>0</f>
        <v>0</v>
      </c>
      <c r="CJ250" s="3129">
        <f>0</f>
        <v>0</v>
      </c>
      <c r="CK250" s="3129">
        <f>0</f>
        <v>0</v>
      </c>
      <c r="CL250" s="3129">
        <f>0</f>
        <v>0</v>
      </c>
      <c r="CM250" s="3129">
        <f>0</f>
        <v>0</v>
      </c>
      <c r="CN250" s="3129">
        <f>0</f>
        <v>0</v>
      </c>
      <c r="CO250" s="3129">
        <f>0</f>
        <v>0</v>
      </c>
      <c r="CP250" s="3129">
        <f>0</f>
        <v>0</v>
      </c>
      <c r="CQ250" s="3129">
        <f>0</f>
        <v>0</v>
      </c>
      <c r="CR250" s="3129">
        <f>0</f>
        <v>0</v>
      </c>
      <c r="CS250" s="3129">
        <f>0</f>
        <v>0</v>
      </c>
      <c r="CT250" s="3129">
        <f>0</f>
        <v>0</v>
      </c>
      <c r="CU250" s="3129">
        <f>0</f>
        <v>0</v>
      </c>
      <c r="CV250" s="3233">
        <f>q_P_HAO_BIND*X_HAO_L*M_satSPO4_KP_HAO_BIND</f>
        <v>8.3333333333333332E-51</v>
      </c>
      <c r="CX250" s="2838">
        <f>E287*E250+F287*F250+G287*G250+H287*H250+I287*I250+J287*J250+K287*K250+L287*L250+M287*M250+N287*N250+O287*O250+P287*P250+Q287*Q250+R287*R250+S287*S250+T287*T250+U287*U250+V287*V250+W287*W250+X287*X250+Y287*Y250+Z287*Z250+AA287*AA250+AB287*AB250+AC287*AC250+AD287*AD250+AE287*AE250+AF287*AF250+AG287*AG250+AH287*AH250+AI287*AI250+AJ287*AJ250+AK287*AK250+AL287*AL250+AM287*AM250+AN287*AN250+AO287*AO250+AP287*AP250+AQ287*AQ250+AR287*AR250+AS287*AS250+AT287*AT250+AU287*AU250+AV287*AV250+AW287*AW250+AX287*AX250+AY287*AY250+AZ287*AZ250+BA287*BA250+BB287*BB250+BC287*BC250+BD287*BD250+BE287*BE250+BF287*BF250+BG287*BG250+BH287*BH250+BI287*BI250+BJ287*BJ250+BK287*BK250+BL287*BL250+BM287*BM250+BN287*BN250+BO287*BO250+BP287*BP250+BQ287*BQ250+BR287*BR250+BS287*BS250+BT287*BT250+BU287*BU250+BV287*BV250+BW287*BW250+BX287*BX250+BY287*BY250+BZ287*BZ250+CA287*CA250+CB287*CB250+CC287*CC250+CD287*CD250+CE287*CE250+CF287*CF250+CG287*CG250+CH287*CH250+CI287*CI250+CJ287*CJ250+CK287*CK250+CL287*CL250+CM287*CM250+CN287*CN250+CO287*CO250+CP287*CP250+CQ287*CQ250+CR287*CR250+CS287*CS250+CT287*CT250+CU287*CU250</f>
        <v>0</v>
      </c>
      <c r="CY250" s="2838">
        <f>E288*E250+F288*F250+G288*G250+H288*H250+I288*I250+J288*J250+K288*K250+L288*L250+M288*M250+N288*N250+O288*O250+P288*P250+Q288*Q250+R288*R250+S288*S250+T288*T250+U288*U250+V288*V250+W288*W250+X288*X250+Y288*Y250+Z288*Z250+AA288*AA250+AB288*AB250+AC288*AC250+AD288*AD250+AE288*AE250+AF288*AF250+AG288*AG250+AH288*AH250+AI288*AI250+AJ288*AJ250+AK288*AK250+AL288*AL250+AM288*AM250+AN288*AN250+AO288*AO250+AP288*AP250+AQ288*AQ250+AR288*AR250+AS288*AS250+AT288*AT250+AU288*AU250+AV288*AV250+AW288*AW250+AX288*AX250+AY288*AY250+AZ288*AZ250+BA288*BA250+BB288*BB250+BC288*BC250+BD288*BD250+BE288*BE250+BF288*BF250+BG288*BG250+BH288*BH250+BI288*BI250+BJ288*BJ250+BK288*BK250+BL288*BL250+BM288*BM250+BN288*BN250+BO288*BO250+BP288*BP250+BQ288*BQ250+BR288*BR250+BS288*BS250+BT288*BT250+BU288*BU250+BV288*BV250+BW288*BW250+BX288*BX250+BY288*BY250+BZ288*BZ250+CA288*CA250+CB288*CB250+CC288*CC250+CD288*CD250+CE288*CE250+CF288*CF250+CG288*CG250+CH288*CH250+CI288*CI250+CJ288*CJ250+CK288*CK250+CL288*CL250+CM288*CM250+CN288*CN250+CO288*CO250+CP288*CP250+CQ288*CQ250+CR288*CR250+CS288*CS250+CT288*CT250+CU288*CU250</f>
        <v>0</v>
      </c>
      <c r="CZ250" s="2839">
        <f>E289*E250+F289*F250+G289*G250+H289*H250+I289*I250+J289*J250+K289*K250+L289*L250+M289*M250+N289*N250+O289*O250+P289*P250+Q289*Q250+R289*R250+S289*S250+T289*T250+U289*U250+V289*V250+W289*W250+X289*X250+Y289*Y250+Z289*Z250+AA289*AA250+AB289*AB250+AC289*AC250+AD289*AD250+AE289*AE250+AF289*AF250+AG289*AG250+AH289*AH250+AI289*AI250+AJ289*AJ250+AK289*AK250+AL289*AL250+AM289*AM250+AN289*AN250+AO289*AO250+AP289*AP250+AQ289*AQ250+AR289*AR250+AS289*AS250+AT289*AT250+AU289*AU250+AV289*AV250+AW289*AW250+AX289*AX250+AY289*AY250+AZ289*AZ250+BA289*BA250+BB289*BB250+BC289*BC250+BD289*BD250+BE289*BE250+BF289*BF250+BG289*BG250+BH289*BH250+BI289*BI250+BJ289*BJ250+BK289*BK250+BL289*BL250+BM289*BM250+BN289*BN250+BO289*BO250+BP289*BP250+BQ289*BQ250+BR289*BR250+BS289*BS250+BT289*BT250+BU289*BU250+BV289*BV250+BW289*BW250+BX289*BX250+BY289*BY250+BZ289*BZ250+CA289*CA250+CB289*CB250+CC289*CC250+CD289*CD250+CE289*CE250+CF289*CF250+CG289*CG250+CH289*CH250+CI289*CI250+CJ289*CJ250+CK289*CK250+CL289*CL250+CM289*CM250+CN289*CN250+CO289*CO250+CP289*CP250+CQ289*CQ250+CR289*CR250+CS289*CS250+CT289*CT250+CU289*CU250</f>
        <v>0</v>
      </c>
      <c r="DA250" s="2840">
        <f>E290*E250+F290*F250+G290*G250+H290*H250+I290*I250+J290*J250+K290*K250+L290*L250+M290*M250+N290*N250+O290*O250+P290*P250+Q290*Q250+R290*R250+S290*S250+T290*T250+U290*U250+V290*V250+W290*W250+X290*X250+Y290*Y250+Z290*Z250+AA290*AA250+AB290*AB250+AC290*AC250+AD290*AD250+AE290*AE250+AF290*AF250+AG290*AG250+AH290*AH250+AI290*AI250+AJ290*AJ250+AK290*AK250+AL290*AL250+AM290*AM250+AN290*AN250+AO290*AO250+AP290*AP250+AQ290*AQ250+AR290*AR250+AS290*AS250+AT290*AT250+AU290*AU250+AV290*AV250+AW290*AW250+AX290*AX250+AY290*AY250+AZ290*AZ250+BA290*BA250+BB290*BB250+BC290*BC250+BD290*BD250+BE290*BE250+BF290*BF250+BG290*BG250+BH290*BH250+BI290*BI250+BJ290*BJ250+BK290*BK250+BL290*BL250+BM290*BM250+BN290*BN250+BO290*BO250+BP290*BP250+BQ290*BQ250+BR290*BR250+BS290*BS250+BT290*BT250+BU290*BU250+BV290*BV250+BW290*BW250+BX290*BX250+BY290*BY250+BZ290*BZ250+CA290*CA250+CB290*CB250+CC290*CC250+CD290*CD250+CE290*CE250+CF290*CF250+CG290*CG250+CH290*CH250+CI290*CI250+CJ290*CJ250+CK290*CK250+CL290*CL250+CM290*CM250+CN290*CN250+CO290*CO250+CP290*CP250+CQ290*CQ250+CR290*CR250+CS290*CS250+CT290*CT250+CU290*CU250</f>
        <v>0</v>
      </c>
      <c r="DB250" s="2840">
        <f>E291*E250+F291*F250+G291*G250+H291*H250+I291*I250+J291*J250+K291*K250+L291*L250+M291*M250+N291*N250+O291*O250+P291*P250+Q291*Q250+R291*R250+S291*S250+T291*T250+U291*U250+V291*V250+W291*W250+X291*X250+Y291*Y250+Z291*Z250+AA291*AA250+AB291*AB250+AC291*AC250+AD291*AD250+AE291*AE250+AF291*AF250+AG291*AG250+AH291*AH250+AI291*AI250+AJ291*AJ250+AK291*AK250+AL291*AL250+AM291*AM250+AN291*AN250+AO291*AO250+AP291*AP250+AQ291*AQ250+AR291*AR250+AS291*AS250+AT291*AT250+AU291*AU250+AV291*AV250+AW291*AW250+AX291*AX250+AY291*AY250+AZ291*AZ250+BA291*BA250+BB291*BB250+BC291*BC250+BD291*BD250+BE291*BE250+BF291*BF250+BG291*BG250+BH291*BH250+BI291*BI250+BJ291*BJ250+BK291*BK250+BL291*BL250+BM291*BM250+BN291*BN250+BO291*BO250+BP291*BP250+BQ291*BQ250+BR291*BR250+BS291*BS250+BT291*BT250+BU291*BU250+BV291*BV250+BW291*BW250+BX291*BX250+BY291*BY250+BZ291*BZ250+CA291*CA250+CB291*CB250+CC291*CC250+CD291*CD250+CE291*CE250+CF291*CF250+CG291*CG250+CH291*CH250+CI291*CI250+CJ291*CJ250+CK291*CK250+CL291*CL250+CM291*CM250+CN291*CN250+CO291*CO250+CP291*CP250+CQ291*CQ250+CR291*CR250+CS291*CS250+CT291*CT250+CU291*CU250</f>
        <v>0</v>
      </c>
      <c r="DC250" s="2840">
        <f>E292*E250+F292*F250+G292*G250+H292*H250+I292*I250+J292*J250+K292*K250+L292*L250+M292*M250+N292*N250+O292*O250+P292*P250+Q292*Q250+R292*R250+S292*S250+T292*T250+U292*U250+V292*V250+W292*W250+X292*X250+Y292*Y250+Z292*Z250+AA292*AA250+AB292*AB250+AC292*AC250+AD292*AD250+AE292*AE250+AF292*AF250+AG292*AG250+AH292*AH250+AI292*AI250+AJ292*AJ250+AK292*AK250+AL292*AL250+AM292*AM250+AN292*AN250+AO292*AO250+AP292*AP250+AQ292*AQ250+AR292*AR250+AS292*AS250+AT292*AT250+AU292*AU250+AV292*AV250+AW292*AW250+AX292*AX250+AY292*AY250+AZ292*AZ250+BA292*BA250+BB292*BB250+BC292*BC250+BD292*BD250+BE292*BE250+BF292*BF250+BG292*BG250+BH292*BH250+BI292*BI250+BJ292*BJ250+BK292*BK250+BL292*BL250+BM292*BM250+BN292*BN250+BO292*BO250+BP292*BP250+BQ292*BQ250+BR292*BR250+BS292*BS250+BT292*BT250+BU292*BU250+BV292*BV250+BW292*BW250+BX292*BX250+BY292*BY250+BZ292*BZ250+CA292*CA250+CB292*CB250+CC292*CC250+CD292*CD250+CE292*CE250+CF292*CF250+CG292*CG250+CH292*CH250+CI292*CI250+CJ292*CJ250+CK292*CK250+CL292*CL250+CM292*CM250+CN292*CN250+CO292*CO250+CP292*CP250+CQ292*CQ250+CR292*CR250+CS292*CS250+CT292*CT250+CU292*CU250</f>
        <v>0</v>
      </c>
      <c r="DD250" s="2840">
        <f>E293*E250+F293*F250+G293*G250+H293*H250+I293*I250+J293*J250+K293*K250+L293*L250+M293*M250+N293*N250+O293*O250+P293*P250+Q293*Q250+R293*R250+S293*S250+T293*T250+U293*U250+V293*V250+W293*W250+X293*X250+Y293*Y250+Z293*Z250+AA293*AA250+AB293*AB250+AC293*AC250+AD293*AD250+AE293*AE250+AF293*AF250+AG293*AG250+AH293*AH250+AI293*AI250+AJ293*AJ250+AK293*AK250+AL293*AL250+AM293*AM250+AN293*AN250+AO293*AO250+AP293*AP250+AQ293*AQ250+AR293*AR250+AS293*AS250+AT293*AT250+AU293*AU250+AV293*AV250+AW293*AW250+AX293*AX250+AY293*AY250+AZ293*AZ250+BA293*BA250+BB293*BB250+BC293*BC250+BD293*BD250+BE293*BE250+BF293*BF250+BG293*BG250+BH293*BH250+BI293*BI250+BJ293*BJ250+BK293*BK250+BL293*BL250+BM293*BM250+BN293*BN250+BO293*BO250+BP293*BP250+BQ293*BQ250+BR293*BR250+BS293*BS250+BT293*BT250+BU293*BU250+BV293*BV250+BW293*BW250+BX293*BX250+BY293*BY250+BZ293*BZ250+CA293*CA250+CB293*CB250+CC293*CC250+CD293*CD250+CE293*CE250+CF293*CF250+CG293*CG250+CH293*CH250+CI293*CI250+CJ293*CJ250+CK293*CK250+CL293*CL250+CM293*CM250+CN293*CN250+CO293*CO250+CP293*CP250+CQ293*CQ250+CR293*CR250+CS293*CS250+CT293*CT250+CU293*CU250</f>
        <v>0</v>
      </c>
      <c r="DE250" s="2840">
        <f>E294*E250+F294*F250+G294*G250+H294*H250+I294*I250+J294*J250+K294*K250+L294*L250+M294*M250+N294*N250+O294*O250+P294*P250+Q294*Q250+R294*R250+S294*S250+T294*T250+U294*U250+V294*V250+W294*W250+X294*X250+Y294*Y250+Z294*Z250+AA294*AA250+AB294*AB250+AC294*AC250+AD294*AD250+AE294*AE250+AF294*AF250+AG294*AG250+AH294*AH250+AI294*AI250+AJ294*AJ250+AK294*AK250+AL294*AL250+AM294*AM250+AN294*AN250+AO294*AO250+AP294*AP250+AQ294*AQ250+AR294*AR250+AS294*AS250+AT294*AT250+AU294*AU250+AV294*AV250+AW294*AW250+AX294*AX250+AY294*AY250+AZ294*AZ250+BA294*BA250+BB294*BB250+BC294*BC250+BD294*BD250+BE294*BE250+BF294*BF250+BG294*BG250+BH294*BH250+BI294*BI250+BJ294*BJ250+BK294*BK250+BL294*BL250+BM294*BM250+BN294*BN250+BO294*BO250+BP294*BP250+BQ294*BQ250+BR294*BR250+BS294*BS250+BT294*BT250+BU294*BU250+BV294*BV250+BW294*BW250+BX294*BX250+BY294*BY250+BZ294*BZ250+CA294*CA250+CB294*CB250+CC294*CC250+CD294*CD250+CE294*CE250+CF294*CF250+CG294*CG250+CH294*CH250+CI294*CI250+CJ294*CJ250+CK294*CK250+CL294*CL250+CM294*CM250+CN294*CN250+CO294*CO250+CP294*CP250+CQ294*CQ250+CR294*CR250+CS294*CS250+CT294*CT250+CU294*CU250</f>
        <v>0</v>
      </c>
      <c r="DF250" s="2840">
        <f>E295*E250+F295*F250+G295*G250+H295*H250+I295*I250+J295*J250+K295*K250+L295*L250+M295*M250+N295*N250+O295*O250+P295*P250+Q295*Q250+R295*R250+S295*S250+T295*T250+U295*U250+V295*V250+W295*W250+X295*X250+Y295*Y250+Z295*Z250+AA295*AA250+AB295*AB250+AC295*AC250+AD295*AD250+AE295*AE250+AF295*AF250+AG295*AG250+AH295*AH250+AI295*AI250+AJ295*AJ250+AK295*AK250+AL295*AL250+AM295*AM250+AN295*AN250+AO295*AO250+AP295*AP250+AQ295*AQ250+AR295*AR250+AS295*AS250+AT295*AT250+AU295*AU250+AV295*AV250+AW295*AW250+AX295*AX250+AY295*AY250+AZ295*AZ250+BA295*BA250+BB295*BB250+BC295*BC250+BD295*BD250+BE295*BE250+BF295*BF250+BG295*BG250+BH295*BH250+BI295*BI250+BJ295*BJ250+BK295*BK250+BL295*BL250+BM295*BM250+BN295*BN250+BO295*BO250+BP295*BP250+BQ295*BQ250+BR295*BR250+BS295*BS250+BT295*BT250+BU295*BU250+BV295*BV250+BW295*BW250+BX295*BX250+BY295*BY250+BZ295*BZ250+CA295*CA250+CB295*CB250+CC295*CC250+CD295*CD250+CE295*CE250+CF295*CF250+CG295*CG250+CH295*CH250+CI295*CI250+CJ295*CJ250+CK295*CK250+CL295*CL250+CM295*CM250+CN295*CN250+CO295*CO250+CP295*CP250+CQ295*CQ250+CR295*CR250+CS295*CS250+CT295*CT250+CU295*CU250</f>
        <v>0</v>
      </c>
      <c r="DG250" s="2840">
        <f>E296*E250+F296*F250+G296*G250+H296*H250+I296*I250+J296*J250+K296*K250+L296*L250+M296*M250+N296*N250+O296*O250+P296*P250+Q296*Q250+R296*R250+S296*S250+T296*T250+U296*U250+V296*V250+W296*W250+X296*X250+Y296*Y250+Z296*Z250+AA296*AA250+AB296*AB250+AC296*AC250+AD296*AD250+AE296*AE250+AF296*AF250+AG296*AG250+AH296*AH250+AI296*AI250+AJ296*AJ250+AK296*AK250+AL296*AL250+AM296*AM250+AN296*AN250+AO296*AO250+AP296*AP250+AQ296*AQ250+AR296*AR250+AS296*AS250+AT296*AT250+AU296*AU250+AV296*AV250+AW296*AW250+AX296*AX250+AY296*AY250+AZ296*AZ250+BA296*BA250+BB296*BB250+BC296*BC250+BD296*BD250+BE296*BE250+BF296*BF250+BG296*BG250+BH296*BH250+BI296*BI250+BJ296*BJ250+BK296*BK250+BL296*BL250+BM296*BM250+BN296*BN250+BO296*BO250+BP296*BP250+BQ296*BQ250+BR296*BR250+BS296*BS250+BT296*BT250+BU296*BU250+BV296*BV250+BW296*BW250+BX296*BX250+BY296*BY250+BZ296*BZ250+CA296*CA250+CB296*CB250+CC296*CC250+CD296*CD250+CE296*CE250+CF296*CF250+CG296*CG250+CH296*CH250+CI296*CI250+CJ296*CJ250+CK296*CK250+CL296*CL250+CM296*CM250+CN296*CN250+CO296*CO250+CP296*CP250+CQ296*CQ250+CR296*CR250+CS296*CS250+CT296*CT250+CU296*CU250</f>
        <v>0</v>
      </c>
      <c r="DH250" s="2840">
        <f>E297*E250+F297*F250+G297*G250+H297*H250+I297*I250+J297*J250+K297*K250+L297*L250+M297*M250+N297*N250+O297*O250+P297*P250+Q297*Q250+R297*R250+S297*S250+T297*T250+U297*U250+V297*V250+W297*W250+X297*X250+Y297*Y250+Z297*Z250+AA297*AA250+AB297*AB250+AC297*AC250+AD297*AD250+AE297*AE250+AF297*AF250+AG297*AG250+AH297*AH250+AI297*AI250+AJ297*AJ250+AK297*AK250+AL297*AL250+AM297*AM250+AN297*AN250+AO297*AO250+AP297*AP250+AQ297*AQ250+AR297*AR250+AS297*AS250+AT297*AT250+AU297*AU250+AV297*AV250+AW297*AW250+AX297*AX250+AY297*AY250+AZ297*AZ250+BA297*BA250+BB297*BB250+BC297*BC250+BD297*BD250+BE297*BE250+BF297*BF250+BG297*BG250+BH297*BH250+BI297*BI250+BJ297*BJ250+BK297*BK250+BL297*BL250+BM297*BM250+BN297*BN250+BO297*BO250+BP297*BP250+BQ297*BQ250+BR297*BR250+BS297*BS250+BT297*BT250+BU297*BU250+BV297*BV250+BW297*BW250+BX297*BX250+BY297*BY250+BZ297*BZ250+CA297*CA250+CB297*CB250+CC297*CC250+CD297*CD250+CE297*CE250+CF297*CF250+CG297*CG250+CH297*CH250+CI297*CI250+CJ297*CJ250+CK297*CK250+CL297*CL250+CM297*CM250+CN297*CN250+CO297*CO250+CP297*CP250+CQ297*CQ250+CR297*CR250+CS297*CS250+CT297*CT250+CU297*CU250</f>
        <v>0</v>
      </c>
      <c r="DI250" s="2840">
        <f>E298*E250+F298*F250+G298*G250+H298*H250+I298*I250+J298*J250+K298*K250+L298*L250+M298*M250+N298*N250+O298*O250+P298*P250+Q298*Q250+R298*R250+S298*S250+T298*T250+U298*U250+V298*V250+W298*W250+X298*X250+Y298*Y250+Z298*Z250+AA298*AA250+AB298*AB250+AC298*AC250+AD298*AD250+AE298*AE250+AF298*AF250+AG298*AG250+AH298*AH250+AI298*AI250+AJ298*AJ250+AK298*AK250+AL298*AL250+AM298*AM250+AN298*AN250+AO298*AO250+AP298*AP250+AQ298*AQ250+AR298*AR250+AS298*AS250+AT298*AT250+AU298*AU250+AV298*AV250+AW298*AW250+AX298*AX250+AY298*AY250+AZ298*AZ250+BA298*BA250+BB298*BB250+BC298*BC250+BD298*BD250+BE298*BE250+BF298*BF250+BG298*BG250+BH298*BH250+BI298*BI250+BJ298*BJ250+BK298*BK250+BL298*BL250+BM298*BM250+BN298*BN250+BO298*BO250+BP298*BP250+BQ298*BQ250+BR298*BR250+BS298*BS250+BT298*BT250+BU298*BU250+BV298*BV250+BW298*BW250+BX298*BX250+BY298*BY250+BZ298*BZ250+CA298*CA250+CB298*CB250+CC298*CC250+CD298*CD250+CE298*CE250+CF298*CF250+CG298*CG250+CH298*CH250+CI298*CI250+CJ298*CJ250+CK298*CK250+CL298*CL250+CM298*CM250+CN298*CN250+CO298*CO250+CP298*CP250+CQ298*CQ250+CR298*CR250+CS298*CS250+CT298*CT250+CU298*CU250</f>
        <v>0</v>
      </c>
    </row>
    <row r="251" spans="2:113" ht="18" x14ac:dyDescent="0.25">
      <c r="B251" s="2514">
        <v>98</v>
      </c>
      <c r="C251" s="2456" t="s">
        <v>3313</v>
      </c>
      <c r="D251" s="2457" t="s">
        <v>4313</v>
      </c>
      <c r="E251" s="3129">
        <f>0</f>
        <v>0</v>
      </c>
      <c r="F251" s="3129">
        <f>0</f>
        <v>0</v>
      </c>
      <c r="G251" s="3129">
        <f>0</f>
        <v>0</v>
      </c>
      <c r="H251" s="3129">
        <f>0</f>
        <v>0</v>
      </c>
      <c r="I251" s="3129">
        <f>0</f>
        <v>0</v>
      </c>
      <c r="J251" s="3143">
        <f>0</f>
        <v>0</v>
      </c>
      <c r="K251" s="3129">
        <f>0</f>
        <v>0</v>
      </c>
      <c r="L251" s="3129">
        <f>0</f>
        <v>0</v>
      </c>
      <c r="M251" s="3129">
        <f>0</f>
        <v>0</v>
      </c>
      <c r="N251" s="3129">
        <f>0</f>
        <v>0</v>
      </c>
      <c r="O251" s="3129">
        <f>0</f>
        <v>0</v>
      </c>
      <c r="P251" s="3129">
        <f>0</f>
        <v>0</v>
      </c>
      <c r="Q251" s="3129">
        <f>0</f>
        <v>0</v>
      </c>
      <c r="R251" s="3129">
        <f>0</f>
        <v>0</v>
      </c>
      <c r="S251" s="3129">
        <f>0</f>
        <v>0</v>
      </c>
      <c r="T251" s="3129">
        <f>0</f>
        <v>0</v>
      </c>
      <c r="U251" s="3129">
        <f>0</f>
        <v>0</v>
      </c>
      <c r="V251" s="3129">
        <f>0</f>
        <v>0</v>
      </c>
      <c r="W251" s="3129">
        <f>0</f>
        <v>0</v>
      </c>
      <c r="X251" s="3129">
        <f>0</f>
        <v>0</v>
      </c>
      <c r="Y251" s="3129">
        <f>0</f>
        <v>0</v>
      </c>
      <c r="Z251" s="3129">
        <f>0</f>
        <v>0</v>
      </c>
      <c r="AA251" s="3129">
        <f>0</f>
        <v>0</v>
      </c>
      <c r="AB251" s="3129">
        <f>0</f>
        <v>0</v>
      </c>
      <c r="AC251" s="3129">
        <f>0</f>
        <v>0</v>
      </c>
      <c r="AD251" s="3129">
        <f>0</f>
        <v>0</v>
      </c>
      <c r="AE251" s="3129">
        <f>0</f>
        <v>0</v>
      </c>
      <c r="AF251" s="3129">
        <f>0</f>
        <v>0</v>
      </c>
      <c r="AG251" s="3129">
        <f>0</f>
        <v>0</v>
      </c>
      <c r="AH251" s="3129">
        <f>0</f>
        <v>0</v>
      </c>
      <c r="AI251" s="3129">
        <f>0</f>
        <v>0</v>
      </c>
      <c r="AJ251" s="3143">
        <f>0</f>
        <v>0</v>
      </c>
      <c r="AK251" s="3129">
        <f>0</f>
        <v>0</v>
      </c>
      <c r="AL251" s="3169">
        <f>(A_SFHAO_H*(A_MP/A_MAl))</f>
        <v>1.1479629449808202</v>
      </c>
      <c r="AM251" s="3129">
        <f>0</f>
        <v>0</v>
      </c>
      <c r="AN251" s="3129">
        <f>0</f>
        <v>0</v>
      </c>
      <c r="AO251" s="3129">
        <f>0</f>
        <v>0</v>
      </c>
      <c r="AP251" s="3143">
        <f>0</f>
        <v>0</v>
      </c>
      <c r="AQ251" s="3129">
        <f>0</f>
        <v>0</v>
      </c>
      <c r="AR251" s="3129">
        <f>0</f>
        <v>0</v>
      </c>
      <c r="AS251" s="3129">
        <f>0</f>
        <v>0</v>
      </c>
      <c r="AT251" s="3129">
        <f>0</f>
        <v>0</v>
      </c>
      <c r="AU251" s="3129">
        <f>0</f>
        <v>0</v>
      </c>
      <c r="AV251" s="3129">
        <f>0</f>
        <v>0</v>
      </c>
      <c r="AW251" s="3129">
        <f>0</f>
        <v>0</v>
      </c>
      <c r="AX251" s="3129">
        <f>0</f>
        <v>0</v>
      </c>
      <c r="AY251" s="3129">
        <f>0</f>
        <v>0</v>
      </c>
      <c r="AZ251" s="3129">
        <f>0</f>
        <v>0</v>
      </c>
      <c r="BA251" s="3129">
        <f>0</f>
        <v>0</v>
      </c>
      <c r="BB251" s="3129">
        <f>0</f>
        <v>0</v>
      </c>
      <c r="BC251" s="3129">
        <f>0</f>
        <v>0</v>
      </c>
      <c r="BD251" s="3129">
        <f>0</f>
        <v>0</v>
      </c>
      <c r="BE251" s="3129">
        <f>0</f>
        <v>0</v>
      </c>
      <c r="BF251" s="3129">
        <f>0</f>
        <v>0</v>
      </c>
      <c r="BG251" s="3129">
        <f>0</f>
        <v>0</v>
      </c>
      <c r="BH251" s="3129">
        <f>0</f>
        <v>0</v>
      </c>
      <c r="BI251" s="3129">
        <f>0</f>
        <v>0</v>
      </c>
      <c r="BJ251" s="3129">
        <f>0</f>
        <v>0</v>
      </c>
      <c r="BK251" s="3129">
        <f>0</f>
        <v>0</v>
      </c>
      <c r="BL251" s="3129">
        <f>0</f>
        <v>0</v>
      </c>
      <c r="BM251" s="3129">
        <f>1</f>
        <v>1</v>
      </c>
      <c r="BN251" s="3129">
        <f>0</f>
        <v>0</v>
      </c>
      <c r="BO251" s="3129">
        <f>0</f>
        <v>0</v>
      </c>
      <c r="BP251" s="3129">
        <f>-1</f>
        <v>-1</v>
      </c>
      <c r="BQ251" s="3129">
        <f>0</f>
        <v>0</v>
      </c>
      <c r="BR251" s="3129">
        <f>0</f>
        <v>0</v>
      </c>
      <c r="BS251" s="3129">
        <f>0</f>
        <v>0</v>
      </c>
      <c r="BT251" s="3129">
        <f>0</f>
        <v>0</v>
      </c>
      <c r="BU251" s="3129">
        <f>0</f>
        <v>0</v>
      </c>
      <c r="BV251" s="3129">
        <f>0</f>
        <v>0</v>
      </c>
      <c r="BW251" s="3129">
        <f>0</f>
        <v>0</v>
      </c>
      <c r="BX251" s="3129">
        <f>0</f>
        <v>0</v>
      </c>
      <c r="BY251" s="3129">
        <f>0</f>
        <v>0</v>
      </c>
      <c r="BZ251" s="3143">
        <f>0</f>
        <v>0</v>
      </c>
      <c r="CA251" s="3143">
        <f>0</f>
        <v>0</v>
      </c>
      <c r="CB251" s="3143">
        <f>0</f>
        <v>0</v>
      </c>
      <c r="CC251" s="3143">
        <f>0</f>
        <v>0</v>
      </c>
      <c r="CD251" s="3129">
        <f>0</f>
        <v>0</v>
      </c>
      <c r="CE251" s="3129">
        <f>0</f>
        <v>0</v>
      </c>
      <c r="CF251" s="3129">
        <f>0</f>
        <v>0</v>
      </c>
      <c r="CG251" s="3129">
        <f>0</f>
        <v>0</v>
      </c>
      <c r="CH251" s="3129">
        <f>0</f>
        <v>0</v>
      </c>
      <c r="CI251" s="3129">
        <f>0</f>
        <v>0</v>
      </c>
      <c r="CJ251" s="3129">
        <f>0</f>
        <v>0</v>
      </c>
      <c r="CK251" s="3129">
        <f>0</f>
        <v>0</v>
      </c>
      <c r="CL251" s="3129">
        <f>0</f>
        <v>0</v>
      </c>
      <c r="CM251" s="3129">
        <f>0</f>
        <v>0</v>
      </c>
      <c r="CN251" s="3129">
        <f>0</f>
        <v>0</v>
      </c>
      <c r="CO251" s="3129">
        <f>0</f>
        <v>0</v>
      </c>
      <c r="CP251" s="3129">
        <f>0</f>
        <v>0</v>
      </c>
      <c r="CQ251" s="3129">
        <f>0</f>
        <v>0</v>
      </c>
      <c r="CR251" s="3129">
        <f>0</f>
        <v>0</v>
      </c>
      <c r="CS251" s="3129">
        <f>0</f>
        <v>0</v>
      </c>
      <c r="CT251" s="3129">
        <f>0</f>
        <v>0</v>
      </c>
      <c r="CU251" s="3129">
        <f>0</f>
        <v>0</v>
      </c>
      <c r="CV251" s="3233">
        <f>q_HAOH_DESORP*X_HAO_H_P*M_inhSPO4_KiP_HAO_DESORP</f>
        <v>1.6666666666666669E-49</v>
      </c>
      <c r="CX251" s="2838">
        <f>E287*E251+F287*F251+G287*G251+H287*H251+I287*I251+J287*J251+K287*K251+L287*L251+M287*M251+N287*N251+O287*O251+P287*P251+Q287*Q251+R287*R251+S287*S251+T287*T251+U287*U251+V287*V251+W287*W251+X287*X251+Y287*Y251+Z287*Z251+AA287*AA251+AB287*AB251+AC287*AC251+AD287*AD251+AE287*AE251+AF287*AF251+AG287*AG251+AH287*AH251+AI287*AI251+AJ287*AJ251+AK287*AK251+AL287*AL251+AM287*AM251+AN287*AN251+AO287*AO251+AP287*AP251+AQ287*AQ251+AR287*AR251+AS287*AS251+AT287*AT251+AU287*AU251+AV287*AV251+AW287*AW251+AX287*AX251+AY287*AY251+AZ287*AZ251+BA287*BA251+BB287*BB251+BC287*BC251+BD287*BD251+BE287*BE251+BF287*BF251+BG287*BG251+BH287*BH251+BI287*BI251+BJ287*BJ251+BK287*BK251+BL287*BL251+BM287*BM251+BN287*BN251+BO287*BO251+BP287*BP251+BQ287*BQ251+BR287*BR251+BS287*BS251+BT287*BT251+BU287*BU251+BV287*BV251+BW287*BW251+BX287*BX251+BY287*BY251+BZ287*BZ251+CA287*CA251+CB287*CB251+CC287*CC251+CD287*CD251+CE287*CE251+CF287*CF251+CG287*CG251+CH287*CH251+CI287*CI251+CJ287*CJ251+CK287*CK251+CL287*CL251+CM287*CM251+CN287*CN251+CO287*CO251+CP287*CP251+CQ287*CQ251+CR287*CR251+CS287*CS251+CT287*CT251+CU287*CU251</f>
        <v>0</v>
      </c>
      <c r="CY251" s="2838">
        <f>E288*E251+F288*F251+G288*G251+H288*H251+I288*I251+J288*J251+K288*K251+L288*L251+M288*M251+N288*N251+O288*O251+P288*P251+Q288*Q251+R288*R251+S288*S251+T288*T251+U288*U251+V288*V251+W288*W251+X288*X251+Y288*Y251+Z288*Z251+AA288*AA251+AB288*AB251+AC288*AC251+AD288*AD251+AE288*AE251+AF288*AF251+AG288*AG251+AH288*AH251+AI288*AI251+AJ288*AJ251+AK288*AK251+AL288*AL251+AM288*AM251+AN288*AN251+AO288*AO251+AP288*AP251+AQ288*AQ251+AR288*AR251+AS288*AS251+AT288*AT251+AU288*AU251+AV288*AV251+AW288*AW251+AX288*AX251+AY288*AY251+AZ288*AZ251+BA288*BA251+BB288*BB251+BC288*BC251+BD288*BD251+BE288*BE251+BF288*BF251+BG288*BG251+BH288*BH251+BI288*BI251+BJ288*BJ251+BK288*BK251+BL288*BL251+BM288*BM251+BN288*BN251+BO288*BO251+BP288*BP251+BQ288*BQ251+BR288*BR251+BS288*BS251+BT288*BT251+BU288*BU251+BV288*BV251+BW288*BW251+BX288*BX251+BY288*BY251+BZ288*BZ251+CA288*CA251+CB288*CB251+CC288*CC251+CD288*CD251+CE288*CE251+CF288*CF251+CG288*CG251+CH288*CH251+CI288*CI251+CJ288*CJ251+CK288*CK251+CL288*CL251+CM288*CM251+CN288*CN251+CO288*CO251+CP288*CP251+CQ288*CQ251+CR288*CR251+CS288*CS251+CT288*CT251+CU288*CU251</f>
        <v>0</v>
      </c>
      <c r="CZ251" s="2839">
        <f>E289*E251+F289*F251+G289*G251+H289*H251+I289*I251+J289*J251+K289*K251+L289*L251+M289*M251+N289*N251+O289*O251+P289*P251+Q289*Q251+R289*R251+S289*S251+T289*T251+U289*U251+V289*V251+W289*W251+X289*X251+Y289*Y251+Z289*Z251+AA289*AA251+AB289*AB251+AC289*AC251+AD289*AD251+AE289*AE251+AF289*AF251+AG289*AG251+AH289*AH251+AI289*AI251+AJ289*AJ251+AK289*AK251+AL289*AL251+AM289*AM251+AN289*AN251+AO289*AO251+AP289*AP251+AQ289*AQ251+AR289*AR251+AS289*AS251+AT289*AT251+AU289*AU251+AV289*AV251+AW289*AW251+AX289*AX251+AY289*AY251+AZ289*AZ251+BA289*BA251+BB289*BB251+BC289*BC251+BD289*BD251+BE289*BE251+BF289*BF251+BG289*BG251+BH289*BH251+BI289*BI251+BJ289*BJ251+BK289*BK251+BL289*BL251+BM289*BM251+BN289*BN251+BO289*BO251+BP289*BP251+BQ289*BQ251+BR289*BR251+BS289*BS251+BT289*BT251+BU289*BU251+BV289*BV251+BW289*BW251+BX289*BX251+BY289*BY251+BZ289*BZ251+CA289*CA251+CB289*CB251+CC289*CC251+CD289*CD251+CE289*CE251+CF289*CF251+CG289*CG251+CH289*CH251+CI289*CI251+CJ289*CJ251+CK289*CK251+CL289*CL251+CM289*CM251+CN289*CN251+CO289*CO251+CP289*CP251+CQ289*CQ251+CR289*CR251+CS289*CS251+CT289*CT251+CU289*CU251</f>
        <v>0</v>
      </c>
      <c r="DA251" s="2840">
        <f>E290*E251+F290*F251+G290*G251+H290*H251+I290*I251+J290*J251+K290*K251+L290*L251+M290*M251+N290*N251+O290*O251+P290*P251+Q290*Q251+R290*R251+S290*S251+T290*T251+U290*U251+V290*V251+W290*W251+X290*X251+Y290*Y251+Z290*Z251+AA290*AA251+AB290*AB251+AC290*AC251+AD290*AD251+AE290*AE251+AF290*AF251+AG290*AG251+AH290*AH251+AI290*AI251+AJ290*AJ251+AK290*AK251+AL290*AL251+AM290*AM251+AN290*AN251+AO290*AO251+AP290*AP251+AQ290*AQ251+AR290*AR251+AS290*AS251+AT290*AT251+AU290*AU251+AV290*AV251+AW290*AW251+AX290*AX251+AY290*AY251+AZ290*AZ251+BA290*BA251+BB290*BB251+BC290*BC251+BD290*BD251+BE290*BE251+BF290*BF251+BG290*BG251+BH290*BH251+BI290*BI251+BJ290*BJ251+BK290*BK251+BL290*BL251+BM290*BM251+BN290*BN251+BO290*BO251+BP290*BP251+BQ290*BQ251+BR290*BR251+BS290*BS251+BT290*BT251+BU290*BU251+BV290*BV251+BW290*BW251+BX290*BX251+BY290*BY251+BZ290*BZ251+CA290*CA251+CB290*CB251+CC290*CC251+CD290*CD251+CE290*CE251+CF290*CF251+CG290*CG251+CH290*CH251+CI290*CI251+CJ290*CJ251+CK290*CK251+CL290*CL251+CM290*CM251+CN290*CN251+CO290*CO251+CP290*CP251+CQ290*CQ251+CR290*CR251+CS290*CS251+CT290*CT251+CU290*CU251</f>
        <v>0</v>
      </c>
      <c r="DB251" s="2840">
        <f>E291*E251+F291*F251+G291*G251+H291*H251+I291*I251+J291*J251+K291*K251+L291*L251+M291*M251+N291*N251+O291*O251+P291*P251+Q291*Q251+R291*R251+S291*S251+T291*T251+U291*U251+V291*V251+W291*W251+X291*X251+Y291*Y251+Z291*Z251+AA291*AA251+AB291*AB251+AC291*AC251+AD291*AD251+AE291*AE251+AF291*AF251+AG291*AG251+AH291*AH251+AI291*AI251+AJ291*AJ251+AK291*AK251+AL291*AL251+AM291*AM251+AN291*AN251+AO291*AO251+AP291*AP251+AQ291*AQ251+AR291*AR251+AS291*AS251+AT291*AT251+AU291*AU251+AV291*AV251+AW291*AW251+AX291*AX251+AY291*AY251+AZ291*AZ251+BA291*BA251+BB291*BB251+BC291*BC251+BD291*BD251+BE291*BE251+BF291*BF251+BG291*BG251+BH291*BH251+BI291*BI251+BJ291*BJ251+BK291*BK251+BL291*BL251+BM291*BM251+BN291*BN251+BO291*BO251+BP291*BP251+BQ291*BQ251+BR291*BR251+BS291*BS251+BT291*BT251+BU291*BU251+BV291*BV251+BW291*BW251+BX291*BX251+BY291*BY251+BZ291*BZ251+CA291*CA251+CB291*CB251+CC291*CC251+CD291*CD251+CE291*CE251+CF291*CF251+CG291*CG251+CH291*CH251+CI291*CI251+CJ291*CJ251+CK291*CK251+CL291*CL251+CM291*CM251+CN291*CN251+CO291*CO251+CP291*CP251+CQ291*CQ251+CR291*CR251+CS291*CS251+CT291*CT251+CU291*CU251</f>
        <v>0</v>
      </c>
      <c r="DC251" s="2840">
        <f>E292*E251+F292*F251+G292*G251+H292*H251+I292*I251+J292*J251+K292*K251+L292*L251+M292*M251+N292*N251+O292*O251+P292*P251+Q292*Q251+R292*R251+S292*S251+T292*T251+U292*U251+V292*V251+W292*W251+X292*X251+Y292*Y251+Z292*Z251+AA292*AA251+AB292*AB251+AC292*AC251+AD292*AD251+AE292*AE251+AF292*AF251+AG292*AG251+AH292*AH251+AI292*AI251+AJ292*AJ251+AK292*AK251+AL292*AL251+AM292*AM251+AN292*AN251+AO292*AO251+AP292*AP251+AQ292*AQ251+AR292*AR251+AS292*AS251+AT292*AT251+AU292*AU251+AV292*AV251+AW292*AW251+AX292*AX251+AY292*AY251+AZ292*AZ251+BA292*BA251+BB292*BB251+BC292*BC251+BD292*BD251+BE292*BE251+BF292*BF251+BG292*BG251+BH292*BH251+BI292*BI251+BJ292*BJ251+BK292*BK251+BL292*BL251+BM292*BM251+BN292*BN251+BO292*BO251+BP292*BP251+BQ292*BQ251+BR292*BR251+BS292*BS251+BT292*BT251+BU292*BU251+BV292*BV251+BW292*BW251+BX292*BX251+BY292*BY251+BZ292*BZ251+CA292*CA251+CB292*CB251+CC292*CC251+CD292*CD251+CE292*CE251+CF292*CF251+CG292*CG251+CH292*CH251+CI292*CI251+CJ292*CJ251+CK292*CK251+CL292*CL251+CM292*CM251+CN292*CN251+CO292*CO251+CP292*CP251+CQ292*CQ251+CR292*CR251+CS292*CS251+CT292*CT251+CU292*CU251</f>
        <v>0</v>
      </c>
      <c r="DD251" s="2840">
        <f>E293*E251+F293*F251+G293*G251+H293*H251+I293*I251+J293*J251+K293*K251+L293*L251+M293*M251+N293*N251+O293*O251+P293*P251+Q293*Q251+R293*R251+S293*S251+T293*T251+U293*U251+V293*V251+W293*W251+X293*X251+Y293*Y251+Z293*Z251+AA293*AA251+AB293*AB251+AC293*AC251+AD293*AD251+AE293*AE251+AF293*AF251+AG293*AG251+AH293*AH251+AI293*AI251+AJ293*AJ251+AK293*AK251+AL293*AL251+AM293*AM251+AN293*AN251+AO293*AO251+AP293*AP251+AQ293*AQ251+AR293*AR251+AS293*AS251+AT293*AT251+AU293*AU251+AV293*AV251+AW293*AW251+AX293*AX251+AY293*AY251+AZ293*AZ251+BA293*BA251+BB293*BB251+BC293*BC251+BD293*BD251+BE293*BE251+BF293*BF251+BG293*BG251+BH293*BH251+BI293*BI251+BJ293*BJ251+BK293*BK251+BL293*BL251+BM293*BM251+BN293*BN251+BO293*BO251+BP293*BP251+BQ293*BQ251+BR293*BR251+BS293*BS251+BT293*BT251+BU293*BU251+BV293*BV251+BW293*BW251+BX293*BX251+BY293*BY251+BZ293*BZ251+CA293*CA251+CB293*CB251+CC293*CC251+CD293*CD251+CE293*CE251+CF293*CF251+CG293*CG251+CH293*CH251+CI293*CI251+CJ293*CJ251+CK293*CK251+CL293*CL251+CM293*CM251+CN293*CN251+CO293*CO251+CP293*CP251+CQ293*CQ251+CR293*CR251+CS293*CS251+CT293*CT251+CU293*CU251</f>
        <v>0</v>
      </c>
      <c r="DE251" s="2840">
        <f>E294*E251+F294*F251+G294*G251+H294*H251+I294*I251+J294*J251+K294*K251+L294*L251+M294*M251+N294*N251+O294*O251+P294*P251+Q294*Q251+R294*R251+S294*S251+T294*T251+U294*U251+V294*V251+W294*W251+X294*X251+Y294*Y251+Z294*Z251+AA294*AA251+AB294*AB251+AC294*AC251+AD294*AD251+AE294*AE251+AF294*AF251+AG294*AG251+AH294*AH251+AI294*AI251+AJ294*AJ251+AK294*AK251+AL294*AL251+AM294*AM251+AN294*AN251+AO294*AO251+AP294*AP251+AQ294*AQ251+AR294*AR251+AS294*AS251+AT294*AT251+AU294*AU251+AV294*AV251+AW294*AW251+AX294*AX251+AY294*AY251+AZ294*AZ251+BA294*BA251+BB294*BB251+BC294*BC251+BD294*BD251+BE294*BE251+BF294*BF251+BG294*BG251+BH294*BH251+BI294*BI251+BJ294*BJ251+BK294*BK251+BL294*BL251+BM294*BM251+BN294*BN251+BO294*BO251+BP294*BP251+BQ294*BQ251+BR294*BR251+BS294*BS251+BT294*BT251+BU294*BU251+BV294*BV251+BW294*BW251+BX294*BX251+BY294*BY251+BZ294*BZ251+CA294*CA251+CB294*CB251+CC294*CC251+CD294*CD251+CE294*CE251+CF294*CF251+CG294*CG251+CH294*CH251+CI294*CI251+CJ294*CJ251+CK294*CK251+CL294*CL251+CM294*CM251+CN294*CN251+CO294*CO251+CP294*CP251+CQ294*CQ251+CR294*CR251+CS294*CS251+CT294*CT251+CU294*CU251</f>
        <v>0</v>
      </c>
      <c r="DF251" s="2840">
        <f>E295*E251+F295*F251+G295*G251+H295*H251+I295*I251+J295*J251+K295*K251+L295*L251+M295*M251+N295*N251+O295*O251+P295*P251+Q295*Q251+R295*R251+S295*S251+T295*T251+U295*U251+V295*V251+W295*W251+X295*X251+Y295*Y251+Z295*Z251+AA295*AA251+AB295*AB251+AC295*AC251+AD295*AD251+AE295*AE251+AF295*AF251+AG295*AG251+AH295*AH251+AI295*AI251+AJ295*AJ251+AK295*AK251+AL295*AL251+AM295*AM251+AN295*AN251+AO295*AO251+AP295*AP251+AQ295*AQ251+AR295*AR251+AS295*AS251+AT295*AT251+AU295*AU251+AV295*AV251+AW295*AW251+AX295*AX251+AY295*AY251+AZ295*AZ251+BA295*BA251+BB295*BB251+BC295*BC251+BD295*BD251+BE295*BE251+BF295*BF251+BG295*BG251+BH295*BH251+BI295*BI251+BJ295*BJ251+BK295*BK251+BL295*BL251+BM295*BM251+BN295*BN251+BO295*BO251+BP295*BP251+BQ295*BQ251+BR295*BR251+BS295*BS251+BT295*BT251+BU295*BU251+BV295*BV251+BW295*BW251+BX295*BX251+BY295*BY251+BZ295*BZ251+CA295*CA251+CB295*CB251+CC295*CC251+CD295*CD251+CE295*CE251+CF295*CF251+CG295*CG251+CH295*CH251+CI295*CI251+CJ295*CJ251+CK295*CK251+CL295*CL251+CM295*CM251+CN295*CN251+CO295*CO251+CP295*CP251+CQ295*CQ251+CR295*CR251+CS295*CS251+CT295*CT251+CU295*CU251</f>
        <v>0</v>
      </c>
      <c r="DG251" s="2840">
        <f>E296*E251+F296*F251+G296*G251+H296*H251+I296*I251+J296*J251+K296*K251+L296*L251+M296*M251+N296*N251+O296*O251+P296*P251+Q296*Q251+R296*R251+S296*S251+T296*T251+U296*U251+V296*V251+W296*W251+X296*X251+Y296*Y251+Z296*Z251+AA296*AA251+AB296*AB251+AC296*AC251+AD296*AD251+AE296*AE251+AF296*AF251+AG296*AG251+AH296*AH251+AI296*AI251+AJ296*AJ251+AK296*AK251+AL296*AL251+AM296*AM251+AN296*AN251+AO296*AO251+AP296*AP251+AQ296*AQ251+AR296*AR251+AS296*AS251+AT296*AT251+AU296*AU251+AV296*AV251+AW296*AW251+AX296*AX251+AY296*AY251+AZ296*AZ251+BA296*BA251+BB296*BB251+BC296*BC251+BD296*BD251+BE296*BE251+BF296*BF251+BG296*BG251+BH296*BH251+BI296*BI251+BJ296*BJ251+BK296*BK251+BL296*BL251+BM296*BM251+BN296*BN251+BO296*BO251+BP296*BP251+BQ296*BQ251+BR296*BR251+BS296*BS251+BT296*BT251+BU296*BU251+BV296*BV251+BW296*BW251+BX296*BX251+BY296*BY251+BZ296*BZ251+CA296*CA251+CB296*CB251+CC296*CC251+CD296*CD251+CE296*CE251+CF296*CF251+CG296*CG251+CH296*CH251+CI296*CI251+CJ296*CJ251+CK296*CK251+CL296*CL251+CM296*CM251+CN296*CN251+CO296*CO251+CP296*CP251+CQ296*CQ251+CR296*CR251+CS296*CS251+CT296*CT251+CU296*CU251</f>
        <v>0</v>
      </c>
      <c r="DH251" s="2840">
        <f>E297*E251+F297*F251+G297*G251+H297*H251+I297*I251+J297*J251+K297*K251+L297*L251+M297*M251+N297*N251+O297*O251+P297*P251+Q297*Q251+R297*R251+S297*S251+T297*T251+U297*U251+V297*V251+W297*W251+X297*X251+Y297*Y251+Z297*Z251+AA297*AA251+AB297*AB251+AC297*AC251+AD297*AD251+AE297*AE251+AF297*AF251+AG297*AG251+AH297*AH251+AI297*AI251+AJ297*AJ251+AK297*AK251+AL297*AL251+AM297*AM251+AN297*AN251+AO297*AO251+AP297*AP251+AQ297*AQ251+AR297*AR251+AS297*AS251+AT297*AT251+AU297*AU251+AV297*AV251+AW297*AW251+AX297*AX251+AY297*AY251+AZ297*AZ251+BA297*BA251+BB297*BB251+BC297*BC251+BD297*BD251+BE297*BE251+BF297*BF251+BG297*BG251+BH297*BH251+BI297*BI251+BJ297*BJ251+BK297*BK251+BL297*BL251+BM297*BM251+BN297*BN251+BO297*BO251+BP297*BP251+BQ297*BQ251+BR297*BR251+BS297*BS251+BT297*BT251+BU297*BU251+BV297*BV251+BW297*BW251+BX297*BX251+BY297*BY251+BZ297*BZ251+CA297*CA251+CB297*CB251+CC297*CC251+CD297*CD251+CE297*CE251+CF297*CF251+CG297*CG251+CH297*CH251+CI297*CI251+CJ297*CJ251+CK297*CK251+CL297*CL251+CM297*CM251+CN297*CN251+CO297*CO251+CP297*CP251+CQ297*CQ251+CR297*CR251+CS297*CS251+CT297*CT251+CU297*CU251</f>
        <v>0</v>
      </c>
      <c r="DI251" s="2840">
        <f>E298*E251+F298*F251+G298*G251+H298*H251+I298*I251+J298*J251+K298*K251+L298*L251+M298*M251+N298*N251+O298*O251+P298*P251+Q298*Q251+R298*R251+S298*S251+T298*T251+U298*U251+V298*V251+W298*W251+X298*X251+Y298*Y251+Z298*Z251+AA298*AA251+AB298*AB251+AC298*AC251+AD298*AD251+AE298*AE251+AF298*AF251+AG298*AG251+AH298*AH251+AI298*AI251+AJ298*AJ251+AK298*AK251+AL298*AL251+AM298*AM251+AN298*AN251+AO298*AO251+AP298*AP251+AQ298*AQ251+AR298*AR251+AS298*AS251+AT298*AT251+AU298*AU251+AV298*AV251+AW298*AW251+AX298*AX251+AY298*AY251+AZ298*AZ251+BA298*BA251+BB298*BB251+BC298*BC251+BD298*BD251+BE298*BE251+BF298*BF251+BG298*BG251+BH298*BH251+BI298*BI251+BJ298*BJ251+BK298*BK251+BL298*BL251+BM298*BM251+BN298*BN251+BO298*BO251+BP298*BP251+BQ298*BQ251+BR298*BR251+BS298*BS251+BT298*BT251+BU298*BU251+BV298*BV251+BW298*BW251+BX298*BX251+BY298*BY251+BZ298*BZ251+CA298*CA251+CB298*CB251+CC298*CC251+CD298*CD251+CE298*CE251+CF298*CF251+CG298*CG251+CH298*CH251+CI298*CI251+CJ298*CJ251+CK298*CK251+CL298*CL251+CM298*CM251+CN298*CN251+CO298*CO251+CP298*CP251+CQ298*CQ251+CR298*CR251+CS298*CS251+CT298*CT251+CU298*CU251</f>
        <v>0</v>
      </c>
    </row>
    <row r="252" spans="2:113" ht="18" x14ac:dyDescent="0.25">
      <c r="B252" s="2514">
        <v>99</v>
      </c>
      <c r="C252" s="2456" t="s">
        <v>3314</v>
      </c>
      <c r="D252" s="2457" t="s">
        <v>4314</v>
      </c>
      <c r="E252" s="3129">
        <f>0</f>
        <v>0</v>
      </c>
      <c r="F252" s="3129">
        <f>0</f>
        <v>0</v>
      </c>
      <c r="G252" s="3129">
        <f>0</f>
        <v>0</v>
      </c>
      <c r="H252" s="3129">
        <f>0</f>
        <v>0</v>
      </c>
      <c r="I252" s="3129">
        <f>0</f>
        <v>0</v>
      </c>
      <c r="J252" s="3143">
        <f>0</f>
        <v>0</v>
      </c>
      <c r="K252" s="3129">
        <f>0</f>
        <v>0</v>
      </c>
      <c r="L252" s="3129">
        <f>0</f>
        <v>0</v>
      </c>
      <c r="M252" s="3129">
        <f>0</f>
        <v>0</v>
      </c>
      <c r="N252" s="3129">
        <f>0</f>
        <v>0</v>
      </c>
      <c r="O252" s="3129">
        <f>0</f>
        <v>0</v>
      </c>
      <c r="P252" s="3129">
        <f>0</f>
        <v>0</v>
      </c>
      <c r="Q252" s="3129">
        <f>0</f>
        <v>0</v>
      </c>
      <c r="R252" s="3129">
        <f>0</f>
        <v>0</v>
      </c>
      <c r="S252" s="3129">
        <f>0</f>
        <v>0</v>
      </c>
      <c r="T252" s="3129">
        <f>0</f>
        <v>0</v>
      </c>
      <c r="U252" s="3129">
        <f>0</f>
        <v>0</v>
      </c>
      <c r="V252" s="3129">
        <f>0</f>
        <v>0</v>
      </c>
      <c r="W252" s="3129">
        <f>0</f>
        <v>0</v>
      </c>
      <c r="X252" s="3129">
        <f>0</f>
        <v>0</v>
      </c>
      <c r="Y252" s="3129">
        <f>0</f>
        <v>0</v>
      </c>
      <c r="Z252" s="3129">
        <f>0</f>
        <v>0</v>
      </c>
      <c r="AA252" s="3129">
        <f>0</f>
        <v>0</v>
      </c>
      <c r="AB252" s="3129">
        <f>0</f>
        <v>0</v>
      </c>
      <c r="AC252" s="3129">
        <f>0</f>
        <v>0</v>
      </c>
      <c r="AD252" s="3129">
        <f>0</f>
        <v>0</v>
      </c>
      <c r="AE252" s="3129">
        <f>0</f>
        <v>0</v>
      </c>
      <c r="AF252" s="3129">
        <f>0</f>
        <v>0</v>
      </c>
      <c r="AG252" s="3129">
        <f>0</f>
        <v>0</v>
      </c>
      <c r="AH252" s="3129">
        <f>0</f>
        <v>0</v>
      </c>
      <c r="AI252" s="3129">
        <f>0</f>
        <v>0</v>
      </c>
      <c r="AJ252" s="3143">
        <f>0</f>
        <v>0</v>
      </c>
      <c r="AK252" s="3129">
        <f>0</f>
        <v>0</v>
      </c>
      <c r="AL252" s="3169">
        <f>(A_SFHAO_L*(A_MP/A_MAl))</f>
        <v>0.11479629449808203</v>
      </c>
      <c r="AM252" s="3129">
        <f>0</f>
        <v>0</v>
      </c>
      <c r="AN252" s="3129">
        <f>0</f>
        <v>0</v>
      </c>
      <c r="AO252" s="3129">
        <f>0</f>
        <v>0</v>
      </c>
      <c r="AP252" s="3143">
        <f>0</f>
        <v>0</v>
      </c>
      <c r="AQ252" s="3129">
        <f>0</f>
        <v>0</v>
      </c>
      <c r="AR252" s="3129">
        <f>0</f>
        <v>0</v>
      </c>
      <c r="AS252" s="3129">
        <f>0</f>
        <v>0</v>
      </c>
      <c r="AT252" s="3129">
        <f>0</f>
        <v>0</v>
      </c>
      <c r="AU252" s="3129">
        <f>0</f>
        <v>0</v>
      </c>
      <c r="AV252" s="3129">
        <f>0</f>
        <v>0</v>
      </c>
      <c r="AW252" s="3129">
        <f>0</f>
        <v>0</v>
      </c>
      <c r="AX252" s="3129">
        <f>0</f>
        <v>0</v>
      </c>
      <c r="AY252" s="3129">
        <f>0</f>
        <v>0</v>
      </c>
      <c r="AZ252" s="3129">
        <f>0</f>
        <v>0</v>
      </c>
      <c r="BA252" s="3129">
        <f>0</f>
        <v>0</v>
      </c>
      <c r="BB252" s="3129">
        <f>0</f>
        <v>0</v>
      </c>
      <c r="BC252" s="3129">
        <f>0</f>
        <v>0</v>
      </c>
      <c r="BD252" s="3129">
        <f>0</f>
        <v>0</v>
      </c>
      <c r="BE252" s="3129">
        <f>0</f>
        <v>0</v>
      </c>
      <c r="BF252" s="3129">
        <f>0</f>
        <v>0</v>
      </c>
      <c r="BG252" s="3129">
        <f>0</f>
        <v>0</v>
      </c>
      <c r="BH252" s="3129">
        <f>0</f>
        <v>0</v>
      </c>
      <c r="BI252" s="3129">
        <f>0</f>
        <v>0</v>
      </c>
      <c r="BJ252" s="3129">
        <f>0</f>
        <v>0</v>
      </c>
      <c r="BK252" s="3129">
        <f>0</f>
        <v>0</v>
      </c>
      <c r="BL252" s="3129">
        <f>0</f>
        <v>0</v>
      </c>
      <c r="BM252" s="3129">
        <f>0</f>
        <v>0</v>
      </c>
      <c r="BN252" s="3129">
        <f>1</f>
        <v>1</v>
      </c>
      <c r="BO252" s="3129">
        <f>0</f>
        <v>0</v>
      </c>
      <c r="BP252" s="3129">
        <f>0</f>
        <v>0</v>
      </c>
      <c r="BQ252" s="3129">
        <f>-1</f>
        <v>-1</v>
      </c>
      <c r="BR252" s="3129">
        <f>0</f>
        <v>0</v>
      </c>
      <c r="BS252" s="3129">
        <f>0</f>
        <v>0</v>
      </c>
      <c r="BT252" s="3129">
        <f>0</f>
        <v>0</v>
      </c>
      <c r="BU252" s="3129">
        <f>0</f>
        <v>0</v>
      </c>
      <c r="BV252" s="3129">
        <f>0</f>
        <v>0</v>
      </c>
      <c r="BW252" s="3129">
        <f>0</f>
        <v>0</v>
      </c>
      <c r="BX252" s="3129">
        <f>0</f>
        <v>0</v>
      </c>
      <c r="BY252" s="3129">
        <f>0</f>
        <v>0</v>
      </c>
      <c r="BZ252" s="3143">
        <f>0</f>
        <v>0</v>
      </c>
      <c r="CA252" s="3143">
        <f>0</f>
        <v>0</v>
      </c>
      <c r="CB252" s="3143">
        <f>0</f>
        <v>0</v>
      </c>
      <c r="CC252" s="3143">
        <f>0</f>
        <v>0</v>
      </c>
      <c r="CD252" s="3129">
        <f>0</f>
        <v>0</v>
      </c>
      <c r="CE252" s="3129">
        <f>0</f>
        <v>0</v>
      </c>
      <c r="CF252" s="3129">
        <f>0</f>
        <v>0</v>
      </c>
      <c r="CG252" s="3129">
        <f>0</f>
        <v>0</v>
      </c>
      <c r="CH252" s="3129">
        <f>0</f>
        <v>0</v>
      </c>
      <c r="CI252" s="3129">
        <f>0</f>
        <v>0</v>
      </c>
      <c r="CJ252" s="3129">
        <f>0</f>
        <v>0</v>
      </c>
      <c r="CK252" s="3129">
        <f>0</f>
        <v>0</v>
      </c>
      <c r="CL252" s="3129">
        <f>0</f>
        <v>0</v>
      </c>
      <c r="CM252" s="3129">
        <f>0</f>
        <v>0</v>
      </c>
      <c r="CN252" s="3129">
        <f>0</f>
        <v>0</v>
      </c>
      <c r="CO252" s="3129">
        <f>0</f>
        <v>0</v>
      </c>
      <c r="CP252" s="3129">
        <f>0</f>
        <v>0</v>
      </c>
      <c r="CQ252" s="3129">
        <f>0</f>
        <v>0</v>
      </c>
      <c r="CR252" s="3129">
        <f>0</f>
        <v>0</v>
      </c>
      <c r="CS252" s="3129">
        <f>0</f>
        <v>0</v>
      </c>
      <c r="CT252" s="3129">
        <f>0</f>
        <v>0</v>
      </c>
      <c r="CU252" s="3129">
        <f>0</f>
        <v>0</v>
      </c>
      <c r="CV252" s="3233">
        <f>q_HAOL_DESORP*X_HAO_L_P*M_inhSPO4_KiP_HAO_DESORP</f>
        <v>1.6666666666666666E-50</v>
      </c>
      <c r="CX252" s="2838">
        <f>E287*E252+F287*F252+G287*G252+H287*H252+I287*I252+J287*J252+K287*K252+L287*L252+M287*M252+N287*N252+O287*O252+P287*P252+Q287*Q252+R287*R252+S287*S252+T287*T252+U287*U252+V287*V252+W287*W252+X287*X252+Y287*Y252+Z287*Z252+AA287*AA252+AB287*AB252+AC287*AC252+AD287*AD252+AE287*AE252+AF287*AF252+AG287*AG252+AH287*AH252+AI287*AI252+AJ287*AJ252+AK287*AK252+AL287*AL252+AM287*AM252+AN287*AN252+AO287*AO252+AP287*AP252+AQ287*AQ252+AR287*AR252+AS287*AS252+AT287*AT252+AU287*AU252+AV287*AV252+AW287*AW252+AX287*AX252+AY287*AY252+AZ287*AZ252+BA287*BA252+BB287*BB252+BC287*BC252+BD287*BD252+BE287*BE252+BF287*BF252+BG287*BG252+BH287*BH252+BI287*BI252+BJ287*BJ252+BK287*BK252+BL287*BL252+BM287*BM252+BN287*BN252+BO287*BO252+BP287*BP252+BQ287*BQ252+BR287*BR252+BS287*BS252+BT287*BT252+BU287*BU252+BV287*BV252+BW287*BW252+BX287*BX252+BY287*BY252+BZ287*BZ252+CA287*CA252+CB287*CB252+CC287*CC252+CD287*CD252+CE287*CE252+CF287*CF252+CG287*CG252+CH287*CH252+CI287*CI252+CJ287*CJ252+CK287*CK252+CL287*CL252+CM287*CM252+CN287*CN252+CO287*CO252+CP287*CP252+CQ287*CQ252+CR287*CR252+CS287*CS252+CT287*CT252+CU287*CU252</f>
        <v>0</v>
      </c>
      <c r="CY252" s="2838">
        <f>E288*E252+F288*F252+G288*G252+H288*H252+I288*I252+J288*J252+K288*K252+L288*L252+M288*M252+N288*N252+O288*O252+P288*P252+Q288*Q252+R288*R252+S288*S252+T288*T252+U288*U252+V288*V252+W288*W252+X288*X252+Y288*Y252+Z288*Z252+AA288*AA252+AB288*AB252+AC288*AC252+AD288*AD252+AE288*AE252+AF288*AF252+AG288*AG252+AH288*AH252+AI288*AI252+AJ288*AJ252+AK288*AK252+AL288*AL252+AM288*AM252+AN288*AN252+AO288*AO252+AP288*AP252+AQ288*AQ252+AR288*AR252+AS288*AS252+AT288*AT252+AU288*AU252+AV288*AV252+AW288*AW252+AX288*AX252+AY288*AY252+AZ288*AZ252+BA288*BA252+BB288*BB252+BC288*BC252+BD288*BD252+BE288*BE252+BF288*BF252+BG288*BG252+BH288*BH252+BI288*BI252+BJ288*BJ252+BK288*BK252+BL288*BL252+BM288*BM252+BN288*BN252+BO288*BO252+BP288*BP252+BQ288*BQ252+BR288*BR252+BS288*BS252+BT288*BT252+BU288*BU252+BV288*BV252+BW288*BW252+BX288*BX252+BY288*BY252+BZ288*BZ252+CA288*CA252+CB288*CB252+CC288*CC252+CD288*CD252+CE288*CE252+CF288*CF252+CG288*CG252+CH288*CH252+CI288*CI252+CJ288*CJ252+CK288*CK252+CL288*CL252+CM288*CM252+CN288*CN252+CO288*CO252+CP288*CP252+CQ288*CQ252+CR288*CR252+CS288*CS252+CT288*CT252+CU288*CU252</f>
        <v>0</v>
      </c>
      <c r="CZ252" s="2839">
        <f>E289*E252+F289*F252+G289*G252+H289*H252+I289*I252+J289*J252+K289*K252+L289*L252+M289*M252+N289*N252+O289*O252+P289*P252+Q289*Q252+R289*R252+S289*S252+T289*T252+U289*U252+V289*V252+W289*W252+X289*X252+Y289*Y252+Z289*Z252+AA289*AA252+AB289*AB252+AC289*AC252+AD289*AD252+AE289*AE252+AF289*AF252+AG289*AG252+AH289*AH252+AI289*AI252+AJ289*AJ252+AK289*AK252+AL289*AL252+AM289*AM252+AN289*AN252+AO289*AO252+AP289*AP252+AQ289*AQ252+AR289*AR252+AS289*AS252+AT289*AT252+AU289*AU252+AV289*AV252+AW289*AW252+AX289*AX252+AY289*AY252+AZ289*AZ252+BA289*BA252+BB289*BB252+BC289*BC252+BD289*BD252+BE289*BE252+BF289*BF252+BG289*BG252+BH289*BH252+BI289*BI252+BJ289*BJ252+BK289*BK252+BL289*BL252+BM289*BM252+BN289*BN252+BO289*BO252+BP289*BP252+BQ289*BQ252+BR289*BR252+BS289*BS252+BT289*BT252+BU289*BU252+BV289*BV252+BW289*BW252+BX289*BX252+BY289*BY252+BZ289*BZ252+CA289*CA252+CB289*CB252+CC289*CC252+CD289*CD252+CE289*CE252+CF289*CF252+CG289*CG252+CH289*CH252+CI289*CI252+CJ289*CJ252+CK289*CK252+CL289*CL252+CM289*CM252+CN289*CN252+CO289*CO252+CP289*CP252+CQ289*CQ252+CR289*CR252+CS289*CS252+CT289*CT252+CU289*CU252</f>
        <v>0</v>
      </c>
      <c r="DA252" s="2840">
        <f>E290*E252+F290*F252+G290*G252+H290*H252+I290*I252+J290*J252+K290*K252+L290*L252+M290*M252+N290*N252+O290*O252+P290*P252+Q290*Q252+R290*R252+S290*S252+T290*T252+U290*U252+V290*V252+W290*W252+X290*X252+Y290*Y252+Z290*Z252+AA290*AA252+AB290*AB252+AC290*AC252+AD290*AD252+AE290*AE252+AF290*AF252+AG290*AG252+AH290*AH252+AI290*AI252+AJ290*AJ252+AK290*AK252+AL290*AL252+AM290*AM252+AN290*AN252+AO290*AO252+AP290*AP252+AQ290*AQ252+AR290*AR252+AS290*AS252+AT290*AT252+AU290*AU252+AV290*AV252+AW290*AW252+AX290*AX252+AY290*AY252+AZ290*AZ252+BA290*BA252+BB290*BB252+BC290*BC252+BD290*BD252+BE290*BE252+BF290*BF252+BG290*BG252+BH290*BH252+BI290*BI252+BJ290*BJ252+BK290*BK252+BL290*BL252+BM290*BM252+BN290*BN252+BO290*BO252+BP290*BP252+BQ290*BQ252+BR290*BR252+BS290*BS252+BT290*BT252+BU290*BU252+BV290*BV252+BW290*BW252+BX290*BX252+BY290*BY252+BZ290*BZ252+CA290*CA252+CB290*CB252+CC290*CC252+CD290*CD252+CE290*CE252+CF290*CF252+CG290*CG252+CH290*CH252+CI290*CI252+CJ290*CJ252+CK290*CK252+CL290*CL252+CM290*CM252+CN290*CN252+CO290*CO252+CP290*CP252+CQ290*CQ252+CR290*CR252+CS290*CS252+CT290*CT252+CU290*CU252</f>
        <v>0</v>
      </c>
      <c r="DB252" s="2840">
        <f>E291*E252+F291*F252+G291*G252+H291*H252+I291*I252+J291*J252+K291*K252+L291*L252+M291*M252+N291*N252+O291*O252+P291*P252+Q291*Q252+R291*R252+S291*S252+T291*T252+U291*U252+V291*V252+W291*W252+X291*X252+Y291*Y252+Z291*Z252+AA291*AA252+AB291*AB252+AC291*AC252+AD291*AD252+AE291*AE252+AF291*AF252+AG291*AG252+AH291*AH252+AI291*AI252+AJ291*AJ252+AK291*AK252+AL291*AL252+AM291*AM252+AN291*AN252+AO291*AO252+AP291*AP252+AQ291*AQ252+AR291*AR252+AS291*AS252+AT291*AT252+AU291*AU252+AV291*AV252+AW291*AW252+AX291*AX252+AY291*AY252+AZ291*AZ252+BA291*BA252+BB291*BB252+BC291*BC252+BD291*BD252+BE291*BE252+BF291*BF252+BG291*BG252+BH291*BH252+BI291*BI252+BJ291*BJ252+BK291*BK252+BL291*BL252+BM291*BM252+BN291*BN252+BO291*BO252+BP291*BP252+BQ291*BQ252+BR291*BR252+BS291*BS252+BT291*BT252+BU291*BU252+BV291*BV252+BW291*BW252+BX291*BX252+BY291*BY252+BZ291*BZ252+CA291*CA252+CB291*CB252+CC291*CC252+CD291*CD252+CE291*CE252+CF291*CF252+CG291*CG252+CH291*CH252+CI291*CI252+CJ291*CJ252+CK291*CK252+CL291*CL252+CM291*CM252+CN291*CN252+CO291*CO252+CP291*CP252+CQ291*CQ252+CR291*CR252+CS291*CS252+CT291*CT252+CU291*CU252</f>
        <v>0</v>
      </c>
      <c r="DC252" s="2840">
        <f>E292*E252+F292*F252+G292*G252+H292*H252+I292*I252+J292*J252+K292*K252+L292*L252+M292*M252+N292*N252+O292*O252+P292*P252+Q292*Q252+R292*R252+S292*S252+T292*T252+U292*U252+V292*V252+W292*W252+X292*X252+Y292*Y252+Z292*Z252+AA292*AA252+AB292*AB252+AC292*AC252+AD292*AD252+AE292*AE252+AF292*AF252+AG292*AG252+AH292*AH252+AI292*AI252+AJ292*AJ252+AK292*AK252+AL292*AL252+AM292*AM252+AN292*AN252+AO292*AO252+AP292*AP252+AQ292*AQ252+AR292*AR252+AS292*AS252+AT292*AT252+AU292*AU252+AV292*AV252+AW292*AW252+AX292*AX252+AY292*AY252+AZ292*AZ252+BA292*BA252+BB292*BB252+BC292*BC252+BD292*BD252+BE292*BE252+BF292*BF252+BG292*BG252+BH292*BH252+BI292*BI252+BJ292*BJ252+BK292*BK252+BL292*BL252+BM292*BM252+BN292*BN252+BO292*BO252+BP292*BP252+BQ292*BQ252+BR292*BR252+BS292*BS252+BT292*BT252+BU292*BU252+BV292*BV252+BW292*BW252+BX292*BX252+BY292*BY252+BZ292*BZ252+CA292*CA252+CB292*CB252+CC292*CC252+CD292*CD252+CE292*CE252+CF292*CF252+CG292*CG252+CH292*CH252+CI292*CI252+CJ292*CJ252+CK292*CK252+CL292*CL252+CM292*CM252+CN292*CN252+CO292*CO252+CP292*CP252+CQ292*CQ252+CR292*CR252+CS292*CS252+CT292*CT252+CU292*CU252</f>
        <v>0</v>
      </c>
      <c r="DD252" s="2840">
        <f>E293*E252+F293*F252+G293*G252+H293*H252+I293*I252+J293*J252+K293*K252+L293*L252+M293*M252+N293*N252+O293*O252+P293*P252+Q293*Q252+R293*R252+S293*S252+T293*T252+U293*U252+V293*V252+W293*W252+X293*X252+Y293*Y252+Z293*Z252+AA293*AA252+AB293*AB252+AC293*AC252+AD293*AD252+AE293*AE252+AF293*AF252+AG293*AG252+AH293*AH252+AI293*AI252+AJ293*AJ252+AK293*AK252+AL293*AL252+AM293*AM252+AN293*AN252+AO293*AO252+AP293*AP252+AQ293*AQ252+AR293*AR252+AS293*AS252+AT293*AT252+AU293*AU252+AV293*AV252+AW293*AW252+AX293*AX252+AY293*AY252+AZ293*AZ252+BA293*BA252+BB293*BB252+BC293*BC252+BD293*BD252+BE293*BE252+BF293*BF252+BG293*BG252+BH293*BH252+BI293*BI252+BJ293*BJ252+BK293*BK252+BL293*BL252+BM293*BM252+BN293*BN252+BO293*BO252+BP293*BP252+BQ293*BQ252+BR293*BR252+BS293*BS252+BT293*BT252+BU293*BU252+BV293*BV252+BW293*BW252+BX293*BX252+BY293*BY252+BZ293*BZ252+CA293*CA252+CB293*CB252+CC293*CC252+CD293*CD252+CE293*CE252+CF293*CF252+CG293*CG252+CH293*CH252+CI293*CI252+CJ293*CJ252+CK293*CK252+CL293*CL252+CM293*CM252+CN293*CN252+CO293*CO252+CP293*CP252+CQ293*CQ252+CR293*CR252+CS293*CS252+CT293*CT252+CU293*CU252</f>
        <v>0</v>
      </c>
      <c r="DE252" s="2840">
        <f>E294*E252+F294*F252+G294*G252+H294*H252+I294*I252+J294*J252+K294*K252+L294*L252+M294*M252+N294*N252+O294*O252+P294*P252+Q294*Q252+R294*R252+S294*S252+T294*T252+U294*U252+V294*V252+W294*W252+X294*X252+Y294*Y252+Z294*Z252+AA294*AA252+AB294*AB252+AC294*AC252+AD294*AD252+AE294*AE252+AF294*AF252+AG294*AG252+AH294*AH252+AI294*AI252+AJ294*AJ252+AK294*AK252+AL294*AL252+AM294*AM252+AN294*AN252+AO294*AO252+AP294*AP252+AQ294*AQ252+AR294*AR252+AS294*AS252+AT294*AT252+AU294*AU252+AV294*AV252+AW294*AW252+AX294*AX252+AY294*AY252+AZ294*AZ252+BA294*BA252+BB294*BB252+BC294*BC252+BD294*BD252+BE294*BE252+BF294*BF252+BG294*BG252+BH294*BH252+BI294*BI252+BJ294*BJ252+BK294*BK252+BL294*BL252+BM294*BM252+BN294*BN252+BO294*BO252+BP294*BP252+BQ294*BQ252+BR294*BR252+BS294*BS252+BT294*BT252+BU294*BU252+BV294*BV252+BW294*BW252+BX294*BX252+BY294*BY252+BZ294*BZ252+CA294*CA252+CB294*CB252+CC294*CC252+CD294*CD252+CE294*CE252+CF294*CF252+CG294*CG252+CH294*CH252+CI294*CI252+CJ294*CJ252+CK294*CK252+CL294*CL252+CM294*CM252+CN294*CN252+CO294*CO252+CP294*CP252+CQ294*CQ252+CR294*CR252+CS294*CS252+CT294*CT252+CU294*CU252</f>
        <v>0</v>
      </c>
      <c r="DF252" s="2840">
        <f>E295*E252+F295*F252+G295*G252+H295*H252+I295*I252+J295*J252+K295*K252+L295*L252+M295*M252+N295*N252+O295*O252+P295*P252+Q295*Q252+R295*R252+S295*S252+T295*T252+U295*U252+V295*V252+W295*W252+X295*X252+Y295*Y252+Z295*Z252+AA295*AA252+AB295*AB252+AC295*AC252+AD295*AD252+AE295*AE252+AF295*AF252+AG295*AG252+AH295*AH252+AI295*AI252+AJ295*AJ252+AK295*AK252+AL295*AL252+AM295*AM252+AN295*AN252+AO295*AO252+AP295*AP252+AQ295*AQ252+AR295*AR252+AS295*AS252+AT295*AT252+AU295*AU252+AV295*AV252+AW295*AW252+AX295*AX252+AY295*AY252+AZ295*AZ252+BA295*BA252+BB295*BB252+BC295*BC252+BD295*BD252+BE295*BE252+BF295*BF252+BG295*BG252+BH295*BH252+BI295*BI252+BJ295*BJ252+BK295*BK252+BL295*BL252+BM295*BM252+BN295*BN252+BO295*BO252+BP295*BP252+BQ295*BQ252+BR295*BR252+BS295*BS252+BT295*BT252+BU295*BU252+BV295*BV252+BW295*BW252+BX295*BX252+BY295*BY252+BZ295*BZ252+CA295*CA252+CB295*CB252+CC295*CC252+CD295*CD252+CE295*CE252+CF295*CF252+CG295*CG252+CH295*CH252+CI295*CI252+CJ295*CJ252+CK295*CK252+CL295*CL252+CM295*CM252+CN295*CN252+CO295*CO252+CP295*CP252+CQ295*CQ252+CR295*CR252+CS295*CS252+CT295*CT252+CU295*CU252</f>
        <v>0</v>
      </c>
      <c r="DG252" s="2840">
        <f>E296*E252+F296*F252+G296*G252+H296*H252+I296*I252+J296*J252+K296*K252+L296*L252+M296*M252+N296*N252+O296*O252+P296*P252+Q296*Q252+R296*R252+S296*S252+T296*T252+U296*U252+V296*V252+W296*W252+X296*X252+Y296*Y252+Z296*Z252+AA296*AA252+AB296*AB252+AC296*AC252+AD296*AD252+AE296*AE252+AF296*AF252+AG296*AG252+AH296*AH252+AI296*AI252+AJ296*AJ252+AK296*AK252+AL296*AL252+AM296*AM252+AN296*AN252+AO296*AO252+AP296*AP252+AQ296*AQ252+AR296*AR252+AS296*AS252+AT296*AT252+AU296*AU252+AV296*AV252+AW296*AW252+AX296*AX252+AY296*AY252+AZ296*AZ252+BA296*BA252+BB296*BB252+BC296*BC252+BD296*BD252+BE296*BE252+BF296*BF252+BG296*BG252+BH296*BH252+BI296*BI252+BJ296*BJ252+BK296*BK252+BL296*BL252+BM296*BM252+BN296*BN252+BO296*BO252+BP296*BP252+BQ296*BQ252+BR296*BR252+BS296*BS252+BT296*BT252+BU296*BU252+BV296*BV252+BW296*BW252+BX296*BX252+BY296*BY252+BZ296*BZ252+CA296*CA252+CB296*CB252+CC296*CC252+CD296*CD252+CE296*CE252+CF296*CF252+CG296*CG252+CH296*CH252+CI296*CI252+CJ296*CJ252+CK296*CK252+CL296*CL252+CM296*CM252+CN296*CN252+CO296*CO252+CP296*CP252+CQ296*CQ252+CR296*CR252+CS296*CS252+CT296*CT252+CU296*CU252</f>
        <v>0</v>
      </c>
      <c r="DH252" s="2840">
        <f>E297*E252+F297*F252+G297*G252+H297*H252+I297*I252+J297*J252+K297*K252+L297*L252+M297*M252+N297*N252+O297*O252+P297*P252+Q297*Q252+R297*R252+S297*S252+T297*T252+U297*U252+V297*V252+W297*W252+X297*X252+Y297*Y252+Z297*Z252+AA297*AA252+AB297*AB252+AC297*AC252+AD297*AD252+AE297*AE252+AF297*AF252+AG297*AG252+AH297*AH252+AI297*AI252+AJ297*AJ252+AK297*AK252+AL297*AL252+AM297*AM252+AN297*AN252+AO297*AO252+AP297*AP252+AQ297*AQ252+AR297*AR252+AS297*AS252+AT297*AT252+AU297*AU252+AV297*AV252+AW297*AW252+AX297*AX252+AY297*AY252+AZ297*AZ252+BA297*BA252+BB297*BB252+BC297*BC252+BD297*BD252+BE297*BE252+BF297*BF252+BG297*BG252+BH297*BH252+BI297*BI252+BJ297*BJ252+BK297*BK252+BL297*BL252+BM297*BM252+BN297*BN252+BO297*BO252+BP297*BP252+BQ297*BQ252+BR297*BR252+BS297*BS252+BT297*BT252+BU297*BU252+BV297*BV252+BW297*BW252+BX297*BX252+BY297*BY252+BZ297*BZ252+CA297*CA252+CB297*CB252+CC297*CC252+CD297*CD252+CE297*CE252+CF297*CF252+CG297*CG252+CH297*CH252+CI297*CI252+CJ297*CJ252+CK297*CK252+CL297*CL252+CM297*CM252+CN297*CN252+CO297*CO252+CP297*CP252+CQ297*CQ252+CR297*CR252+CS297*CS252+CT297*CT252+CU297*CU252</f>
        <v>0</v>
      </c>
      <c r="DI252" s="2840">
        <f>E298*E252+F298*F252+G298*G252+H298*H252+I298*I252+J298*J252+K298*K252+L298*L252+M298*M252+N298*N252+O298*O252+P298*P252+Q298*Q252+R298*R252+S298*S252+T298*T252+U298*U252+V298*V252+W298*W252+X298*X252+Y298*Y252+Z298*Z252+AA298*AA252+AB298*AB252+AC298*AC252+AD298*AD252+AE298*AE252+AF298*AF252+AG298*AG252+AH298*AH252+AI298*AI252+AJ298*AJ252+AK298*AK252+AL298*AL252+AM298*AM252+AN298*AN252+AO298*AO252+AP298*AP252+AQ298*AQ252+AR298*AR252+AS298*AS252+AT298*AT252+AU298*AU252+AV298*AV252+AW298*AW252+AX298*AX252+AY298*AY252+AZ298*AZ252+BA298*BA252+BB298*BB252+BC298*BC252+BD298*BD252+BE298*BE252+BF298*BF252+BG298*BG252+BH298*BH252+BI298*BI252+BJ298*BJ252+BK298*BK252+BL298*BL252+BM298*BM252+BN298*BN252+BO298*BO252+BP298*BP252+BQ298*BQ252+BR298*BR252+BS298*BS252+BT298*BT252+BU298*BU252+BV298*BV252+BW298*BW252+BX298*BX252+BY298*BY252+BZ298*BZ252+CA298*CA252+CB298*CB252+CC298*CC252+CD298*CD252+CE298*CE252+CF298*CF252+CG298*CG252+CH298*CH252+CI298*CI252+CJ298*CJ252+CK298*CK252+CL298*CL252+CM298*CM252+CN298*CN252+CO298*CO252+CP298*CP252+CQ298*CQ252+CR298*CR252+CS298*CS252+CT298*CT252+CU298*CU252</f>
        <v>0</v>
      </c>
    </row>
    <row r="253" spans="2:113" ht="18" x14ac:dyDescent="0.25">
      <c r="B253" s="2514">
        <v>100</v>
      </c>
      <c r="C253" s="2456" t="s">
        <v>3315</v>
      </c>
      <c r="D253" s="2457" t="s">
        <v>4315</v>
      </c>
      <c r="E253" s="3129">
        <f>0</f>
        <v>0</v>
      </c>
      <c r="F253" s="3129">
        <f>0</f>
        <v>0</v>
      </c>
      <c r="G253" s="3129">
        <f>0</f>
        <v>0</v>
      </c>
      <c r="H253" s="3129">
        <f>0</f>
        <v>0</v>
      </c>
      <c r="I253" s="3129">
        <f>0</f>
        <v>0</v>
      </c>
      <c r="J253" s="3143">
        <f>0</f>
        <v>0</v>
      </c>
      <c r="K253" s="3129">
        <f>0</f>
        <v>0</v>
      </c>
      <c r="L253" s="3129">
        <f>0</f>
        <v>0</v>
      </c>
      <c r="M253" s="3129">
        <f>0</f>
        <v>0</v>
      </c>
      <c r="N253" s="3129">
        <f>0</f>
        <v>0</v>
      </c>
      <c r="O253" s="3129">
        <f>0</f>
        <v>0</v>
      </c>
      <c r="P253" s="3129">
        <f>0</f>
        <v>0</v>
      </c>
      <c r="Q253" s="3129">
        <f>0</f>
        <v>0</v>
      </c>
      <c r="R253" s="3129">
        <f>0</f>
        <v>0</v>
      </c>
      <c r="S253" s="3129">
        <f>0</f>
        <v>0</v>
      </c>
      <c r="T253" s="3129">
        <f>0</f>
        <v>0</v>
      </c>
      <c r="U253" s="3129">
        <f>0</f>
        <v>0</v>
      </c>
      <c r="V253" s="3129">
        <f>0</f>
        <v>0</v>
      </c>
      <c r="W253" s="3129">
        <f>0</f>
        <v>0</v>
      </c>
      <c r="X253" s="3129">
        <f>0</f>
        <v>0</v>
      </c>
      <c r="Y253" s="3129">
        <f>0</f>
        <v>0</v>
      </c>
      <c r="Z253" s="3129">
        <f>0</f>
        <v>0</v>
      </c>
      <c r="AA253" s="3129">
        <f>0</f>
        <v>0</v>
      </c>
      <c r="AB253" s="3129">
        <f>0</f>
        <v>0</v>
      </c>
      <c r="AC253" s="3129">
        <f>0</f>
        <v>0</v>
      </c>
      <c r="AD253" s="3129">
        <f>0</f>
        <v>0</v>
      </c>
      <c r="AE253" s="3129">
        <f>0</f>
        <v>0</v>
      </c>
      <c r="AF253" s="3129">
        <f>0</f>
        <v>0</v>
      </c>
      <c r="AG253" s="3129">
        <f>0</f>
        <v>0</v>
      </c>
      <c r="AH253" s="3129">
        <f>0</f>
        <v>0</v>
      </c>
      <c r="AI253" s="3129">
        <f>0</f>
        <v>0</v>
      </c>
      <c r="AJ253" s="3143">
        <f>0</f>
        <v>0</v>
      </c>
      <c r="AK253" s="3129">
        <f>0</f>
        <v>0</v>
      </c>
      <c r="AL253" s="3169">
        <f>(A_SFHAO_H*(A_MP/A_MAl))*X_HAO_H_P_old/(X_HAO_H_P_old+X_HAO_L_P_old)+(A_SFHAO_L*(A_MP/A_MAl))*X_HAO_L_P_old/(X_HAO_H_P_old+X_HAO_L_P_old)</f>
        <v>0.63137961973945111</v>
      </c>
      <c r="AM253" s="3129">
        <f>0</f>
        <v>0</v>
      </c>
      <c r="AN253" s="3129">
        <f>0</f>
        <v>0</v>
      </c>
      <c r="AO253" s="3129">
        <f>0</f>
        <v>0</v>
      </c>
      <c r="AP253" s="3143">
        <f>0</f>
        <v>0</v>
      </c>
      <c r="AQ253" s="3129">
        <f>0</f>
        <v>0</v>
      </c>
      <c r="AR253" s="3129">
        <f>0</f>
        <v>0</v>
      </c>
      <c r="AS253" s="3129">
        <f>0</f>
        <v>0</v>
      </c>
      <c r="AT253" s="3129">
        <f>0</f>
        <v>0</v>
      </c>
      <c r="AU253" s="3129">
        <f>0</f>
        <v>0</v>
      </c>
      <c r="AV253" s="3129">
        <f>0</f>
        <v>0</v>
      </c>
      <c r="AW253" s="3129">
        <f>0</f>
        <v>0</v>
      </c>
      <c r="AX253" s="3129">
        <f>0</f>
        <v>0</v>
      </c>
      <c r="AY253" s="3129">
        <f>0</f>
        <v>0</v>
      </c>
      <c r="AZ253" s="3129">
        <f>0</f>
        <v>0</v>
      </c>
      <c r="BA253" s="3129">
        <f>0</f>
        <v>0</v>
      </c>
      <c r="BB253" s="3129">
        <f>0</f>
        <v>0</v>
      </c>
      <c r="BC253" s="3129">
        <f>0</f>
        <v>0</v>
      </c>
      <c r="BD253" s="3129">
        <f>0</f>
        <v>0</v>
      </c>
      <c r="BE253" s="3129">
        <f>0</f>
        <v>0</v>
      </c>
      <c r="BF253" s="3129">
        <f>0</f>
        <v>0</v>
      </c>
      <c r="BG253" s="3129">
        <f>0</f>
        <v>0</v>
      </c>
      <c r="BH253" s="3129">
        <f>0</f>
        <v>0</v>
      </c>
      <c r="BI253" s="3129">
        <f>0</f>
        <v>0</v>
      </c>
      <c r="BJ253" s="3129">
        <f>0</f>
        <v>0</v>
      </c>
      <c r="BK253" s="3129">
        <f>0</f>
        <v>0</v>
      </c>
      <c r="BL253" s="3129">
        <f>0</f>
        <v>0</v>
      </c>
      <c r="BM253" s="3129">
        <f>0</f>
        <v>0</v>
      </c>
      <c r="BN253" s="3129">
        <f>0</f>
        <v>0</v>
      </c>
      <c r="BO253" s="3129">
        <f>1</f>
        <v>1</v>
      </c>
      <c r="BP253" s="3129">
        <f>0</f>
        <v>0</v>
      </c>
      <c r="BQ253" s="3129">
        <f>0</f>
        <v>0</v>
      </c>
      <c r="BR253" s="3201">
        <f>-X_HAO_H_P_old/(X_HAO_H_P_old+X_HAO_L_P_old)</f>
        <v>-0.5</v>
      </c>
      <c r="BS253" s="3201">
        <f>-X_HAO_L_P_old/(X_HAO_H_P_old+X_HAO_L_P_old)</f>
        <v>-0.5</v>
      </c>
      <c r="BT253" s="3129">
        <f>0</f>
        <v>0</v>
      </c>
      <c r="BU253" s="3129">
        <f>0</f>
        <v>0</v>
      </c>
      <c r="BV253" s="3129">
        <f>0</f>
        <v>0</v>
      </c>
      <c r="BW253" s="3129">
        <f>0</f>
        <v>0</v>
      </c>
      <c r="BX253" s="3129">
        <f>0</f>
        <v>0</v>
      </c>
      <c r="BY253" s="3129">
        <f>0</f>
        <v>0</v>
      </c>
      <c r="BZ253" s="3143">
        <f>0</f>
        <v>0</v>
      </c>
      <c r="CA253" s="3143">
        <f>0</f>
        <v>0</v>
      </c>
      <c r="CB253" s="3143">
        <f>0</f>
        <v>0</v>
      </c>
      <c r="CC253" s="3143">
        <f>0</f>
        <v>0</v>
      </c>
      <c r="CD253" s="3129">
        <f>0</f>
        <v>0</v>
      </c>
      <c r="CE253" s="3129">
        <f>0</f>
        <v>0</v>
      </c>
      <c r="CF253" s="3129">
        <f>0</f>
        <v>0</v>
      </c>
      <c r="CG253" s="3129">
        <f>0</f>
        <v>0</v>
      </c>
      <c r="CH253" s="3129">
        <f>0</f>
        <v>0</v>
      </c>
      <c r="CI253" s="3129">
        <f>0</f>
        <v>0</v>
      </c>
      <c r="CJ253" s="3129">
        <f>0</f>
        <v>0</v>
      </c>
      <c r="CK253" s="3129">
        <f>0</f>
        <v>0</v>
      </c>
      <c r="CL253" s="3129">
        <f>0</f>
        <v>0</v>
      </c>
      <c r="CM253" s="3129">
        <f>0</f>
        <v>0</v>
      </c>
      <c r="CN253" s="3129">
        <f>0</f>
        <v>0</v>
      </c>
      <c r="CO253" s="3129">
        <f>0</f>
        <v>0</v>
      </c>
      <c r="CP253" s="3129">
        <f>0</f>
        <v>0</v>
      </c>
      <c r="CQ253" s="3129">
        <f>0</f>
        <v>0</v>
      </c>
      <c r="CR253" s="3129">
        <f>0</f>
        <v>0</v>
      </c>
      <c r="CS253" s="3129">
        <f>0</f>
        <v>0</v>
      </c>
      <c r="CT253" s="3129">
        <f>0</f>
        <v>0</v>
      </c>
      <c r="CU253" s="3129">
        <f>0</f>
        <v>0</v>
      </c>
      <c r="CV253" s="3233">
        <f>q_HAO_DISS*(X_HAO_H_P_old+X_HAO_L_P_old)*L_oginhSPO4_KiP_HAO_DISS</f>
        <v>0</v>
      </c>
      <c r="CX253" s="2838">
        <f>E287*E253+F287*F253+G287*G253+H287*H253+I287*I253+J287*J253+K287*K253+L287*L253+M287*M253+N287*N253+O287*O253+P287*P253+Q287*Q253+R287*R253+S287*S253+T287*T253+U287*U253+V287*V253+W287*W253+X287*X253+Y287*Y253+Z287*Z253+AA287*AA253+AB287*AB253+AC287*AC253+AD287*AD253+AE287*AE253+AF287*AF253+AG287*AG253+AH287*AH253+AI287*AI253+AJ287*AJ253+AK287*AK253+AL287*AL253+AM287*AM253+AN287*AN253+AO287*AO253+AP287*AP253+AQ287*AQ253+AR287*AR253+AS287*AS253+AT287*AT253+AU287*AU253+AV287*AV253+AW287*AW253+AX287*AX253+AY287*AY253+AZ287*AZ253+BA287*BA253+BB287*BB253+BC287*BC253+BD287*BD253+BE287*BE253+BF287*BF253+BG287*BG253+BH287*BH253+BI287*BI253+BJ287*BJ253+BK287*BK253+BL287*BL253+BM287*BM253+BN287*BN253+BO287*BO253+BP287*BP253+BQ287*BQ253+BR287*BR253+BS287*BS253+BT287*BT253+BU287*BU253+BV287*BV253+BW287*BW253+BX287*BX253+BY287*BY253+BZ287*BZ253+CA287*CA253+CB287*CB253+CC287*CC253+CD287*CD253+CE287*CE253+CF287*CF253+CG287*CG253+CH287*CH253+CI287*CI253+CJ287*CJ253+CK287*CK253+CL287*CL253+CM287*CM253+CN287*CN253+CO287*CO253+CP287*CP253+CQ287*CQ253+CR287*CR253+CS287*CS253+CT287*CT253+CU287*CU253</f>
        <v>0</v>
      </c>
      <c r="CY253" s="2838">
        <f>E288*E253+F288*F253+G288*G253+H288*H253+I288*I253+J288*J253+K288*K253+L288*L253+M288*M253+N288*N253+O288*O253+P288*P253+Q288*Q253+R288*R253+S288*S253+T288*T253+U288*U253+V288*V253+W288*W253+X288*X253+Y288*Y253+Z288*Z253+AA288*AA253+AB288*AB253+AC288*AC253+AD288*AD253+AE288*AE253+AF288*AF253+AG288*AG253+AH288*AH253+AI288*AI253+AJ288*AJ253+AK288*AK253+AL288*AL253+AM288*AM253+AN288*AN253+AO288*AO253+AP288*AP253+AQ288*AQ253+AR288*AR253+AS288*AS253+AT288*AT253+AU288*AU253+AV288*AV253+AW288*AW253+AX288*AX253+AY288*AY253+AZ288*AZ253+BA288*BA253+BB288*BB253+BC288*BC253+BD288*BD253+BE288*BE253+BF288*BF253+BG288*BG253+BH288*BH253+BI288*BI253+BJ288*BJ253+BK288*BK253+BL288*BL253+BM288*BM253+BN288*BN253+BO288*BO253+BP288*BP253+BQ288*BQ253+BR288*BR253+BS288*BS253+BT288*BT253+BU288*BU253+BV288*BV253+BW288*BW253+BX288*BX253+BY288*BY253+BZ288*BZ253+CA288*CA253+CB288*CB253+CC288*CC253+CD288*CD253+CE288*CE253+CF288*CF253+CG288*CG253+CH288*CH253+CI288*CI253+CJ288*CJ253+CK288*CK253+CL288*CL253+CM288*CM253+CN288*CN253+CO288*CO253+CP288*CP253+CQ288*CQ253+CR288*CR253+CS288*CS253+CT288*CT253+CU288*CU253</f>
        <v>0</v>
      </c>
      <c r="CZ253" s="2839">
        <f>E289*E253+F289*F253+G289*G253+H289*H253+I289*I253+J289*J253+K289*K253+L289*L253+M289*M253+N289*N253+O289*O253+P289*P253+Q289*Q253+R289*R253+S289*S253+T289*T253+U289*U253+V289*V253+W289*W253+X289*X253+Y289*Y253+Z289*Z253+AA289*AA253+AB289*AB253+AC289*AC253+AD289*AD253+AE289*AE253+AF289*AF253+AG289*AG253+AH289*AH253+AI289*AI253+AJ289*AJ253+AK289*AK253+AL289*AL253+AM289*AM253+AN289*AN253+AO289*AO253+AP289*AP253+AQ289*AQ253+AR289*AR253+AS289*AS253+AT289*AT253+AU289*AU253+AV289*AV253+AW289*AW253+AX289*AX253+AY289*AY253+AZ289*AZ253+BA289*BA253+BB289*BB253+BC289*BC253+BD289*BD253+BE289*BE253+BF289*BF253+BG289*BG253+BH289*BH253+BI289*BI253+BJ289*BJ253+BK289*BK253+BL289*BL253+BM289*BM253+BN289*BN253+BO289*BO253+BP289*BP253+BQ289*BQ253+BR289*BR253+BS289*BS253+BT289*BT253+BU289*BU253+BV289*BV253+BW289*BW253+BX289*BX253+BY289*BY253+BZ289*BZ253+CA289*CA253+CB289*CB253+CC289*CC253+CD289*CD253+CE289*CE253+CF289*CF253+CG289*CG253+CH289*CH253+CI289*CI253+CJ289*CJ253+CK289*CK253+CL289*CL253+CM289*CM253+CN289*CN253+CO289*CO253+CP289*CP253+CQ289*CQ253+CR289*CR253+CS289*CS253+CT289*CT253+CU289*CU253</f>
        <v>0</v>
      </c>
      <c r="DA253" s="2840">
        <f>E290*E253+F290*F253+G290*G253+H290*H253+I290*I253+J290*J253+K290*K253+L290*L253+M290*M253+N290*N253+O290*O253+P290*P253+Q290*Q253+R290*R253+S290*S253+T290*T253+U290*U253+V290*V253+W290*W253+X290*X253+Y290*Y253+Z290*Z253+AA290*AA253+AB290*AB253+AC290*AC253+AD290*AD253+AE290*AE253+AF290*AF253+AG290*AG253+AH290*AH253+AI290*AI253+AJ290*AJ253+AK290*AK253+AL290*AL253+AM290*AM253+AN290*AN253+AO290*AO253+AP290*AP253+AQ290*AQ253+AR290*AR253+AS290*AS253+AT290*AT253+AU290*AU253+AV290*AV253+AW290*AW253+AX290*AX253+AY290*AY253+AZ290*AZ253+BA290*BA253+BB290*BB253+BC290*BC253+BD290*BD253+BE290*BE253+BF290*BF253+BG290*BG253+BH290*BH253+BI290*BI253+BJ290*BJ253+BK290*BK253+BL290*BL253+BM290*BM253+BN290*BN253+BO290*BO253+BP290*BP253+BQ290*BQ253+BR290*BR253+BS290*BS253+BT290*BT253+BU290*BU253+BV290*BV253+BW290*BW253+BX290*BX253+BY290*BY253+BZ290*BZ253+CA290*CA253+CB290*CB253+CC290*CC253+CD290*CD253+CE290*CE253+CF290*CF253+CG290*CG253+CH290*CH253+CI290*CI253+CJ290*CJ253+CK290*CK253+CL290*CL253+CM290*CM253+CN290*CN253+CO290*CO253+CP290*CP253+CQ290*CQ253+CR290*CR253+CS290*CS253+CT290*CT253+CU290*CU253</f>
        <v>6.9388939039072284E-18</v>
      </c>
      <c r="DB253" s="2840">
        <f>E291*E253+F291*F253+G291*G253+H291*H253+I291*I253+J291*J253+K291*K253+L291*L253+M291*M253+N291*N253+O291*O253+P291*P253+Q291*Q253+R291*R253+S291*S253+T291*T253+U291*U253+V291*V253+W291*W253+X291*X253+Y291*Y253+Z291*Z253+AA291*AA253+AB291*AB253+AC291*AC253+AD291*AD253+AE291*AE253+AF291*AF253+AG291*AG253+AH291*AH253+AI291*AI253+AJ291*AJ253+AK291*AK253+AL291*AL253+AM291*AM253+AN291*AN253+AO291*AO253+AP291*AP253+AQ291*AQ253+AR291*AR253+AS291*AS253+AT291*AT253+AU291*AU253+AV291*AV253+AW291*AW253+AX291*AX253+AY291*AY253+AZ291*AZ253+BA291*BA253+BB291*BB253+BC291*BC253+BD291*BD253+BE291*BE253+BF291*BF253+BG291*BG253+BH291*BH253+BI291*BI253+BJ291*BJ253+BK291*BK253+BL291*BL253+BM291*BM253+BN291*BN253+BO291*BO253+BP291*BP253+BQ291*BQ253+BR291*BR253+BS291*BS253+BT291*BT253+BU291*BU253+BV291*BV253+BW291*BW253+BX291*BX253+BY291*BY253+BZ291*BZ253+CA291*CA253+CB291*CB253+CC291*CC253+CD291*CD253+CE291*CE253+CF291*CF253+CG291*CG253+CH291*CH253+CI291*CI253+CJ291*CJ253+CK291*CK253+CL291*CL253+CM291*CM253+CN291*CN253+CO291*CO253+CP291*CP253+CQ291*CQ253+CR291*CR253+CS291*CS253+CT291*CT253+CU291*CU253</f>
        <v>0</v>
      </c>
      <c r="DC253" s="2840">
        <f>E292*E253+F292*F253+G292*G253+H292*H253+I292*I253+J292*J253+K292*K253+L292*L253+M292*M253+N292*N253+O292*O253+P292*P253+Q292*Q253+R292*R253+S292*S253+T292*T253+U292*U253+V292*V253+W292*W253+X292*X253+Y292*Y253+Z292*Z253+AA292*AA253+AB292*AB253+AC292*AC253+AD292*AD253+AE292*AE253+AF292*AF253+AG292*AG253+AH292*AH253+AI292*AI253+AJ292*AJ253+AK292*AK253+AL292*AL253+AM292*AM253+AN292*AN253+AO292*AO253+AP292*AP253+AQ292*AQ253+AR292*AR253+AS292*AS253+AT292*AT253+AU292*AU253+AV292*AV253+AW292*AW253+AX292*AX253+AY292*AY253+AZ292*AZ253+BA292*BA253+BB292*BB253+BC292*BC253+BD292*BD253+BE292*BE253+BF292*BF253+BG292*BG253+BH292*BH253+BI292*BI253+BJ292*BJ253+BK292*BK253+BL292*BL253+BM292*BM253+BN292*BN253+BO292*BO253+BP292*BP253+BQ292*BQ253+BR292*BR253+BS292*BS253+BT292*BT253+BU292*BU253+BV292*BV253+BW292*BW253+BX292*BX253+BY292*BY253+BZ292*BZ253+CA292*CA253+CB292*CB253+CC292*CC253+CD292*CD253+CE292*CE253+CF292*CF253+CG292*CG253+CH292*CH253+CI292*CI253+CJ292*CJ253+CK292*CK253+CL292*CL253+CM292*CM253+CN292*CN253+CO292*CO253+CP292*CP253+CQ292*CQ253+CR292*CR253+CS292*CS253+CT292*CT253+CU292*CU253</f>
        <v>0</v>
      </c>
      <c r="DD253" s="2840">
        <f>E293*E253+F293*F253+G293*G253+H293*H253+I293*I253+J293*J253+K293*K253+L293*L253+M293*M253+N293*N253+O293*O253+P293*P253+Q293*Q253+R293*R253+S293*S253+T293*T253+U293*U253+V293*V253+W293*W253+X293*X253+Y293*Y253+Z293*Z253+AA293*AA253+AB293*AB253+AC293*AC253+AD293*AD253+AE293*AE253+AF293*AF253+AG293*AG253+AH293*AH253+AI293*AI253+AJ293*AJ253+AK293*AK253+AL293*AL253+AM293*AM253+AN293*AN253+AO293*AO253+AP293*AP253+AQ293*AQ253+AR293*AR253+AS293*AS253+AT293*AT253+AU293*AU253+AV293*AV253+AW293*AW253+AX293*AX253+AY293*AY253+AZ293*AZ253+BA293*BA253+BB293*BB253+BC293*BC253+BD293*BD253+BE293*BE253+BF293*BF253+BG293*BG253+BH293*BH253+BI293*BI253+BJ293*BJ253+BK293*BK253+BL293*BL253+BM293*BM253+BN293*BN253+BO293*BO253+BP293*BP253+BQ293*BQ253+BR293*BR253+BS293*BS253+BT293*BT253+BU293*BU253+BV293*BV253+BW293*BW253+BX293*BX253+BY293*BY253+BZ293*BZ253+CA293*CA253+CB293*CB253+CC293*CC253+CD293*CD253+CE293*CE253+CF293*CF253+CG293*CG253+CH293*CH253+CI293*CI253+CJ293*CJ253+CK293*CK253+CL293*CL253+CM293*CM253+CN293*CN253+CO293*CO253+CP293*CP253+CQ293*CQ253+CR293*CR253+CS293*CS253+CT293*CT253+CU293*CU253</f>
        <v>0</v>
      </c>
      <c r="DE253" s="2840">
        <f>E294*E253+F294*F253+G294*G253+H294*H253+I294*I253+J294*J253+K294*K253+L294*L253+M294*M253+N294*N253+O294*O253+P294*P253+Q294*Q253+R294*R253+S294*S253+T294*T253+U294*U253+V294*V253+W294*W253+X294*X253+Y294*Y253+Z294*Z253+AA294*AA253+AB294*AB253+AC294*AC253+AD294*AD253+AE294*AE253+AF294*AF253+AG294*AG253+AH294*AH253+AI294*AI253+AJ294*AJ253+AK294*AK253+AL294*AL253+AM294*AM253+AN294*AN253+AO294*AO253+AP294*AP253+AQ294*AQ253+AR294*AR253+AS294*AS253+AT294*AT253+AU294*AU253+AV294*AV253+AW294*AW253+AX294*AX253+AY294*AY253+AZ294*AZ253+BA294*BA253+BB294*BB253+BC294*BC253+BD294*BD253+BE294*BE253+BF294*BF253+BG294*BG253+BH294*BH253+BI294*BI253+BJ294*BJ253+BK294*BK253+BL294*BL253+BM294*BM253+BN294*BN253+BO294*BO253+BP294*BP253+BQ294*BQ253+BR294*BR253+BS294*BS253+BT294*BT253+BU294*BU253+BV294*BV253+BW294*BW253+BX294*BX253+BY294*BY253+BZ294*BZ253+CA294*CA253+CB294*CB253+CC294*CC253+CD294*CD253+CE294*CE253+CF294*CF253+CG294*CG253+CH294*CH253+CI294*CI253+CJ294*CJ253+CK294*CK253+CL294*CL253+CM294*CM253+CN294*CN253+CO294*CO253+CP294*CP253+CQ294*CQ253+CR294*CR253+CS294*CS253+CT294*CT253+CU294*CU253</f>
        <v>0</v>
      </c>
      <c r="DF253" s="2840">
        <f>E295*E253+F295*F253+G295*G253+H295*H253+I295*I253+J295*J253+K295*K253+L295*L253+M295*M253+N295*N253+O295*O253+P295*P253+Q295*Q253+R295*R253+S295*S253+T295*T253+U295*U253+V295*V253+W295*W253+X295*X253+Y295*Y253+Z295*Z253+AA295*AA253+AB295*AB253+AC295*AC253+AD295*AD253+AE295*AE253+AF295*AF253+AG295*AG253+AH295*AH253+AI295*AI253+AJ295*AJ253+AK295*AK253+AL295*AL253+AM295*AM253+AN295*AN253+AO295*AO253+AP295*AP253+AQ295*AQ253+AR295*AR253+AS295*AS253+AT295*AT253+AU295*AU253+AV295*AV253+AW295*AW253+AX295*AX253+AY295*AY253+AZ295*AZ253+BA295*BA253+BB295*BB253+BC295*BC253+BD295*BD253+BE295*BE253+BF295*BF253+BG295*BG253+BH295*BH253+BI295*BI253+BJ295*BJ253+BK295*BK253+BL295*BL253+BM295*BM253+BN295*BN253+BO295*BO253+BP295*BP253+BQ295*BQ253+BR295*BR253+BS295*BS253+BT295*BT253+BU295*BU253+BV295*BV253+BW295*BW253+BX295*BX253+BY295*BY253+BZ295*BZ253+CA295*CA253+CB295*CB253+CC295*CC253+CD295*CD253+CE295*CE253+CF295*CF253+CG295*CG253+CH295*CH253+CI295*CI253+CJ295*CJ253+CK295*CK253+CL295*CL253+CM295*CM253+CN295*CN253+CO295*CO253+CP295*CP253+CQ295*CQ253+CR295*CR253+CS295*CS253+CT295*CT253+CU295*CU253</f>
        <v>0</v>
      </c>
      <c r="DG253" s="2840">
        <f>E296*E253+F296*F253+G296*G253+H296*H253+I296*I253+J296*J253+K296*K253+L296*L253+M296*M253+N296*N253+O296*O253+P296*P253+Q296*Q253+R296*R253+S296*S253+T296*T253+U296*U253+V296*V253+W296*W253+X296*X253+Y296*Y253+Z296*Z253+AA296*AA253+AB296*AB253+AC296*AC253+AD296*AD253+AE296*AE253+AF296*AF253+AG296*AG253+AH296*AH253+AI296*AI253+AJ296*AJ253+AK296*AK253+AL296*AL253+AM296*AM253+AN296*AN253+AO296*AO253+AP296*AP253+AQ296*AQ253+AR296*AR253+AS296*AS253+AT296*AT253+AU296*AU253+AV296*AV253+AW296*AW253+AX296*AX253+AY296*AY253+AZ296*AZ253+BA296*BA253+BB296*BB253+BC296*BC253+BD296*BD253+BE296*BE253+BF296*BF253+BG296*BG253+BH296*BH253+BI296*BI253+BJ296*BJ253+BK296*BK253+BL296*BL253+BM296*BM253+BN296*BN253+BO296*BO253+BP296*BP253+BQ296*BQ253+BR296*BR253+BS296*BS253+BT296*BT253+BU296*BU253+BV296*BV253+BW296*BW253+BX296*BX253+BY296*BY253+BZ296*BZ253+CA296*CA253+CB296*CB253+CC296*CC253+CD296*CD253+CE296*CE253+CF296*CF253+CG296*CG253+CH296*CH253+CI296*CI253+CJ296*CJ253+CK296*CK253+CL296*CL253+CM296*CM253+CN296*CN253+CO296*CO253+CP296*CP253+CQ296*CQ253+CR296*CR253+CS296*CS253+CT296*CT253+CU296*CU253</f>
        <v>0</v>
      </c>
      <c r="DH253" s="2840">
        <f>E297*E253+F297*F253+G297*G253+H297*H253+I297*I253+J297*J253+K297*K253+L297*L253+M297*M253+N297*N253+O297*O253+P297*P253+Q297*Q253+R297*R253+S297*S253+T297*T253+U297*U253+V297*V253+W297*W253+X297*X253+Y297*Y253+Z297*Z253+AA297*AA253+AB297*AB253+AC297*AC253+AD297*AD253+AE297*AE253+AF297*AF253+AG297*AG253+AH297*AH253+AI297*AI253+AJ297*AJ253+AK297*AK253+AL297*AL253+AM297*AM253+AN297*AN253+AO297*AO253+AP297*AP253+AQ297*AQ253+AR297*AR253+AS297*AS253+AT297*AT253+AU297*AU253+AV297*AV253+AW297*AW253+AX297*AX253+AY297*AY253+AZ297*AZ253+BA297*BA253+BB297*BB253+BC297*BC253+BD297*BD253+BE297*BE253+BF297*BF253+BG297*BG253+BH297*BH253+BI297*BI253+BJ297*BJ253+BK297*BK253+BL297*BL253+BM297*BM253+BN297*BN253+BO297*BO253+BP297*BP253+BQ297*BQ253+BR297*BR253+BS297*BS253+BT297*BT253+BU297*BU253+BV297*BV253+BW297*BW253+BX297*BX253+BY297*BY253+BZ297*BZ253+CA297*CA253+CB297*CB253+CC297*CC253+CD297*CD253+CE297*CE253+CF297*CF253+CG297*CG253+CH297*CH253+CI297*CI253+CJ297*CJ253+CK297*CK253+CL297*CL253+CM297*CM253+CN297*CN253+CO297*CO253+CP297*CP253+CQ297*CQ253+CR297*CR253+CS297*CS253+CT297*CT253+CU297*CU253</f>
        <v>0</v>
      </c>
      <c r="DI253" s="2840">
        <f>E298*E253+F298*F253+G298*G253+H298*H253+I298*I253+J298*J253+K298*K253+L298*L253+M298*M253+N298*N253+O298*O253+P298*P253+Q298*Q253+R298*R253+S298*S253+T298*T253+U298*U253+V298*V253+W298*W253+X298*X253+Y298*Y253+Z298*Z253+AA298*AA253+AB298*AB253+AC298*AC253+AD298*AD253+AE298*AE253+AF298*AF253+AG298*AG253+AH298*AH253+AI298*AI253+AJ298*AJ253+AK298*AK253+AL298*AL253+AM298*AM253+AN298*AN253+AO298*AO253+AP298*AP253+AQ298*AQ253+AR298*AR253+AS298*AS253+AT298*AT253+AU298*AU253+AV298*AV253+AW298*AW253+AX298*AX253+AY298*AY253+AZ298*AZ253+BA298*BA253+BB298*BB253+BC298*BC253+BD298*BD253+BE298*BE253+BF298*BF253+BG298*BG253+BH298*BH253+BI298*BI253+BJ298*BJ253+BK298*BK253+BL298*BL253+BM298*BM253+BN298*BN253+BO298*BO253+BP298*BP253+BQ298*BQ253+BR298*BR253+BS298*BS253+BT298*BT253+BU298*BU253+BV298*BV253+BW298*BW253+BX298*BX253+BY298*BY253+BZ298*BZ253+CA298*CA253+CB298*CB253+CC298*CC253+CD298*CD253+CE298*CE253+CF298*CF253+CG298*CG253+CH298*CH253+CI298*CI253+CJ298*CJ253+CK298*CK253+CL298*CL253+CM298*CM253+CN298*CN253+CO298*CO253+CP298*CP253+CQ298*CQ253+CR298*CR253+CS298*CS253+CT298*CT253+CU298*CU253</f>
        <v>0</v>
      </c>
    </row>
    <row r="254" spans="2:113" ht="18" x14ac:dyDescent="0.25">
      <c r="B254" s="2516">
        <v>101</v>
      </c>
      <c r="C254" s="2460" t="s">
        <v>3316</v>
      </c>
      <c r="D254" s="2461" t="s">
        <v>1687</v>
      </c>
      <c r="E254" s="3130">
        <f>-E_EQFe2*S_VFA/(S_B+S_VFA)</f>
        <v>-1.4183529553600002E-3</v>
      </c>
      <c r="F254" s="3130">
        <f>-E_EQFe2*S_B/(S_B+S_VFA)</f>
        <v>-0.14183529553600002</v>
      </c>
      <c r="G254" s="3131">
        <f>0</f>
        <v>0</v>
      </c>
      <c r="H254" s="3131">
        <f>0</f>
        <v>0</v>
      </c>
      <c r="I254" s="3131">
        <f>0</f>
        <v>0</v>
      </c>
      <c r="J254" s="3144">
        <f>0</f>
        <v>0</v>
      </c>
      <c r="K254" s="3131">
        <f>0</f>
        <v>0</v>
      </c>
      <c r="L254" s="3131">
        <f>0</f>
        <v>0</v>
      </c>
      <c r="M254" s="3131">
        <f>0</f>
        <v>0</v>
      </c>
      <c r="N254" s="3131">
        <f>0</f>
        <v>0</v>
      </c>
      <c r="O254" s="3131">
        <f>0</f>
        <v>0</v>
      </c>
      <c r="P254" s="3131">
        <f>0</f>
        <v>0</v>
      </c>
      <c r="Q254" s="3131">
        <f>0</f>
        <v>0</v>
      </c>
      <c r="R254" s="3130">
        <f>0</f>
        <v>0</v>
      </c>
      <c r="S254" s="3131">
        <f>0</f>
        <v>0</v>
      </c>
      <c r="T254" s="3131">
        <f>0</f>
        <v>0</v>
      </c>
      <c r="U254" s="3131">
        <f>0</f>
        <v>0</v>
      </c>
      <c r="V254" s="3131">
        <f>0</f>
        <v>0</v>
      </c>
      <c r="W254" s="3131">
        <f>0</f>
        <v>0</v>
      </c>
      <c r="X254" s="3131">
        <f>0</f>
        <v>0</v>
      </c>
      <c r="Y254" s="3131">
        <f>0</f>
        <v>0</v>
      </c>
      <c r="Z254" s="3131">
        <f>0</f>
        <v>0</v>
      </c>
      <c r="AA254" s="3131">
        <f>0</f>
        <v>0</v>
      </c>
      <c r="AB254" s="3131">
        <f>0</f>
        <v>0</v>
      </c>
      <c r="AC254" s="3131">
        <f>0</f>
        <v>0</v>
      </c>
      <c r="AD254" s="3131">
        <f>0</f>
        <v>0</v>
      </c>
      <c r="AE254" s="3131">
        <f>0</f>
        <v>0</v>
      </c>
      <c r="AF254" s="3131">
        <f>0</f>
        <v>0</v>
      </c>
      <c r="AG254" s="3131">
        <f>0</f>
        <v>0</v>
      </c>
      <c r="AH254" s="3131">
        <f>0</f>
        <v>0</v>
      </c>
      <c r="AI254" s="3131">
        <f>0</f>
        <v>0</v>
      </c>
      <c r="AJ254" s="3144">
        <f>0</f>
        <v>0</v>
      </c>
      <c r="AK254" s="3131">
        <f>0</f>
        <v>0</v>
      </c>
      <c r="AL254" s="3170">
        <f>X_HFO_P/X_HFO</f>
        <v>1.5529865549288207E-48</v>
      </c>
      <c r="AM254" s="3131">
        <f>0</f>
        <v>0</v>
      </c>
      <c r="AN254" s="3131">
        <f>0</f>
        <v>0</v>
      </c>
      <c r="AO254" s="3131">
        <f>0</f>
        <v>0</v>
      </c>
      <c r="AP254" s="3144">
        <f>0</f>
        <v>0</v>
      </c>
      <c r="AQ254" s="3131">
        <f>0</f>
        <v>0</v>
      </c>
      <c r="AR254" s="3131">
        <f>0</f>
        <v>0</v>
      </c>
      <c r="AS254" s="3131">
        <f>0</f>
        <v>0</v>
      </c>
      <c r="AT254" s="3131">
        <f>0</f>
        <v>0</v>
      </c>
      <c r="AU254" s="3130">
        <f>i_CIT_SB*E_EQFe2*S_B/(S_B+S_VFA)+i_CIT_VFA*E_EQFe2*S_VFA/(S_B+S_VFA)</f>
        <v>4.1096776881556003E-2</v>
      </c>
      <c r="AV254" s="3131">
        <f>0</f>
        <v>0</v>
      </c>
      <c r="AW254" s="3131">
        <f>0</f>
        <v>0</v>
      </c>
      <c r="AX254" s="3131">
        <f>0</f>
        <v>0</v>
      </c>
      <c r="AY254" s="3131">
        <f>0</f>
        <v>0</v>
      </c>
      <c r="AZ254" s="3131">
        <f>0</f>
        <v>0</v>
      </c>
      <c r="BA254" s="3131">
        <f>0</f>
        <v>0</v>
      </c>
      <c r="BB254" s="3131">
        <f>0</f>
        <v>0</v>
      </c>
      <c r="BC254" s="3130">
        <f>E_EQFe2*S_B/(S_B+S_VFA)*i_S_SB</f>
        <v>2.1275294330400004E-4</v>
      </c>
      <c r="BD254" s="3131">
        <f>0</f>
        <v>0</v>
      </c>
      <c r="BE254" s="3130">
        <f>1</f>
        <v>1</v>
      </c>
      <c r="BF254" s="3170">
        <f>-X_HFO_H/X_HFO</f>
        <v>-9.9999999999999997E-49</v>
      </c>
      <c r="BG254" s="3170">
        <f>-X_HFO_L/X_HFO</f>
        <v>-9.9999999999999997E-49</v>
      </c>
      <c r="BH254" s="3170">
        <f>-X_HFO_old/X_HFO</f>
        <v>-1</v>
      </c>
      <c r="BI254" s="3170">
        <f>-X_HFO_H_P/X_HFO</f>
        <v>-9.9999999999999997E-49</v>
      </c>
      <c r="BJ254" s="3170">
        <f>-X_HFO_L_P/X_HFO</f>
        <v>-9.9999999999999997E-49</v>
      </c>
      <c r="BK254" s="3170">
        <f>-X_HFO_H_P_old/X_HFO</f>
        <v>-9.9999999999999997E-49</v>
      </c>
      <c r="BL254" s="3170">
        <f>-X_HFO_L_P_old/X_HFO</f>
        <v>-9.9999999999999997E-49</v>
      </c>
      <c r="BM254" s="3170">
        <f>0</f>
        <v>0</v>
      </c>
      <c r="BN254" s="3170">
        <f>0</f>
        <v>0</v>
      </c>
      <c r="BO254" s="3170">
        <f>0</f>
        <v>0</v>
      </c>
      <c r="BP254" s="3170">
        <f>0</f>
        <v>0</v>
      </c>
      <c r="BQ254" s="3170">
        <f>0</f>
        <v>0</v>
      </c>
      <c r="BR254" s="3170">
        <f>0</f>
        <v>0</v>
      </c>
      <c r="BS254" s="3170">
        <f>0</f>
        <v>0</v>
      </c>
      <c r="BT254" s="3130">
        <f>0</f>
        <v>0</v>
      </c>
      <c r="BU254" s="3130">
        <f>0</f>
        <v>0</v>
      </c>
      <c r="BV254" s="3130">
        <f>0</f>
        <v>0</v>
      </c>
      <c r="BW254" s="3130">
        <f>0</f>
        <v>0</v>
      </c>
      <c r="BX254" s="3130">
        <f>0</f>
        <v>0</v>
      </c>
      <c r="BY254" s="3130">
        <f>0</f>
        <v>0</v>
      </c>
      <c r="BZ254" s="3208">
        <f>0</f>
        <v>0</v>
      </c>
      <c r="CA254" s="3208">
        <f>0</f>
        <v>0</v>
      </c>
      <c r="CB254" s="3208">
        <f>0</f>
        <v>0</v>
      </c>
      <c r="CC254" s="3208">
        <f>0</f>
        <v>0</v>
      </c>
      <c r="CD254" s="3130">
        <f>0</f>
        <v>0</v>
      </c>
      <c r="CE254" s="3130">
        <f>0</f>
        <v>0</v>
      </c>
      <c r="CF254" s="3130">
        <f>0</f>
        <v>0</v>
      </c>
      <c r="CG254" s="3130">
        <f>0</f>
        <v>0</v>
      </c>
      <c r="CH254" s="3130">
        <f>0</f>
        <v>0</v>
      </c>
      <c r="CI254" s="3130">
        <f>0</f>
        <v>0</v>
      </c>
      <c r="CJ254" s="3130">
        <f>0</f>
        <v>0</v>
      </c>
      <c r="CK254" s="3130">
        <f>0</f>
        <v>0</v>
      </c>
      <c r="CL254" s="3130">
        <f>0</f>
        <v>0</v>
      </c>
      <c r="CM254" s="3130">
        <f>0</f>
        <v>0</v>
      </c>
      <c r="CN254" s="3130">
        <f>0</f>
        <v>0</v>
      </c>
      <c r="CO254" s="3130">
        <f>0</f>
        <v>0</v>
      </c>
      <c r="CP254" s="3130">
        <f>0</f>
        <v>0</v>
      </c>
      <c r="CQ254" s="3130">
        <f>0</f>
        <v>0</v>
      </c>
      <c r="CR254" s="3130">
        <f>0</f>
        <v>0</v>
      </c>
      <c r="CS254" s="3130">
        <f>0</f>
        <v>0</v>
      </c>
      <c r="CT254" s="3130">
        <f>0</f>
        <v>0</v>
      </c>
      <c r="CU254" s="3130">
        <f>0</f>
        <v>0</v>
      </c>
      <c r="CV254" s="3235">
        <f>q_HFO_RED_T*X_HFO*L_oginhORP_HFO*(M_satSB_KSB+M_satSVFA_KVFA)</f>
        <v>6.8384401301643267E-20</v>
      </c>
      <c r="CX254" s="2838">
        <f>E287*E254+F287*F254+G287*G254+H287*H254+I287*I254+J287*J254+K287*K254+L287*L254+M287*M254+N287*N254+O287*O254+P287*P254+Q287*Q254+R287*R254+S287*S254+T287*T254+U287*U254+V287*V254+W287*W254+X287*X254+Y287*Y254+Z287*Z254+AA287*AA254+AB287*AB254+AC287*AC254+AD287*AD254+AE287*AE254+AF287*AF254+AG287*AG254+AH287*AH254+AI287*AI254+AJ287*AJ254+AK287*AK254+AL287*AL254+AM287*AM254+AN287*AN254+AO287*AO254+AP287*AP254+AQ287*AQ254+AR287*AR254+AS287*AS254+AT287*AT254+AU287*AU254+AV287*AV254+AW287*AW254+AX287*AX254+AY287*AY254+AZ287*AZ254+BA287*BA254+BB287*BB254+BC287*BC254+BD287*BD254+BE287*BE254+BF287*BF254+BG287*BG254+BH287*BH254+BI287*BI254+BJ287*BJ254+BK287*BK254+BL287*BL254+BM287*BM254+BN287*BN254+BO287*BO254+BP287*BP254+BQ287*BQ254+BR287*BR254+BS287*BS254+BT287*BT254+BU287*BU254+BV287*BV254+BW287*BW254+BX287*BX254+BY287*BY254+BZ287*BZ254+CA287*CA254+CB287*CB254+CC287*CC254+CD287*CD254+CE287*CE254+CF287*CF254+CG287*CG254+CH287*CH254+CI287*CI254+CJ287*CJ254+CK287*CK254+CL287*CL254+CM287*CM254+CN287*CN254+CO287*CO254+CP287*CP254+CQ287*CQ254+CR287*CR254+CS287*CS254+CT287*CT254+CU287*CU254</f>
        <v>0</v>
      </c>
      <c r="CY254" s="2838">
        <f>E288*E254+F288*F254+G288*G254+H288*H254+I288*I254+J288*J254+K288*K254+L288*L254+M288*M254+N288*N254+O288*O254+P288*P254+Q288*Q254+R288*R254+S288*S254+T288*T254+U288*U254+V288*V254+W288*W254+X288*X254+Y288*Y254+Z288*Z254+AA288*AA254+AB288*AB254+AC288*AC254+AD288*AD254+AE288*AE254+AF288*AF254+AG288*AG254+AH288*AH254+AI288*AI254+AJ288*AJ254+AK288*AK254+AL288*AL254+AM288*AM254+AN288*AN254+AO288*AO254+AP288*AP254+AQ288*AQ254+AR288*AR254+AS288*AS254+AT288*AT254+AU288*AU254+AV288*AV254+AW288*AW254+AX288*AX254+AY288*AY254+AZ288*AZ254+BA288*BA254+BB288*BB254+BC288*BC254+BD288*BD254+BE288*BE254+BF288*BF254+BG288*BG254+BH288*BH254+BI288*BI254+BJ288*BJ254+BK288*BK254+BL288*BL254+BM288*BM254+BN288*BN254+BO288*BO254+BP288*BP254+BQ288*BQ254+BR288*BR254+BS288*BS254+BT288*BT254+BU288*BU254+BV288*BV254+BW288*BW254+BX288*BX254+BY288*BY254+BZ288*BZ254+CA288*CA254+CB288*CB254+CC288*CC254+CD288*CD254+CE288*CE254+CF288*CF254+CG288*CG254+CH288*CH254+CI288*CI254+CJ288*CJ254+CK288*CK254+CL288*CL254+CM288*CM254+CN288*CN254+CO288*CO254+CP288*CP254+CQ288*CQ254+CR288*CR254+CS288*CS254+CT288*CT254+CU288*CU254</f>
        <v>0</v>
      </c>
      <c r="CZ254" s="2839">
        <f>E289*E254+F289*F254+G289*G254+H289*H254+I289*I254+J289*J254+K289*K254+L289*L254+M289*M254+N289*N254+O289*O254+P289*P254+Q289*Q254+R289*R254+S289*S254+T289*T254+U289*U254+V289*V254+W289*W254+X289*X254+Y289*Y254+Z289*Z254+AA289*AA254+AB289*AB254+AC289*AC254+AD289*AD254+AE289*AE254+AF289*AF254+AG289*AG254+AH289*AH254+AI289*AI254+AJ289*AJ254+AK289*AK254+AL289*AL254+AM289*AM254+AN289*AN254+AO289*AO254+AP289*AP254+AQ289*AQ254+AR289*AR254+AS289*AS254+AT289*AT254+AU289*AU254+AV289*AV254+AW289*AW254+AX289*AX254+AY289*AY254+AZ289*AZ254+BA289*BA254+BB289*BB254+BC289*BC254+BD289*BD254+BE289*BE254+BF289*BF254+BG289*BG254+BH289*BH254+BI289*BI254+BJ289*BJ254+BK289*BK254+BL289*BL254+BM289*BM254+BN289*BN254+BO289*BO254+BP289*BP254+BQ289*BQ254+BR289*BR254+BS289*BS254+BT289*BT254+BU289*BU254+BV289*BV254+BW289*BW254+BX289*BX254+BY289*BY254+BZ289*BZ254+CA289*CA254+CB289*CB254+CC289*CC254+CD289*CD254+CE289*CE254+CF289*CF254+CG289*CG254+CH289*CH254+CI289*CI254+CJ289*CJ254+CK289*CK254+CL289*CL254+CM289*CM254+CN289*CN254+CO289*CO254+CP289*CP254+CQ289*CQ254+CR289*CR254+CS289*CS254+CT289*CT254+CU289*CU254</f>
        <v>0</v>
      </c>
      <c r="DA254" s="2840">
        <f>E290*E254+F290*F254+G290*G254+H290*H254+I290*I254+J290*J254+K290*K254+L290*L254+M290*M254+N290*N254+O290*O254+P290*P254+Q290*Q254+R290*R254+S290*S254+T290*T254+U290*U254+V290*V254+W290*W254+X290*X254+Y290*Y254+Z290*Z254+AA290*AA254+AB290*AB254+AC290*AC254+AD290*AD254+AE290*AE254+AF290*AF254+AG290*AG254+AH290*AH254+AI290*AI254+AJ290*AJ254+AK290*AK254+AL290*AL254+AM290*AM254+AN290*AN254+AO290*AO254+AP290*AP254+AQ290*AQ254+AR290*AR254+AS290*AS254+AT290*AT254+AU290*AU254+AV290*AV254+AW290*AW254+AX290*AX254+AY290*AY254+AZ290*AZ254+BA290*BA254+BB290*BB254+BC290*BC254+BD290*BD254+BE290*BE254+BF290*BF254+BG290*BG254+BH290*BH254+BI290*BI254+BJ290*BJ254+BK290*BK254+BL290*BL254+BM290*BM254+BN290*BN254+BO290*BO254+BP290*BP254+BQ290*BQ254+BR290*BR254+BS290*BS254+BT290*BT254+BU290*BU254+BV290*BV254+BW290*BW254+BX290*BX254+BY290*BY254+BZ290*BZ254+CA290*CA254+CB290*CB254+CC290*CC254+CD290*CD254+CE290*CE254+CF290*CF254+CG290*CG254+CH290*CH254+CI290*CI254+CJ290*CJ254+CK290*CK254+CL290*CL254+CM290*CM254+CN290*CN254+CO290*CO254+CP290*CP254+CQ290*CQ254+CR290*CR254+CS290*CS254+CT290*CT254+CU290*CU254</f>
        <v>0</v>
      </c>
      <c r="DB254" s="2840">
        <f>E291*E254+F291*F254+G291*G254+H291*H254+I291*I254+J291*J254+K291*K254+L291*L254+M291*M254+N291*N254+O291*O254+P291*P254+Q291*Q254+R291*R254+S291*S254+T291*T254+U291*U254+V291*V254+W291*W254+X291*X254+Y291*Y254+Z291*Z254+AA291*AA254+AB291*AB254+AC291*AC254+AD291*AD254+AE291*AE254+AF291*AF254+AG291*AG254+AH291*AH254+AI291*AI254+AJ291*AJ254+AK291*AK254+AL291*AL254+AM291*AM254+AN291*AN254+AO291*AO254+AP291*AP254+AQ291*AQ254+AR291*AR254+AS291*AS254+AT291*AT254+AU291*AU254+AV291*AV254+AW291*AW254+AX291*AX254+AY291*AY254+AZ291*AZ254+BA291*BA254+BB291*BB254+BC291*BC254+BD291*BD254+BE291*BE254+BF291*BF254+BG291*BG254+BH291*BH254+BI291*BI254+BJ291*BJ254+BK291*BK254+BL291*BL254+BM291*BM254+BN291*BN254+BO291*BO254+BP291*BP254+BQ291*BQ254+BR291*BR254+BS291*BS254+BT291*BT254+BU291*BU254+BV291*BV254+BW291*BW254+BX291*BX254+BY291*BY254+BZ291*BZ254+CA291*CA254+CB291*CB254+CC291*CC254+CD291*CD254+CE291*CE254+CF291*CF254+CG291*CG254+CH291*CH254+CI291*CI254+CJ291*CJ254+CK291*CK254+CL291*CL254+CM291*CM254+CN291*CN254+CO291*CO254+CP291*CP254+CQ291*CQ254+CR291*CR254+CS291*CS254+CT291*CT254+CU291*CU254</f>
        <v>0</v>
      </c>
      <c r="DC254" s="2840">
        <f>E292*E254+F292*F254+G292*G254+H292*H254+I292*I254+J292*J254+K292*K254+L292*L254+M292*M254+N292*N254+O292*O254+P292*P254+Q292*Q254+R292*R254+S292*S254+T292*T254+U292*U254+V292*V254+W292*W254+X292*X254+Y292*Y254+Z292*Z254+AA292*AA254+AB292*AB254+AC292*AC254+AD292*AD254+AE292*AE254+AF292*AF254+AG292*AG254+AH292*AH254+AI292*AI254+AJ292*AJ254+AK292*AK254+AL292*AL254+AM292*AM254+AN292*AN254+AO292*AO254+AP292*AP254+AQ292*AQ254+AR292*AR254+AS292*AS254+AT292*AT254+AU292*AU254+AV292*AV254+AW292*AW254+AX292*AX254+AY292*AY254+AZ292*AZ254+BA292*BA254+BB292*BB254+BC292*BC254+BD292*BD254+BE292*BE254+BF292*BF254+BG292*BG254+BH292*BH254+BI292*BI254+BJ292*BJ254+BK292*BK254+BL292*BL254+BM292*BM254+BN292*BN254+BO292*BO254+BP292*BP254+BQ292*BQ254+BR292*BR254+BS292*BS254+BT292*BT254+BU292*BU254+BV292*BV254+BW292*BW254+BX292*BX254+BY292*BY254+BZ292*BZ254+CA292*CA254+CB292*CB254+CC292*CC254+CD292*CD254+CE292*CE254+CF292*CF254+CG292*CG254+CH292*CH254+CI292*CI254+CJ292*CJ254+CK292*CK254+CL292*CL254+CM292*CM254+CN292*CN254+CO292*CO254+CP292*CP254+CQ292*CQ254+CR292*CR254+CS292*CS254+CT292*CT254+CU292*CU254</f>
        <v>0</v>
      </c>
      <c r="DD254" s="2840">
        <f>E293*E254+F293*F254+G293*G254+H293*H254+I293*I254+J293*J254+K293*K254+L293*L254+M293*M254+N293*N254+O293*O254+P293*P254+Q293*Q254+R293*R254+S293*S254+T293*T254+U293*U254+V293*V254+W293*W254+X293*X254+Y293*Y254+Z293*Z254+AA293*AA254+AB293*AB254+AC293*AC254+AD293*AD254+AE293*AE254+AF293*AF254+AG293*AG254+AH293*AH254+AI293*AI254+AJ293*AJ254+AK293*AK254+AL293*AL254+AM293*AM254+AN293*AN254+AO293*AO254+AP293*AP254+AQ293*AQ254+AR293*AR254+AS293*AS254+AT293*AT254+AU293*AU254+AV293*AV254+AW293*AW254+AX293*AX254+AY293*AY254+AZ293*AZ254+BA293*BA254+BB293*BB254+BC293*BC254+BD293*BD254+BE293*BE254+BF293*BF254+BG293*BG254+BH293*BH254+BI293*BI254+BJ293*BJ254+BK293*BK254+BL293*BL254+BM293*BM254+BN293*BN254+BO293*BO254+BP293*BP254+BQ293*BQ254+BR293*BR254+BS293*BS254+BT293*BT254+BU293*BU254+BV293*BV254+BW293*BW254+BX293*BX254+BY293*BY254+BZ293*BZ254+CA293*CA254+CB293*CB254+CC293*CC254+CD293*CD254+CE293*CE254+CF293*CF254+CG293*CG254+CH293*CH254+CI293*CI254+CJ293*CJ254+CK293*CK254+CL293*CL254+CM293*CM254+CN293*CN254+CO293*CO254+CP293*CP254+CQ293*CQ254+CR293*CR254+CS293*CS254+CT293*CT254+CU293*CU254</f>
        <v>0</v>
      </c>
      <c r="DE254" s="2840">
        <f>E294*E254+F294*F254+G294*G254+H294*H254+I294*I254+J294*J254+K294*K254+L294*L254+M294*M254+N294*N254+O294*O254+P294*P254+Q294*Q254+R294*R254+S294*S254+T294*T254+U294*U254+V294*V254+W294*W254+X294*X254+Y294*Y254+Z294*Z254+AA294*AA254+AB294*AB254+AC294*AC254+AD294*AD254+AE294*AE254+AF294*AF254+AG294*AG254+AH294*AH254+AI294*AI254+AJ294*AJ254+AK294*AK254+AL294*AL254+AM294*AM254+AN294*AN254+AO294*AO254+AP294*AP254+AQ294*AQ254+AR294*AR254+AS294*AS254+AT294*AT254+AU294*AU254+AV294*AV254+AW294*AW254+AX294*AX254+AY294*AY254+AZ294*AZ254+BA294*BA254+BB294*BB254+BC294*BC254+BD294*BD254+BE294*BE254+BF294*BF254+BG294*BG254+BH294*BH254+BI294*BI254+BJ294*BJ254+BK294*BK254+BL294*BL254+BM294*BM254+BN294*BN254+BO294*BO254+BP294*BP254+BQ294*BQ254+BR294*BR254+BS294*BS254+BT294*BT254+BU294*BU254+BV294*BV254+BW294*BW254+BX294*BX254+BY294*BY254+BZ294*BZ254+CA294*CA254+CB294*CB254+CC294*CC254+CD294*CD254+CE294*CE254+CF294*CF254+CG294*CG254+CH294*CH254+CI294*CI254+CJ294*CJ254+CK294*CK254+CL294*CL254+CM294*CM254+CN294*CN254+CO294*CO254+CP294*CP254+CQ294*CQ254+CR294*CR254+CS294*CS254+CT294*CT254+CU294*CU254</f>
        <v>0</v>
      </c>
      <c r="DF254" s="2840">
        <f>E295*E254+F295*F254+G295*G254+H295*H254+I295*I254+J295*J254+K295*K254+L295*L254+M295*M254+N295*N254+O295*O254+P295*P254+Q295*Q254+R295*R254+S295*S254+T295*T254+U295*U254+V295*V254+W295*W254+X295*X254+Y295*Y254+Z295*Z254+AA295*AA254+AB295*AB254+AC295*AC254+AD295*AD254+AE295*AE254+AF295*AF254+AG295*AG254+AH295*AH254+AI295*AI254+AJ295*AJ254+AK295*AK254+AL295*AL254+AM295*AM254+AN295*AN254+AO295*AO254+AP295*AP254+AQ295*AQ254+AR295*AR254+AS295*AS254+AT295*AT254+AU295*AU254+AV295*AV254+AW295*AW254+AX295*AX254+AY295*AY254+AZ295*AZ254+BA295*BA254+BB295*BB254+BC295*BC254+BD295*BD254+BE295*BE254+BF295*BF254+BG295*BG254+BH295*BH254+BI295*BI254+BJ295*BJ254+BK295*BK254+BL295*BL254+BM295*BM254+BN295*BN254+BO295*BO254+BP295*BP254+BQ295*BQ254+BR295*BR254+BS295*BS254+BT295*BT254+BU295*BU254+BV295*BV254+BW295*BW254+BX295*BX254+BY295*BY254+BZ295*BZ254+CA295*CA254+CB295*CB254+CC295*CC254+CD295*CD254+CE295*CE254+CF295*CF254+CG295*CG254+CH295*CH254+CI295*CI254+CJ295*CJ254+CK295*CK254+CL295*CL254+CM295*CM254+CN295*CN254+CO295*CO254+CP295*CP254+CQ295*CQ254+CR295*CR254+CS295*CS254+CT295*CT254+CU295*CU254</f>
        <v>0</v>
      </c>
      <c r="DG254" s="2840">
        <f>E296*E254+F296*F254+G296*G254+H296*H254+I296*I254+J296*J254+K296*K254+L296*L254+M296*M254+N296*N254+O296*O254+P296*P254+Q296*Q254+R296*R254+S296*S254+T296*T254+U296*U254+V296*V254+W296*W254+X296*X254+Y296*Y254+Z296*Z254+AA296*AA254+AB296*AB254+AC296*AC254+AD296*AD254+AE296*AE254+AF296*AF254+AG296*AG254+AH296*AH254+AI296*AI254+AJ296*AJ254+AK296*AK254+AL296*AL254+AM296*AM254+AN296*AN254+AO296*AO254+AP296*AP254+AQ296*AQ254+AR296*AR254+AS296*AS254+AT296*AT254+AU296*AU254+AV296*AV254+AW296*AW254+AX296*AX254+AY296*AY254+AZ296*AZ254+BA296*BA254+BB296*BB254+BC296*BC254+BD296*BD254+BE296*BE254+BF296*BF254+BG296*BG254+BH296*BH254+BI296*BI254+BJ296*BJ254+BK296*BK254+BL296*BL254+BM296*BM254+BN296*BN254+BO296*BO254+BP296*BP254+BQ296*BQ254+BR296*BR254+BS296*BS254+BT296*BT254+BU296*BU254+BV296*BV254+BW296*BW254+BX296*BX254+BY296*BY254+BZ296*BZ254+CA296*CA254+CB296*CB254+CC296*CC254+CD296*CD254+CE296*CE254+CF296*CF254+CG296*CG254+CH296*CH254+CI296*CI254+CJ296*CJ254+CK296*CK254+CL296*CL254+CM296*CM254+CN296*CN254+CO296*CO254+CP296*CP254+CQ296*CQ254+CR296*CR254+CS296*CS254+CT296*CT254+CU296*CU254</f>
        <v>0</v>
      </c>
      <c r="DH254" s="2840">
        <f>E297*E254+F297*F254+G297*G254+H297*H254+I297*I254+J297*J254+K297*K254+L297*L254+M297*M254+N297*N254+O297*O254+P297*P254+Q297*Q254+R297*R254+S297*S254+T297*T254+U297*U254+V297*V254+W297*W254+X297*X254+Y297*Y254+Z297*Z254+AA297*AA254+AB297*AB254+AC297*AC254+AD297*AD254+AE297*AE254+AF297*AF254+AG297*AG254+AH297*AH254+AI297*AI254+AJ297*AJ254+AK297*AK254+AL297*AL254+AM297*AM254+AN297*AN254+AO297*AO254+AP297*AP254+AQ297*AQ254+AR297*AR254+AS297*AS254+AT297*AT254+AU297*AU254+AV297*AV254+AW297*AW254+AX297*AX254+AY297*AY254+AZ297*AZ254+BA297*BA254+BB297*BB254+BC297*BC254+BD297*BD254+BE297*BE254+BF297*BF254+BG297*BG254+BH297*BH254+BI297*BI254+BJ297*BJ254+BK297*BK254+BL297*BL254+BM297*BM254+BN297*BN254+BO297*BO254+BP297*BP254+BQ297*BQ254+BR297*BR254+BS297*BS254+BT297*BT254+BU297*BU254+BV297*BV254+BW297*BW254+BX297*BX254+BY297*BY254+BZ297*BZ254+CA297*CA254+CB297*CB254+CC297*CC254+CD297*CD254+CE297*CE254+CF297*CF254+CG297*CG254+CH297*CH254+CI297*CI254+CJ297*CJ254+CK297*CK254+CL297*CL254+CM297*CM254+CN297*CN254+CO297*CO254+CP297*CP254+CQ297*CQ254+CR297*CR254+CS297*CS254+CT297*CT254+CU297*CU254</f>
        <v>-3.9999999999999999E-48</v>
      </c>
      <c r="DI254" s="2840">
        <f>E298*E254+F298*F254+G298*G254+H298*H254+I298*I254+J298*J254+K298*K254+L298*L254+M298*M254+N298*N254+O298*O254+P298*P254+Q298*Q254+R298*R254+S298*S254+T298*T254+U298*U254+V298*V254+W298*W254+X298*X254+Y298*Y254+Z298*Z254+AA298*AA254+AB298*AB254+AC298*AC254+AD298*AD254+AE298*AE254+AF298*AF254+AG298*AG254+AH298*AH254+AI298*AI254+AJ298*AJ254+AK298*AK254+AL298*AL254+AM298*AM254+AN298*AN254+AO298*AO254+AP298*AP254+AQ298*AQ254+AR298*AR254+AS298*AS254+AT298*AT254+AU298*AU254+AV298*AV254+AW298*AW254+AX298*AX254+AY298*AY254+AZ298*AZ254+BA298*BA254+BB298*BB254+BC298*BC254+BD298*BD254+BE298*BE254+BF298*BF254+BG298*BG254+BH298*BH254+BI298*BI254+BJ298*BJ254+BK298*BK254+BL298*BL254+BM298*BM254+BN298*BN254+BO298*BO254+BP298*BP254+BQ298*BQ254+BR298*BR254+BS298*BS254+BT298*BT254+BU298*BU254+BV298*BV254+BW298*BW254+BX298*BX254+BY298*BY254+BZ298*BZ254+CA298*CA254+CB298*CB254+CC298*CC254+CD298*CD254+CE298*CE254+CF298*CF254+CG298*CG254+CH298*CH254+CI298*CI254+CJ298*CJ254+CK298*CK254+CL298*CL254+CM298*CM254+CN298*CN254+CO298*CO254+CP298*CP254+CQ298*CQ254+CR298*CR254+CS298*CS254+CT298*CT254+CU298*CU254</f>
        <v>0</v>
      </c>
    </row>
    <row r="255" spans="2:113" ht="18" x14ac:dyDescent="0.25">
      <c r="B255" s="2516">
        <v>102</v>
      </c>
      <c r="C255" s="2460" t="s">
        <v>3317</v>
      </c>
      <c r="D255" s="2461" t="s">
        <v>3286</v>
      </c>
      <c r="E255" s="3131">
        <f>0</f>
        <v>0</v>
      </c>
      <c r="F255" s="3131">
        <f>0</f>
        <v>0</v>
      </c>
      <c r="G255" s="3131">
        <f>0</f>
        <v>0</v>
      </c>
      <c r="H255" s="3131">
        <f>0</f>
        <v>0</v>
      </c>
      <c r="I255" s="3131">
        <f>0</f>
        <v>0</v>
      </c>
      <c r="J255" s="3144">
        <f>0</f>
        <v>0</v>
      </c>
      <c r="K255" s="3131">
        <f>0</f>
        <v>0</v>
      </c>
      <c r="L255" s="3131">
        <f>0</f>
        <v>0</v>
      </c>
      <c r="M255" s="3131">
        <f>0</f>
        <v>0</v>
      </c>
      <c r="N255" s="3131">
        <f>0</f>
        <v>0</v>
      </c>
      <c r="O255" s="3131">
        <f>0</f>
        <v>0</v>
      </c>
      <c r="P255" s="3131">
        <f>0</f>
        <v>0</v>
      </c>
      <c r="Q255" s="3131">
        <f>0</f>
        <v>0</v>
      </c>
      <c r="R255" s="3130">
        <f>0</f>
        <v>0</v>
      </c>
      <c r="S255" s="3131">
        <f>0</f>
        <v>0</v>
      </c>
      <c r="T255" s="3131">
        <f>0</f>
        <v>0</v>
      </c>
      <c r="U255" s="3131">
        <f>0</f>
        <v>0</v>
      </c>
      <c r="V255" s="3131">
        <f>0</f>
        <v>0</v>
      </c>
      <c r="W255" s="3131">
        <f>0</f>
        <v>0</v>
      </c>
      <c r="X255" s="3131">
        <f>0</f>
        <v>0</v>
      </c>
      <c r="Y255" s="3131">
        <f>0</f>
        <v>0</v>
      </c>
      <c r="Z255" s="3131">
        <f>0</f>
        <v>0</v>
      </c>
      <c r="AA255" s="3131">
        <f>0</f>
        <v>0</v>
      </c>
      <c r="AB255" s="3131">
        <f>0</f>
        <v>0</v>
      </c>
      <c r="AC255" s="3131">
        <f>0</f>
        <v>0</v>
      </c>
      <c r="AD255" s="3131">
        <f>0</f>
        <v>0</v>
      </c>
      <c r="AE255" s="3131">
        <f>0</f>
        <v>0</v>
      </c>
      <c r="AF255" s="3131">
        <f>0</f>
        <v>0</v>
      </c>
      <c r="AG255" s="3131">
        <f>0</f>
        <v>0</v>
      </c>
      <c r="AH255" s="3131">
        <f>0</f>
        <v>0</v>
      </c>
      <c r="AI255" s="3131">
        <f>0</f>
        <v>0</v>
      </c>
      <c r="AJ255" s="3144">
        <f>0</f>
        <v>0</v>
      </c>
      <c r="AK255" s="3131">
        <f>0</f>
        <v>0</v>
      </c>
      <c r="AL255" s="3171">
        <f>X_HFO_P/X_HFO</f>
        <v>1.5529865549288207E-48</v>
      </c>
      <c r="AM255" s="3131">
        <f>0</f>
        <v>0</v>
      </c>
      <c r="AN255" s="3131">
        <f>0</f>
        <v>0</v>
      </c>
      <c r="AO255" s="3131">
        <f>0</f>
        <v>0</v>
      </c>
      <c r="AP255" s="3144">
        <f>0</f>
        <v>0</v>
      </c>
      <c r="AQ255" s="3131">
        <f>0</f>
        <v>0</v>
      </c>
      <c r="AR255" s="3131">
        <f>0</f>
        <v>0</v>
      </c>
      <c r="AS255" s="3131">
        <f>0</f>
        <v>0</v>
      </c>
      <c r="AT255" s="3131">
        <f>0</f>
        <v>0</v>
      </c>
      <c r="AU255" s="3130">
        <f>0</f>
        <v>0</v>
      </c>
      <c r="AV255" s="3131">
        <f>0</f>
        <v>0</v>
      </c>
      <c r="AW255" s="3131">
        <f>0</f>
        <v>0</v>
      </c>
      <c r="AX255" s="3131">
        <f>0</f>
        <v>0</v>
      </c>
      <c r="AY255" s="3131">
        <f>0</f>
        <v>0</v>
      </c>
      <c r="AZ255" s="3131">
        <f>0</f>
        <v>0</v>
      </c>
      <c r="BA255" s="3131">
        <f>0</f>
        <v>0</v>
      </c>
      <c r="BB255" s="3130">
        <f>-E_EQFe2/(E_EQH2S-E_EQS)</f>
        <v>-0.28710003118088545</v>
      </c>
      <c r="BC255" s="3131">
        <f>0</f>
        <v>0</v>
      </c>
      <c r="BD255" s="3130">
        <f>E_EQFe2/(E_EQH2S-E_EQS)</f>
        <v>0.28710003118088545</v>
      </c>
      <c r="BE255" s="3130">
        <f>1</f>
        <v>1</v>
      </c>
      <c r="BF255" s="3171">
        <f>-X_HFO_H/X_HFO</f>
        <v>-9.9999999999999997E-49</v>
      </c>
      <c r="BG255" s="3171">
        <f>-X_HFO_L/X_HFO</f>
        <v>-9.9999999999999997E-49</v>
      </c>
      <c r="BH255" s="3171">
        <f>-X_HFO_old/X_HFO</f>
        <v>-1</v>
      </c>
      <c r="BI255" s="3171">
        <f>-X_HFO_H_P/X_HFO</f>
        <v>-9.9999999999999997E-49</v>
      </c>
      <c r="BJ255" s="3171">
        <f>-X_HFO_L_P/X_HFO</f>
        <v>-9.9999999999999997E-49</v>
      </c>
      <c r="BK255" s="3171">
        <f>-X_HFO_H_P_old/X_HFO</f>
        <v>-9.9999999999999997E-49</v>
      </c>
      <c r="BL255" s="3171">
        <f>-X_HFO_L_P_old/X_HFO</f>
        <v>-9.9999999999999997E-49</v>
      </c>
      <c r="BM255" s="3171">
        <f>0</f>
        <v>0</v>
      </c>
      <c r="BN255" s="3171">
        <f>0</f>
        <v>0</v>
      </c>
      <c r="BO255" s="3171">
        <f>0</f>
        <v>0</v>
      </c>
      <c r="BP255" s="3171">
        <f>0</f>
        <v>0</v>
      </c>
      <c r="BQ255" s="3171">
        <f>0</f>
        <v>0</v>
      </c>
      <c r="BR255" s="3171">
        <f>0</f>
        <v>0</v>
      </c>
      <c r="BS255" s="3171">
        <f>0</f>
        <v>0</v>
      </c>
      <c r="BT255" s="3130">
        <f>0</f>
        <v>0</v>
      </c>
      <c r="BU255" s="3130">
        <f>0</f>
        <v>0</v>
      </c>
      <c r="BV255" s="3130">
        <f>0</f>
        <v>0</v>
      </c>
      <c r="BW255" s="3130">
        <f>0</f>
        <v>0</v>
      </c>
      <c r="BX255" s="3130">
        <f>0</f>
        <v>0</v>
      </c>
      <c r="BY255" s="3130">
        <f>0</f>
        <v>0</v>
      </c>
      <c r="BZ255" s="3208">
        <f>0</f>
        <v>0</v>
      </c>
      <c r="CA255" s="3208">
        <f>0</f>
        <v>0</v>
      </c>
      <c r="CB255" s="3208">
        <f>0</f>
        <v>0</v>
      </c>
      <c r="CC255" s="3208">
        <f>0</f>
        <v>0</v>
      </c>
      <c r="CD255" s="3130">
        <f>0</f>
        <v>0</v>
      </c>
      <c r="CE255" s="3130">
        <f>0</f>
        <v>0</v>
      </c>
      <c r="CF255" s="3130">
        <f>0</f>
        <v>0</v>
      </c>
      <c r="CG255" s="3130">
        <f>0</f>
        <v>0</v>
      </c>
      <c r="CH255" s="3130">
        <f>0</f>
        <v>0</v>
      </c>
      <c r="CI255" s="3130">
        <f>0</f>
        <v>0</v>
      </c>
      <c r="CJ255" s="3130">
        <f>0</f>
        <v>0</v>
      </c>
      <c r="CK255" s="3130">
        <f>0</f>
        <v>0</v>
      </c>
      <c r="CL255" s="3130">
        <f>0</f>
        <v>0</v>
      </c>
      <c r="CM255" s="3130">
        <f>0</f>
        <v>0</v>
      </c>
      <c r="CN255" s="3130">
        <f>0</f>
        <v>0</v>
      </c>
      <c r="CO255" s="3130">
        <f>0</f>
        <v>0</v>
      </c>
      <c r="CP255" s="3130">
        <f>0</f>
        <v>0</v>
      </c>
      <c r="CQ255" s="3130">
        <f>0</f>
        <v>0</v>
      </c>
      <c r="CR255" s="3130">
        <f>0</f>
        <v>0</v>
      </c>
      <c r="CS255" s="3130">
        <f>0</f>
        <v>0</v>
      </c>
      <c r="CT255" s="3130">
        <f>0</f>
        <v>0</v>
      </c>
      <c r="CU255" s="3130">
        <f>0</f>
        <v>0</v>
      </c>
      <c r="CV255" s="3235">
        <f>q_HFO_H2S_RED_T*X_HFO*M_inhSO2_KO2_OHO*M_inhSNO2_KNO2_OHO*M_inhSNO3_KNO3_OHO*M_inhSSO4_KiSO4_RED*H_satSH2S_KH2S_SOO</f>
        <v>1.0709548778068631E-8</v>
      </c>
      <c r="CX255" s="2838">
        <f>E287*E255+F287*F255+G287*G255+H287*H255+I287*I255+J287*J255+K287*K255+L287*L255+M287*M255+N287*N255+O287*O255+P287*P255+Q287*Q255+R287*R255+S287*S255+T287*T255+U287*U255+V287*V255+W287*W255+X287*X255+Y287*Y255+Z287*Z255+AA287*AA255+AB287*AB255+AC287*AC255+AD287*AD255+AE287*AE255+AF287*AF255+AG287*AG255+AH287*AH255+AI287*AI255+AJ287*AJ255+AK287*AK255+AL287*AL255+AM287*AM255+AN287*AN255+AO287*AO255+AP287*AP255+AQ287*AQ255+AR287*AR255+AS287*AS255+AT287*AT255+AU287*AU255+AV287*AV255+AW287*AW255+AX287*AX255+AY287*AY255+AZ287*AZ255+BA287*BA255+BB287*BB255+BC287*BC255+BD287*BD255+BE287*BE255+BF287*BF255+BG287*BG255+BH287*BH255+BI287*BI255+BJ287*BJ255+BK287*BK255+BL287*BL255+BM287*BM255+BN287*BN255+BO287*BO255+BP287*BP255+BQ287*BQ255+BR287*BR255+BS287*BS255+BT287*BT255+BU287*BU255+BV287*BV255+BW287*BW255+BX287*BX255+BY287*BY255+BZ287*BZ255+CA287*CA255+CB287*CB255+CC287*CC255+CD287*CD255+CE287*CE255+CF287*CF255+CG287*CG255+CH287*CH255+CI287*CI255+CJ287*CJ255+CK287*CK255+CL287*CL255+CM287*CM255+CN287*CN255+CO287*CO255+CP287*CP255+CQ287*CQ255+CR287*CR255+CS287*CS255+CT287*CT255+CU287*CU255</f>
        <v>-5.5511151231257827E-17</v>
      </c>
      <c r="CY255" s="2838">
        <f>E288*E255+F288*F255+G288*G255+H288*H255+I288*I255+J288*J255+K288*K255+L288*L255+M288*M255+N288*N255+O288*O255+P288*P255+Q288*Q255+R288*R255+S288*S255+T288*T255+U288*U255+V288*V255+W288*W255+X288*X255+Y288*Y255+Z288*Z255+AA288*AA255+AB288*AB255+AC288*AC255+AD288*AD255+AE288*AE255+AF288*AF255+AG288*AG255+AH288*AH255+AI288*AI255+AJ288*AJ255+AK288*AK255+AL288*AL255+AM288*AM255+AN288*AN255+AO288*AO255+AP288*AP255+AQ288*AQ255+AR288*AR255+AS288*AS255+AT288*AT255+AU288*AU255+AV288*AV255+AW288*AW255+AX288*AX255+AY288*AY255+AZ288*AZ255+BA288*BA255+BB288*BB255+BC288*BC255+BD288*BD255+BE288*BE255+BF288*BF255+BG288*BG255+BH288*BH255+BI288*BI255+BJ288*BJ255+BK288*BK255+BL288*BL255+BM288*BM255+BN288*BN255+BO288*BO255+BP288*BP255+BQ288*BQ255+BR288*BR255+BS288*BS255+BT288*BT255+BU288*BU255+BV288*BV255+BW288*BW255+BX288*BX255+BY288*BY255+BZ288*BZ255+CA288*CA255+CB288*CB255+CC288*CC255+CD288*CD255+CE288*CE255+CF288*CF255+CG288*CG255+CH288*CH255+CI288*CI255+CJ288*CJ255+CK288*CK255+CL288*CL255+CM288*CM255+CN288*CN255+CO288*CO255+CP288*CP255+CQ288*CQ255+CR288*CR255+CS288*CS255+CT288*CT255+CU288*CU255</f>
        <v>0</v>
      </c>
      <c r="CZ255" s="2839">
        <f>E289*E255+F289*F255+G289*G255+H289*H255+I289*I255+J289*J255+K289*K255+L289*L255+M289*M255+N289*N255+O289*O255+P289*P255+Q289*Q255+R289*R255+S289*S255+T289*T255+U289*U255+V289*V255+W289*W255+X289*X255+Y289*Y255+Z289*Z255+AA289*AA255+AB289*AB255+AC289*AC255+AD289*AD255+AE289*AE255+AF289*AF255+AG289*AG255+AH289*AH255+AI289*AI255+AJ289*AJ255+AK289*AK255+AL289*AL255+AM289*AM255+AN289*AN255+AO289*AO255+AP289*AP255+AQ289*AQ255+AR289*AR255+AS289*AS255+AT289*AT255+AU289*AU255+AV289*AV255+AW289*AW255+AX289*AX255+AY289*AY255+AZ289*AZ255+BA289*BA255+BB289*BB255+BC289*BC255+BD289*BD255+BE289*BE255+BF289*BF255+BG289*BG255+BH289*BH255+BI289*BI255+BJ289*BJ255+BK289*BK255+BL289*BL255+BM289*BM255+BN289*BN255+BO289*BO255+BP289*BP255+BQ289*BQ255+BR289*BR255+BS289*BS255+BT289*BT255+BU289*BU255+BV289*BV255+BW289*BW255+BX289*BX255+BY289*BY255+BZ289*BZ255+CA289*CA255+CB289*CB255+CC289*CC255+CD289*CD255+CE289*CE255+CF289*CF255+CG289*CG255+CH289*CH255+CI289*CI255+CJ289*CJ255+CK289*CK255+CL289*CL255+CM289*CM255+CN289*CN255+CO289*CO255+CP289*CP255+CQ289*CQ255+CR289*CR255+CS289*CS255+CT289*CT255+CU289*CU255</f>
        <v>0</v>
      </c>
      <c r="DA255" s="2840">
        <f>E290*E255+F290*F255+G290*G255+H290*H255+I290*I255+J290*J255+K290*K255+L290*L255+M290*M255+N290*N255+O290*O255+P290*P255+Q290*Q255+R290*R255+S290*S255+T290*T255+U290*U255+V290*V255+W290*W255+X290*X255+Y290*Y255+Z290*Z255+AA290*AA255+AB290*AB255+AC290*AC255+AD290*AD255+AE290*AE255+AF290*AF255+AG290*AG255+AH290*AH255+AI290*AI255+AJ290*AJ255+AK290*AK255+AL290*AL255+AM290*AM255+AN290*AN255+AO290*AO255+AP290*AP255+AQ290*AQ255+AR290*AR255+AS290*AS255+AT290*AT255+AU290*AU255+AV290*AV255+AW290*AW255+AX290*AX255+AY290*AY255+AZ290*AZ255+BA290*BA255+BB290*BB255+BC290*BC255+BD290*BD255+BE290*BE255+BF290*BF255+BG290*BG255+BH290*BH255+BI290*BI255+BJ290*BJ255+BK290*BK255+BL290*BL255+BM290*BM255+BN290*BN255+BO290*BO255+BP290*BP255+BQ290*BQ255+BR290*BR255+BS290*BS255+BT290*BT255+BU290*BU255+BV290*BV255+BW290*BW255+BX290*BX255+BY290*BY255+BZ290*BZ255+CA290*CA255+CB290*CB255+CC290*CC255+CD290*CD255+CE290*CE255+CF290*CF255+CG290*CG255+CH290*CH255+CI290*CI255+CJ290*CJ255+CK290*CK255+CL290*CL255+CM290*CM255+CN290*CN255+CO290*CO255+CP290*CP255+CQ290*CQ255+CR290*CR255+CS290*CS255+CT290*CT255+CU290*CU255</f>
        <v>0</v>
      </c>
      <c r="DB255" s="2840">
        <f>E291*E255+F291*F255+G291*G255+H291*H255+I291*I255+J291*J255+K291*K255+L291*L255+M291*M255+N291*N255+O291*O255+P291*P255+Q291*Q255+R291*R255+S291*S255+T291*T255+U291*U255+V291*V255+W291*W255+X291*X255+Y291*Y255+Z291*Z255+AA291*AA255+AB291*AB255+AC291*AC255+AD291*AD255+AE291*AE255+AF291*AF255+AG291*AG255+AH291*AH255+AI291*AI255+AJ291*AJ255+AK291*AK255+AL291*AL255+AM291*AM255+AN291*AN255+AO291*AO255+AP291*AP255+AQ291*AQ255+AR291*AR255+AS291*AS255+AT291*AT255+AU291*AU255+AV291*AV255+AW291*AW255+AX291*AX255+AY291*AY255+AZ291*AZ255+BA291*BA255+BB291*BB255+BC291*BC255+BD291*BD255+BE291*BE255+BF291*BF255+BG291*BG255+BH291*BH255+BI291*BI255+BJ291*BJ255+BK291*BK255+BL291*BL255+BM291*BM255+BN291*BN255+BO291*BO255+BP291*BP255+BQ291*BQ255+BR291*BR255+BS291*BS255+BT291*BT255+BU291*BU255+BV291*BV255+BW291*BW255+BX291*BX255+BY291*BY255+BZ291*BZ255+CA291*CA255+CB291*CB255+CC291*CC255+CD291*CD255+CE291*CE255+CF291*CF255+CG291*CG255+CH291*CH255+CI291*CI255+CJ291*CJ255+CK291*CK255+CL291*CL255+CM291*CM255+CN291*CN255+CO291*CO255+CP291*CP255+CQ291*CQ255+CR291*CR255+CS291*CS255+CT291*CT255+CU291*CU255</f>
        <v>0</v>
      </c>
      <c r="DC255" s="2840">
        <f>E292*E255+F292*F255+G292*G255+H292*H255+I292*I255+J292*J255+K292*K255+L292*L255+M292*M255+N292*N255+O292*O255+P292*P255+Q292*Q255+R292*R255+S292*S255+T292*T255+U292*U255+V292*V255+W292*W255+X292*X255+Y292*Y255+Z292*Z255+AA292*AA255+AB292*AB255+AC292*AC255+AD292*AD255+AE292*AE255+AF292*AF255+AG292*AG255+AH292*AH255+AI292*AI255+AJ292*AJ255+AK292*AK255+AL292*AL255+AM292*AM255+AN292*AN255+AO292*AO255+AP292*AP255+AQ292*AQ255+AR292*AR255+AS292*AS255+AT292*AT255+AU292*AU255+AV292*AV255+AW292*AW255+AX292*AX255+AY292*AY255+AZ292*AZ255+BA292*BA255+BB292*BB255+BC292*BC255+BD292*BD255+BE292*BE255+BF292*BF255+BG292*BG255+BH292*BH255+BI292*BI255+BJ292*BJ255+BK292*BK255+BL292*BL255+BM292*BM255+BN292*BN255+BO292*BO255+BP292*BP255+BQ292*BQ255+BR292*BR255+BS292*BS255+BT292*BT255+BU292*BU255+BV292*BV255+BW292*BW255+BX292*BX255+BY292*BY255+BZ292*BZ255+CA292*CA255+CB292*CB255+CC292*CC255+CD292*CD255+CE292*CE255+CF292*CF255+CG292*CG255+CH292*CH255+CI292*CI255+CJ292*CJ255+CK292*CK255+CL292*CL255+CM292*CM255+CN292*CN255+CO292*CO255+CP292*CP255+CQ292*CQ255+CR292*CR255+CS292*CS255+CT292*CT255+CU292*CU255</f>
        <v>0</v>
      </c>
      <c r="DD255" s="2840">
        <f>E293*E255+F293*F255+G293*G255+H293*H255+I293*I255+J293*J255+K293*K255+L293*L255+M293*M255+N293*N255+O293*O255+P293*P255+Q293*Q255+R293*R255+S293*S255+T293*T255+U293*U255+V293*V255+W293*W255+X293*X255+Y293*Y255+Z293*Z255+AA293*AA255+AB293*AB255+AC293*AC255+AD293*AD255+AE293*AE255+AF293*AF255+AG293*AG255+AH293*AH255+AI293*AI255+AJ293*AJ255+AK293*AK255+AL293*AL255+AM293*AM255+AN293*AN255+AO293*AO255+AP293*AP255+AQ293*AQ255+AR293*AR255+AS293*AS255+AT293*AT255+AU293*AU255+AV293*AV255+AW293*AW255+AX293*AX255+AY293*AY255+AZ293*AZ255+BA293*BA255+BB293*BB255+BC293*BC255+BD293*BD255+BE293*BE255+BF293*BF255+BG293*BG255+BH293*BH255+BI293*BI255+BJ293*BJ255+BK293*BK255+BL293*BL255+BM293*BM255+BN293*BN255+BO293*BO255+BP293*BP255+BQ293*BQ255+BR293*BR255+BS293*BS255+BT293*BT255+BU293*BU255+BV293*BV255+BW293*BW255+BX293*BX255+BY293*BY255+BZ293*BZ255+CA293*CA255+CB293*CB255+CC293*CC255+CD293*CD255+CE293*CE255+CF293*CF255+CG293*CG255+CH293*CH255+CI293*CI255+CJ293*CJ255+CK293*CK255+CL293*CL255+CM293*CM255+CN293*CN255+CO293*CO255+CP293*CP255+CQ293*CQ255+CR293*CR255+CS293*CS255+CT293*CT255+CU293*CU255</f>
        <v>0</v>
      </c>
      <c r="DE255" s="2840">
        <f>E294*E255+F294*F255+G294*G255+H294*H255+I294*I255+J294*J255+K294*K255+L294*L255+M294*M255+N294*N255+O294*O255+P294*P255+Q294*Q255+R294*R255+S294*S255+T294*T255+U294*U255+V294*V255+W294*W255+X294*X255+Y294*Y255+Z294*Z255+AA294*AA255+AB294*AB255+AC294*AC255+AD294*AD255+AE294*AE255+AF294*AF255+AG294*AG255+AH294*AH255+AI294*AI255+AJ294*AJ255+AK294*AK255+AL294*AL255+AM294*AM255+AN294*AN255+AO294*AO255+AP294*AP255+AQ294*AQ255+AR294*AR255+AS294*AS255+AT294*AT255+AU294*AU255+AV294*AV255+AW294*AW255+AX294*AX255+AY294*AY255+AZ294*AZ255+BA294*BA255+BB294*BB255+BC294*BC255+BD294*BD255+BE294*BE255+BF294*BF255+BG294*BG255+BH294*BH255+BI294*BI255+BJ294*BJ255+BK294*BK255+BL294*BL255+BM294*BM255+BN294*BN255+BO294*BO255+BP294*BP255+BQ294*BQ255+BR294*BR255+BS294*BS255+BT294*BT255+BU294*BU255+BV294*BV255+BW294*BW255+BX294*BX255+BY294*BY255+BZ294*BZ255+CA294*CA255+CB294*CB255+CC294*CC255+CD294*CD255+CE294*CE255+CF294*CF255+CG294*CG255+CH294*CH255+CI294*CI255+CJ294*CJ255+CK294*CK255+CL294*CL255+CM294*CM255+CN294*CN255+CO294*CO255+CP294*CP255+CQ294*CQ255+CR294*CR255+CS294*CS255+CT294*CT255+CU294*CU255</f>
        <v>0</v>
      </c>
      <c r="DF255" s="2840">
        <f>E295*E255+F295*F255+G295*G255+H295*H255+I295*I255+J295*J255+K295*K255+L295*L255+M295*M255+N295*N255+O295*O255+P295*P255+Q295*Q255+R295*R255+S295*S255+T295*T255+U295*U255+V295*V255+W295*W255+X295*X255+Y295*Y255+Z295*Z255+AA295*AA255+AB295*AB255+AC295*AC255+AD295*AD255+AE295*AE255+AF295*AF255+AG295*AG255+AH295*AH255+AI295*AI255+AJ295*AJ255+AK295*AK255+AL295*AL255+AM295*AM255+AN295*AN255+AO295*AO255+AP295*AP255+AQ295*AQ255+AR295*AR255+AS295*AS255+AT295*AT255+AU295*AU255+AV295*AV255+AW295*AW255+AX295*AX255+AY295*AY255+AZ295*AZ255+BA295*BA255+BB295*BB255+BC295*BC255+BD295*BD255+BE295*BE255+BF295*BF255+BG295*BG255+BH295*BH255+BI295*BI255+BJ295*BJ255+BK295*BK255+BL295*BL255+BM295*BM255+BN295*BN255+BO295*BO255+BP295*BP255+BQ295*BQ255+BR295*BR255+BS295*BS255+BT295*BT255+BU295*BU255+BV295*BV255+BW295*BW255+BX295*BX255+BY295*BY255+BZ295*BZ255+CA295*CA255+CB295*CB255+CC295*CC255+CD295*CD255+CE295*CE255+CF295*CF255+CG295*CG255+CH295*CH255+CI295*CI255+CJ295*CJ255+CK295*CK255+CL295*CL255+CM295*CM255+CN295*CN255+CO295*CO255+CP295*CP255+CQ295*CQ255+CR295*CR255+CS295*CS255+CT295*CT255+CU295*CU255</f>
        <v>0</v>
      </c>
      <c r="DG255" s="2840">
        <f>E296*E255+F296*F255+G296*G255+H296*H255+I296*I255+J296*J255+K296*K255+L296*L255+M296*M255+N296*N255+O296*O255+P296*P255+Q296*Q255+R296*R255+S296*S255+T296*T255+U296*U255+V296*V255+W296*W255+X296*X255+Y296*Y255+Z296*Z255+AA296*AA255+AB296*AB255+AC296*AC255+AD296*AD255+AE296*AE255+AF296*AF255+AG296*AG255+AH296*AH255+AI296*AI255+AJ296*AJ255+AK296*AK255+AL296*AL255+AM296*AM255+AN296*AN255+AO296*AO255+AP296*AP255+AQ296*AQ255+AR296*AR255+AS296*AS255+AT296*AT255+AU296*AU255+AV296*AV255+AW296*AW255+AX296*AX255+AY296*AY255+AZ296*AZ255+BA296*BA255+BB296*BB255+BC296*BC255+BD296*BD255+BE296*BE255+BF296*BF255+BG296*BG255+BH296*BH255+BI296*BI255+BJ296*BJ255+BK296*BK255+BL296*BL255+BM296*BM255+BN296*BN255+BO296*BO255+BP296*BP255+BQ296*BQ255+BR296*BR255+BS296*BS255+BT296*BT255+BU296*BU255+BV296*BV255+BW296*BW255+BX296*BX255+BY296*BY255+BZ296*BZ255+CA296*CA255+CB296*CB255+CC296*CC255+CD296*CD255+CE296*CE255+CF296*CF255+CG296*CG255+CH296*CH255+CI296*CI255+CJ296*CJ255+CK296*CK255+CL296*CL255+CM296*CM255+CN296*CN255+CO296*CO255+CP296*CP255+CQ296*CQ255+CR296*CR255+CS296*CS255+CT296*CT255+CU296*CU255</f>
        <v>0</v>
      </c>
      <c r="DH255" s="2840">
        <f>E297*E255+F297*F255+G297*G255+H297*H255+I297*I255+J297*J255+K297*K255+L297*L255+M297*M255+N297*N255+O297*O255+P297*P255+Q297*Q255+R297*R255+S297*S255+T297*T255+U297*U255+V297*V255+W297*W255+X297*X255+Y297*Y255+Z297*Z255+AA297*AA255+AB297*AB255+AC297*AC255+AD297*AD255+AE297*AE255+AF297*AF255+AG297*AG255+AH297*AH255+AI297*AI255+AJ297*AJ255+AK297*AK255+AL297*AL255+AM297*AM255+AN297*AN255+AO297*AO255+AP297*AP255+AQ297*AQ255+AR297*AR255+AS297*AS255+AT297*AT255+AU297*AU255+AV297*AV255+AW297*AW255+AX297*AX255+AY297*AY255+AZ297*AZ255+BA297*BA255+BB297*BB255+BC297*BC255+BD297*BD255+BE297*BE255+BF297*BF255+BG297*BG255+BH297*BH255+BI297*BI255+BJ297*BJ255+BK297*BK255+BL297*BL255+BM297*BM255+BN297*BN255+BO297*BO255+BP297*BP255+BQ297*BQ255+BR297*BR255+BS297*BS255+BT297*BT255+BU297*BU255+BV297*BV255+BW297*BW255+BX297*BX255+BY297*BY255+BZ297*BZ255+CA297*CA255+CB297*CB255+CC297*CC255+CD297*CD255+CE297*CE255+CF297*CF255+CG297*CG255+CH297*CH255+CI297*CI255+CJ297*CJ255+CK297*CK255+CL297*CL255+CM297*CM255+CN297*CN255+CO297*CO255+CP297*CP255+CQ297*CQ255+CR297*CR255+CS297*CS255+CT297*CT255+CU297*CU255</f>
        <v>-3.9999999999999999E-48</v>
      </c>
      <c r="DI255" s="2840">
        <f>E298*E255+F298*F255+G298*G255+H298*H255+I298*I255+J298*J255+K298*K255+L298*L255+M298*M255+N298*N255+O298*O255+P298*P255+Q298*Q255+R298*R255+S298*S255+T298*T255+U298*U255+V298*V255+W298*W255+X298*X255+Y298*Y255+Z298*Z255+AA298*AA255+AB298*AB255+AC298*AC255+AD298*AD255+AE298*AE255+AF298*AF255+AG298*AG255+AH298*AH255+AI298*AI255+AJ298*AJ255+AK298*AK255+AL298*AL255+AM298*AM255+AN298*AN255+AO298*AO255+AP298*AP255+AQ298*AQ255+AR298*AR255+AS298*AS255+AT298*AT255+AU298*AU255+AV298*AV255+AW298*AW255+AX298*AX255+AY298*AY255+AZ298*AZ255+BA298*BA255+BB298*BB255+BC298*BC255+BD298*BD255+BE298*BE255+BF298*BF255+BG298*BG255+BH298*BH255+BI298*BI255+BJ298*BJ255+BK298*BK255+BL298*BL255+BM298*BM255+BN298*BN255+BO298*BO255+BP298*BP255+BQ298*BQ255+BR298*BR255+BS298*BS255+BT298*BT255+BU298*BU255+BV298*BV255+BW298*BW255+BX298*BX255+BY298*BY255+BZ298*BZ255+CA298*CA255+CB298*CB255+CC298*CC255+CD298*CD255+CE298*CE255+CF298*CF255+CG298*CG255+CH298*CH255+CI298*CI255+CJ298*CJ255+CK298*CK255+CL298*CL255+CM298*CM255+CN298*CN255+CO298*CO255+CP298*CP255+CQ298*CQ255+CR298*CR255+CS298*CS255+CT298*CT255+CU298*CU255</f>
        <v>0</v>
      </c>
    </row>
    <row r="256" spans="2:113" ht="18" x14ac:dyDescent="0.25">
      <c r="B256" s="2518">
        <v>103</v>
      </c>
      <c r="C256" s="2466" t="s">
        <v>3318</v>
      </c>
      <c r="D256" s="2467" t="s">
        <v>1688</v>
      </c>
      <c r="E256" s="3131">
        <f>0</f>
        <v>0</v>
      </c>
      <c r="F256" s="3131">
        <f>0</f>
        <v>0</v>
      </c>
      <c r="G256" s="3131">
        <f>0</f>
        <v>0</v>
      </c>
      <c r="H256" s="3131">
        <f>0</f>
        <v>0</v>
      </c>
      <c r="I256" s="3131">
        <f>0</f>
        <v>0</v>
      </c>
      <c r="J256" s="3144">
        <f>0</f>
        <v>0</v>
      </c>
      <c r="K256" s="3131">
        <f>0</f>
        <v>0</v>
      </c>
      <c r="L256" s="3131">
        <f>0</f>
        <v>0</v>
      </c>
      <c r="M256" s="3131">
        <f>0</f>
        <v>0</v>
      </c>
      <c r="N256" s="3131">
        <f>0</f>
        <v>0</v>
      </c>
      <c r="O256" s="3131">
        <f>0</f>
        <v>0</v>
      </c>
      <c r="P256" s="3131">
        <f>0</f>
        <v>0</v>
      </c>
      <c r="Q256" s="3131">
        <f>0</f>
        <v>0</v>
      </c>
      <c r="R256" s="3130">
        <f>0</f>
        <v>0</v>
      </c>
      <c r="S256" s="3131">
        <f>0</f>
        <v>0</v>
      </c>
      <c r="T256" s="3131">
        <f>0</f>
        <v>0</v>
      </c>
      <c r="U256" s="3131">
        <f>0</f>
        <v>0</v>
      </c>
      <c r="V256" s="3131">
        <f>0</f>
        <v>0</v>
      </c>
      <c r="W256" s="3131">
        <f>0</f>
        <v>0</v>
      </c>
      <c r="X256" s="3131">
        <f>0</f>
        <v>0</v>
      </c>
      <c r="Y256" s="3131">
        <f>0</f>
        <v>0</v>
      </c>
      <c r="Z256" s="3131">
        <f>0</f>
        <v>0</v>
      </c>
      <c r="AA256" s="3131">
        <f>0</f>
        <v>0</v>
      </c>
      <c r="AB256" s="3131">
        <f>0</f>
        <v>0</v>
      </c>
      <c r="AC256" s="3131">
        <f>0</f>
        <v>0</v>
      </c>
      <c r="AD256" s="3131">
        <f>0</f>
        <v>0</v>
      </c>
      <c r="AE256" s="3131">
        <f>0</f>
        <v>0</v>
      </c>
      <c r="AF256" s="3131">
        <f>0</f>
        <v>0</v>
      </c>
      <c r="AG256" s="3131">
        <f>0</f>
        <v>0</v>
      </c>
      <c r="AH256" s="3131">
        <f>0</f>
        <v>0</v>
      </c>
      <c r="AI256" s="3131">
        <f>0</f>
        <v>0</v>
      </c>
      <c r="AJ256" s="3144">
        <f>0</f>
        <v>0</v>
      </c>
      <c r="AK256" s="3131">
        <f>0</f>
        <v>0</v>
      </c>
      <c r="AL256" s="3130">
        <f>0</f>
        <v>0</v>
      </c>
      <c r="AM256" s="3131">
        <f>0</f>
        <v>0</v>
      </c>
      <c r="AN256" s="3131">
        <f>0</f>
        <v>0</v>
      </c>
      <c r="AO256" s="3131">
        <f>0</f>
        <v>0</v>
      </c>
      <c r="AP256" s="3144">
        <f>0</f>
        <v>0</v>
      </c>
      <c r="AQ256" s="3131">
        <f>0</f>
        <v>0</v>
      </c>
      <c r="AR256" s="3130">
        <f>-E_EQFe2</f>
        <v>-0.14325364849136002</v>
      </c>
      <c r="AS256" s="3131">
        <f>0</f>
        <v>0</v>
      </c>
      <c r="AT256" s="3131">
        <f>0</f>
        <v>0</v>
      </c>
      <c r="AU256" s="3130">
        <f>0</f>
        <v>0</v>
      </c>
      <c r="AV256" s="3131">
        <f>0</f>
        <v>0</v>
      </c>
      <c r="AW256" s="3131">
        <f>0</f>
        <v>0</v>
      </c>
      <c r="AX256" s="3131">
        <f>0</f>
        <v>0</v>
      </c>
      <c r="AY256" s="3131">
        <f>0</f>
        <v>0</v>
      </c>
      <c r="AZ256" s="3131">
        <f>0</f>
        <v>0</v>
      </c>
      <c r="BA256" s="3131">
        <f>0</f>
        <v>0</v>
      </c>
      <c r="BB256" s="3131">
        <f>0</f>
        <v>0</v>
      </c>
      <c r="BC256" s="3131">
        <f>0</f>
        <v>0</v>
      </c>
      <c r="BD256" s="3131">
        <f>0</f>
        <v>0</v>
      </c>
      <c r="BE256" s="3130">
        <f>-1</f>
        <v>-1</v>
      </c>
      <c r="BF256" s="3131">
        <f>1</f>
        <v>1</v>
      </c>
      <c r="BG256" s="3131">
        <f>0</f>
        <v>0</v>
      </c>
      <c r="BH256" s="3131">
        <f>0</f>
        <v>0</v>
      </c>
      <c r="BI256" s="3130">
        <f>0</f>
        <v>0</v>
      </c>
      <c r="BJ256" s="3131">
        <f>0</f>
        <v>0</v>
      </c>
      <c r="BK256" s="3130">
        <f>0</f>
        <v>0</v>
      </c>
      <c r="BL256" s="3130">
        <f>0</f>
        <v>0</v>
      </c>
      <c r="BM256" s="3131">
        <f>0</f>
        <v>0</v>
      </c>
      <c r="BN256" s="3131">
        <f>0</f>
        <v>0</v>
      </c>
      <c r="BO256" s="3131">
        <f>0</f>
        <v>0</v>
      </c>
      <c r="BP256" s="3130">
        <f>0</f>
        <v>0</v>
      </c>
      <c r="BQ256" s="3131">
        <f>0</f>
        <v>0</v>
      </c>
      <c r="BR256" s="3130">
        <f>0</f>
        <v>0</v>
      </c>
      <c r="BS256" s="3130">
        <f>0</f>
        <v>0</v>
      </c>
      <c r="BT256" s="3130">
        <f>0</f>
        <v>0</v>
      </c>
      <c r="BU256" s="3130">
        <f>0</f>
        <v>0</v>
      </c>
      <c r="BV256" s="3130">
        <f>0</f>
        <v>0</v>
      </c>
      <c r="BW256" s="3130">
        <f>0</f>
        <v>0</v>
      </c>
      <c r="BX256" s="3130">
        <f>0</f>
        <v>0</v>
      </c>
      <c r="BY256" s="3130">
        <f>0</f>
        <v>0</v>
      </c>
      <c r="BZ256" s="3208">
        <f>0</f>
        <v>0</v>
      </c>
      <c r="CA256" s="3208">
        <f>0</f>
        <v>0</v>
      </c>
      <c r="CB256" s="3208">
        <f>0</f>
        <v>0</v>
      </c>
      <c r="CC256" s="3208">
        <f>0</f>
        <v>0</v>
      </c>
      <c r="CD256" s="3130">
        <f>0</f>
        <v>0</v>
      </c>
      <c r="CE256" s="3130">
        <f>0</f>
        <v>0</v>
      </c>
      <c r="CF256" s="3130">
        <f>0</f>
        <v>0</v>
      </c>
      <c r="CG256" s="3130">
        <f>0</f>
        <v>0</v>
      </c>
      <c r="CH256" s="3130">
        <f>0</f>
        <v>0</v>
      </c>
      <c r="CI256" s="3130">
        <f>0</f>
        <v>0</v>
      </c>
      <c r="CJ256" s="3130">
        <f>0</f>
        <v>0</v>
      </c>
      <c r="CK256" s="3130">
        <f>0</f>
        <v>0</v>
      </c>
      <c r="CL256" s="3130">
        <f>0</f>
        <v>0</v>
      </c>
      <c r="CM256" s="3130">
        <f>0</f>
        <v>0</v>
      </c>
      <c r="CN256" s="3130">
        <f>0</f>
        <v>0</v>
      </c>
      <c r="CO256" s="3130">
        <f>0</f>
        <v>0</v>
      </c>
      <c r="CP256" s="3130">
        <f>0</f>
        <v>0</v>
      </c>
      <c r="CQ256" s="3130">
        <f>0</f>
        <v>0</v>
      </c>
      <c r="CR256" s="3130">
        <f>0</f>
        <v>0</v>
      </c>
      <c r="CS256" s="3130">
        <f>0</f>
        <v>0</v>
      </c>
      <c r="CT256" s="3130">
        <f>0</f>
        <v>0</v>
      </c>
      <c r="CU256" s="3130">
        <f>0</f>
        <v>0</v>
      </c>
      <c r="CV256" s="3235">
        <f>q_Fe2_OX_T*S_Fe2*M_satSO2_KO2_OHO</f>
        <v>4.6511627906976739E-49</v>
      </c>
      <c r="CX256" s="2838">
        <f>E287*E256+F287*F256+G287*G256+H287*H256+I287*I256+J287*J256+K287*K256+L287*L256+M287*M256+N287*N256+O287*O256+P287*P256+Q287*Q256+R287*R256+S287*S256+T287*T256+U287*U256+V287*V256+W287*W256+X287*X256+Y287*Y256+Z287*Z256+AA287*AA256+AB287*AB256+AC287*AC256+AD287*AD256+AE287*AE256+AF287*AF256+AG287*AG256+AH287*AH256+AI287*AI256+AJ287*AJ256+AK287*AK256+AL287*AL256+AM287*AM256+AN287*AN256+AO287*AO256+AP287*AP256+AQ287*AQ256+AR287*AR256+AS287*AS256+AT287*AT256+AU287*AU256+AV287*AV256+AW287*AW256+AX287*AX256+AY287*AY256+AZ287*AZ256+BA287*BA256+BB287*BB256+BC287*BC256+BD287*BD256+BE287*BE256+BF287*BF256+BG287*BG256+BH287*BH256+BI287*BI256+BJ287*BJ256+BK287*BK256+BL287*BL256+BM287*BM256+BN287*BN256+BO287*BO256+BP287*BP256+BQ287*BQ256+BR287*BR256+BS287*BS256+BT287*BT256+BU287*BU256+BV287*BV256+BW287*BW256+BX287*BX256+BY287*BY256+BZ287*BZ256+CA287*CA256+CB287*CB256+CC287*CC256+CD287*CD256+CE287*CE256+CF287*CF256+CG287*CG256+CH287*CH256+CI287*CI256+CJ287*CJ256+CK287*CK256+CL287*CL256+CM287*CM256+CN287*CN256+CO287*CO256+CP287*CP256+CQ287*CQ256+CR287*CR256+CS287*CS256+CT287*CT256+CU287*CU256</f>
        <v>0</v>
      </c>
      <c r="CY256" s="2838">
        <f>E288*E256+F288*F256+G288*G256+H288*H256+I288*I256+J288*J256+K288*K256+L288*L256+M288*M256+N288*N256+O288*O256+P288*P256+Q288*Q256+R288*R256+S288*S256+T288*T256+U288*U256+V288*V256+W288*W256+X288*X256+Y288*Y256+Z288*Z256+AA288*AA256+AB288*AB256+AC288*AC256+AD288*AD256+AE288*AE256+AF288*AF256+AG288*AG256+AH288*AH256+AI288*AI256+AJ288*AJ256+AK288*AK256+AL288*AL256+AM288*AM256+AN288*AN256+AO288*AO256+AP288*AP256+AQ288*AQ256+AR288*AR256+AS288*AS256+AT288*AT256+AU288*AU256+AV288*AV256+AW288*AW256+AX288*AX256+AY288*AY256+AZ288*AZ256+BA288*BA256+BB288*BB256+BC288*BC256+BD288*BD256+BE288*BE256+BF288*BF256+BG288*BG256+BH288*BH256+BI288*BI256+BJ288*BJ256+BK288*BK256+BL288*BL256+BM288*BM256+BN288*BN256+BO288*BO256+BP288*BP256+BQ288*BQ256+BR288*BR256+BS288*BS256+BT288*BT256+BU288*BU256+BV288*BV256+BW288*BW256+BX288*BX256+BY288*BY256+BZ288*BZ256+CA288*CA256+CB288*CB256+CC288*CC256+CD288*CD256+CE288*CE256+CF288*CF256+CG288*CG256+CH288*CH256+CI288*CI256+CJ288*CJ256+CK288*CK256+CL288*CL256+CM288*CM256+CN288*CN256+CO288*CO256+CP288*CP256+CQ288*CQ256+CR288*CR256+CS288*CS256+CT288*CT256+CU288*CU256</f>
        <v>0</v>
      </c>
      <c r="CZ256" s="2839">
        <f>E289*E256+F289*F256+G289*G256+H289*H256+I289*I256+J289*J256+K289*K256+L289*L256+M289*M256+N289*N256+O289*O256+P289*P256+Q289*Q256+R289*R256+S289*S256+T289*T256+U289*U256+V289*V256+W289*W256+X289*X256+Y289*Y256+Z289*Z256+AA289*AA256+AB289*AB256+AC289*AC256+AD289*AD256+AE289*AE256+AF289*AF256+AG289*AG256+AH289*AH256+AI289*AI256+AJ289*AJ256+AK289*AK256+AL289*AL256+AM289*AM256+AN289*AN256+AO289*AO256+AP289*AP256+AQ289*AQ256+AR289*AR256+AS289*AS256+AT289*AT256+AU289*AU256+AV289*AV256+AW289*AW256+AX289*AX256+AY289*AY256+AZ289*AZ256+BA289*BA256+BB289*BB256+BC289*BC256+BD289*BD256+BE289*BE256+BF289*BF256+BG289*BG256+BH289*BH256+BI289*BI256+BJ289*BJ256+BK289*BK256+BL289*BL256+BM289*BM256+BN289*BN256+BO289*BO256+BP289*BP256+BQ289*BQ256+BR289*BR256+BS289*BS256+BT289*BT256+BU289*BU256+BV289*BV256+BW289*BW256+BX289*BX256+BY289*BY256+BZ289*BZ256+CA289*CA256+CB289*CB256+CC289*CC256+CD289*CD256+CE289*CE256+CF289*CF256+CG289*CG256+CH289*CH256+CI289*CI256+CJ289*CJ256+CK289*CK256+CL289*CL256+CM289*CM256+CN289*CN256+CO289*CO256+CP289*CP256+CQ289*CQ256+CR289*CR256+CS289*CS256+CT289*CT256+CU289*CU256</f>
        <v>0</v>
      </c>
      <c r="DA256" s="2840">
        <f>E290*E256+F290*F256+G290*G256+H290*H256+I290*I256+J290*J256+K290*K256+L290*L256+M290*M256+N290*N256+O290*O256+P290*P256+Q290*Q256+R290*R256+S290*S256+T290*T256+U290*U256+V290*V256+W290*W256+X290*X256+Y290*Y256+Z290*Z256+AA290*AA256+AB290*AB256+AC290*AC256+AD290*AD256+AE290*AE256+AF290*AF256+AG290*AG256+AH290*AH256+AI290*AI256+AJ290*AJ256+AK290*AK256+AL290*AL256+AM290*AM256+AN290*AN256+AO290*AO256+AP290*AP256+AQ290*AQ256+AR290*AR256+AS290*AS256+AT290*AT256+AU290*AU256+AV290*AV256+AW290*AW256+AX290*AX256+AY290*AY256+AZ290*AZ256+BA290*BA256+BB290*BB256+BC290*BC256+BD290*BD256+BE290*BE256+BF290*BF256+BG290*BG256+BH290*BH256+BI290*BI256+BJ290*BJ256+BK290*BK256+BL290*BL256+BM290*BM256+BN290*BN256+BO290*BO256+BP290*BP256+BQ290*BQ256+BR290*BR256+BS290*BS256+BT290*BT256+BU290*BU256+BV290*BV256+BW290*BW256+BX290*BX256+BY290*BY256+BZ290*BZ256+CA290*CA256+CB290*CB256+CC290*CC256+CD290*CD256+CE290*CE256+CF290*CF256+CG290*CG256+CH290*CH256+CI290*CI256+CJ290*CJ256+CK290*CK256+CL290*CL256+CM290*CM256+CN290*CN256+CO290*CO256+CP290*CP256+CQ290*CQ256+CR290*CR256+CS290*CS256+CT290*CT256+CU290*CU256</f>
        <v>0</v>
      </c>
      <c r="DB256" s="2840">
        <f>E291*E256+F291*F256+G291*G256+H291*H256+I291*I256+J291*J256+K291*K256+L291*L256+M291*M256+N291*N256+O291*O256+P291*P256+Q291*Q256+R291*R256+S291*S256+T291*T256+U291*U256+V291*V256+W291*W256+X291*X256+Y291*Y256+Z291*Z256+AA291*AA256+AB291*AB256+AC291*AC256+AD291*AD256+AE291*AE256+AF291*AF256+AG291*AG256+AH291*AH256+AI291*AI256+AJ291*AJ256+AK291*AK256+AL291*AL256+AM291*AM256+AN291*AN256+AO291*AO256+AP291*AP256+AQ291*AQ256+AR291*AR256+AS291*AS256+AT291*AT256+AU291*AU256+AV291*AV256+AW291*AW256+AX291*AX256+AY291*AY256+AZ291*AZ256+BA291*BA256+BB291*BB256+BC291*BC256+BD291*BD256+BE291*BE256+BF291*BF256+BG291*BG256+BH291*BH256+BI291*BI256+BJ291*BJ256+BK291*BK256+BL291*BL256+BM291*BM256+BN291*BN256+BO291*BO256+BP291*BP256+BQ291*BQ256+BR291*BR256+BS291*BS256+BT291*BT256+BU291*BU256+BV291*BV256+BW291*BW256+BX291*BX256+BY291*BY256+BZ291*BZ256+CA291*CA256+CB291*CB256+CC291*CC256+CD291*CD256+CE291*CE256+CF291*CF256+CG291*CG256+CH291*CH256+CI291*CI256+CJ291*CJ256+CK291*CK256+CL291*CL256+CM291*CM256+CN291*CN256+CO291*CO256+CP291*CP256+CQ291*CQ256+CR291*CR256+CS291*CS256+CT291*CT256+CU291*CU256</f>
        <v>0</v>
      </c>
      <c r="DC256" s="2840">
        <f>E292*E256+F292*F256+G292*G256+H292*H256+I292*I256+J292*J256+K292*K256+L292*L256+M292*M256+N292*N256+O292*O256+P292*P256+Q292*Q256+R292*R256+S292*S256+T292*T256+U292*U256+V292*V256+W292*W256+X292*X256+Y292*Y256+Z292*Z256+AA292*AA256+AB292*AB256+AC292*AC256+AD292*AD256+AE292*AE256+AF292*AF256+AG292*AG256+AH292*AH256+AI292*AI256+AJ292*AJ256+AK292*AK256+AL292*AL256+AM292*AM256+AN292*AN256+AO292*AO256+AP292*AP256+AQ292*AQ256+AR292*AR256+AS292*AS256+AT292*AT256+AU292*AU256+AV292*AV256+AW292*AW256+AX292*AX256+AY292*AY256+AZ292*AZ256+BA292*BA256+BB292*BB256+BC292*BC256+BD292*BD256+BE292*BE256+BF292*BF256+BG292*BG256+BH292*BH256+BI292*BI256+BJ292*BJ256+BK292*BK256+BL292*BL256+BM292*BM256+BN292*BN256+BO292*BO256+BP292*BP256+BQ292*BQ256+BR292*BR256+BS292*BS256+BT292*BT256+BU292*BU256+BV292*BV256+BW292*BW256+BX292*BX256+BY292*BY256+BZ292*BZ256+CA292*CA256+CB292*CB256+CC292*CC256+CD292*CD256+CE292*CE256+CF292*CF256+CG292*CG256+CH292*CH256+CI292*CI256+CJ292*CJ256+CK292*CK256+CL292*CL256+CM292*CM256+CN292*CN256+CO292*CO256+CP292*CP256+CQ292*CQ256+CR292*CR256+CS292*CS256+CT292*CT256+CU292*CU256</f>
        <v>0</v>
      </c>
      <c r="DD256" s="2840">
        <f>E293*E256+F293*F256+G293*G256+H293*H256+I293*I256+J293*J256+K293*K256+L293*L256+M293*M256+N293*N256+O293*O256+P293*P256+Q293*Q256+R293*R256+S293*S256+T293*T256+U293*U256+V293*V256+W293*W256+X293*X256+Y293*Y256+Z293*Z256+AA293*AA256+AB293*AB256+AC293*AC256+AD293*AD256+AE293*AE256+AF293*AF256+AG293*AG256+AH293*AH256+AI293*AI256+AJ293*AJ256+AK293*AK256+AL293*AL256+AM293*AM256+AN293*AN256+AO293*AO256+AP293*AP256+AQ293*AQ256+AR293*AR256+AS293*AS256+AT293*AT256+AU293*AU256+AV293*AV256+AW293*AW256+AX293*AX256+AY293*AY256+AZ293*AZ256+BA293*BA256+BB293*BB256+BC293*BC256+BD293*BD256+BE293*BE256+BF293*BF256+BG293*BG256+BH293*BH256+BI293*BI256+BJ293*BJ256+BK293*BK256+BL293*BL256+BM293*BM256+BN293*BN256+BO293*BO256+BP293*BP256+BQ293*BQ256+BR293*BR256+BS293*BS256+BT293*BT256+BU293*BU256+BV293*BV256+BW293*BW256+BX293*BX256+BY293*BY256+BZ293*BZ256+CA293*CA256+CB293*CB256+CC293*CC256+CD293*CD256+CE293*CE256+CF293*CF256+CG293*CG256+CH293*CH256+CI293*CI256+CJ293*CJ256+CK293*CK256+CL293*CL256+CM293*CM256+CN293*CN256+CO293*CO256+CP293*CP256+CQ293*CQ256+CR293*CR256+CS293*CS256+CT293*CT256+CU293*CU256</f>
        <v>0</v>
      </c>
      <c r="DE256" s="2840">
        <f>E294*E256+F294*F256+G294*G256+H294*H256+I294*I256+J294*J256+K294*K256+L294*L256+M294*M256+N294*N256+O294*O256+P294*P256+Q294*Q256+R294*R256+S294*S256+T294*T256+U294*U256+V294*V256+W294*W256+X294*X256+Y294*Y256+Z294*Z256+AA294*AA256+AB294*AB256+AC294*AC256+AD294*AD256+AE294*AE256+AF294*AF256+AG294*AG256+AH294*AH256+AI294*AI256+AJ294*AJ256+AK294*AK256+AL294*AL256+AM294*AM256+AN294*AN256+AO294*AO256+AP294*AP256+AQ294*AQ256+AR294*AR256+AS294*AS256+AT294*AT256+AU294*AU256+AV294*AV256+AW294*AW256+AX294*AX256+AY294*AY256+AZ294*AZ256+BA294*BA256+BB294*BB256+BC294*BC256+BD294*BD256+BE294*BE256+BF294*BF256+BG294*BG256+BH294*BH256+BI294*BI256+BJ294*BJ256+BK294*BK256+BL294*BL256+BM294*BM256+BN294*BN256+BO294*BO256+BP294*BP256+BQ294*BQ256+BR294*BR256+BS294*BS256+BT294*BT256+BU294*BU256+BV294*BV256+BW294*BW256+BX294*BX256+BY294*BY256+BZ294*BZ256+CA294*CA256+CB294*CB256+CC294*CC256+CD294*CD256+CE294*CE256+CF294*CF256+CG294*CG256+CH294*CH256+CI294*CI256+CJ294*CJ256+CK294*CK256+CL294*CL256+CM294*CM256+CN294*CN256+CO294*CO256+CP294*CP256+CQ294*CQ256+CR294*CR256+CS294*CS256+CT294*CT256+CU294*CU256</f>
        <v>0</v>
      </c>
      <c r="DF256" s="2840">
        <f>E295*E256+F295*F256+G295*G256+H295*H256+I295*I256+J295*J256+K295*K256+L295*L256+M295*M256+N295*N256+O295*O256+P295*P256+Q295*Q256+R295*R256+S295*S256+T295*T256+U295*U256+V295*V256+W295*W256+X295*X256+Y295*Y256+Z295*Z256+AA295*AA256+AB295*AB256+AC295*AC256+AD295*AD256+AE295*AE256+AF295*AF256+AG295*AG256+AH295*AH256+AI295*AI256+AJ295*AJ256+AK295*AK256+AL295*AL256+AM295*AM256+AN295*AN256+AO295*AO256+AP295*AP256+AQ295*AQ256+AR295*AR256+AS295*AS256+AT295*AT256+AU295*AU256+AV295*AV256+AW295*AW256+AX295*AX256+AY295*AY256+AZ295*AZ256+BA295*BA256+BB295*BB256+BC295*BC256+BD295*BD256+BE295*BE256+BF295*BF256+BG295*BG256+BH295*BH256+BI295*BI256+BJ295*BJ256+BK295*BK256+BL295*BL256+BM295*BM256+BN295*BN256+BO295*BO256+BP295*BP256+BQ295*BQ256+BR295*BR256+BS295*BS256+BT295*BT256+BU295*BU256+BV295*BV256+BW295*BW256+BX295*BX256+BY295*BY256+BZ295*BZ256+CA295*CA256+CB295*CB256+CC295*CC256+CD295*CD256+CE295*CE256+CF295*CF256+CG295*CG256+CH295*CH256+CI295*CI256+CJ295*CJ256+CK295*CK256+CL295*CL256+CM295*CM256+CN295*CN256+CO295*CO256+CP295*CP256+CQ295*CQ256+CR295*CR256+CS295*CS256+CT295*CT256+CU295*CU256</f>
        <v>0</v>
      </c>
      <c r="DG256" s="2840">
        <f>E296*E256+F296*F256+G296*G256+H296*H256+I296*I256+J296*J256+K296*K256+L296*L256+M296*M256+N296*N256+O296*O256+P296*P256+Q296*Q256+R296*R256+S296*S256+T296*T256+U296*U256+V296*V256+W296*W256+X296*X256+Y296*Y256+Z296*Z256+AA296*AA256+AB296*AB256+AC296*AC256+AD296*AD256+AE296*AE256+AF296*AF256+AG296*AG256+AH296*AH256+AI296*AI256+AJ296*AJ256+AK296*AK256+AL296*AL256+AM296*AM256+AN296*AN256+AO296*AO256+AP296*AP256+AQ296*AQ256+AR296*AR256+AS296*AS256+AT296*AT256+AU296*AU256+AV296*AV256+AW296*AW256+AX296*AX256+AY296*AY256+AZ296*AZ256+BA296*BA256+BB296*BB256+BC296*BC256+BD296*BD256+BE296*BE256+BF296*BF256+BG296*BG256+BH296*BH256+BI296*BI256+BJ296*BJ256+BK296*BK256+BL296*BL256+BM296*BM256+BN296*BN256+BO296*BO256+BP296*BP256+BQ296*BQ256+BR296*BR256+BS296*BS256+BT296*BT256+BU296*BU256+BV296*BV256+BW296*BW256+BX296*BX256+BY296*BY256+BZ296*BZ256+CA296*CA256+CB296*CB256+CC296*CC256+CD296*CD256+CE296*CE256+CF296*CF256+CG296*CG256+CH296*CH256+CI296*CI256+CJ296*CJ256+CK296*CK256+CL296*CL256+CM296*CM256+CN296*CN256+CO296*CO256+CP296*CP256+CQ296*CQ256+CR296*CR256+CS296*CS256+CT296*CT256+CU296*CU256</f>
        <v>0</v>
      </c>
      <c r="DH256" s="2840">
        <f>E297*E256+F297*F256+G297*G256+H297*H256+I297*I256+J297*J256+K297*K256+L297*L256+M297*M256+N297*N256+O297*O256+P297*P256+Q297*Q256+R297*R256+S297*S256+T297*T256+U297*U256+V297*V256+W297*W256+X297*X256+Y297*Y256+Z297*Z256+AA297*AA256+AB297*AB256+AC297*AC256+AD297*AD256+AE297*AE256+AF297*AF256+AG297*AG256+AH297*AH256+AI297*AI256+AJ297*AJ256+AK297*AK256+AL297*AL256+AM297*AM256+AN297*AN256+AO297*AO256+AP297*AP256+AQ297*AQ256+AR297*AR256+AS297*AS256+AT297*AT256+AU297*AU256+AV297*AV256+AW297*AW256+AX297*AX256+AY297*AY256+AZ297*AZ256+BA297*BA256+BB297*BB256+BC297*BC256+BD297*BD256+BE297*BE256+BF297*BF256+BG297*BG256+BH297*BH256+BI297*BI256+BJ297*BJ256+BK297*BK256+BL297*BL256+BM297*BM256+BN297*BN256+BO297*BO256+BP297*BP256+BQ297*BQ256+BR297*BR256+BS297*BS256+BT297*BT256+BU297*BU256+BV297*BV256+BW297*BW256+BX297*BX256+BY297*BY256+BZ297*BZ256+CA297*CA256+CB297*CB256+CC297*CC256+CD297*CD256+CE297*CE256+CF297*CF256+CG297*CG256+CH297*CH256+CI297*CI256+CJ297*CJ256+CK297*CK256+CL297*CL256+CM297*CM256+CN297*CN256+CO297*CO256+CP297*CP256+CQ297*CQ256+CR297*CR256+CS297*CS256+CT297*CT256+CU297*CU256</f>
        <v>0</v>
      </c>
      <c r="DI256" s="2840">
        <f>E298*E256+F298*F256+G298*G256+H298*H256+I298*I256+J298*J256+K298*K256+L298*L256+M298*M256+N298*N256+O298*O256+P298*P256+Q298*Q256+R298*R256+S298*S256+T298*T256+U298*U256+V298*V256+W298*W256+X298*X256+Y298*Y256+Z298*Z256+AA298*AA256+AB298*AB256+AC298*AC256+AD298*AD256+AE298*AE256+AF298*AF256+AG298*AG256+AH298*AH256+AI298*AI256+AJ298*AJ256+AK298*AK256+AL298*AL256+AM298*AM256+AN298*AN256+AO298*AO256+AP298*AP256+AQ298*AQ256+AR298*AR256+AS298*AS256+AT298*AT256+AU298*AU256+AV298*AV256+AW298*AW256+AX298*AX256+AY298*AY256+AZ298*AZ256+BA298*BA256+BB298*BB256+BC298*BC256+BD298*BD256+BE298*BE256+BF298*BF256+BG298*BG256+BH298*BH256+BI298*BI256+BJ298*BJ256+BK298*BK256+BL298*BL256+BM298*BM256+BN298*BN256+BO298*BO256+BP298*BP256+BQ298*BQ256+BR298*BR256+BS298*BS256+BT298*BT256+BU298*BU256+BV298*BV256+BW298*BW256+BX298*BX256+BY298*BY256+BZ298*BZ256+CA298*CA256+CB298*CB256+CC298*CC256+CD298*CD256+CE298*CE256+CF298*CF256+CG298*CG256+CH298*CH256+CI298*CI256+CJ298*CJ256+CK298*CK256+CL298*CL256+CM298*CM256+CN298*CN256+CO298*CO256+CP298*CP256+CQ298*CQ256+CR298*CR256+CS298*CS256+CT298*CT256+CU298*CU256</f>
        <v>0</v>
      </c>
    </row>
    <row r="257" spans="2:113" ht="18" x14ac:dyDescent="0.25">
      <c r="B257" s="2518">
        <v>104</v>
      </c>
      <c r="C257" s="2466" t="s">
        <v>3319</v>
      </c>
      <c r="D257" s="2467" t="s">
        <v>3289</v>
      </c>
      <c r="E257" s="3131">
        <f>0</f>
        <v>0</v>
      </c>
      <c r="F257" s="3131">
        <f>0</f>
        <v>0</v>
      </c>
      <c r="G257" s="3131">
        <f>0</f>
        <v>0</v>
      </c>
      <c r="H257" s="3131">
        <f>0</f>
        <v>0</v>
      </c>
      <c r="I257" s="3131">
        <f>0</f>
        <v>0</v>
      </c>
      <c r="J257" s="3144">
        <f>0</f>
        <v>0</v>
      </c>
      <c r="K257" s="3131">
        <f>0</f>
        <v>0</v>
      </c>
      <c r="L257" s="3131">
        <f>0</f>
        <v>0</v>
      </c>
      <c r="M257" s="3131">
        <f>0</f>
        <v>0</v>
      </c>
      <c r="N257" s="3131">
        <f>0</f>
        <v>0</v>
      </c>
      <c r="O257" s="3131">
        <f>0</f>
        <v>0</v>
      </c>
      <c r="P257" s="3131">
        <f>0</f>
        <v>0</v>
      </c>
      <c r="Q257" s="3131">
        <f>0</f>
        <v>0</v>
      </c>
      <c r="R257" s="3130">
        <f>0</f>
        <v>0</v>
      </c>
      <c r="S257" s="3131">
        <f>0</f>
        <v>0</v>
      </c>
      <c r="T257" s="3131">
        <f>0</f>
        <v>0</v>
      </c>
      <c r="U257" s="3131">
        <f>0</f>
        <v>0</v>
      </c>
      <c r="V257" s="3131">
        <f>0</f>
        <v>0</v>
      </c>
      <c r="W257" s="3131">
        <f>0</f>
        <v>0</v>
      </c>
      <c r="X257" s="3131">
        <f>0</f>
        <v>0</v>
      </c>
      <c r="Y257" s="3131">
        <f>0</f>
        <v>0</v>
      </c>
      <c r="Z257" s="3131">
        <f>0</f>
        <v>0</v>
      </c>
      <c r="AA257" s="3131">
        <f>0</f>
        <v>0</v>
      </c>
      <c r="AB257" s="3131">
        <f>0</f>
        <v>0</v>
      </c>
      <c r="AC257" s="3131">
        <f>0</f>
        <v>0</v>
      </c>
      <c r="AD257" s="3131">
        <f>0</f>
        <v>0</v>
      </c>
      <c r="AE257" s="3131">
        <f>0</f>
        <v>0</v>
      </c>
      <c r="AF257" s="3131">
        <f>0</f>
        <v>0</v>
      </c>
      <c r="AG257" s="3131">
        <f>0</f>
        <v>0</v>
      </c>
      <c r="AH257" s="3131">
        <f>0</f>
        <v>0</v>
      </c>
      <c r="AI257" s="3131">
        <f>0</f>
        <v>0</v>
      </c>
      <c r="AJ257" s="3144">
        <f>0</f>
        <v>0</v>
      </c>
      <c r="AK257" s="3131">
        <f>0</f>
        <v>0</v>
      </c>
      <c r="AL257" s="3130">
        <f>0</f>
        <v>0</v>
      </c>
      <c r="AM257" s="3131">
        <f>0</f>
        <v>0</v>
      </c>
      <c r="AN257" s="3131">
        <f>0</f>
        <v>0</v>
      </c>
      <c r="AO257" s="3131">
        <f>0</f>
        <v>0</v>
      </c>
      <c r="AP257" s="3144">
        <f>0</f>
        <v>0</v>
      </c>
      <c r="AQ257" s="3131">
        <f>0</f>
        <v>0</v>
      </c>
      <c r="AR257" s="3130">
        <f>-E_EQFe2*A_MFe/M_MFeS</f>
        <v>-9.1002161301330917E-2</v>
      </c>
      <c r="AS257" s="3131">
        <f>0</f>
        <v>0</v>
      </c>
      <c r="AT257" s="3131">
        <f>0</f>
        <v>0</v>
      </c>
      <c r="AU257" s="3130">
        <f>0</f>
        <v>0</v>
      </c>
      <c r="AV257" s="3131">
        <f>0</f>
        <v>0</v>
      </c>
      <c r="AW257" s="3131">
        <f>0</f>
        <v>0</v>
      </c>
      <c r="AX257" s="3131">
        <f>0</f>
        <v>0</v>
      </c>
      <c r="AY257" s="3131">
        <f>0</f>
        <v>0</v>
      </c>
      <c r="AZ257" s="3131">
        <f>0</f>
        <v>0</v>
      </c>
      <c r="BA257" s="3131">
        <f>0</f>
        <v>0</v>
      </c>
      <c r="BB257" s="3130">
        <f>A_MS/M_MFeS</f>
        <v>0.36474803776589693</v>
      </c>
      <c r="BC257" s="3131">
        <f>0</f>
        <v>0</v>
      </c>
      <c r="BD257" s="3131">
        <f>0</f>
        <v>0</v>
      </c>
      <c r="BE257" s="3130">
        <f>0</f>
        <v>0</v>
      </c>
      <c r="BF257" s="3131">
        <f>A_MFe/M_MFeS</f>
        <v>0.63525196223410307</v>
      </c>
      <c r="BG257" s="3131">
        <f>0</f>
        <v>0</v>
      </c>
      <c r="BH257" s="3131">
        <f>0</f>
        <v>0</v>
      </c>
      <c r="BI257" s="3130">
        <f>0</f>
        <v>0</v>
      </c>
      <c r="BJ257" s="3131">
        <f>0</f>
        <v>0</v>
      </c>
      <c r="BK257" s="3130">
        <f>0</f>
        <v>0</v>
      </c>
      <c r="BL257" s="3130">
        <f>0</f>
        <v>0</v>
      </c>
      <c r="BM257" s="3131">
        <f>0</f>
        <v>0</v>
      </c>
      <c r="BN257" s="3131">
        <f>0</f>
        <v>0</v>
      </c>
      <c r="BO257" s="3131">
        <f>0</f>
        <v>0</v>
      </c>
      <c r="BP257" s="3130">
        <f>0</f>
        <v>0</v>
      </c>
      <c r="BQ257" s="3131">
        <f>0</f>
        <v>0</v>
      </c>
      <c r="BR257" s="3130">
        <f>0</f>
        <v>0</v>
      </c>
      <c r="BS257" s="3130">
        <f>0</f>
        <v>0</v>
      </c>
      <c r="BT257" s="3130">
        <f>0</f>
        <v>0</v>
      </c>
      <c r="BU257" s="3130">
        <f>0</f>
        <v>0</v>
      </c>
      <c r="BV257" s="3130">
        <f>0</f>
        <v>0</v>
      </c>
      <c r="BW257" s="3130">
        <f>0</f>
        <v>0</v>
      </c>
      <c r="BX257" s="3130">
        <f>0</f>
        <v>0</v>
      </c>
      <c r="BY257" s="3130">
        <f>-1</f>
        <v>-1</v>
      </c>
      <c r="BZ257" s="3208">
        <f>0</f>
        <v>0</v>
      </c>
      <c r="CA257" s="3208">
        <f>0</f>
        <v>0</v>
      </c>
      <c r="CB257" s="3208">
        <f>0</f>
        <v>0</v>
      </c>
      <c r="CC257" s="3208">
        <f>0</f>
        <v>0</v>
      </c>
      <c r="CD257" s="3130">
        <f>0</f>
        <v>0</v>
      </c>
      <c r="CE257" s="3130">
        <f>0</f>
        <v>0</v>
      </c>
      <c r="CF257" s="3130">
        <f>0</f>
        <v>0</v>
      </c>
      <c r="CG257" s="3130">
        <f>0</f>
        <v>0</v>
      </c>
      <c r="CH257" s="3130">
        <f>0</f>
        <v>0</v>
      </c>
      <c r="CI257" s="3130">
        <f>0</f>
        <v>0</v>
      </c>
      <c r="CJ257" s="3130">
        <f>0</f>
        <v>0</v>
      </c>
      <c r="CK257" s="3130">
        <f>0</f>
        <v>0</v>
      </c>
      <c r="CL257" s="3130">
        <f>0</f>
        <v>0</v>
      </c>
      <c r="CM257" s="3130">
        <f>0</f>
        <v>0</v>
      </c>
      <c r="CN257" s="3130">
        <f>0</f>
        <v>0</v>
      </c>
      <c r="CO257" s="3130">
        <f>0</f>
        <v>0</v>
      </c>
      <c r="CP257" s="3130">
        <f>0</f>
        <v>0</v>
      </c>
      <c r="CQ257" s="3130">
        <f>0</f>
        <v>0</v>
      </c>
      <c r="CR257" s="3130">
        <f>0</f>
        <v>0</v>
      </c>
      <c r="CS257" s="3130">
        <f>0</f>
        <v>0</v>
      </c>
      <c r="CT257" s="3130">
        <f>0</f>
        <v>0</v>
      </c>
      <c r="CU257" s="3130">
        <f>0</f>
        <v>0</v>
      </c>
      <c r="CV257" s="3235">
        <f>q_FeS_OX_T*X_FeS*M_satSO2_KO2_OHO</f>
        <v>4.6511627906976739E-49</v>
      </c>
      <c r="CX257" s="2838">
        <f>E287*E257+F287*F257+G287*G257+H287*H257+I287*I257+J287*J257+K287*K257+L287*L257+M287*M257+N287*N257+O287*O257+P287*P257+Q287*Q257+R287*R257+S287*S257+T287*T257+U287*U257+V287*V257+W287*W257+X287*X257+Y287*Y257+Z287*Z257+AA287*AA257+AB287*AB257+AC287*AC257+AD287*AD257+AE287*AE257+AF287*AF257+AG287*AG257+AH287*AH257+AI287*AI257+AJ287*AJ257+AK287*AK257+AL287*AL257+AM287*AM257+AN287*AN257+AO287*AO257+AP287*AP257+AQ287*AQ257+AR287*AR257+AS287*AS257+AT287*AT257+AU287*AU257+AV287*AV257+AW287*AW257+AX287*AX257+AY287*AY257+AZ287*AZ257+BA287*BA257+BB287*BB257+BC287*BC257+BD287*BD257+BE287*BE257+BF287*BF257+BG287*BG257+BH287*BH257+BI287*BI257+BJ287*BJ257+BK287*BK257+BL287*BL257+BM287*BM257+BN287*BN257+BO287*BO257+BP287*BP257+BQ287*BQ257+BR287*BR257+BS287*BS257+BT287*BT257+BU287*BU257+BV287*BV257+BW287*BW257+BX287*BX257+BY287*BY257+BZ287*BZ257+CA287*CA257+CB287*CB257+CC287*CC257+CD287*CD257+CE287*CE257+CF287*CF257+CG287*CG257+CH287*CH257+CI287*CI257+CJ287*CJ257+CK287*CK257+CL287*CL257+CM287*CM257+CN287*CN257+CO287*CO257+CP287*CP257+CQ287*CQ257+CR287*CR257+CS287*CS257+CT287*CT257+CU287*CU257</f>
        <v>0</v>
      </c>
      <c r="CY257" s="2838">
        <f>E288*E257+F288*F257+G288*G257+H288*H257+I288*I257+J288*J257+K288*K257+L288*L257+M288*M257+N288*N257+O288*O257+P288*P257+Q288*Q257+R288*R257+S288*S257+T288*T257+U288*U257+V288*V257+W288*W257+X288*X257+Y288*Y257+Z288*Z257+AA288*AA257+AB288*AB257+AC288*AC257+AD288*AD257+AE288*AE257+AF288*AF257+AG288*AG257+AH288*AH257+AI288*AI257+AJ288*AJ257+AK288*AK257+AL288*AL257+AM288*AM257+AN288*AN257+AO288*AO257+AP288*AP257+AQ288*AQ257+AR288*AR257+AS288*AS257+AT288*AT257+AU288*AU257+AV288*AV257+AW288*AW257+AX288*AX257+AY288*AY257+AZ288*AZ257+BA288*BA257+BB288*BB257+BC288*BC257+BD288*BD257+BE288*BE257+BF288*BF257+BG288*BG257+BH288*BH257+BI288*BI257+BJ288*BJ257+BK288*BK257+BL288*BL257+BM288*BM257+BN288*BN257+BO288*BO257+BP288*BP257+BQ288*BQ257+BR288*BR257+BS288*BS257+BT288*BT257+BU288*BU257+BV288*BV257+BW288*BW257+BX288*BX257+BY288*BY257+BZ288*BZ257+CA288*CA257+CB288*CB257+CC288*CC257+CD288*CD257+CE288*CE257+CF288*CF257+CG288*CG257+CH288*CH257+CI288*CI257+CJ288*CJ257+CK288*CK257+CL288*CL257+CM288*CM257+CN288*CN257+CO288*CO257+CP288*CP257+CQ288*CQ257+CR288*CR257+CS288*CS257+CT288*CT257+CU288*CU257</f>
        <v>0</v>
      </c>
      <c r="CZ257" s="2839">
        <f>E289*E257+F289*F257+G289*G257+H289*H257+I289*I257+J289*J257+K289*K257+L289*L257+M289*M257+N289*N257+O289*O257+P289*P257+Q289*Q257+R289*R257+S289*S257+T289*T257+U289*U257+V289*V257+W289*W257+X289*X257+Y289*Y257+Z289*Z257+AA289*AA257+AB289*AB257+AC289*AC257+AD289*AD257+AE289*AE257+AF289*AF257+AG289*AG257+AH289*AH257+AI289*AI257+AJ289*AJ257+AK289*AK257+AL289*AL257+AM289*AM257+AN289*AN257+AO289*AO257+AP289*AP257+AQ289*AQ257+AR289*AR257+AS289*AS257+AT289*AT257+AU289*AU257+AV289*AV257+AW289*AW257+AX289*AX257+AY289*AY257+AZ289*AZ257+BA289*BA257+BB289*BB257+BC289*BC257+BD289*BD257+BE289*BE257+BF289*BF257+BG289*BG257+BH289*BH257+BI289*BI257+BJ289*BJ257+BK289*BK257+BL289*BL257+BM289*BM257+BN289*BN257+BO289*BO257+BP289*BP257+BQ289*BQ257+BR289*BR257+BS289*BS257+BT289*BT257+BU289*BU257+BV289*BV257+BW289*BW257+BX289*BX257+BY289*BY257+BZ289*BZ257+CA289*CA257+CB289*CB257+CC289*CC257+CD289*CD257+CE289*CE257+CF289*CF257+CG289*CG257+CH289*CH257+CI289*CI257+CJ289*CJ257+CK289*CK257+CL289*CL257+CM289*CM257+CN289*CN257+CO289*CO257+CP289*CP257+CQ289*CQ257+CR289*CR257+CS289*CS257+CT289*CT257+CU289*CU257</f>
        <v>0</v>
      </c>
      <c r="DA257" s="2840">
        <f>E290*E257+F290*F257+G290*G257+H290*H257+I290*I257+J290*J257+K290*K257+L290*L257+M290*M257+N290*N257+O290*O257+P290*P257+Q290*Q257+R290*R257+S290*S257+T290*T257+U290*U257+V290*V257+W290*W257+X290*X257+Y290*Y257+Z290*Z257+AA290*AA257+AB290*AB257+AC290*AC257+AD290*AD257+AE290*AE257+AF290*AF257+AG290*AG257+AH290*AH257+AI290*AI257+AJ290*AJ257+AK290*AK257+AL290*AL257+AM290*AM257+AN290*AN257+AO290*AO257+AP290*AP257+AQ290*AQ257+AR290*AR257+AS290*AS257+AT290*AT257+AU290*AU257+AV290*AV257+AW290*AW257+AX290*AX257+AY290*AY257+AZ290*AZ257+BA290*BA257+BB290*BB257+BC290*BC257+BD290*BD257+BE290*BE257+BF290*BF257+BG290*BG257+BH290*BH257+BI290*BI257+BJ290*BJ257+BK290*BK257+BL290*BL257+BM290*BM257+BN290*BN257+BO290*BO257+BP290*BP257+BQ290*BQ257+BR290*BR257+BS290*BS257+BT290*BT257+BU290*BU257+BV290*BV257+BW290*BW257+BX290*BX257+BY290*BY257+BZ290*BZ257+CA290*CA257+CB290*CB257+CC290*CC257+CD290*CD257+CE290*CE257+CF290*CF257+CG290*CG257+CH290*CH257+CI290*CI257+CJ290*CJ257+CK290*CK257+CL290*CL257+CM290*CM257+CN290*CN257+CO290*CO257+CP290*CP257+CQ290*CQ257+CR290*CR257+CS290*CS257+CT290*CT257+CU290*CU257</f>
        <v>0</v>
      </c>
      <c r="DB257" s="2840">
        <f>E291*E257+F291*F257+G291*G257+H291*H257+I291*I257+J291*J257+K291*K257+L291*L257+M291*M257+N291*N257+O291*O257+P291*P257+Q291*Q257+R291*R257+S291*S257+T291*T257+U291*U257+V291*V257+W291*W257+X291*X257+Y291*Y257+Z291*Z257+AA291*AA257+AB291*AB257+AC291*AC257+AD291*AD257+AE291*AE257+AF291*AF257+AG291*AG257+AH291*AH257+AI291*AI257+AJ291*AJ257+AK291*AK257+AL291*AL257+AM291*AM257+AN291*AN257+AO291*AO257+AP291*AP257+AQ291*AQ257+AR291*AR257+AS291*AS257+AT291*AT257+AU291*AU257+AV291*AV257+AW291*AW257+AX291*AX257+AY291*AY257+AZ291*AZ257+BA291*BA257+BB291*BB257+BC291*BC257+BD291*BD257+BE291*BE257+BF291*BF257+BG291*BG257+BH291*BH257+BI291*BI257+BJ291*BJ257+BK291*BK257+BL291*BL257+BM291*BM257+BN291*BN257+BO291*BO257+BP291*BP257+BQ291*BQ257+BR291*BR257+BS291*BS257+BT291*BT257+BU291*BU257+BV291*BV257+BW291*BW257+BX291*BX257+BY291*BY257+BZ291*BZ257+CA291*CA257+CB291*CB257+CC291*CC257+CD291*CD257+CE291*CE257+CF291*CF257+CG291*CG257+CH291*CH257+CI291*CI257+CJ291*CJ257+CK291*CK257+CL291*CL257+CM291*CM257+CN291*CN257+CO291*CO257+CP291*CP257+CQ291*CQ257+CR291*CR257+CS291*CS257+CT291*CT257+CU291*CU257</f>
        <v>0</v>
      </c>
      <c r="DC257" s="2840">
        <f>E292*E257+F292*F257+G292*G257+H292*H257+I292*I257+J292*J257+K292*K257+L292*L257+M292*M257+N292*N257+O292*O257+P292*P257+Q292*Q257+R292*R257+S292*S257+T292*T257+U292*U257+V292*V257+W292*W257+X292*X257+Y292*Y257+Z292*Z257+AA292*AA257+AB292*AB257+AC292*AC257+AD292*AD257+AE292*AE257+AF292*AF257+AG292*AG257+AH292*AH257+AI292*AI257+AJ292*AJ257+AK292*AK257+AL292*AL257+AM292*AM257+AN292*AN257+AO292*AO257+AP292*AP257+AQ292*AQ257+AR292*AR257+AS292*AS257+AT292*AT257+AU292*AU257+AV292*AV257+AW292*AW257+AX292*AX257+AY292*AY257+AZ292*AZ257+BA292*BA257+BB292*BB257+BC292*BC257+BD292*BD257+BE292*BE257+BF292*BF257+BG292*BG257+BH292*BH257+BI292*BI257+BJ292*BJ257+BK292*BK257+BL292*BL257+BM292*BM257+BN292*BN257+BO292*BO257+BP292*BP257+BQ292*BQ257+BR292*BR257+BS292*BS257+BT292*BT257+BU292*BU257+BV292*BV257+BW292*BW257+BX292*BX257+BY292*BY257+BZ292*BZ257+CA292*CA257+CB292*CB257+CC292*CC257+CD292*CD257+CE292*CE257+CF292*CF257+CG292*CG257+CH292*CH257+CI292*CI257+CJ292*CJ257+CK292*CK257+CL292*CL257+CM292*CM257+CN292*CN257+CO292*CO257+CP292*CP257+CQ292*CQ257+CR292*CR257+CS292*CS257+CT292*CT257+CU292*CU257</f>
        <v>0</v>
      </c>
      <c r="DD257" s="2840">
        <f>E293*E257+F293*F257+G293*G257+H293*H257+I293*I257+J293*J257+K293*K257+L293*L257+M293*M257+N293*N257+O293*O257+P293*P257+Q293*Q257+R293*R257+S293*S257+T293*T257+U293*U257+V293*V257+W293*W257+X293*X257+Y293*Y257+Z293*Z257+AA293*AA257+AB293*AB257+AC293*AC257+AD293*AD257+AE293*AE257+AF293*AF257+AG293*AG257+AH293*AH257+AI293*AI257+AJ293*AJ257+AK293*AK257+AL293*AL257+AM293*AM257+AN293*AN257+AO293*AO257+AP293*AP257+AQ293*AQ257+AR293*AR257+AS293*AS257+AT293*AT257+AU293*AU257+AV293*AV257+AW293*AW257+AX293*AX257+AY293*AY257+AZ293*AZ257+BA293*BA257+BB293*BB257+BC293*BC257+BD293*BD257+BE293*BE257+BF293*BF257+BG293*BG257+BH293*BH257+BI293*BI257+BJ293*BJ257+BK293*BK257+BL293*BL257+BM293*BM257+BN293*BN257+BO293*BO257+BP293*BP257+BQ293*BQ257+BR293*BR257+BS293*BS257+BT293*BT257+BU293*BU257+BV293*BV257+BW293*BW257+BX293*BX257+BY293*BY257+BZ293*BZ257+CA293*CA257+CB293*CB257+CC293*CC257+CD293*CD257+CE293*CE257+CF293*CF257+CG293*CG257+CH293*CH257+CI293*CI257+CJ293*CJ257+CK293*CK257+CL293*CL257+CM293*CM257+CN293*CN257+CO293*CO257+CP293*CP257+CQ293*CQ257+CR293*CR257+CS293*CS257+CT293*CT257+CU293*CU257</f>
        <v>0</v>
      </c>
      <c r="DE257" s="2840">
        <f>E294*E257+F294*F257+G294*G257+H294*H257+I294*I257+J294*J257+K294*K257+L294*L257+M294*M257+N294*N257+O294*O257+P294*P257+Q294*Q257+R294*R257+S294*S257+T294*T257+U294*U257+V294*V257+W294*W257+X294*X257+Y294*Y257+Z294*Z257+AA294*AA257+AB294*AB257+AC294*AC257+AD294*AD257+AE294*AE257+AF294*AF257+AG294*AG257+AH294*AH257+AI294*AI257+AJ294*AJ257+AK294*AK257+AL294*AL257+AM294*AM257+AN294*AN257+AO294*AO257+AP294*AP257+AQ294*AQ257+AR294*AR257+AS294*AS257+AT294*AT257+AU294*AU257+AV294*AV257+AW294*AW257+AX294*AX257+AY294*AY257+AZ294*AZ257+BA294*BA257+BB294*BB257+BC294*BC257+BD294*BD257+BE294*BE257+BF294*BF257+BG294*BG257+BH294*BH257+BI294*BI257+BJ294*BJ257+BK294*BK257+BL294*BL257+BM294*BM257+BN294*BN257+BO294*BO257+BP294*BP257+BQ294*BQ257+BR294*BR257+BS294*BS257+BT294*BT257+BU294*BU257+BV294*BV257+BW294*BW257+BX294*BX257+BY294*BY257+BZ294*BZ257+CA294*CA257+CB294*CB257+CC294*CC257+CD294*CD257+CE294*CE257+CF294*CF257+CG294*CG257+CH294*CH257+CI294*CI257+CJ294*CJ257+CK294*CK257+CL294*CL257+CM294*CM257+CN294*CN257+CO294*CO257+CP294*CP257+CQ294*CQ257+CR294*CR257+CS294*CS257+CT294*CT257+CU294*CU257</f>
        <v>0</v>
      </c>
      <c r="DF257" s="2840">
        <f>E295*E257+F295*F257+G295*G257+H295*H257+I295*I257+J295*J257+K295*K257+L295*L257+M295*M257+N295*N257+O295*O257+P295*P257+Q295*Q257+R295*R257+S295*S257+T295*T257+U295*U257+V295*V257+W295*W257+X295*X257+Y295*Y257+Z295*Z257+AA295*AA257+AB295*AB257+AC295*AC257+AD295*AD257+AE295*AE257+AF295*AF257+AG295*AG257+AH295*AH257+AI295*AI257+AJ295*AJ257+AK295*AK257+AL295*AL257+AM295*AM257+AN295*AN257+AO295*AO257+AP295*AP257+AQ295*AQ257+AR295*AR257+AS295*AS257+AT295*AT257+AU295*AU257+AV295*AV257+AW295*AW257+AX295*AX257+AY295*AY257+AZ295*AZ257+BA295*BA257+BB295*BB257+BC295*BC257+BD295*BD257+BE295*BE257+BF295*BF257+BG295*BG257+BH295*BH257+BI295*BI257+BJ295*BJ257+BK295*BK257+BL295*BL257+BM295*BM257+BN295*BN257+BO295*BO257+BP295*BP257+BQ295*BQ257+BR295*BR257+BS295*BS257+BT295*BT257+BU295*BU257+BV295*BV257+BW295*BW257+BX295*BX257+BY295*BY257+BZ295*BZ257+CA295*CA257+CB295*CB257+CC295*CC257+CD295*CD257+CE295*CE257+CF295*CF257+CG295*CG257+CH295*CH257+CI295*CI257+CJ295*CJ257+CK295*CK257+CL295*CL257+CM295*CM257+CN295*CN257+CO295*CO257+CP295*CP257+CQ295*CQ257+CR295*CR257+CS295*CS257+CT295*CT257+CU295*CU257</f>
        <v>0</v>
      </c>
      <c r="DG257" s="2840">
        <f>E296*E257+F296*F257+G296*G257+H296*H257+I296*I257+J296*J257+K296*K257+L296*L257+M296*M257+N296*N257+O296*O257+P296*P257+Q296*Q257+R296*R257+S296*S257+T296*T257+U296*U257+V296*V257+W296*W257+X296*X257+Y296*Y257+Z296*Z257+AA296*AA257+AB296*AB257+AC296*AC257+AD296*AD257+AE296*AE257+AF296*AF257+AG296*AG257+AH296*AH257+AI296*AI257+AJ296*AJ257+AK296*AK257+AL296*AL257+AM296*AM257+AN296*AN257+AO296*AO257+AP296*AP257+AQ296*AQ257+AR296*AR257+AS296*AS257+AT296*AT257+AU296*AU257+AV296*AV257+AW296*AW257+AX296*AX257+AY296*AY257+AZ296*AZ257+BA296*BA257+BB296*BB257+BC296*BC257+BD296*BD257+BE296*BE257+BF296*BF257+BG296*BG257+BH296*BH257+BI296*BI257+BJ296*BJ257+BK296*BK257+BL296*BL257+BM296*BM257+BN296*BN257+BO296*BO257+BP296*BP257+BQ296*BQ257+BR296*BR257+BS296*BS257+BT296*BT257+BU296*BU257+BV296*BV257+BW296*BW257+BX296*BX257+BY296*BY257+BZ296*BZ257+CA296*CA257+CB296*CB257+CC296*CC257+CD296*CD257+CE296*CE257+CF296*CF257+CG296*CG257+CH296*CH257+CI296*CI257+CJ296*CJ257+CK296*CK257+CL296*CL257+CM296*CM257+CN296*CN257+CO296*CO257+CP296*CP257+CQ296*CQ257+CR296*CR257+CS296*CS257+CT296*CT257+CU296*CU257</f>
        <v>0</v>
      </c>
      <c r="DH257" s="2840">
        <f>E297*E257+F297*F257+G297*G257+H297*H257+I297*I257+J297*J257+K297*K257+L297*L257+M297*M257+N297*N257+O297*O257+P297*P257+Q297*Q257+R297*R257+S297*S257+T297*T257+U297*U257+V297*V257+W297*W257+X297*X257+Y297*Y257+Z297*Z257+AA297*AA257+AB297*AB257+AC297*AC257+AD297*AD257+AE297*AE257+AF297*AF257+AG297*AG257+AH297*AH257+AI297*AI257+AJ297*AJ257+AK297*AK257+AL297*AL257+AM297*AM257+AN297*AN257+AO297*AO257+AP297*AP257+AQ297*AQ257+AR297*AR257+AS297*AS257+AT297*AT257+AU297*AU257+AV297*AV257+AW297*AW257+AX297*AX257+AY297*AY257+AZ297*AZ257+BA297*BA257+BB297*BB257+BC297*BC257+BD297*BD257+BE297*BE257+BF297*BF257+BG297*BG257+BH297*BH257+BI297*BI257+BJ297*BJ257+BK297*BK257+BL297*BL257+BM297*BM257+BN297*BN257+BO297*BO257+BP297*BP257+BQ297*BQ257+BR297*BR257+BS297*BS257+BT297*BT257+BU297*BU257+BV297*BV257+BW297*BW257+BX297*BX257+BY297*BY257+BZ297*BZ257+CA297*CA257+CB297*CB257+CC297*CC257+CD297*CD257+CE297*CE257+CF297*CF257+CG297*CG257+CH297*CH257+CI297*CI257+CJ297*CJ257+CK297*CK257+CL297*CL257+CM297*CM257+CN297*CN257+CO297*CO257+CP297*CP257+CQ297*CQ257+CR297*CR257+CS297*CS257+CT297*CT257+CU297*CU257</f>
        <v>0</v>
      </c>
      <c r="DI257" s="2840">
        <f>E298*E257+F298*F257+G298*G257+H298*H257+I298*I257+J298*J257+K298*K257+L298*L257+M298*M257+N298*N257+O298*O257+P298*P257+Q298*Q257+R298*R257+S298*S257+T298*T257+U298*U257+V298*V257+W298*W257+X298*X257+Y298*Y257+Z298*Z257+AA298*AA257+AB298*AB257+AC298*AC257+AD298*AD257+AE298*AE257+AF298*AF257+AG298*AG257+AH298*AH257+AI298*AI257+AJ298*AJ257+AK298*AK257+AL298*AL257+AM298*AM257+AN298*AN257+AO298*AO257+AP298*AP257+AQ298*AQ257+AR298*AR257+AS298*AS257+AT298*AT257+AU298*AU257+AV298*AV257+AW298*AW257+AX298*AX257+AY298*AY257+AZ298*AZ257+BA298*BA257+BB298*BB257+BC298*BC257+BD298*BD257+BE298*BE257+BF298*BF257+BG298*BG257+BH298*BH257+BI298*BI257+BJ298*BJ257+BK298*BK257+BL298*BL257+BM298*BM257+BN298*BN257+BO298*BO257+BP298*BP257+BQ298*BQ257+BR298*BR257+BS298*BS257+BT298*BT257+BU298*BU257+BV298*BV257+BW298*BW257+BX298*BX257+BY298*BY257+BZ298*BZ257+CA298*CA257+CB298*CB257+CC298*CC257+CD298*CD257+CE298*CE257+CF298*CF257+CG298*CG257+CH298*CH257+CI298*CI257+CJ298*CJ257+CK298*CK257+CL298*CL257+CM298*CM257+CN298*CN257+CO298*CO257+CP298*CP257+CQ298*CQ257+CR298*CR257+CS298*CS257+CT298*CT257+CU298*CU257</f>
        <v>0</v>
      </c>
    </row>
    <row r="258" spans="2:113" ht="18" x14ac:dyDescent="0.25">
      <c r="B258" s="2519">
        <v>105</v>
      </c>
      <c r="C258" s="2468" t="s">
        <v>3320</v>
      </c>
      <c r="D258" s="2469" t="s">
        <v>1126</v>
      </c>
      <c r="E258" s="3132">
        <f>0</f>
        <v>0</v>
      </c>
      <c r="F258" s="3132">
        <f>0</f>
        <v>0</v>
      </c>
      <c r="G258" s="3132">
        <f>0</f>
        <v>0</v>
      </c>
      <c r="H258" s="3132">
        <f>0</f>
        <v>0</v>
      </c>
      <c r="I258" s="3132">
        <f>0</f>
        <v>0</v>
      </c>
      <c r="J258" s="3145">
        <f>0</f>
        <v>0</v>
      </c>
      <c r="K258" s="3132">
        <f>0</f>
        <v>0</v>
      </c>
      <c r="L258" s="3132">
        <f>0</f>
        <v>0</v>
      </c>
      <c r="M258" s="3132">
        <f>0</f>
        <v>0</v>
      </c>
      <c r="N258" s="3132">
        <f>0</f>
        <v>0</v>
      </c>
      <c r="O258" s="3132">
        <f>0</f>
        <v>0</v>
      </c>
      <c r="P258" s="3132">
        <f>0</f>
        <v>0</v>
      </c>
      <c r="Q258" s="3132">
        <f>0</f>
        <v>0</v>
      </c>
      <c r="R258" s="3156">
        <f>0</f>
        <v>0</v>
      </c>
      <c r="S258" s="3132">
        <f>0</f>
        <v>0</v>
      </c>
      <c r="T258" s="3132">
        <f>0</f>
        <v>0</v>
      </c>
      <c r="U258" s="3132">
        <f>0</f>
        <v>0</v>
      </c>
      <c r="V258" s="3132">
        <f>0</f>
        <v>0</v>
      </c>
      <c r="W258" s="3132">
        <f>0</f>
        <v>0</v>
      </c>
      <c r="X258" s="3132">
        <f>0</f>
        <v>0</v>
      </c>
      <c r="Y258" s="3132">
        <f>0</f>
        <v>0</v>
      </c>
      <c r="Z258" s="3132">
        <f>0</f>
        <v>0</v>
      </c>
      <c r="AA258" s="3132">
        <f>0</f>
        <v>0</v>
      </c>
      <c r="AB258" s="3132">
        <f>0</f>
        <v>0</v>
      </c>
      <c r="AC258" s="3132">
        <f>0</f>
        <v>0</v>
      </c>
      <c r="AD258" s="3132">
        <f>0</f>
        <v>0</v>
      </c>
      <c r="AE258" s="3132">
        <f>0</f>
        <v>0</v>
      </c>
      <c r="AF258" s="3132">
        <f>0</f>
        <v>0</v>
      </c>
      <c r="AG258" s="3132">
        <f>0</f>
        <v>0</v>
      </c>
      <c r="AH258" s="3132">
        <f>0</f>
        <v>0</v>
      </c>
      <c r="AI258" s="3132">
        <f>0</f>
        <v>0</v>
      </c>
      <c r="AJ258" s="3145">
        <f>0</f>
        <v>0</v>
      </c>
      <c r="AK258" s="3132">
        <f>0</f>
        <v>0</v>
      </c>
      <c r="AL258" s="3156">
        <f>0</f>
        <v>0</v>
      </c>
      <c r="AM258" s="3132">
        <f>0</f>
        <v>0</v>
      </c>
      <c r="AN258" s="3132">
        <f>0</f>
        <v>0</v>
      </c>
      <c r="AO258" s="3132">
        <f>0</f>
        <v>0</v>
      </c>
      <c r="AP258" s="3145">
        <f>0</f>
        <v>0</v>
      </c>
      <c r="AQ258" s="3132">
        <f>0</f>
        <v>0</v>
      </c>
      <c r="AR258" s="3132">
        <f>0</f>
        <v>0</v>
      </c>
      <c r="AS258" s="3132">
        <f>0</f>
        <v>0</v>
      </c>
      <c r="AT258" s="3132">
        <f>0</f>
        <v>0</v>
      </c>
      <c r="AU258" s="3156">
        <f>-A_MC/M_MCaCO3</f>
        <v>-0.12000271763837225</v>
      </c>
      <c r="AV258" s="3132">
        <f>0</f>
        <v>0</v>
      </c>
      <c r="AW258" s="3132">
        <f>0</f>
        <v>0</v>
      </c>
      <c r="AX258" s="3132">
        <f>0</f>
        <v>0</v>
      </c>
      <c r="AY258" s="3156">
        <f>-A_MCa/M_MCaCO3</f>
        <v>-0.40043202457064814</v>
      </c>
      <c r="AZ258" s="3132">
        <f>0</f>
        <v>0</v>
      </c>
      <c r="BA258" s="3132">
        <f>0</f>
        <v>0</v>
      </c>
      <c r="BB258" s="3132">
        <f>0</f>
        <v>0</v>
      </c>
      <c r="BC258" s="3132">
        <f>0</f>
        <v>0</v>
      </c>
      <c r="BD258" s="3132">
        <f>0</f>
        <v>0</v>
      </c>
      <c r="BE258" s="3156">
        <f>0</f>
        <v>0</v>
      </c>
      <c r="BF258" s="3132">
        <f>0</f>
        <v>0</v>
      </c>
      <c r="BG258" s="3132">
        <f>0</f>
        <v>0</v>
      </c>
      <c r="BH258" s="3156">
        <f>0</f>
        <v>0</v>
      </c>
      <c r="BI258" s="3156">
        <f>0</f>
        <v>0</v>
      </c>
      <c r="BJ258" s="3132">
        <f>0</f>
        <v>0</v>
      </c>
      <c r="BK258" s="3156">
        <f>0</f>
        <v>0</v>
      </c>
      <c r="BL258" s="3156">
        <f>0</f>
        <v>0</v>
      </c>
      <c r="BM258" s="3132">
        <f>0</f>
        <v>0</v>
      </c>
      <c r="BN258" s="3132">
        <f>0</f>
        <v>0</v>
      </c>
      <c r="BO258" s="3156">
        <f>0</f>
        <v>0</v>
      </c>
      <c r="BP258" s="3156">
        <f>0</f>
        <v>0</v>
      </c>
      <c r="BQ258" s="3132">
        <f>0</f>
        <v>0</v>
      </c>
      <c r="BR258" s="3156">
        <f>0</f>
        <v>0</v>
      </c>
      <c r="BS258" s="3156">
        <f>0</f>
        <v>0</v>
      </c>
      <c r="BT258" s="3156">
        <f>1</f>
        <v>1</v>
      </c>
      <c r="BU258" s="3156">
        <f>0</f>
        <v>0</v>
      </c>
      <c r="BV258" s="3156">
        <f>0</f>
        <v>0</v>
      </c>
      <c r="BW258" s="3156">
        <f>0</f>
        <v>0</v>
      </c>
      <c r="BX258" s="3156">
        <f>0</f>
        <v>0</v>
      </c>
      <c r="BY258" s="3156">
        <f>0</f>
        <v>0</v>
      </c>
      <c r="BZ258" s="3209">
        <f>0</f>
        <v>0</v>
      </c>
      <c r="CA258" s="3209">
        <f>0</f>
        <v>0</v>
      </c>
      <c r="CB258" s="3209">
        <f>0</f>
        <v>0</v>
      </c>
      <c r="CC258" s="3209">
        <f>0</f>
        <v>0</v>
      </c>
      <c r="CD258" s="3156">
        <f>0</f>
        <v>0</v>
      </c>
      <c r="CE258" s="3156">
        <f>0</f>
        <v>0</v>
      </c>
      <c r="CF258" s="3156">
        <f>0</f>
        <v>0</v>
      </c>
      <c r="CG258" s="3156">
        <f>0</f>
        <v>0</v>
      </c>
      <c r="CH258" s="3156">
        <f>0</f>
        <v>0</v>
      </c>
      <c r="CI258" s="3156">
        <f>0</f>
        <v>0</v>
      </c>
      <c r="CJ258" s="3156">
        <f>0</f>
        <v>0</v>
      </c>
      <c r="CK258" s="3156">
        <f>0</f>
        <v>0</v>
      </c>
      <c r="CL258" s="3156">
        <f>0</f>
        <v>0</v>
      </c>
      <c r="CM258" s="3156">
        <f>0</f>
        <v>0</v>
      </c>
      <c r="CN258" s="3156">
        <f>0</f>
        <v>0</v>
      </c>
      <c r="CO258" s="3156">
        <f>0</f>
        <v>0</v>
      </c>
      <c r="CP258" s="3156">
        <f>0</f>
        <v>0</v>
      </c>
      <c r="CQ258" s="3156">
        <f>0</f>
        <v>0</v>
      </c>
      <c r="CR258" s="3156">
        <f>0</f>
        <v>0</v>
      </c>
      <c r="CS258" s="3156">
        <f>0</f>
        <v>0</v>
      </c>
      <c r="CT258" s="3156">
        <f>0</f>
        <v>0</v>
      </c>
      <c r="CU258" s="3156">
        <f>0</f>
        <v>0</v>
      </c>
      <c r="CV258" s="3236">
        <f>q_CaCO3*P_recipDrivingForceCaCO3^2</f>
        <v>0</v>
      </c>
      <c r="CX258" s="2838">
        <f>E287*E258+F287*F258+G287*G258+H287*H258+I287*I258+J287*J258+K287*K258+L287*L258+M287*M258+N287*N258+O287*O258+P287*P258+Q287*Q258+R287*R258+S287*S258+T287*T258+U287*U258+V287*V258+W287*W258+X287*X258+Y287*Y258+Z287*Z258+AA287*AA258+AB287*AB258+AC287*AC258+AD287*AD258+AE287*AE258+AF287*AF258+AG287*AG258+AH287*AH258+AI287*AI258+AJ287*AJ258+AK287*AK258+AL287*AL258+AM287*AM258+AN287*AN258+AO287*AO258+AP287*AP258+AQ287*AQ258+AR287*AR258+AS287*AS258+AT287*AT258+AU287*AU258+AV287*AV258+AW287*AW258+AX287*AX258+AY287*AY258+AZ287*AZ258+BA287*BA258+BB287*BB258+BC287*BC258+BD287*BD258+BE287*BE258+BF287*BF258+BG287*BG258+BH287*BH258+BI287*BI258+BJ287*BJ258+BK287*BK258+BL287*BL258+BM287*BM258+BN287*BN258+BO287*BO258+BP287*BP258+BQ287*BQ258+BR287*BR258+BS287*BS258+BT287*BT258+BU287*BU258+BV287*BV258+BW287*BW258+BX287*BX258+BY287*BY258+BZ287*BZ258+CA287*CA258+CB287*CB258+CC287*CC258+CD287*CD258+CE287*CE258+CF287*CF258+CG287*CG258+CH287*CH258+CI287*CI258+CJ287*CJ258+CK287*CK258+CL287*CL258+CM287*CM258+CN287*CN258+CO287*CO258+CP287*CP258+CQ287*CQ258+CR287*CR258+CS287*CS258+CT287*CT258+CU287*CU258</f>
        <v>0</v>
      </c>
      <c r="CY258" s="2838">
        <f>E288*E258+F288*F258+G288*G258+H288*H258+I288*I258+J288*J258+K288*K258+L288*L258+M288*M258+N288*N258+O288*O258+P288*P258+Q288*Q258+R288*R258+S288*S258+T288*T258+U288*U258+V288*V258+W288*W258+X288*X258+Y288*Y258+Z288*Z258+AA288*AA258+AB288*AB258+AC288*AC258+AD288*AD258+AE288*AE258+AF288*AF258+AG288*AG258+AH288*AH258+AI288*AI258+AJ288*AJ258+AK288*AK258+AL288*AL258+AM288*AM258+AN288*AN258+AO288*AO258+AP288*AP258+AQ288*AQ258+AR288*AR258+AS288*AS258+AT288*AT258+AU288*AU258+AV288*AV258+AW288*AW258+AX288*AX258+AY288*AY258+AZ288*AZ258+BA288*BA258+BB288*BB258+BC288*BC258+BD288*BD258+BE288*BE258+BF288*BF258+BG288*BG258+BH288*BH258+BI288*BI258+BJ288*BJ258+BK288*BK258+BL288*BL258+BM288*BM258+BN288*BN258+BO288*BO258+BP288*BP258+BQ288*BQ258+BR288*BR258+BS288*BS258+BT288*BT258+BU288*BU258+BV288*BV258+BW288*BW258+BX288*BX258+BY288*BY258+BZ288*BZ258+CA288*CA258+CB288*CB258+CC288*CC258+CD288*CD258+CE288*CE258+CF288*CF258+CG288*CG258+CH288*CH258+CI288*CI258+CJ288*CJ258+CK288*CK258+CL288*CL258+CM288*CM258+CN288*CN258+CO288*CO258+CP288*CP258+CQ288*CQ258+CR288*CR258+CS288*CS258+CT288*CT258+CU288*CU258</f>
        <v>0</v>
      </c>
      <c r="CZ258" s="2839">
        <f>E289*E258+F289*F258+G289*G258+H289*H258+I289*I258+J289*J258+K289*K258+L289*L258+M289*M258+N289*N258+O289*O258+P289*P258+Q289*Q258+R289*R258+S289*S258+T289*T258+U289*U258+V289*V258+W289*W258+X289*X258+Y289*Y258+Z289*Z258+AA289*AA258+AB289*AB258+AC289*AC258+AD289*AD258+AE289*AE258+AF289*AF258+AG289*AG258+AH289*AH258+AI289*AI258+AJ289*AJ258+AK289*AK258+AL289*AL258+AM289*AM258+AN289*AN258+AO289*AO258+AP289*AP258+AQ289*AQ258+AR289*AR258+AS289*AS258+AT289*AT258+AU289*AU258+AV289*AV258+AW289*AW258+AX289*AX258+AY289*AY258+AZ289*AZ258+BA289*BA258+BB289*BB258+BC289*BC258+BD289*BD258+BE289*BE258+BF289*BF258+BG289*BG258+BH289*BH258+BI289*BI258+BJ289*BJ258+BK289*BK258+BL289*BL258+BM289*BM258+BN289*BN258+BO289*BO258+BP289*BP258+BQ289*BQ258+BR289*BR258+BS289*BS258+BT289*BT258+BU289*BU258+BV289*BV258+BW289*BW258+BX289*BX258+BY289*BY258+BZ289*BZ258+CA289*CA258+CB289*CB258+CC289*CC258+CD289*CD258+CE289*CE258+CF289*CF258+CG289*CG258+CH289*CH258+CI289*CI258+CJ289*CJ258+CK289*CK258+CL289*CL258+CM289*CM258+CN289*CN258+CO289*CO258+CP289*CP258+CQ289*CQ258+CR289*CR258+CS289*CS258+CT289*CT258+CU289*CU258</f>
        <v>0</v>
      </c>
      <c r="DA258" s="2840">
        <f>E290*E258+F290*F258+G290*G258+H290*H258+I290*I258+J290*J258+K290*K258+L290*L258+M290*M258+N290*N258+O290*O258+P290*P258+Q290*Q258+R290*R258+S290*S258+T290*T258+U290*U258+V290*V258+W290*W258+X290*X258+Y290*Y258+Z290*Z258+AA290*AA258+AB290*AB258+AC290*AC258+AD290*AD258+AE290*AE258+AF290*AF258+AG290*AG258+AH290*AH258+AI290*AI258+AJ290*AJ258+AK290*AK258+AL290*AL258+AM290*AM258+AN290*AN258+AO290*AO258+AP290*AP258+AQ290*AQ258+AR290*AR258+AS290*AS258+AT290*AT258+AU290*AU258+AV290*AV258+AW290*AW258+AX290*AX258+AY290*AY258+AZ290*AZ258+BA290*BA258+BB290*BB258+BC290*BC258+BD290*BD258+BE290*BE258+BF290*BF258+BG290*BG258+BH290*BH258+BI290*BI258+BJ290*BJ258+BK290*BK258+BL290*BL258+BM290*BM258+BN290*BN258+BO290*BO258+BP290*BP258+BQ290*BQ258+BR290*BR258+BS290*BS258+BT290*BT258+BU290*BU258+BV290*BV258+BW290*BW258+BX290*BX258+BY290*BY258+BZ290*BZ258+CA290*CA258+CB290*CB258+CC290*CC258+CD290*CD258+CE290*CE258+CF290*CF258+CG290*CG258+CH290*CH258+CI290*CI258+CJ290*CJ258+CK290*CK258+CL290*CL258+CM290*CM258+CN290*CN258+CO290*CO258+CP290*CP258+CQ290*CQ258+CR290*CR258+CS290*CS258+CT290*CT258+CU290*CU258</f>
        <v>0</v>
      </c>
      <c r="DB258" s="2840">
        <f>E291*E258+F291*F258+G291*G258+H291*H258+I291*I258+J291*J258+K291*K258+L291*L258+M291*M258+N291*N258+O291*O258+P291*P258+Q291*Q258+R291*R258+S291*S258+T291*T258+U291*U258+V291*V258+W291*W258+X291*X258+Y291*Y258+Z291*Z258+AA291*AA258+AB291*AB258+AC291*AC258+AD291*AD258+AE291*AE258+AF291*AF258+AG291*AG258+AH291*AH258+AI291*AI258+AJ291*AJ258+AK291*AK258+AL291*AL258+AM291*AM258+AN291*AN258+AO291*AO258+AP291*AP258+AQ291*AQ258+AR291*AR258+AS291*AS258+AT291*AT258+AU291*AU258+AV291*AV258+AW291*AW258+AX291*AX258+AY291*AY258+AZ291*AZ258+BA291*BA258+BB291*BB258+BC291*BC258+BD291*BD258+BE291*BE258+BF291*BF258+BG291*BG258+BH291*BH258+BI291*BI258+BJ291*BJ258+BK291*BK258+BL291*BL258+BM291*BM258+BN291*BN258+BO291*BO258+BP291*BP258+BQ291*BQ258+BR291*BR258+BS291*BS258+BT291*BT258+BU291*BU258+BV291*BV258+BW291*BW258+BX291*BX258+BY291*BY258+BZ291*BZ258+CA291*CA258+CB291*CB258+CC291*CC258+CD291*CD258+CE291*CE258+CF291*CF258+CG291*CG258+CH291*CH258+CI291*CI258+CJ291*CJ258+CK291*CK258+CL291*CL258+CM291*CM258+CN291*CN258+CO291*CO258+CP291*CP258+CQ291*CQ258+CR291*CR258+CS291*CS258+CT291*CT258+CU291*CU258</f>
        <v>0</v>
      </c>
      <c r="DC258" s="2840">
        <f>E292*E258+F292*F258+G292*G258+H292*H258+I292*I258+J292*J258+K292*K258+L292*L258+M292*M258+N292*N258+O292*O258+P292*P258+Q292*Q258+R292*R258+S292*S258+T292*T258+U292*U258+V292*V258+W292*W258+X292*X258+Y292*Y258+Z292*Z258+AA292*AA258+AB292*AB258+AC292*AC258+AD292*AD258+AE292*AE258+AF292*AF258+AG292*AG258+AH292*AH258+AI292*AI258+AJ292*AJ258+AK292*AK258+AL292*AL258+AM292*AM258+AN292*AN258+AO292*AO258+AP292*AP258+AQ292*AQ258+AR292*AR258+AS292*AS258+AT292*AT258+AU292*AU258+AV292*AV258+AW292*AW258+AX292*AX258+AY292*AY258+AZ292*AZ258+BA292*BA258+BB292*BB258+BC292*BC258+BD292*BD258+BE292*BE258+BF292*BF258+BG292*BG258+BH292*BH258+BI292*BI258+BJ292*BJ258+BK292*BK258+BL292*BL258+BM292*BM258+BN292*BN258+BO292*BO258+BP292*BP258+BQ292*BQ258+BR292*BR258+BS292*BS258+BT292*BT258+BU292*BU258+BV292*BV258+BW292*BW258+BX292*BX258+BY292*BY258+BZ292*BZ258+CA292*CA258+CB292*CB258+CC292*CC258+CD292*CD258+CE292*CE258+CF292*CF258+CG292*CG258+CH292*CH258+CI292*CI258+CJ292*CJ258+CK292*CK258+CL292*CL258+CM292*CM258+CN292*CN258+CO292*CO258+CP292*CP258+CQ292*CQ258+CR292*CR258+CS292*CS258+CT292*CT258+CU292*CU258</f>
        <v>0</v>
      </c>
      <c r="DD258" s="2840">
        <f>E293*E258+F293*F258+G293*G258+H293*H258+I293*I258+J293*J258+K293*K258+L293*L258+M293*M258+N293*N258+O293*O258+P293*P258+Q293*Q258+R293*R258+S293*S258+T293*T258+U293*U258+V293*V258+W293*W258+X293*X258+Y293*Y258+Z293*Z258+AA293*AA258+AB293*AB258+AC293*AC258+AD293*AD258+AE293*AE258+AF293*AF258+AG293*AG258+AH293*AH258+AI293*AI258+AJ293*AJ258+AK293*AK258+AL293*AL258+AM293*AM258+AN293*AN258+AO293*AO258+AP293*AP258+AQ293*AQ258+AR293*AR258+AS293*AS258+AT293*AT258+AU293*AU258+AV293*AV258+AW293*AW258+AX293*AX258+AY293*AY258+AZ293*AZ258+BA293*BA258+BB293*BB258+BC293*BC258+BD293*BD258+BE293*BE258+BF293*BF258+BG293*BG258+BH293*BH258+BI293*BI258+BJ293*BJ258+BK293*BK258+BL293*BL258+BM293*BM258+BN293*BN258+BO293*BO258+BP293*BP258+BQ293*BQ258+BR293*BR258+BS293*BS258+BT293*BT258+BU293*BU258+BV293*BV258+BW293*BW258+BX293*BX258+BY293*BY258+BZ293*BZ258+CA293*CA258+CB293*CB258+CC293*CC258+CD293*CD258+CE293*CE258+CF293*CF258+CG293*CG258+CH293*CH258+CI293*CI258+CJ293*CJ258+CK293*CK258+CL293*CL258+CM293*CM258+CN293*CN258+CO293*CO258+CP293*CP258+CQ293*CQ258+CR293*CR258+CS293*CS258+CT293*CT258+CU293*CU258</f>
        <v>0</v>
      </c>
      <c r="DE258" s="2840">
        <f>E294*E258+F294*F258+G294*G258+H294*H258+I294*I258+J294*J258+K294*K258+L294*L258+M294*M258+N294*N258+O294*O258+P294*P258+Q294*Q258+R294*R258+S294*S258+T294*T258+U294*U258+V294*V258+W294*W258+X294*X258+Y294*Y258+Z294*Z258+AA294*AA258+AB294*AB258+AC294*AC258+AD294*AD258+AE294*AE258+AF294*AF258+AG294*AG258+AH294*AH258+AI294*AI258+AJ294*AJ258+AK294*AK258+AL294*AL258+AM294*AM258+AN294*AN258+AO294*AO258+AP294*AP258+AQ294*AQ258+AR294*AR258+AS294*AS258+AT294*AT258+AU294*AU258+AV294*AV258+AW294*AW258+AX294*AX258+AY294*AY258+AZ294*AZ258+BA294*BA258+BB294*BB258+BC294*BC258+BD294*BD258+BE294*BE258+BF294*BF258+BG294*BG258+BH294*BH258+BI294*BI258+BJ294*BJ258+BK294*BK258+BL294*BL258+BM294*BM258+BN294*BN258+BO294*BO258+BP294*BP258+BQ294*BQ258+BR294*BR258+BS294*BS258+BT294*BT258+BU294*BU258+BV294*BV258+BW294*BW258+BX294*BX258+BY294*BY258+BZ294*BZ258+CA294*CA258+CB294*CB258+CC294*CC258+CD294*CD258+CE294*CE258+CF294*CF258+CG294*CG258+CH294*CH258+CI294*CI258+CJ294*CJ258+CK294*CK258+CL294*CL258+CM294*CM258+CN294*CN258+CO294*CO258+CP294*CP258+CQ294*CQ258+CR294*CR258+CS294*CS258+CT294*CT258+CU294*CU258</f>
        <v>0</v>
      </c>
      <c r="DF258" s="2840">
        <f>E295*E258+F295*F258+G295*G258+H295*H258+I295*I258+J295*J258+K295*K258+L295*L258+M295*M258+N295*N258+O295*O258+P295*P258+Q295*Q258+R295*R258+S295*S258+T295*T258+U295*U258+V295*V258+W295*W258+X295*X258+Y295*Y258+Z295*Z258+AA295*AA258+AB295*AB258+AC295*AC258+AD295*AD258+AE295*AE258+AF295*AF258+AG295*AG258+AH295*AH258+AI295*AI258+AJ295*AJ258+AK295*AK258+AL295*AL258+AM295*AM258+AN295*AN258+AO295*AO258+AP295*AP258+AQ295*AQ258+AR295*AR258+AS295*AS258+AT295*AT258+AU295*AU258+AV295*AV258+AW295*AW258+AX295*AX258+AY295*AY258+AZ295*AZ258+BA295*BA258+BB295*BB258+BC295*BC258+BD295*BD258+BE295*BE258+BF295*BF258+BG295*BG258+BH295*BH258+BI295*BI258+BJ295*BJ258+BK295*BK258+BL295*BL258+BM295*BM258+BN295*BN258+BO295*BO258+BP295*BP258+BQ295*BQ258+BR295*BR258+BS295*BS258+BT295*BT258+BU295*BU258+BV295*BV258+BW295*BW258+BX295*BX258+BY295*BY258+BZ295*BZ258+CA295*CA258+CB295*CB258+CC295*CC258+CD295*CD258+CE295*CE258+CF295*CF258+CG295*CG258+CH295*CH258+CI295*CI258+CJ295*CJ258+CK295*CK258+CL295*CL258+CM295*CM258+CN295*CN258+CO295*CO258+CP295*CP258+CQ295*CQ258+CR295*CR258+CS295*CS258+CT295*CT258+CU295*CU258</f>
        <v>0</v>
      </c>
      <c r="DG258" s="2840">
        <f>E296*E258+F296*F258+G296*G258+H296*H258+I296*I258+J296*J258+K296*K258+L296*L258+M296*M258+N296*N258+O296*O258+P296*P258+Q296*Q258+R296*R258+S296*S258+T296*T258+U296*U258+V296*V258+W296*W258+X296*X258+Y296*Y258+Z296*Z258+AA296*AA258+AB296*AB258+AC296*AC258+AD296*AD258+AE296*AE258+AF296*AF258+AG296*AG258+AH296*AH258+AI296*AI258+AJ296*AJ258+AK296*AK258+AL296*AL258+AM296*AM258+AN296*AN258+AO296*AO258+AP296*AP258+AQ296*AQ258+AR296*AR258+AS296*AS258+AT296*AT258+AU296*AU258+AV296*AV258+AW296*AW258+AX296*AX258+AY296*AY258+AZ296*AZ258+BA296*BA258+BB296*BB258+BC296*BC258+BD296*BD258+BE296*BE258+BF296*BF258+BG296*BG258+BH296*BH258+BI296*BI258+BJ296*BJ258+BK296*BK258+BL296*BL258+BM296*BM258+BN296*BN258+BO296*BO258+BP296*BP258+BQ296*BQ258+BR296*BR258+BS296*BS258+BT296*BT258+BU296*BU258+BV296*BV258+BW296*BW258+BX296*BX258+BY296*BY258+BZ296*BZ258+CA296*CA258+CB296*CB258+CC296*CC258+CD296*CD258+CE296*CE258+CF296*CF258+CG296*CG258+CH296*CH258+CI296*CI258+CJ296*CJ258+CK296*CK258+CL296*CL258+CM296*CM258+CN296*CN258+CO296*CO258+CP296*CP258+CQ296*CQ258+CR296*CR258+CS296*CS258+CT296*CT258+CU296*CU258</f>
        <v>0</v>
      </c>
      <c r="DH258" s="2840">
        <f>E297*E258+F297*F258+G297*G258+H297*H258+I297*I258+J297*J258+K297*K258+L297*L258+M297*M258+N297*N258+O297*O258+P297*P258+Q297*Q258+R297*R258+S297*S258+T297*T258+U297*U258+V297*V258+W297*W258+X297*X258+Y297*Y258+Z297*Z258+AA297*AA258+AB297*AB258+AC297*AC258+AD297*AD258+AE297*AE258+AF297*AF258+AG297*AG258+AH297*AH258+AI297*AI258+AJ297*AJ258+AK297*AK258+AL297*AL258+AM297*AM258+AN297*AN258+AO297*AO258+AP297*AP258+AQ297*AQ258+AR297*AR258+AS297*AS258+AT297*AT258+AU297*AU258+AV297*AV258+AW297*AW258+AX297*AX258+AY297*AY258+AZ297*AZ258+BA297*BA258+BB297*BB258+BC297*BC258+BD297*BD258+BE297*BE258+BF297*BF258+BG297*BG258+BH297*BH258+BI297*BI258+BJ297*BJ258+BK297*BK258+BL297*BL258+BM297*BM258+BN297*BN258+BO297*BO258+BP297*BP258+BQ297*BQ258+BR297*BR258+BS297*BS258+BT297*BT258+BU297*BU258+BV297*BV258+BW297*BW258+BX297*BX258+BY297*BY258+BZ297*BZ258+CA297*CA258+CB297*CB258+CC297*CC258+CD297*CD258+CE297*CE258+CF297*CF258+CG297*CG258+CH297*CH258+CI297*CI258+CJ297*CJ258+CK297*CK258+CL297*CL258+CM297*CM258+CN297*CN258+CO297*CO258+CP297*CP258+CQ297*CQ258+CR297*CR258+CS297*CS258+CT297*CT258+CU297*CU258</f>
        <v>0</v>
      </c>
      <c r="DI258" s="2840">
        <f>E298*E258+F298*F258+G298*G258+H298*H258+I298*I258+J298*J258+K298*K258+L298*L258+M298*M258+N298*N258+O298*O258+P298*P258+Q298*Q258+R298*R258+S298*S258+T298*T258+U298*U258+V298*V258+W298*W258+X298*X258+Y298*Y258+Z298*Z258+AA298*AA258+AB298*AB258+AC298*AC258+AD298*AD258+AE298*AE258+AF298*AF258+AG298*AG258+AH298*AH258+AI298*AI258+AJ298*AJ258+AK298*AK258+AL298*AL258+AM298*AM258+AN298*AN258+AO298*AO258+AP298*AP258+AQ298*AQ258+AR298*AR258+AS298*AS258+AT298*AT258+AU298*AU258+AV298*AV258+AW298*AW258+AX298*AX258+AY298*AY258+AZ298*AZ258+BA298*BA258+BB298*BB258+BC298*BC258+BD298*BD258+BE298*BE258+BF298*BF258+BG298*BG258+BH298*BH258+BI298*BI258+BJ298*BJ258+BK298*BK258+BL298*BL258+BM298*BM258+BN298*BN258+BO298*BO258+BP298*BP258+BQ298*BQ258+BR298*BR258+BS298*BS258+BT298*BT258+BU298*BU258+BV298*BV258+BW298*BW258+BX298*BX258+BY298*BY258+BZ298*BZ258+CA298*CA258+CB298*CB258+CC298*CC258+CD298*CD258+CE298*CE258+CF298*CF258+CG298*CG258+CH298*CH258+CI298*CI258+CJ298*CJ258+CK298*CK258+CL298*CL258+CM298*CM258+CN298*CN258+CO298*CO258+CP298*CP258+CQ298*CQ258+CR298*CR258+CS298*CS258+CT298*CT258+CU298*CU258</f>
        <v>0</v>
      </c>
    </row>
    <row r="259" spans="2:113" ht="18" x14ac:dyDescent="0.25">
      <c r="B259" s="2519">
        <v>106</v>
      </c>
      <c r="C259" s="2468" t="s">
        <v>3321</v>
      </c>
      <c r="D259" s="2469" t="s">
        <v>1125</v>
      </c>
      <c r="E259" s="3132">
        <f>0</f>
        <v>0</v>
      </c>
      <c r="F259" s="3132">
        <f>0</f>
        <v>0</v>
      </c>
      <c r="G259" s="3132">
        <f>0</f>
        <v>0</v>
      </c>
      <c r="H259" s="3132">
        <f>0</f>
        <v>0</v>
      </c>
      <c r="I259" s="3132">
        <f>0</f>
        <v>0</v>
      </c>
      <c r="J259" s="3145">
        <f>0</f>
        <v>0</v>
      </c>
      <c r="K259" s="3132">
        <f>0</f>
        <v>0</v>
      </c>
      <c r="L259" s="3132">
        <f>0</f>
        <v>0</v>
      </c>
      <c r="M259" s="3132">
        <f>0</f>
        <v>0</v>
      </c>
      <c r="N259" s="3132">
        <f>0</f>
        <v>0</v>
      </c>
      <c r="O259" s="3132">
        <f>0</f>
        <v>0</v>
      </c>
      <c r="P259" s="3132">
        <f>0</f>
        <v>0</v>
      </c>
      <c r="Q259" s="3132">
        <f>0</f>
        <v>0</v>
      </c>
      <c r="R259" s="3156">
        <f>0</f>
        <v>0</v>
      </c>
      <c r="S259" s="3132">
        <f>0</f>
        <v>0</v>
      </c>
      <c r="T259" s="3132">
        <f>0</f>
        <v>0</v>
      </c>
      <c r="U259" s="3132">
        <f>0</f>
        <v>0</v>
      </c>
      <c r="V259" s="3132">
        <f>0</f>
        <v>0</v>
      </c>
      <c r="W259" s="3132">
        <f>0</f>
        <v>0</v>
      </c>
      <c r="X259" s="3132">
        <f>0</f>
        <v>0</v>
      </c>
      <c r="Y259" s="3132">
        <f>0</f>
        <v>0</v>
      </c>
      <c r="Z259" s="3132">
        <f>0</f>
        <v>0</v>
      </c>
      <c r="AA259" s="3132">
        <f>0</f>
        <v>0</v>
      </c>
      <c r="AB259" s="3132">
        <f>0</f>
        <v>0</v>
      </c>
      <c r="AC259" s="3132">
        <f>0</f>
        <v>0</v>
      </c>
      <c r="AD259" s="3132">
        <f>0</f>
        <v>0</v>
      </c>
      <c r="AE259" s="3132">
        <f>0</f>
        <v>0</v>
      </c>
      <c r="AF259" s="3132">
        <f>0</f>
        <v>0</v>
      </c>
      <c r="AG259" s="3132">
        <f>0</f>
        <v>0</v>
      </c>
      <c r="AH259" s="3132">
        <f>0</f>
        <v>0</v>
      </c>
      <c r="AI259" s="3132">
        <f>0</f>
        <v>0</v>
      </c>
      <c r="AJ259" s="3145">
        <f>0</f>
        <v>0</v>
      </c>
      <c r="AK259" s="3132">
        <f>0</f>
        <v>0</v>
      </c>
      <c r="AL259" s="3156">
        <f>-2*A_MP/M_MACP</f>
        <v>-0.16206538757887573</v>
      </c>
      <c r="AM259" s="3132">
        <f>0</f>
        <v>0</v>
      </c>
      <c r="AN259" s="3132">
        <f>0</f>
        <v>0</v>
      </c>
      <c r="AO259" s="3132">
        <f>0</f>
        <v>0</v>
      </c>
      <c r="AP259" s="3145">
        <f>0</f>
        <v>0</v>
      </c>
      <c r="AQ259" s="3132">
        <f>0</f>
        <v>0</v>
      </c>
      <c r="AR259" s="3132">
        <f>0</f>
        <v>0</v>
      </c>
      <c r="AS259" s="3132">
        <f>0</f>
        <v>0</v>
      </c>
      <c r="AT259" s="3132">
        <f>0</f>
        <v>0</v>
      </c>
      <c r="AU259" s="3132">
        <f>0</f>
        <v>0</v>
      </c>
      <c r="AV259" s="3132">
        <f>0</f>
        <v>0</v>
      </c>
      <c r="AW259" s="3132">
        <f>0</f>
        <v>0</v>
      </c>
      <c r="AX259" s="3132">
        <f>0</f>
        <v>0</v>
      </c>
      <c r="AY259" s="3156">
        <f>-3*A_MCa/M_MACP</f>
        <v>-0.31455284127800509</v>
      </c>
      <c r="AZ259" s="3132">
        <f>0</f>
        <v>0</v>
      </c>
      <c r="BA259" s="3132">
        <f>0</f>
        <v>0</v>
      </c>
      <c r="BB259" s="3132">
        <f>0</f>
        <v>0</v>
      </c>
      <c r="BC259" s="3132">
        <f>0</f>
        <v>0</v>
      </c>
      <c r="BD259" s="3132">
        <f>0</f>
        <v>0</v>
      </c>
      <c r="BE259" s="3156">
        <f>0</f>
        <v>0</v>
      </c>
      <c r="BF259" s="3132">
        <f>0</f>
        <v>0</v>
      </c>
      <c r="BG259" s="3132">
        <f>0</f>
        <v>0</v>
      </c>
      <c r="BH259" s="3156">
        <f>0</f>
        <v>0</v>
      </c>
      <c r="BI259" s="3156">
        <f>0</f>
        <v>0</v>
      </c>
      <c r="BJ259" s="3132">
        <f>0</f>
        <v>0</v>
      </c>
      <c r="BK259" s="3156">
        <f>0</f>
        <v>0</v>
      </c>
      <c r="BL259" s="3156">
        <f>0</f>
        <v>0</v>
      </c>
      <c r="BM259" s="3132">
        <f>0</f>
        <v>0</v>
      </c>
      <c r="BN259" s="3132">
        <f>0</f>
        <v>0</v>
      </c>
      <c r="BO259" s="3156">
        <f>0</f>
        <v>0</v>
      </c>
      <c r="BP259" s="3156">
        <f>0</f>
        <v>0</v>
      </c>
      <c r="BQ259" s="3132">
        <f>0</f>
        <v>0</v>
      </c>
      <c r="BR259" s="3156">
        <f>0</f>
        <v>0</v>
      </c>
      <c r="BS259" s="3156">
        <f>0</f>
        <v>0</v>
      </c>
      <c r="BT259" s="3156">
        <f>0</f>
        <v>0</v>
      </c>
      <c r="BU259" s="3156">
        <f>1</f>
        <v>1</v>
      </c>
      <c r="BV259" s="3156">
        <f>0</f>
        <v>0</v>
      </c>
      <c r="BW259" s="3156">
        <f>0</f>
        <v>0</v>
      </c>
      <c r="BX259" s="3156">
        <f>0</f>
        <v>0</v>
      </c>
      <c r="BY259" s="3156">
        <f>0</f>
        <v>0</v>
      </c>
      <c r="BZ259" s="3209">
        <f>0</f>
        <v>0</v>
      </c>
      <c r="CA259" s="3209">
        <f>0</f>
        <v>0</v>
      </c>
      <c r="CB259" s="3209">
        <f>0</f>
        <v>0</v>
      </c>
      <c r="CC259" s="3209">
        <f>0</f>
        <v>0</v>
      </c>
      <c r="CD259" s="3156">
        <f>0</f>
        <v>0</v>
      </c>
      <c r="CE259" s="3156">
        <f>0</f>
        <v>0</v>
      </c>
      <c r="CF259" s="3156">
        <f>0</f>
        <v>0</v>
      </c>
      <c r="CG259" s="3156">
        <f>0</f>
        <v>0</v>
      </c>
      <c r="CH259" s="3156">
        <f>0</f>
        <v>0</v>
      </c>
      <c r="CI259" s="3156">
        <f>0</f>
        <v>0</v>
      </c>
      <c r="CJ259" s="3156">
        <f>0</f>
        <v>0</v>
      </c>
      <c r="CK259" s="3156">
        <f>0</f>
        <v>0</v>
      </c>
      <c r="CL259" s="3156">
        <f>0</f>
        <v>0</v>
      </c>
      <c r="CM259" s="3156">
        <f>0</f>
        <v>0</v>
      </c>
      <c r="CN259" s="3156">
        <f>0</f>
        <v>0</v>
      </c>
      <c r="CO259" s="3156">
        <f>0</f>
        <v>0</v>
      </c>
      <c r="CP259" s="3156">
        <f>0</f>
        <v>0</v>
      </c>
      <c r="CQ259" s="3156">
        <f>0</f>
        <v>0</v>
      </c>
      <c r="CR259" s="3156">
        <f>0</f>
        <v>0</v>
      </c>
      <c r="CS259" s="3156">
        <f>0</f>
        <v>0</v>
      </c>
      <c r="CT259" s="3156">
        <f>0</f>
        <v>0</v>
      </c>
      <c r="CU259" s="3156">
        <f>0</f>
        <v>0</v>
      </c>
      <c r="CV259" s="3236">
        <f>q_ACP*P_recipDrivingForceACP^2</f>
        <v>0</v>
      </c>
      <c r="CX259" s="2838">
        <f>E287*E259+F287*F259+G287*G259+H287*H259+I287*I259+J287*J259+K287*K259+L287*L259+M287*M259+N287*N259+O287*O259+P287*P259+Q287*Q259+R287*R259+S287*S259+T287*T259+U287*U259+V287*V259+W287*W259+X287*X259+Y287*Y259+Z287*Z259+AA287*AA259+AB287*AB259+AC287*AC259+AD287*AD259+AE287*AE259+AF287*AF259+AG287*AG259+AH287*AH259+AI287*AI259+AJ287*AJ259+AK287*AK259+AL287*AL259+AM287*AM259+AN287*AN259+AO287*AO259+AP287*AP259+AQ287*AQ259+AR287*AR259+AS287*AS259+AT287*AT259+AU287*AU259+AV287*AV259+AW287*AW259+AX287*AX259+AY287*AY259+AZ287*AZ259+BA287*BA259+BB287*BB259+BC287*BC259+BD287*BD259+BE287*BE259+BF287*BF259+BG287*BG259+BH287*BH259+BI287*BI259+BJ287*BJ259+BK287*BK259+BL287*BL259+BM287*BM259+BN287*BN259+BO287*BO259+BP287*BP259+BQ287*BQ259+BR287*BR259+BS287*BS259+BT287*BT259+BU287*BU259+BV287*BV259+BW287*BW259+BX287*BX259+BY287*BY259+BZ287*BZ259+CA287*CA259+CB287*CB259+CC287*CC259+CD287*CD259+CE287*CE259+CF287*CF259+CG287*CG259+CH287*CH259+CI287*CI259+CJ287*CJ259+CK287*CK259+CL287*CL259+CM287*CM259+CN287*CN259+CO287*CO259+CP287*CP259+CQ287*CQ259+CR287*CR259+CS287*CS259+CT287*CT259+CU287*CU259</f>
        <v>0</v>
      </c>
      <c r="CY259" s="2838">
        <f>E288*E259+F288*F259+G288*G259+H288*H259+I288*I259+J288*J259+K288*K259+L288*L259+M288*M259+N288*N259+O288*O259+P288*P259+Q288*Q259+R288*R259+S288*S259+T288*T259+U288*U259+V288*V259+W288*W259+X288*X259+Y288*Y259+Z288*Z259+AA288*AA259+AB288*AB259+AC288*AC259+AD288*AD259+AE288*AE259+AF288*AF259+AG288*AG259+AH288*AH259+AI288*AI259+AJ288*AJ259+AK288*AK259+AL288*AL259+AM288*AM259+AN288*AN259+AO288*AO259+AP288*AP259+AQ288*AQ259+AR288*AR259+AS288*AS259+AT288*AT259+AU288*AU259+AV288*AV259+AW288*AW259+AX288*AX259+AY288*AY259+AZ288*AZ259+BA288*BA259+BB288*BB259+BC288*BC259+BD288*BD259+BE288*BE259+BF288*BF259+BG288*BG259+BH288*BH259+BI288*BI259+BJ288*BJ259+BK288*BK259+BL288*BL259+BM288*BM259+BN288*BN259+BO288*BO259+BP288*BP259+BQ288*BQ259+BR288*BR259+BS288*BS259+BT288*BT259+BU288*BU259+BV288*BV259+BW288*BW259+BX288*BX259+BY288*BY259+BZ288*BZ259+CA288*CA259+CB288*CB259+CC288*CC259+CD288*CD259+CE288*CE259+CF288*CF259+CG288*CG259+CH288*CH259+CI288*CI259+CJ288*CJ259+CK288*CK259+CL288*CL259+CM288*CM259+CN288*CN259+CO288*CO259+CP288*CP259+CQ288*CQ259+CR288*CR259+CS288*CS259+CT288*CT259+CU288*CU259</f>
        <v>0</v>
      </c>
      <c r="CZ259" s="2839">
        <f>E289*E259+F289*F259+G289*G259+H289*H259+I289*I259+J289*J259+K289*K259+L289*L259+M289*M259+N289*N259+O289*O259+P289*P259+Q289*Q259+R289*R259+S289*S259+T289*T259+U289*U259+V289*V259+W289*W259+X289*X259+Y289*Y259+Z289*Z259+AA289*AA259+AB289*AB259+AC289*AC259+AD289*AD259+AE289*AE259+AF289*AF259+AG289*AG259+AH289*AH259+AI289*AI259+AJ289*AJ259+AK289*AK259+AL289*AL259+AM289*AM259+AN289*AN259+AO289*AO259+AP289*AP259+AQ289*AQ259+AR289*AR259+AS289*AS259+AT289*AT259+AU289*AU259+AV289*AV259+AW289*AW259+AX289*AX259+AY289*AY259+AZ289*AZ259+BA289*BA259+BB289*BB259+BC289*BC259+BD289*BD259+BE289*BE259+BF289*BF259+BG289*BG259+BH289*BH259+BI289*BI259+BJ289*BJ259+BK289*BK259+BL289*BL259+BM289*BM259+BN289*BN259+BO289*BO259+BP289*BP259+BQ289*BQ259+BR289*BR259+BS289*BS259+BT289*BT259+BU289*BU259+BV289*BV259+BW289*BW259+BX289*BX259+BY289*BY259+BZ289*BZ259+CA289*CA259+CB289*CB259+CC289*CC259+CD289*CD259+CE289*CE259+CF289*CF259+CG289*CG259+CH289*CH259+CI289*CI259+CJ289*CJ259+CK289*CK259+CL289*CL259+CM289*CM259+CN289*CN259+CO289*CO259+CP289*CP259+CQ289*CQ259+CR289*CR259+CS289*CS259+CT289*CT259+CU289*CU259</f>
        <v>0</v>
      </c>
      <c r="DA259" s="2840">
        <f>E290*E259+F290*F259+G290*G259+H290*H259+I290*I259+J290*J259+K290*K259+L290*L259+M290*M259+N290*N259+O290*O259+P290*P259+Q290*Q259+R290*R259+S290*S259+T290*T259+U290*U259+V290*V259+W290*W259+X290*X259+Y290*Y259+Z290*Z259+AA290*AA259+AB290*AB259+AC290*AC259+AD290*AD259+AE290*AE259+AF290*AF259+AG290*AG259+AH290*AH259+AI290*AI259+AJ290*AJ259+AK290*AK259+AL290*AL259+AM290*AM259+AN290*AN259+AO290*AO259+AP290*AP259+AQ290*AQ259+AR290*AR259+AS290*AS259+AT290*AT259+AU290*AU259+AV290*AV259+AW290*AW259+AX290*AX259+AY290*AY259+AZ290*AZ259+BA290*BA259+BB290*BB259+BC290*BC259+BD290*BD259+BE290*BE259+BF290*BF259+BG290*BG259+BH290*BH259+BI290*BI259+BJ290*BJ259+BK290*BK259+BL290*BL259+BM290*BM259+BN290*BN259+BO290*BO259+BP290*BP259+BQ290*BQ259+BR290*BR259+BS290*BS259+BT290*BT259+BU290*BU259+BV290*BV259+BW290*BW259+BX290*BX259+BY290*BY259+BZ290*BZ259+CA290*CA259+CB290*CB259+CC290*CC259+CD290*CD259+CE290*CE259+CF290*CF259+CG290*CG259+CH290*CH259+CI290*CI259+CJ290*CJ259+CK290*CK259+CL290*CL259+CM290*CM259+CN290*CN259+CO290*CO259+CP290*CP259+CQ290*CQ259+CR290*CR259+CS290*CS259+CT290*CT259+CU290*CU259</f>
        <v>0</v>
      </c>
      <c r="DB259" s="2840">
        <f>E291*E259+F291*F259+G291*G259+H291*H259+I291*I259+J291*J259+K291*K259+L291*L259+M291*M259+N291*N259+O291*O259+P291*P259+Q291*Q259+R291*R259+S291*S259+T291*T259+U291*U259+V291*V259+W291*W259+X291*X259+Y291*Y259+Z291*Z259+AA291*AA259+AB291*AB259+AC291*AC259+AD291*AD259+AE291*AE259+AF291*AF259+AG291*AG259+AH291*AH259+AI291*AI259+AJ291*AJ259+AK291*AK259+AL291*AL259+AM291*AM259+AN291*AN259+AO291*AO259+AP291*AP259+AQ291*AQ259+AR291*AR259+AS291*AS259+AT291*AT259+AU291*AU259+AV291*AV259+AW291*AW259+AX291*AX259+AY291*AY259+AZ291*AZ259+BA291*BA259+BB291*BB259+BC291*BC259+BD291*BD259+BE291*BE259+BF291*BF259+BG291*BG259+BH291*BH259+BI291*BI259+BJ291*BJ259+BK291*BK259+BL291*BL259+BM291*BM259+BN291*BN259+BO291*BO259+BP291*BP259+BQ291*BQ259+BR291*BR259+BS291*BS259+BT291*BT259+BU291*BU259+BV291*BV259+BW291*BW259+BX291*BX259+BY291*BY259+BZ291*BZ259+CA291*CA259+CB291*CB259+CC291*CC259+CD291*CD259+CE291*CE259+CF291*CF259+CG291*CG259+CH291*CH259+CI291*CI259+CJ291*CJ259+CK291*CK259+CL291*CL259+CM291*CM259+CN291*CN259+CO291*CO259+CP291*CP259+CQ291*CQ259+CR291*CR259+CS291*CS259+CT291*CT259+CU291*CU259</f>
        <v>0</v>
      </c>
      <c r="DC259" s="2840">
        <f>E292*E259+F292*F259+G292*G259+H292*H259+I292*I259+J292*J259+K292*K259+L292*L259+M292*M259+N292*N259+O292*O259+P292*P259+Q292*Q259+R292*R259+S292*S259+T292*T259+U292*U259+V292*V259+W292*W259+X292*X259+Y292*Y259+Z292*Z259+AA292*AA259+AB292*AB259+AC292*AC259+AD292*AD259+AE292*AE259+AF292*AF259+AG292*AG259+AH292*AH259+AI292*AI259+AJ292*AJ259+AK292*AK259+AL292*AL259+AM292*AM259+AN292*AN259+AO292*AO259+AP292*AP259+AQ292*AQ259+AR292*AR259+AS292*AS259+AT292*AT259+AU292*AU259+AV292*AV259+AW292*AW259+AX292*AX259+AY292*AY259+AZ292*AZ259+BA292*BA259+BB292*BB259+BC292*BC259+BD292*BD259+BE292*BE259+BF292*BF259+BG292*BG259+BH292*BH259+BI292*BI259+BJ292*BJ259+BK292*BK259+BL292*BL259+BM292*BM259+BN292*BN259+BO292*BO259+BP292*BP259+BQ292*BQ259+BR292*BR259+BS292*BS259+BT292*BT259+BU292*BU259+BV292*BV259+BW292*BW259+BX292*BX259+BY292*BY259+BZ292*BZ259+CA292*CA259+CB292*CB259+CC292*CC259+CD292*CD259+CE292*CE259+CF292*CF259+CG292*CG259+CH292*CH259+CI292*CI259+CJ292*CJ259+CK292*CK259+CL292*CL259+CM292*CM259+CN292*CN259+CO292*CO259+CP292*CP259+CQ292*CQ259+CR292*CR259+CS292*CS259+CT292*CT259+CU292*CU259</f>
        <v>0</v>
      </c>
      <c r="DD259" s="2840">
        <f>E293*E259+F293*F259+G293*G259+H293*H259+I293*I259+J293*J259+K293*K259+L293*L259+M293*M259+N293*N259+O293*O259+P293*P259+Q293*Q259+R293*R259+S293*S259+T293*T259+U293*U259+V293*V259+W293*W259+X293*X259+Y293*Y259+Z293*Z259+AA293*AA259+AB293*AB259+AC293*AC259+AD293*AD259+AE293*AE259+AF293*AF259+AG293*AG259+AH293*AH259+AI293*AI259+AJ293*AJ259+AK293*AK259+AL293*AL259+AM293*AM259+AN293*AN259+AO293*AO259+AP293*AP259+AQ293*AQ259+AR293*AR259+AS293*AS259+AT293*AT259+AU293*AU259+AV293*AV259+AW293*AW259+AX293*AX259+AY293*AY259+AZ293*AZ259+BA293*BA259+BB293*BB259+BC293*BC259+BD293*BD259+BE293*BE259+BF293*BF259+BG293*BG259+BH293*BH259+BI293*BI259+BJ293*BJ259+BK293*BK259+BL293*BL259+BM293*BM259+BN293*BN259+BO293*BO259+BP293*BP259+BQ293*BQ259+BR293*BR259+BS293*BS259+BT293*BT259+BU293*BU259+BV293*BV259+BW293*BW259+BX293*BX259+BY293*BY259+BZ293*BZ259+CA293*CA259+CB293*CB259+CC293*CC259+CD293*CD259+CE293*CE259+CF293*CF259+CG293*CG259+CH293*CH259+CI293*CI259+CJ293*CJ259+CK293*CK259+CL293*CL259+CM293*CM259+CN293*CN259+CO293*CO259+CP293*CP259+CQ293*CQ259+CR293*CR259+CS293*CS259+CT293*CT259+CU293*CU259</f>
        <v>0</v>
      </c>
      <c r="DE259" s="2840">
        <f>E294*E259+F294*F259+G294*G259+H294*H259+I294*I259+J294*J259+K294*K259+L294*L259+M294*M259+N294*N259+O294*O259+P294*P259+Q294*Q259+R294*R259+S294*S259+T294*T259+U294*U259+V294*V259+W294*W259+X294*X259+Y294*Y259+Z294*Z259+AA294*AA259+AB294*AB259+AC294*AC259+AD294*AD259+AE294*AE259+AF294*AF259+AG294*AG259+AH294*AH259+AI294*AI259+AJ294*AJ259+AK294*AK259+AL294*AL259+AM294*AM259+AN294*AN259+AO294*AO259+AP294*AP259+AQ294*AQ259+AR294*AR259+AS294*AS259+AT294*AT259+AU294*AU259+AV294*AV259+AW294*AW259+AX294*AX259+AY294*AY259+AZ294*AZ259+BA294*BA259+BB294*BB259+BC294*BC259+BD294*BD259+BE294*BE259+BF294*BF259+BG294*BG259+BH294*BH259+BI294*BI259+BJ294*BJ259+BK294*BK259+BL294*BL259+BM294*BM259+BN294*BN259+BO294*BO259+BP294*BP259+BQ294*BQ259+BR294*BR259+BS294*BS259+BT294*BT259+BU294*BU259+BV294*BV259+BW294*BW259+BX294*BX259+BY294*BY259+BZ294*BZ259+CA294*CA259+CB294*CB259+CC294*CC259+CD294*CD259+CE294*CE259+CF294*CF259+CG294*CG259+CH294*CH259+CI294*CI259+CJ294*CJ259+CK294*CK259+CL294*CL259+CM294*CM259+CN294*CN259+CO294*CO259+CP294*CP259+CQ294*CQ259+CR294*CR259+CS294*CS259+CT294*CT259+CU294*CU259</f>
        <v>0</v>
      </c>
      <c r="DF259" s="2840">
        <f>E295*E259+F295*F259+G295*G259+H295*H259+I295*I259+J295*J259+K295*K259+L295*L259+M295*M259+N295*N259+O295*O259+P295*P259+Q295*Q259+R295*R259+S295*S259+T295*T259+U295*U259+V295*V259+W295*W259+X295*X259+Y295*Y259+Z295*Z259+AA295*AA259+AB295*AB259+AC295*AC259+AD295*AD259+AE295*AE259+AF295*AF259+AG295*AG259+AH295*AH259+AI295*AI259+AJ295*AJ259+AK295*AK259+AL295*AL259+AM295*AM259+AN295*AN259+AO295*AO259+AP295*AP259+AQ295*AQ259+AR295*AR259+AS295*AS259+AT295*AT259+AU295*AU259+AV295*AV259+AW295*AW259+AX295*AX259+AY295*AY259+AZ295*AZ259+BA295*BA259+BB295*BB259+BC295*BC259+BD295*BD259+BE295*BE259+BF295*BF259+BG295*BG259+BH295*BH259+BI295*BI259+BJ295*BJ259+BK295*BK259+BL295*BL259+BM295*BM259+BN295*BN259+BO295*BO259+BP295*BP259+BQ295*BQ259+BR295*BR259+BS295*BS259+BT295*BT259+BU295*BU259+BV295*BV259+BW295*BW259+BX295*BX259+BY295*BY259+BZ295*BZ259+CA295*CA259+CB295*CB259+CC295*CC259+CD295*CD259+CE295*CE259+CF295*CF259+CG295*CG259+CH295*CH259+CI295*CI259+CJ295*CJ259+CK295*CK259+CL295*CL259+CM295*CM259+CN295*CN259+CO295*CO259+CP295*CP259+CQ295*CQ259+CR295*CR259+CS295*CS259+CT295*CT259+CU295*CU259</f>
        <v>0</v>
      </c>
      <c r="DG259" s="2840">
        <f>E296*E259+F296*F259+G296*G259+H296*H259+I296*I259+J296*J259+K296*K259+L296*L259+M296*M259+N296*N259+O296*O259+P296*P259+Q296*Q259+R296*R259+S296*S259+T296*T259+U296*U259+V296*V259+W296*W259+X296*X259+Y296*Y259+Z296*Z259+AA296*AA259+AB296*AB259+AC296*AC259+AD296*AD259+AE296*AE259+AF296*AF259+AG296*AG259+AH296*AH259+AI296*AI259+AJ296*AJ259+AK296*AK259+AL296*AL259+AM296*AM259+AN296*AN259+AO296*AO259+AP296*AP259+AQ296*AQ259+AR296*AR259+AS296*AS259+AT296*AT259+AU296*AU259+AV296*AV259+AW296*AW259+AX296*AX259+AY296*AY259+AZ296*AZ259+BA296*BA259+BB296*BB259+BC296*BC259+BD296*BD259+BE296*BE259+BF296*BF259+BG296*BG259+BH296*BH259+BI296*BI259+BJ296*BJ259+BK296*BK259+BL296*BL259+BM296*BM259+BN296*BN259+BO296*BO259+BP296*BP259+BQ296*BQ259+BR296*BR259+BS296*BS259+BT296*BT259+BU296*BU259+BV296*BV259+BW296*BW259+BX296*BX259+BY296*BY259+BZ296*BZ259+CA296*CA259+CB296*CB259+CC296*CC259+CD296*CD259+CE296*CE259+CF296*CF259+CG296*CG259+CH296*CH259+CI296*CI259+CJ296*CJ259+CK296*CK259+CL296*CL259+CM296*CM259+CN296*CN259+CO296*CO259+CP296*CP259+CQ296*CQ259+CR296*CR259+CS296*CS259+CT296*CT259+CU296*CU259</f>
        <v>0</v>
      </c>
      <c r="DH259" s="2840">
        <f>E297*E259+F297*F259+G297*G259+H297*H259+I297*I259+J297*J259+K297*K259+L297*L259+M297*M259+N297*N259+O297*O259+P297*P259+Q297*Q259+R297*R259+S297*S259+T297*T259+U297*U259+V297*V259+W297*W259+X297*X259+Y297*Y259+Z297*Z259+AA297*AA259+AB297*AB259+AC297*AC259+AD297*AD259+AE297*AE259+AF297*AF259+AG297*AG259+AH297*AH259+AI297*AI259+AJ297*AJ259+AK297*AK259+AL297*AL259+AM297*AM259+AN297*AN259+AO297*AO259+AP297*AP259+AQ297*AQ259+AR297*AR259+AS297*AS259+AT297*AT259+AU297*AU259+AV297*AV259+AW297*AW259+AX297*AX259+AY297*AY259+AZ297*AZ259+BA297*BA259+BB297*BB259+BC297*BC259+BD297*BD259+BE297*BE259+BF297*BF259+BG297*BG259+BH297*BH259+BI297*BI259+BJ297*BJ259+BK297*BK259+BL297*BL259+BM297*BM259+BN297*BN259+BO297*BO259+BP297*BP259+BQ297*BQ259+BR297*BR259+BS297*BS259+BT297*BT259+BU297*BU259+BV297*BV259+BW297*BW259+BX297*BX259+BY297*BY259+BZ297*BZ259+CA297*CA259+CB297*CB259+CC297*CC259+CD297*CD259+CE297*CE259+CF297*CF259+CG297*CG259+CH297*CH259+CI297*CI259+CJ297*CJ259+CK297*CK259+CL297*CL259+CM297*CM259+CN297*CN259+CO297*CO259+CP297*CP259+CQ297*CQ259+CR297*CR259+CS297*CS259+CT297*CT259+CU297*CU259</f>
        <v>0</v>
      </c>
      <c r="DI259" s="2840">
        <f>E298*E259+F298*F259+G298*G259+H298*H259+I298*I259+J298*J259+K298*K259+L298*L259+M298*M259+N298*N259+O298*O259+P298*P259+Q298*Q259+R298*R259+S298*S259+T298*T259+U298*U259+V298*V259+W298*W259+X298*X259+Y298*Y259+Z298*Z259+AA298*AA259+AB298*AB259+AC298*AC259+AD298*AD259+AE298*AE259+AF298*AF259+AG298*AG259+AH298*AH259+AI298*AI259+AJ298*AJ259+AK298*AK259+AL298*AL259+AM298*AM259+AN298*AN259+AO298*AO259+AP298*AP259+AQ298*AQ259+AR298*AR259+AS298*AS259+AT298*AT259+AU298*AU259+AV298*AV259+AW298*AW259+AX298*AX259+AY298*AY259+AZ298*AZ259+BA298*BA259+BB298*BB259+BC298*BC259+BD298*BD259+BE298*BE259+BF298*BF259+BG298*BG259+BH298*BH259+BI298*BI259+BJ298*BJ259+BK298*BK259+BL298*BL259+BM298*BM259+BN298*BN259+BO298*BO259+BP298*BP259+BQ298*BQ259+BR298*BR259+BS298*BS259+BT298*BT259+BU298*BU259+BV298*BV259+BW298*BW259+BX298*BX259+BY298*BY259+BZ298*BZ259+CA298*CA259+CB298*CB259+CC298*CC259+CD298*CD259+CE298*CE259+CF298*CF259+CG298*CG259+CH298*CH259+CI298*CI259+CJ298*CJ259+CK298*CK259+CL298*CL259+CM298*CM259+CN298*CN259+CO298*CO259+CP298*CP259+CQ298*CQ259+CR298*CR259+CS298*CS259+CT298*CT259+CU298*CU259</f>
        <v>0</v>
      </c>
    </row>
    <row r="260" spans="2:113" ht="18" x14ac:dyDescent="0.25">
      <c r="B260" s="2519">
        <v>107</v>
      </c>
      <c r="C260" s="2468" t="s">
        <v>3322</v>
      </c>
      <c r="D260" s="2469" t="s">
        <v>4306</v>
      </c>
      <c r="E260" s="3132">
        <f>0</f>
        <v>0</v>
      </c>
      <c r="F260" s="3132">
        <f>0</f>
        <v>0</v>
      </c>
      <c r="G260" s="3132">
        <f>0</f>
        <v>0</v>
      </c>
      <c r="H260" s="3132">
        <f>0</f>
        <v>0</v>
      </c>
      <c r="I260" s="3132">
        <f>0</f>
        <v>0</v>
      </c>
      <c r="J260" s="3145">
        <f>0</f>
        <v>0</v>
      </c>
      <c r="K260" s="3132">
        <f>0</f>
        <v>0</v>
      </c>
      <c r="L260" s="3132">
        <f>0</f>
        <v>0</v>
      </c>
      <c r="M260" s="3132">
        <f>0</f>
        <v>0</v>
      </c>
      <c r="N260" s="3132">
        <f>0</f>
        <v>0</v>
      </c>
      <c r="O260" s="3132">
        <f>0</f>
        <v>0</v>
      </c>
      <c r="P260" s="3132">
        <f>0</f>
        <v>0</v>
      </c>
      <c r="Q260" s="3132">
        <f>0</f>
        <v>0</v>
      </c>
      <c r="R260" s="3156">
        <f>0</f>
        <v>0</v>
      </c>
      <c r="S260" s="3132">
        <f>0</f>
        <v>0</v>
      </c>
      <c r="T260" s="3132">
        <f>0</f>
        <v>0</v>
      </c>
      <c r="U260" s="3132">
        <f>0</f>
        <v>0</v>
      </c>
      <c r="V260" s="3132">
        <f>0</f>
        <v>0</v>
      </c>
      <c r="W260" s="3132">
        <f>0</f>
        <v>0</v>
      </c>
      <c r="X260" s="3132">
        <f>0</f>
        <v>0</v>
      </c>
      <c r="Y260" s="3132">
        <f>0</f>
        <v>0</v>
      </c>
      <c r="Z260" s="3132">
        <f>0</f>
        <v>0</v>
      </c>
      <c r="AA260" s="3132">
        <f>0</f>
        <v>0</v>
      </c>
      <c r="AB260" s="3132">
        <f>0</f>
        <v>0</v>
      </c>
      <c r="AC260" s="3132">
        <f>0</f>
        <v>0</v>
      </c>
      <c r="AD260" s="3132">
        <f>0</f>
        <v>0</v>
      </c>
      <c r="AE260" s="3132">
        <f>0</f>
        <v>0</v>
      </c>
      <c r="AF260" s="3132">
        <f>0</f>
        <v>0</v>
      </c>
      <c r="AG260" s="3132">
        <f>0</f>
        <v>0</v>
      </c>
      <c r="AH260" s="3132">
        <f>0</f>
        <v>0</v>
      </c>
      <c r="AI260" s="3132">
        <f>0</f>
        <v>0</v>
      </c>
      <c r="AJ260" s="3145">
        <f>0</f>
        <v>0</v>
      </c>
      <c r="AK260" s="3132">
        <f>0</f>
        <v>0</v>
      </c>
      <c r="AL260" s="3156">
        <f>-A_MP/M_MBSH</f>
        <v>-0.17998807007087103</v>
      </c>
      <c r="AM260" s="3132">
        <f>0</f>
        <v>0</v>
      </c>
      <c r="AN260" s="3132">
        <f>0</f>
        <v>0</v>
      </c>
      <c r="AO260" s="3132">
        <f>0</f>
        <v>0</v>
      </c>
      <c r="AP260" s="3145">
        <f>0</f>
        <v>0</v>
      </c>
      <c r="AQ260" s="3132">
        <f>0</f>
        <v>0</v>
      </c>
      <c r="AR260" s="3132">
        <f>0</f>
        <v>0</v>
      </c>
      <c r="AS260" s="3132">
        <f>0</f>
        <v>0</v>
      </c>
      <c r="AT260" s="3132">
        <f>0</f>
        <v>0</v>
      </c>
      <c r="AU260" s="3132">
        <f>0</f>
        <v>0</v>
      </c>
      <c r="AV260" s="3132">
        <f>0</f>
        <v>0</v>
      </c>
      <c r="AW260" s="3132">
        <f>0</f>
        <v>0</v>
      </c>
      <c r="AX260" s="3132">
        <f>0</f>
        <v>0</v>
      </c>
      <c r="AY260" s="3156">
        <f>-A_MCa/M_MBSH</f>
        <v>-0.2328926601076691</v>
      </c>
      <c r="AZ260" s="3132">
        <f>0</f>
        <v>0</v>
      </c>
      <c r="BA260" s="3132">
        <f>0</f>
        <v>0</v>
      </c>
      <c r="BB260" s="3132">
        <f>0</f>
        <v>0</v>
      </c>
      <c r="BC260" s="3132">
        <f>0</f>
        <v>0</v>
      </c>
      <c r="BD260" s="3132">
        <f>0</f>
        <v>0</v>
      </c>
      <c r="BE260" s="3156">
        <f>0</f>
        <v>0</v>
      </c>
      <c r="BF260" s="3132">
        <f>0</f>
        <v>0</v>
      </c>
      <c r="BG260" s="3132">
        <f>0</f>
        <v>0</v>
      </c>
      <c r="BH260" s="3156">
        <f>0</f>
        <v>0</v>
      </c>
      <c r="BI260" s="3156">
        <f>0</f>
        <v>0</v>
      </c>
      <c r="BJ260" s="3132">
        <f>0</f>
        <v>0</v>
      </c>
      <c r="BK260" s="3156">
        <f>0</f>
        <v>0</v>
      </c>
      <c r="BL260" s="3156">
        <f>0</f>
        <v>0</v>
      </c>
      <c r="BM260" s="3132">
        <f>0</f>
        <v>0</v>
      </c>
      <c r="BN260" s="3132">
        <f>0</f>
        <v>0</v>
      </c>
      <c r="BO260" s="3156">
        <f>0</f>
        <v>0</v>
      </c>
      <c r="BP260" s="3156">
        <f>0</f>
        <v>0</v>
      </c>
      <c r="BQ260" s="3132">
        <f>0</f>
        <v>0</v>
      </c>
      <c r="BR260" s="3156">
        <f>0</f>
        <v>0</v>
      </c>
      <c r="BS260" s="3156">
        <f>0</f>
        <v>0</v>
      </c>
      <c r="BT260" s="3156">
        <f>0</f>
        <v>0</v>
      </c>
      <c r="BU260" s="3156">
        <f>0</f>
        <v>0</v>
      </c>
      <c r="BV260" s="3156">
        <f>1</f>
        <v>1</v>
      </c>
      <c r="BW260" s="3156">
        <f>0</f>
        <v>0</v>
      </c>
      <c r="BX260" s="3156">
        <f>0</f>
        <v>0</v>
      </c>
      <c r="BY260" s="3156">
        <f>0</f>
        <v>0</v>
      </c>
      <c r="BZ260" s="3209">
        <f>0</f>
        <v>0</v>
      </c>
      <c r="CA260" s="3209">
        <f>0</f>
        <v>0</v>
      </c>
      <c r="CB260" s="3209">
        <f>0</f>
        <v>0</v>
      </c>
      <c r="CC260" s="3209">
        <f>0</f>
        <v>0</v>
      </c>
      <c r="CD260" s="3156">
        <f>0</f>
        <v>0</v>
      </c>
      <c r="CE260" s="3156">
        <f>0</f>
        <v>0</v>
      </c>
      <c r="CF260" s="3156">
        <f>0</f>
        <v>0</v>
      </c>
      <c r="CG260" s="3156">
        <f>0</f>
        <v>0</v>
      </c>
      <c r="CH260" s="3156">
        <f>0</f>
        <v>0</v>
      </c>
      <c r="CI260" s="3156">
        <f>0</f>
        <v>0</v>
      </c>
      <c r="CJ260" s="3156">
        <f>0</f>
        <v>0</v>
      </c>
      <c r="CK260" s="3156">
        <f>0</f>
        <v>0</v>
      </c>
      <c r="CL260" s="3156">
        <f>0</f>
        <v>0</v>
      </c>
      <c r="CM260" s="3156">
        <f>0</f>
        <v>0</v>
      </c>
      <c r="CN260" s="3156">
        <f>0</f>
        <v>0</v>
      </c>
      <c r="CO260" s="3156">
        <f>0</f>
        <v>0</v>
      </c>
      <c r="CP260" s="3156">
        <f>0</f>
        <v>0</v>
      </c>
      <c r="CQ260" s="3156">
        <f>0</f>
        <v>0</v>
      </c>
      <c r="CR260" s="3156">
        <f>0</f>
        <v>0</v>
      </c>
      <c r="CS260" s="3156">
        <f>0</f>
        <v>0</v>
      </c>
      <c r="CT260" s="3156">
        <f>0</f>
        <v>0</v>
      </c>
      <c r="CU260" s="3156">
        <f>0</f>
        <v>0</v>
      </c>
      <c r="CV260" s="3236">
        <f>q_BSH*P_recipDrivingForceBSH^2</f>
        <v>0</v>
      </c>
      <c r="CX260" s="2838">
        <f>E287*E260+F287*F260+G287*G260+H287*H260+I287*I260+J287*J260+K287*K260+L287*L260+M287*M260+N287*N260+O287*O260+P287*P260+Q287*Q260+R287*R260+S287*S260+T287*T260+U287*U260+V287*V260+W287*W260+X287*X260+Y287*Y260+Z287*Z260+AA287*AA260+AB287*AB260+AC287*AC260+AD287*AD260+AE287*AE260+AF287*AF260+AG287*AG260+AH287*AH260+AI287*AI260+AJ287*AJ260+AK287*AK260+AL287*AL260+AM287*AM260+AN287*AN260+AO287*AO260+AP287*AP260+AQ287*AQ260+AR287*AR260+AS287*AS260+AT287*AT260+AU287*AU260+AV287*AV260+AW287*AW260+AX287*AX260+AY287*AY260+AZ287*AZ260+BA287*BA260+BB287*BB260+BC287*BC260+BD287*BD260+BE287*BE260+BF287*BF260+BG287*BG260+BH287*BH260+BI287*BI260+BJ287*BJ260+BK287*BK260+BL287*BL260+BM287*BM260+BN287*BN260+BO287*BO260+BP287*BP260+BQ287*BQ260+BR287*BR260+BS287*BS260+BT287*BT260+BU287*BU260+BV287*BV260+BW287*BW260+BX287*BX260+BY287*BY260+BZ287*BZ260+CA287*CA260+CB287*CB260+CC287*CC260+CD287*CD260+CE287*CE260+CF287*CF260+CG287*CG260+CH287*CH260+CI287*CI260+CJ287*CJ260+CK287*CK260+CL287*CL260+CM287*CM260+CN287*CN260+CO287*CO260+CP287*CP260+CQ287*CQ260+CR287*CR260+CS287*CS260+CT287*CT260+CU287*CU260</f>
        <v>0</v>
      </c>
      <c r="CY260" s="2838">
        <f>E288*E260+F288*F260+G288*G260+H288*H260+I288*I260+J288*J260+K288*K260+L288*L260+M288*M260+N288*N260+O288*O260+P288*P260+Q288*Q260+R288*R260+S288*S260+T288*T260+U288*U260+V288*V260+W288*W260+X288*X260+Y288*Y260+Z288*Z260+AA288*AA260+AB288*AB260+AC288*AC260+AD288*AD260+AE288*AE260+AF288*AF260+AG288*AG260+AH288*AH260+AI288*AI260+AJ288*AJ260+AK288*AK260+AL288*AL260+AM288*AM260+AN288*AN260+AO288*AO260+AP288*AP260+AQ288*AQ260+AR288*AR260+AS288*AS260+AT288*AT260+AU288*AU260+AV288*AV260+AW288*AW260+AX288*AX260+AY288*AY260+AZ288*AZ260+BA288*BA260+BB288*BB260+BC288*BC260+BD288*BD260+BE288*BE260+BF288*BF260+BG288*BG260+BH288*BH260+BI288*BI260+BJ288*BJ260+BK288*BK260+BL288*BL260+BM288*BM260+BN288*BN260+BO288*BO260+BP288*BP260+BQ288*BQ260+BR288*BR260+BS288*BS260+BT288*BT260+BU288*BU260+BV288*BV260+BW288*BW260+BX288*BX260+BY288*BY260+BZ288*BZ260+CA288*CA260+CB288*CB260+CC288*CC260+CD288*CD260+CE288*CE260+CF288*CF260+CG288*CG260+CH288*CH260+CI288*CI260+CJ288*CJ260+CK288*CK260+CL288*CL260+CM288*CM260+CN288*CN260+CO288*CO260+CP288*CP260+CQ288*CQ260+CR288*CR260+CS288*CS260+CT288*CT260+CU288*CU260</f>
        <v>0</v>
      </c>
      <c r="CZ260" s="2839">
        <f>E289*E260+F289*F260+G289*G260+H289*H260+I289*I260+J289*J260+K289*K260+L289*L260+M289*M260+N289*N260+O289*O260+P289*P260+Q289*Q260+R289*R260+S289*S260+T289*T260+U289*U260+V289*V260+W289*W260+X289*X260+Y289*Y260+Z289*Z260+AA289*AA260+AB289*AB260+AC289*AC260+AD289*AD260+AE289*AE260+AF289*AF260+AG289*AG260+AH289*AH260+AI289*AI260+AJ289*AJ260+AK289*AK260+AL289*AL260+AM289*AM260+AN289*AN260+AO289*AO260+AP289*AP260+AQ289*AQ260+AR289*AR260+AS289*AS260+AT289*AT260+AU289*AU260+AV289*AV260+AW289*AW260+AX289*AX260+AY289*AY260+AZ289*AZ260+BA289*BA260+BB289*BB260+BC289*BC260+BD289*BD260+BE289*BE260+BF289*BF260+BG289*BG260+BH289*BH260+BI289*BI260+BJ289*BJ260+BK289*BK260+BL289*BL260+BM289*BM260+BN289*BN260+BO289*BO260+BP289*BP260+BQ289*BQ260+BR289*BR260+BS289*BS260+BT289*BT260+BU289*BU260+BV289*BV260+BW289*BW260+BX289*BX260+BY289*BY260+BZ289*BZ260+CA289*CA260+CB289*CB260+CC289*CC260+CD289*CD260+CE289*CE260+CF289*CF260+CG289*CG260+CH289*CH260+CI289*CI260+CJ289*CJ260+CK289*CK260+CL289*CL260+CM289*CM260+CN289*CN260+CO289*CO260+CP289*CP260+CQ289*CQ260+CR289*CR260+CS289*CS260+CT289*CT260+CU289*CU260</f>
        <v>0</v>
      </c>
      <c r="DA260" s="2840">
        <f>E290*E260+F290*F260+G290*G260+H290*H260+I290*I260+J290*J260+K290*K260+L290*L260+M290*M260+N290*N260+O290*O260+P290*P260+Q290*Q260+R290*R260+S290*S260+T290*T260+U290*U260+V290*V260+W290*W260+X290*X260+Y290*Y260+Z290*Z260+AA290*AA260+AB290*AB260+AC290*AC260+AD290*AD260+AE290*AE260+AF290*AF260+AG290*AG260+AH290*AH260+AI290*AI260+AJ290*AJ260+AK290*AK260+AL290*AL260+AM290*AM260+AN290*AN260+AO290*AO260+AP290*AP260+AQ290*AQ260+AR290*AR260+AS290*AS260+AT290*AT260+AU290*AU260+AV290*AV260+AW290*AW260+AX290*AX260+AY290*AY260+AZ290*AZ260+BA290*BA260+BB290*BB260+BC290*BC260+BD290*BD260+BE290*BE260+BF290*BF260+BG290*BG260+BH290*BH260+BI290*BI260+BJ290*BJ260+BK290*BK260+BL290*BL260+BM290*BM260+BN290*BN260+BO290*BO260+BP290*BP260+BQ290*BQ260+BR290*BR260+BS290*BS260+BT290*BT260+BU290*BU260+BV290*BV260+BW290*BW260+BX290*BX260+BY290*BY260+BZ290*BZ260+CA290*CA260+CB290*CB260+CC290*CC260+CD290*CD260+CE290*CE260+CF290*CF260+CG290*CG260+CH290*CH260+CI290*CI260+CJ290*CJ260+CK290*CK260+CL290*CL260+CM290*CM260+CN290*CN260+CO290*CO260+CP290*CP260+CQ290*CQ260+CR290*CR260+CS290*CS260+CT290*CT260+CU290*CU260</f>
        <v>0</v>
      </c>
      <c r="DB260" s="2840">
        <f>E291*E260+F291*F260+G291*G260+H291*H260+I291*I260+J291*J260+K291*K260+L291*L260+M291*M260+N291*N260+O291*O260+P291*P260+Q291*Q260+R291*R260+S291*S260+T291*T260+U291*U260+V291*V260+W291*W260+X291*X260+Y291*Y260+Z291*Z260+AA291*AA260+AB291*AB260+AC291*AC260+AD291*AD260+AE291*AE260+AF291*AF260+AG291*AG260+AH291*AH260+AI291*AI260+AJ291*AJ260+AK291*AK260+AL291*AL260+AM291*AM260+AN291*AN260+AO291*AO260+AP291*AP260+AQ291*AQ260+AR291*AR260+AS291*AS260+AT291*AT260+AU291*AU260+AV291*AV260+AW291*AW260+AX291*AX260+AY291*AY260+AZ291*AZ260+BA291*BA260+BB291*BB260+BC291*BC260+BD291*BD260+BE291*BE260+BF291*BF260+BG291*BG260+BH291*BH260+BI291*BI260+BJ291*BJ260+BK291*BK260+BL291*BL260+BM291*BM260+BN291*BN260+BO291*BO260+BP291*BP260+BQ291*BQ260+BR291*BR260+BS291*BS260+BT291*BT260+BU291*BU260+BV291*BV260+BW291*BW260+BX291*BX260+BY291*BY260+BZ291*BZ260+CA291*CA260+CB291*CB260+CC291*CC260+CD291*CD260+CE291*CE260+CF291*CF260+CG291*CG260+CH291*CH260+CI291*CI260+CJ291*CJ260+CK291*CK260+CL291*CL260+CM291*CM260+CN291*CN260+CO291*CO260+CP291*CP260+CQ291*CQ260+CR291*CR260+CS291*CS260+CT291*CT260+CU291*CU260</f>
        <v>0</v>
      </c>
      <c r="DC260" s="2840">
        <f>E292*E260+F292*F260+G292*G260+H292*H260+I292*I260+J292*J260+K292*K260+L292*L260+M292*M260+N292*N260+O292*O260+P292*P260+Q292*Q260+R292*R260+S292*S260+T292*T260+U292*U260+V292*V260+W292*W260+X292*X260+Y292*Y260+Z292*Z260+AA292*AA260+AB292*AB260+AC292*AC260+AD292*AD260+AE292*AE260+AF292*AF260+AG292*AG260+AH292*AH260+AI292*AI260+AJ292*AJ260+AK292*AK260+AL292*AL260+AM292*AM260+AN292*AN260+AO292*AO260+AP292*AP260+AQ292*AQ260+AR292*AR260+AS292*AS260+AT292*AT260+AU292*AU260+AV292*AV260+AW292*AW260+AX292*AX260+AY292*AY260+AZ292*AZ260+BA292*BA260+BB292*BB260+BC292*BC260+BD292*BD260+BE292*BE260+BF292*BF260+BG292*BG260+BH292*BH260+BI292*BI260+BJ292*BJ260+BK292*BK260+BL292*BL260+BM292*BM260+BN292*BN260+BO292*BO260+BP292*BP260+BQ292*BQ260+BR292*BR260+BS292*BS260+BT292*BT260+BU292*BU260+BV292*BV260+BW292*BW260+BX292*BX260+BY292*BY260+BZ292*BZ260+CA292*CA260+CB292*CB260+CC292*CC260+CD292*CD260+CE292*CE260+CF292*CF260+CG292*CG260+CH292*CH260+CI292*CI260+CJ292*CJ260+CK292*CK260+CL292*CL260+CM292*CM260+CN292*CN260+CO292*CO260+CP292*CP260+CQ292*CQ260+CR292*CR260+CS292*CS260+CT292*CT260+CU292*CU260</f>
        <v>0</v>
      </c>
      <c r="DD260" s="2840">
        <f>E293*E260+F293*F260+G293*G260+H293*H260+I293*I260+J293*J260+K293*K260+L293*L260+M293*M260+N293*N260+O293*O260+P293*P260+Q293*Q260+R293*R260+S293*S260+T293*T260+U293*U260+V293*V260+W293*W260+X293*X260+Y293*Y260+Z293*Z260+AA293*AA260+AB293*AB260+AC293*AC260+AD293*AD260+AE293*AE260+AF293*AF260+AG293*AG260+AH293*AH260+AI293*AI260+AJ293*AJ260+AK293*AK260+AL293*AL260+AM293*AM260+AN293*AN260+AO293*AO260+AP293*AP260+AQ293*AQ260+AR293*AR260+AS293*AS260+AT293*AT260+AU293*AU260+AV293*AV260+AW293*AW260+AX293*AX260+AY293*AY260+AZ293*AZ260+BA293*BA260+BB293*BB260+BC293*BC260+BD293*BD260+BE293*BE260+BF293*BF260+BG293*BG260+BH293*BH260+BI293*BI260+BJ293*BJ260+BK293*BK260+BL293*BL260+BM293*BM260+BN293*BN260+BO293*BO260+BP293*BP260+BQ293*BQ260+BR293*BR260+BS293*BS260+BT293*BT260+BU293*BU260+BV293*BV260+BW293*BW260+BX293*BX260+BY293*BY260+BZ293*BZ260+CA293*CA260+CB293*CB260+CC293*CC260+CD293*CD260+CE293*CE260+CF293*CF260+CG293*CG260+CH293*CH260+CI293*CI260+CJ293*CJ260+CK293*CK260+CL293*CL260+CM293*CM260+CN293*CN260+CO293*CO260+CP293*CP260+CQ293*CQ260+CR293*CR260+CS293*CS260+CT293*CT260+CU293*CU260</f>
        <v>0</v>
      </c>
      <c r="DE260" s="2840">
        <f>E294*E260+F294*F260+G294*G260+H294*H260+I294*I260+J294*J260+K294*K260+L294*L260+M294*M260+N294*N260+O294*O260+P294*P260+Q294*Q260+R294*R260+S294*S260+T294*T260+U294*U260+V294*V260+W294*W260+X294*X260+Y294*Y260+Z294*Z260+AA294*AA260+AB294*AB260+AC294*AC260+AD294*AD260+AE294*AE260+AF294*AF260+AG294*AG260+AH294*AH260+AI294*AI260+AJ294*AJ260+AK294*AK260+AL294*AL260+AM294*AM260+AN294*AN260+AO294*AO260+AP294*AP260+AQ294*AQ260+AR294*AR260+AS294*AS260+AT294*AT260+AU294*AU260+AV294*AV260+AW294*AW260+AX294*AX260+AY294*AY260+AZ294*AZ260+BA294*BA260+BB294*BB260+BC294*BC260+BD294*BD260+BE294*BE260+BF294*BF260+BG294*BG260+BH294*BH260+BI294*BI260+BJ294*BJ260+BK294*BK260+BL294*BL260+BM294*BM260+BN294*BN260+BO294*BO260+BP294*BP260+BQ294*BQ260+BR294*BR260+BS294*BS260+BT294*BT260+BU294*BU260+BV294*BV260+BW294*BW260+BX294*BX260+BY294*BY260+BZ294*BZ260+CA294*CA260+CB294*CB260+CC294*CC260+CD294*CD260+CE294*CE260+CF294*CF260+CG294*CG260+CH294*CH260+CI294*CI260+CJ294*CJ260+CK294*CK260+CL294*CL260+CM294*CM260+CN294*CN260+CO294*CO260+CP294*CP260+CQ294*CQ260+CR294*CR260+CS294*CS260+CT294*CT260+CU294*CU260</f>
        <v>0</v>
      </c>
      <c r="DF260" s="2840">
        <f>E295*E260+F295*F260+G295*G260+H295*H260+I295*I260+J295*J260+K295*K260+L295*L260+M295*M260+N295*N260+O295*O260+P295*P260+Q295*Q260+R295*R260+S295*S260+T295*T260+U295*U260+V295*V260+W295*W260+X295*X260+Y295*Y260+Z295*Z260+AA295*AA260+AB295*AB260+AC295*AC260+AD295*AD260+AE295*AE260+AF295*AF260+AG295*AG260+AH295*AH260+AI295*AI260+AJ295*AJ260+AK295*AK260+AL295*AL260+AM295*AM260+AN295*AN260+AO295*AO260+AP295*AP260+AQ295*AQ260+AR295*AR260+AS295*AS260+AT295*AT260+AU295*AU260+AV295*AV260+AW295*AW260+AX295*AX260+AY295*AY260+AZ295*AZ260+BA295*BA260+BB295*BB260+BC295*BC260+BD295*BD260+BE295*BE260+BF295*BF260+BG295*BG260+BH295*BH260+BI295*BI260+BJ295*BJ260+BK295*BK260+BL295*BL260+BM295*BM260+BN295*BN260+BO295*BO260+BP295*BP260+BQ295*BQ260+BR295*BR260+BS295*BS260+BT295*BT260+BU295*BU260+BV295*BV260+BW295*BW260+BX295*BX260+BY295*BY260+BZ295*BZ260+CA295*CA260+CB295*CB260+CC295*CC260+CD295*CD260+CE295*CE260+CF295*CF260+CG295*CG260+CH295*CH260+CI295*CI260+CJ295*CJ260+CK295*CK260+CL295*CL260+CM295*CM260+CN295*CN260+CO295*CO260+CP295*CP260+CQ295*CQ260+CR295*CR260+CS295*CS260+CT295*CT260+CU295*CU260</f>
        <v>0</v>
      </c>
      <c r="DG260" s="2840">
        <f>E296*E260+F296*F260+G296*G260+H296*H260+I296*I260+J296*J260+K296*K260+L296*L260+M296*M260+N296*N260+O296*O260+P296*P260+Q296*Q260+R296*R260+S296*S260+T296*T260+U296*U260+V296*V260+W296*W260+X296*X260+Y296*Y260+Z296*Z260+AA296*AA260+AB296*AB260+AC296*AC260+AD296*AD260+AE296*AE260+AF296*AF260+AG296*AG260+AH296*AH260+AI296*AI260+AJ296*AJ260+AK296*AK260+AL296*AL260+AM296*AM260+AN296*AN260+AO296*AO260+AP296*AP260+AQ296*AQ260+AR296*AR260+AS296*AS260+AT296*AT260+AU296*AU260+AV296*AV260+AW296*AW260+AX296*AX260+AY296*AY260+AZ296*AZ260+BA296*BA260+BB296*BB260+BC296*BC260+BD296*BD260+BE296*BE260+BF296*BF260+BG296*BG260+BH296*BH260+BI296*BI260+BJ296*BJ260+BK296*BK260+BL296*BL260+BM296*BM260+BN296*BN260+BO296*BO260+BP296*BP260+BQ296*BQ260+BR296*BR260+BS296*BS260+BT296*BT260+BU296*BU260+BV296*BV260+BW296*BW260+BX296*BX260+BY296*BY260+BZ296*BZ260+CA296*CA260+CB296*CB260+CC296*CC260+CD296*CD260+CE296*CE260+CF296*CF260+CG296*CG260+CH296*CH260+CI296*CI260+CJ296*CJ260+CK296*CK260+CL296*CL260+CM296*CM260+CN296*CN260+CO296*CO260+CP296*CP260+CQ296*CQ260+CR296*CR260+CS296*CS260+CT296*CT260+CU296*CU260</f>
        <v>0</v>
      </c>
      <c r="DH260" s="2840">
        <f>E297*E260+F297*F260+G297*G260+H297*H260+I297*I260+J297*J260+K297*K260+L297*L260+M297*M260+N297*N260+O297*O260+P297*P260+Q297*Q260+R297*R260+S297*S260+T297*T260+U297*U260+V297*V260+W297*W260+X297*X260+Y297*Y260+Z297*Z260+AA297*AA260+AB297*AB260+AC297*AC260+AD297*AD260+AE297*AE260+AF297*AF260+AG297*AG260+AH297*AH260+AI297*AI260+AJ297*AJ260+AK297*AK260+AL297*AL260+AM297*AM260+AN297*AN260+AO297*AO260+AP297*AP260+AQ297*AQ260+AR297*AR260+AS297*AS260+AT297*AT260+AU297*AU260+AV297*AV260+AW297*AW260+AX297*AX260+AY297*AY260+AZ297*AZ260+BA297*BA260+BB297*BB260+BC297*BC260+BD297*BD260+BE297*BE260+BF297*BF260+BG297*BG260+BH297*BH260+BI297*BI260+BJ297*BJ260+BK297*BK260+BL297*BL260+BM297*BM260+BN297*BN260+BO297*BO260+BP297*BP260+BQ297*BQ260+BR297*BR260+BS297*BS260+BT297*BT260+BU297*BU260+BV297*BV260+BW297*BW260+BX297*BX260+BY297*BY260+BZ297*BZ260+CA297*CA260+CB297*CB260+CC297*CC260+CD297*CD260+CE297*CE260+CF297*CF260+CG297*CG260+CH297*CH260+CI297*CI260+CJ297*CJ260+CK297*CK260+CL297*CL260+CM297*CM260+CN297*CN260+CO297*CO260+CP297*CP260+CQ297*CQ260+CR297*CR260+CS297*CS260+CT297*CT260+CU297*CU260</f>
        <v>0</v>
      </c>
      <c r="DI260" s="2840">
        <f>E298*E260+F298*F260+G298*G260+H298*H260+I298*I260+J298*J260+K298*K260+L298*L260+M298*M260+N298*N260+O298*O260+P298*P260+Q298*Q260+R298*R260+S298*S260+T298*T260+U298*U260+V298*V260+W298*W260+X298*X260+Y298*Y260+Z298*Z260+AA298*AA260+AB298*AB260+AC298*AC260+AD298*AD260+AE298*AE260+AF298*AF260+AG298*AG260+AH298*AH260+AI298*AI260+AJ298*AJ260+AK298*AK260+AL298*AL260+AM298*AM260+AN298*AN260+AO298*AO260+AP298*AP260+AQ298*AQ260+AR298*AR260+AS298*AS260+AT298*AT260+AU298*AU260+AV298*AV260+AW298*AW260+AX298*AX260+AY298*AY260+AZ298*AZ260+BA298*BA260+BB298*BB260+BC298*BC260+BD298*BD260+BE298*BE260+BF298*BF260+BG298*BG260+BH298*BH260+BI298*BI260+BJ298*BJ260+BK298*BK260+BL298*BL260+BM298*BM260+BN298*BN260+BO298*BO260+BP298*BP260+BQ298*BQ260+BR298*BR260+BS298*BS260+BT298*BT260+BU298*BU260+BV298*BV260+BW298*BW260+BX298*BX260+BY298*BY260+BZ298*BZ260+CA298*CA260+CB298*CB260+CC298*CC260+CD298*CD260+CE298*CE260+CF298*CF260+CG298*CG260+CH298*CH260+CI298*CI260+CJ298*CJ260+CK298*CK260+CL298*CL260+CM298*CM260+CN298*CN260+CO298*CO260+CP298*CP260+CQ298*CQ260+CR298*CR260+CS298*CS260+CT298*CT260+CU298*CU260</f>
        <v>0</v>
      </c>
    </row>
    <row r="261" spans="2:113" ht="18" x14ac:dyDescent="0.25">
      <c r="B261" s="2519">
        <v>108</v>
      </c>
      <c r="C261" s="2468" t="s">
        <v>3323</v>
      </c>
      <c r="D261" s="2469" t="s">
        <v>287</v>
      </c>
      <c r="E261" s="3132">
        <f>0</f>
        <v>0</v>
      </c>
      <c r="F261" s="3132">
        <f>0</f>
        <v>0</v>
      </c>
      <c r="G261" s="3132">
        <f>0</f>
        <v>0</v>
      </c>
      <c r="H261" s="3132">
        <f>0</f>
        <v>0</v>
      </c>
      <c r="I261" s="3132">
        <f>0</f>
        <v>0</v>
      </c>
      <c r="J261" s="3145">
        <f>0</f>
        <v>0</v>
      </c>
      <c r="K261" s="3132">
        <f>0</f>
        <v>0</v>
      </c>
      <c r="L261" s="3132">
        <f>0</f>
        <v>0</v>
      </c>
      <c r="M261" s="3132">
        <f>0</f>
        <v>0</v>
      </c>
      <c r="N261" s="3132">
        <f>0</f>
        <v>0</v>
      </c>
      <c r="O261" s="3132">
        <f>0</f>
        <v>0</v>
      </c>
      <c r="P261" s="3132">
        <f>0</f>
        <v>0</v>
      </c>
      <c r="Q261" s="3132">
        <f>0</f>
        <v>0</v>
      </c>
      <c r="R261" s="3156">
        <f>0</f>
        <v>0</v>
      </c>
      <c r="S261" s="3132">
        <f>0</f>
        <v>0</v>
      </c>
      <c r="T261" s="3132">
        <f>0</f>
        <v>0</v>
      </c>
      <c r="U261" s="3132">
        <f>0</f>
        <v>0</v>
      </c>
      <c r="V261" s="3132">
        <f>0</f>
        <v>0</v>
      </c>
      <c r="W261" s="3132">
        <f>0</f>
        <v>0</v>
      </c>
      <c r="X261" s="3132">
        <f>0</f>
        <v>0</v>
      </c>
      <c r="Y261" s="3132">
        <f>0</f>
        <v>0</v>
      </c>
      <c r="Z261" s="3132">
        <f>0</f>
        <v>0</v>
      </c>
      <c r="AA261" s="3132">
        <f>0</f>
        <v>0</v>
      </c>
      <c r="AB261" s="3132">
        <f>0</f>
        <v>0</v>
      </c>
      <c r="AC261" s="3132">
        <f>0</f>
        <v>0</v>
      </c>
      <c r="AD261" s="3156">
        <f>-A_MN/M_MSTR</f>
        <v>-5.7075504823359977E-2</v>
      </c>
      <c r="AE261" s="3132">
        <f>0</f>
        <v>0</v>
      </c>
      <c r="AF261" s="3132">
        <f>0</f>
        <v>0</v>
      </c>
      <c r="AG261" s="3132">
        <f>0</f>
        <v>0</v>
      </c>
      <c r="AH261" s="3132">
        <f>0</f>
        <v>0</v>
      </c>
      <c r="AI261" s="3132">
        <f>0</f>
        <v>0</v>
      </c>
      <c r="AJ261" s="3145">
        <f>0</f>
        <v>0</v>
      </c>
      <c r="AK261" s="3132">
        <f>0</f>
        <v>0</v>
      </c>
      <c r="AL261" s="3156">
        <f>-A_MP/M_MSTR</f>
        <v>-0.12621410566683836</v>
      </c>
      <c r="AM261" s="3132">
        <f>0</f>
        <v>0</v>
      </c>
      <c r="AN261" s="3132">
        <f>0</f>
        <v>0</v>
      </c>
      <c r="AO261" s="3132">
        <f>0</f>
        <v>0</v>
      </c>
      <c r="AP261" s="3145">
        <f>0</f>
        <v>0</v>
      </c>
      <c r="AQ261" s="3132">
        <f>0</f>
        <v>0</v>
      </c>
      <c r="AR261" s="3132">
        <f>0</f>
        <v>0</v>
      </c>
      <c r="AS261" s="3132">
        <f>0</f>
        <v>0</v>
      </c>
      <c r="AT261" s="3132">
        <f>0</f>
        <v>0</v>
      </c>
      <c r="AU261" s="3132">
        <f>0</f>
        <v>0</v>
      </c>
      <c r="AV261" s="3132">
        <f>0</f>
        <v>0</v>
      </c>
      <c r="AW261" s="3132">
        <f>0</f>
        <v>0</v>
      </c>
      <c r="AX261" s="3132">
        <f>0</f>
        <v>0</v>
      </c>
      <c r="AY261" s="3132">
        <f>0</f>
        <v>0</v>
      </c>
      <c r="AZ261" s="3156">
        <f>-A_MMg/M_MSTR</f>
        <v>-9.9039755597804202E-2</v>
      </c>
      <c r="BA261" s="3132">
        <f>0</f>
        <v>0</v>
      </c>
      <c r="BB261" s="3132">
        <f>0</f>
        <v>0</v>
      </c>
      <c r="BC261" s="3132">
        <f>0</f>
        <v>0</v>
      </c>
      <c r="BD261" s="3132">
        <f>0</f>
        <v>0</v>
      </c>
      <c r="BE261" s="3156">
        <f>0</f>
        <v>0</v>
      </c>
      <c r="BF261" s="3132">
        <f>0</f>
        <v>0</v>
      </c>
      <c r="BG261" s="3132">
        <f>0</f>
        <v>0</v>
      </c>
      <c r="BH261" s="3156">
        <f>0</f>
        <v>0</v>
      </c>
      <c r="BI261" s="3156">
        <f>0</f>
        <v>0</v>
      </c>
      <c r="BJ261" s="3132">
        <f>0</f>
        <v>0</v>
      </c>
      <c r="BK261" s="3156">
        <f>0</f>
        <v>0</v>
      </c>
      <c r="BL261" s="3156">
        <f>0</f>
        <v>0</v>
      </c>
      <c r="BM261" s="3132">
        <f>0</f>
        <v>0</v>
      </c>
      <c r="BN261" s="3132">
        <f>0</f>
        <v>0</v>
      </c>
      <c r="BO261" s="3156">
        <f>0</f>
        <v>0</v>
      </c>
      <c r="BP261" s="3156">
        <f>0</f>
        <v>0</v>
      </c>
      <c r="BQ261" s="3132">
        <f>0</f>
        <v>0</v>
      </c>
      <c r="BR261" s="3156">
        <f>0</f>
        <v>0</v>
      </c>
      <c r="BS261" s="3156">
        <f>0</f>
        <v>0</v>
      </c>
      <c r="BT261" s="3156">
        <f>0</f>
        <v>0</v>
      </c>
      <c r="BU261" s="3156">
        <f>0</f>
        <v>0</v>
      </c>
      <c r="BV261" s="3156">
        <f>0</f>
        <v>0</v>
      </c>
      <c r="BW261" s="3156">
        <f>1</f>
        <v>1</v>
      </c>
      <c r="BX261" s="3156">
        <f>0</f>
        <v>0</v>
      </c>
      <c r="BY261" s="3156">
        <f>0</f>
        <v>0</v>
      </c>
      <c r="BZ261" s="3209">
        <f>0</f>
        <v>0</v>
      </c>
      <c r="CA261" s="3209">
        <f>0</f>
        <v>0</v>
      </c>
      <c r="CB261" s="3209">
        <f>0</f>
        <v>0</v>
      </c>
      <c r="CC261" s="3209">
        <f>0</f>
        <v>0</v>
      </c>
      <c r="CD261" s="3156">
        <f>0</f>
        <v>0</v>
      </c>
      <c r="CE261" s="3156">
        <f>0</f>
        <v>0</v>
      </c>
      <c r="CF261" s="3156">
        <f>0</f>
        <v>0</v>
      </c>
      <c r="CG261" s="3156">
        <f>0</f>
        <v>0</v>
      </c>
      <c r="CH261" s="3156">
        <f>0</f>
        <v>0</v>
      </c>
      <c r="CI261" s="3156">
        <f>0</f>
        <v>0</v>
      </c>
      <c r="CJ261" s="3156">
        <f>0</f>
        <v>0</v>
      </c>
      <c r="CK261" s="3156">
        <f>0</f>
        <v>0</v>
      </c>
      <c r="CL261" s="3156">
        <f>0</f>
        <v>0</v>
      </c>
      <c r="CM261" s="3156">
        <f>0</f>
        <v>0</v>
      </c>
      <c r="CN261" s="3156">
        <f>0</f>
        <v>0</v>
      </c>
      <c r="CO261" s="3156">
        <f>0</f>
        <v>0</v>
      </c>
      <c r="CP261" s="3156">
        <f>0</f>
        <v>0</v>
      </c>
      <c r="CQ261" s="3156">
        <f>0</f>
        <v>0</v>
      </c>
      <c r="CR261" s="3156">
        <f>0</f>
        <v>0</v>
      </c>
      <c r="CS261" s="3156">
        <f>0</f>
        <v>0</v>
      </c>
      <c r="CT261" s="3156">
        <f>0</f>
        <v>0</v>
      </c>
      <c r="CU261" s="3156">
        <f>0</f>
        <v>0</v>
      </c>
      <c r="CV261" s="3236">
        <f>q_STR*P_recipDrivingForceSTR^3</f>
        <v>0</v>
      </c>
      <c r="CX261" s="2838">
        <f>E287*E261+F287*F261+G287*G261+H287*H261+I287*I261+J287*J261+K287*K261+L287*L261+M287*M261+N287*N261+O287*O261+P287*P261+Q287*Q261+R287*R261+S287*S261+T287*T261+U287*U261+V287*V261+W287*W261+X287*X261+Y287*Y261+Z287*Z261+AA287*AA261+AB287*AB261+AC287*AC261+AD287*AD261+AE287*AE261+AF287*AF261+AG287*AG261+AH287*AH261+AI287*AI261+AJ287*AJ261+AK287*AK261+AL287*AL261+AM287*AM261+AN287*AN261+AO287*AO261+AP287*AP261+AQ287*AQ261+AR287*AR261+AS287*AS261+AT287*AT261+AU287*AU261+AV287*AV261+AW287*AW261+AX287*AX261+AY287*AY261+AZ287*AZ261+BA287*BA261+BB287*BB261+BC287*BC261+BD287*BD261+BE287*BE261+BF287*BF261+BG287*BG261+BH287*BH261+BI287*BI261+BJ287*BJ261+BK287*BK261+BL287*BL261+BM287*BM261+BN287*BN261+BO287*BO261+BP287*BP261+BQ287*BQ261+BR287*BR261+BS287*BS261+BT287*BT261+BU287*BU261+BV287*BV261+BW287*BW261+BX287*BX261+BY287*BY261+BZ287*BZ261+CA287*CA261+CB287*CB261+CC287*CC261+CD287*CD261+CE287*CE261+CF287*CF261+CG287*CG261+CH287*CH261+CI287*CI261+CJ287*CJ261+CK287*CK261+CL287*CL261+CM287*CM261+CN287*CN261+CO287*CO261+CP287*CP261+CQ287*CQ261+CR287*CR261+CS287*CS261+CT287*CT261+CU287*CU261</f>
        <v>0</v>
      </c>
      <c r="CY261" s="2838">
        <f>E288*E261+F288*F261+G288*G261+H288*H261+I288*I261+J288*J261+K288*K261+L288*L261+M288*M261+N288*N261+O288*O261+P288*P261+Q288*Q261+R288*R261+S288*S261+T288*T261+U288*U261+V288*V261+W288*W261+X288*X261+Y288*Y261+Z288*Z261+AA288*AA261+AB288*AB261+AC288*AC261+AD288*AD261+AE288*AE261+AF288*AF261+AG288*AG261+AH288*AH261+AI288*AI261+AJ288*AJ261+AK288*AK261+AL288*AL261+AM288*AM261+AN288*AN261+AO288*AO261+AP288*AP261+AQ288*AQ261+AR288*AR261+AS288*AS261+AT288*AT261+AU288*AU261+AV288*AV261+AW288*AW261+AX288*AX261+AY288*AY261+AZ288*AZ261+BA288*BA261+BB288*BB261+BC288*BC261+BD288*BD261+BE288*BE261+BF288*BF261+BG288*BG261+BH288*BH261+BI288*BI261+BJ288*BJ261+BK288*BK261+BL288*BL261+BM288*BM261+BN288*BN261+BO288*BO261+BP288*BP261+BQ288*BQ261+BR288*BR261+BS288*BS261+BT288*BT261+BU288*BU261+BV288*BV261+BW288*BW261+BX288*BX261+BY288*BY261+BZ288*BZ261+CA288*CA261+CB288*CB261+CC288*CC261+CD288*CD261+CE288*CE261+CF288*CF261+CG288*CG261+CH288*CH261+CI288*CI261+CJ288*CJ261+CK288*CK261+CL288*CL261+CM288*CM261+CN288*CN261+CO288*CO261+CP288*CP261+CQ288*CQ261+CR288*CR261+CS288*CS261+CT288*CT261+CU288*CU261</f>
        <v>0</v>
      </c>
      <c r="CZ261" s="2839">
        <f>E289*E261+F289*F261+G289*G261+H289*H261+I289*I261+J289*J261+K289*K261+L289*L261+M289*M261+N289*N261+O289*O261+P289*P261+Q289*Q261+R289*R261+S289*S261+T289*T261+U289*U261+V289*V261+W289*W261+X289*X261+Y289*Y261+Z289*Z261+AA289*AA261+AB289*AB261+AC289*AC261+AD289*AD261+AE289*AE261+AF289*AF261+AG289*AG261+AH289*AH261+AI289*AI261+AJ289*AJ261+AK289*AK261+AL289*AL261+AM289*AM261+AN289*AN261+AO289*AO261+AP289*AP261+AQ289*AQ261+AR289*AR261+AS289*AS261+AT289*AT261+AU289*AU261+AV289*AV261+AW289*AW261+AX289*AX261+AY289*AY261+AZ289*AZ261+BA289*BA261+BB289*BB261+BC289*BC261+BD289*BD261+BE289*BE261+BF289*BF261+BG289*BG261+BH289*BH261+BI289*BI261+BJ289*BJ261+BK289*BK261+BL289*BL261+BM289*BM261+BN289*BN261+BO289*BO261+BP289*BP261+BQ289*BQ261+BR289*BR261+BS289*BS261+BT289*BT261+BU289*BU261+BV289*BV261+BW289*BW261+BX289*BX261+BY289*BY261+BZ289*BZ261+CA289*CA261+CB289*CB261+CC289*CC261+CD289*CD261+CE289*CE261+CF289*CF261+CG289*CG261+CH289*CH261+CI289*CI261+CJ289*CJ261+CK289*CK261+CL289*CL261+CM289*CM261+CN289*CN261+CO289*CO261+CP289*CP261+CQ289*CQ261+CR289*CR261+CS289*CS261+CT289*CT261+CU289*CU261</f>
        <v>0</v>
      </c>
      <c r="DA261" s="2840">
        <f>E290*E261+F290*F261+G290*G261+H290*H261+I290*I261+J290*J261+K290*K261+L290*L261+M290*M261+N290*N261+O290*O261+P290*P261+Q290*Q261+R290*R261+S290*S261+T290*T261+U290*U261+V290*V261+W290*W261+X290*X261+Y290*Y261+Z290*Z261+AA290*AA261+AB290*AB261+AC290*AC261+AD290*AD261+AE290*AE261+AF290*AF261+AG290*AG261+AH290*AH261+AI290*AI261+AJ290*AJ261+AK290*AK261+AL290*AL261+AM290*AM261+AN290*AN261+AO290*AO261+AP290*AP261+AQ290*AQ261+AR290*AR261+AS290*AS261+AT290*AT261+AU290*AU261+AV290*AV261+AW290*AW261+AX290*AX261+AY290*AY261+AZ290*AZ261+BA290*BA261+BB290*BB261+BC290*BC261+BD290*BD261+BE290*BE261+BF290*BF261+BG290*BG261+BH290*BH261+BI290*BI261+BJ290*BJ261+BK290*BK261+BL290*BL261+BM290*BM261+BN290*BN261+BO290*BO261+BP290*BP261+BQ290*BQ261+BR290*BR261+BS290*BS261+BT290*BT261+BU290*BU261+BV290*BV261+BW290*BW261+BX290*BX261+BY290*BY261+BZ290*BZ261+CA290*CA261+CB290*CB261+CC290*CC261+CD290*CD261+CE290*CE261+CF290*CF261+CG290*CG261+CH290*CH261+CI290*CI261+CJ290*CJ261+CK290*CK261+CL290*CL261+CM290*CM261+CN290*CN261+CO290*CO261+CP290*CP261+CQ290*CQ261+CR290*CR261+CS290*CS261+CT290*CT261+CU290*CU261</f>
        <v>0</v>
      </c>
      <c r="DB261" s="2840">
        <f>E291*E261+F291*F261+G291*G261+H291*H261+I291*I261+J291*J261+K291*K261+L291*L261+M291*M261+N291*N261+O291*O261+P291*P261+Q291*Q261+R291*R261+S291*S261+T291*T261+U291*U261+V291*V261+W291*W261+X291*X261+Y291*Y261+Z291*Z261+AA291*AA261+AB291*AB261+AC291*AC261+AD291*AD261+AE291*AE261+AF291*AF261+AG291*AG261+AH291*AH261+AI291*AI261+AJ291*AJ261+AK291*AK261+AL291*AL261+AM291*AM261+AN291*AN261+AO291*AO261+AP291*AP261+AQ291*AQ261+AR291*AR261+AS291*AS261+AT291*AT261+AU291*AU261+AV291*AV261+AW291*AW261+AX291*AX261+AY291*AY261+AZ291*AZ261+BA291*BA261+BB291*BB261+BC291*BC261+BD291*BD261+BE291*BE261+BF291*BF261+BG291*BG261+BH291*BH261+BI291*BI261+BJ291*BJ261+BK291*BK261+BL291*BL261+BM291*BM261+BN291*BN261+BO291*BO261+BP291*BP261+BQ291*BQ261+BR291*BR261+BS291*BS261+BT291*BT261+BU291*BU261+BV291*BV261+BW291*BW261+BX291*BX261+BY291*BY261+BZ291*BZ261+CA291*CA261+CB291*CB261+CC291*CC261+CD291*CD261+CE291*CE261+CF291*CF261+CG291*CG261+CH291*CH261+CI291*CI261+CJ291*CJ261+CK291*CK261+CL291*CL261+CM291*CM261+CN291*CN261+CO291*CO261+CP291*CP261+CQ291*CQ261+CR291*CR261+CS291*CS261+CT291*CT261+CU291*CU261</f>
        <v>0</v>
      </c>
      <c r="DC261" s="2840">
        <f>E292*E261+F292*F261+G292*G261+H292*H261+I292*I261+J292*J261+K292*K261+L292*L261+M292*M261+N292*N261+O292*O261+P292*P261+Q292*Q261+R292*R261+S292*S261+T292*T261+U292*U261+V292*V261+W292*W261+X292*X261+Y292*Y261+Z292*Z261+AA292*AA261+AB292*AB261+AC292*AC261+AD292*AD261+AE292*AE261+AF292*AF261+AG292*AG261+AH292*AH261+AI292*AI261+AJ292*AJ261+AK292*AK261+AL292*AL261+AM292*AM261+AN292*AN261+AO292*AO261+AP292*AP261+AQ292*AQ261+AR292*AR261+AS292*AS261+AT292*AT261+AU292*AU261+AV292*AV261+AW292*AW261+AX292*AX261+AY292*AY261+AZ292*AZ261+BA292*BA261+BB292*BB261+BC292*BC261+BD292*BD261+BE292*BE261+BF292*BF261+BG292*BG261+BH292*BH261+BI292*BI261+BJ292*BJ261+BK292*BK261+BL292*BL261+BM292*BM261+BN292*BN261+BO292*BO261+BP292*BP261+BQ292*BQ261+BR292*BR261+BS292*BS261+BT292*BT261+BU292*BU261+BV292*BV261+BW292*BW261+BX292*BX261+BY292*BY261+BZ292*BZ261+CA292*CA261+CB292*CB261+CC292*CC261+CD292*CD261+CE292*CE261+CF292*CF261+CG292*CG261+CH292*CH261+CI292*CI261+CJ292*CJ261+CK292*CK261+CL292*CL261+CM292*CM261+CN292*CN261+CO292*CO261+CP292*CP261+CQ292*CQ261+CR292*CR261+CS292*CS261+CT292*CT261+CU292*CU261</f>
        <v>0</v>
      </c>
      <c r="DD261" s="2840">
        <f>E293*E261+F293*F261+G293*G261+H293*H261+I293*I261+J293*J261+K293*K261+L293*L261+M293*M261+N293*N261+O293*O261+P293*P261+Q293*Q261+R293*R261+S293*S261+T293*T261+U293*U261+V293*V261+W293*W261+X293*X261+Y293*Y261+Z293*Z261+AA293*AA261+AB293*AB261+AC293*AC261+AD293*AD261+AE293*AE261+AF293*AF261+AG293*AG261+AH293*AH261+AI293*AI261+AJ293*AJ261+AK293*AK261+AL293*AL261+AM293*AM261+AN293*AN261+AO293*AO261+AP293*AP261+AQ293*AQ261+AR293*AR261+AS293*AS261+AT293*AT261+AU293*AU261+AV293*AV261+AW293*AW261+AX293*AX261+AY293*AY261+AZ293*AZ261+BA293*BA261+BB293*BB261+BC293*BC261+BD293*BD261+BE293*BE261+BF293*BF261+BG293*BG261+BH293*BH261+BI293*BI261+BJ293*BJ261+BK293*BK261+BL293*BL261+BM293*BM261+BN293*BN261+BO293*BO261+BP293*BP261+BQ293*BQ261+BR293*BR261+BS293*BS261+BT293*BT261+BU293*BU261+BV293*BV261+BW293*BW261+BX293*BX261+BY293*BY261+BZ293*BZ261+CA293*CA261+CB293*CB261+CC293*CC261+CD293*CD261+CE293*CE261+CF293*CF261+CG293*CG261+CH293*CH261+CI293*CI261+CJ293*CJ261+CK293*CK261+CL293*CL261+CM293*CM261+CN293*CN261+CO293*CO261+CP293*CP261+CQ293*CQ261+CR293*CR261+CS293*CS261+CT293*CT261+CU293*CU261</f>
        <v>0</v>
      </c>
      <c r="DE261" s="2840">
        <f>E294*E261+F294*F261+G294*G261+H294*H261+I294*I261+J294*J261+K294*K261+L294*L261+M294*M261+N294*N261+O294*O261+P294*P261+Q294*Q261+R294*R261+S294*S261+T294*T261+U294*U261+V294*V261+W294*W261+X294*X261+Y294*Y261+Z294*Z261+AA294*AA261+AB294*AB261+AC294*AC261+AD294*AD261+AE294*AE261+AF294*AF261+AG294*AG261+AH294*AH261+AI294*AI261+AJ294*AJ261+AK294*AK261+AL294*AL261+AM294*AM261+AN294*AN261+AO294*AO261+AP294*AP261+AQ294*AQ261+AR294*AR261+AS294*AS261+AT294*AT261+AU294*AU261+AV294*AV261+AW294*AW261+AX294*AX261+AY294*AY261+AZ294*AZ261+BA294*BA261+BB294*BB261+BC294*BC261+BD294*BD261+BE294*BE261+BF294*BF261+BG294*BG261+BH294*BH261+BI294*BI261+BJ294*BJ261+BK294*BK261+BL294*BL261+BM294*BM261+BN294*BN261+BO294*BO261+BP294*BP261+BQ294*BQ261+BR294*BR261+BS294*BS261+BT294*BT261+BU294*BU261+BV294*BV261+BW294*BW261+BX294*BX261+BY294*BY261+BZ294*BZ261+CA294*CA261+CB294*CB261+CC294*CC261+CD294*CD261+CE294*CE261+CF294*CF261+CG294*CG261+CH294*CH261+CI294*CI261+CJ294*CJ261+CK294*CK261+CL294*CL261+CM294*CM261+CN294*CN261+CO294*CO261+CP294*CP261+CQ294*CQ261+CR294*CR261+CS294*CS261+CT294*CT261+CU294*CU261</f>
        <v>0</v>
      </c>
      <c r="DF261" s="2840">
        <f>E295*E261+F295*F261+G295*G261+H295*H261+I295*I261+J295*J261+K295*K261+L295*L261+M295*M261+N295*N261+O295*O261+P295*P261+Q295*Q261+R295*R261+S295*S261+T295*T261+U295*U261+V295*V261+W295*W261+X295*X261+Y295*Y261+Z295*Z261+AA295*AA261+AB295*AB261+AC295*AC261+AD295*AD261+AE295*AE261+AF295*AF261+AG295*AG261+AH295*AH261+AI295*AI261+AJ295*AJ261+AK295*AK261+AL295*AL261+AM295*AM261+AN295*AN261+AO295*AO261+AP295*AP261+AQ295*AQ261+AR295*AR261+AS295*AS261+AT295*AT261+AU295*AU261+AV295*AV261+AW295*AW261+AX295*AX261+AY295*AY261+AZ295*AZ261+BA295*BA261+BB295*BB261+BC295*BC261+BD295*BD261+BE295*BE261+BF295*BF261+BG295*BG261+BH295*BH261+BI295*BI261+BJ295*BJ261+BK295*BK261+BL295*BL261+BM295*BM261+BN295*BN261+BO295*BO261+BP295*BP261+BQ295*BQ261+BR295*BR261+BS295*BS261+BT295*BT261+BU295*BU261+BV295*BV261+BW295*BW261+BX295*BX261+BY295*BY261+BZ295*BZ261+CA295*CA261+CB295*CB261+CC295*CC261+CD295*CD261+CE295*CE261+CF295*CF261+CG295*CG261+CH295*CH261+CI295*CI261+CJ295*CJ261+CK295*CK261+CL295*CL261+CM295*CM261+CN295*CN261+CO295*CO261+CP295*CP261+CQ295*CQ261+CR295*CR261+CS295*CS261+CT295*CT261+CU295*CU261</f>
        <v>0</v>
      </c>
      <c r="DG261" s="2840">
        <f>E296*E261+F296*F261+G296*G261+H296*H261+I296*I261+J296*J261+K296*K261+L296*L261+M296*M261+N296*N261+O296*O261+P296*P261+Q296*Q261+R296*R261+S296*S261+T296*T261+U296*U261+V296*V261+W296*W261+X296*X261+Y296*Y261+Z296*Z261+AA296*AA261+AB296*AB261+AC296*AC261+AD296*AD261+AE296*AE261+AF296*AF261+AG296*AG261+AH296*AH261+AI296*AI261+AJ296*AJ261+AK296*AK261+AL296*AL261+AM296*AM261+AN296*AN261+AO296*AO261+AP296*AP261+AQ296*AQ261+AR296*AR261+AS296*AS261+AT296*AT261+AU296*AU261+AV296*AV261+AW296*AW261+AX296*AX261+AY296*AY261+AZ296*AZ261+BA296*BA261+BB296*BB261+BC296*BC261+BD296*BD261+BE296*BE261+BF296*BF261+BG296*BG261+BH296*BH261+BI296*BI261+BJ296*BJ261+BK296*BK261+BL296*BL261+BM296*BM261+BN296*BN261+BO296*BO261+BP296*BP261+BQ296*BQ261+BR296*BR261+BS296*BS261+BT296*BT261+BU296*BU261+BV296*BV261+BW296*BW261+BX296*BX261+BY296*BY261+BZ296*BZ261+CA296*CA261+CB296*CB261+CC296*CC261+CD296*CD261+CE296*CE261+CF296*CF261+CG296*CG261+CH296*CH261+CI296*CI261+CJ296*CJ261+CK296*CK261+CL296*CL261+CM296*CM261+CN296*CN261+CO296*CO261+CP296*CP261+CQ296*CQ261+CR296*CR261+CS296*CS261+CT296*CT261+CU296*CU261</f>
        <v>0</v>
      </c>
      <c r="DH261" s="2840">
        <f>E297*E261+F297*F261+G297*G261+H297*H261+I297*I261+J297*J261+K297*K261+L297*L261+M297*M261+N297*N261+O297*O261+P297*P261+Q297*Q261+R297*R261+S297*S261+T297*T261+U297*U261+V297*V261+W297*W261+X297*X261+Y297*Y261+Z297*Z261+AA297*AA261+AB297*AB261+AC297*AC261+AD297*AD261+AE297*AE261+AF297*AF261+AG297*AG261+AH297*AH261+AI297*AI261+AJ297*AJ261+AK297*AK261+AL297*AL261+AM297*AM261+AN297*AN261+AO297*AO261+AP297*AP261+AQ297*AQ261+AR297*AR261+AS297*AS261+AT297*AT261+AU297*AU261+AV297*AV261+AW297*AW261+AX297*AX261+AY297*AY261+AZ297*AZ261+BA297*BA261+BB297*BB261+BC297*BC261+BD297*BD261+BE297*BE261+BF297*BF261+BG297*BG261+BH297*BH261+BI297*BI261+BJ297*BJ261+BK297*BK261+BL297*BL261+BM297*BM261+BN297*BN261+BO297*BO261+BP297*BP261+BQ297*BQ261+BR297*BR261+BS297*BS261+BT297*BT261+BU297*BU261+BV297*BV261+BW297*BW261+BX297*BX261+BY297*BY261+BZ297*BZ261+CA297*CA261+CB297*CB261+CC297*CC261+CD297*CD261+CE297*CE261+CF297*CF261+CG297*CG261+CH297*CH261+CI297*CI261+CJ297*CJ261+CK297*CK261+CL297*CL261+CM297*CM261+CN297*CN261+CO297*CO261+CP297*CP261+CQ297*CQ261+CR297*CR261+CS297*CS261+CT297*CT261+CU297*CU261</f>
        <v>0</v>
      </c>
      <c r="DI261" s="2840">
        <f>E298*E261+F298*F261+G298*G261+H298*H261+I298*I261+J298*J261+K298*K261+L298*L261+M298*M261+N298*N261+O298*O261+P298*P261+Q298*Q261+R298*R261+S298*S261+T298*T261+U298*U261+V298*V261+W298*W261+X298*X261+Y298*Y261+Z298*Z261+AA298*AA261+AB298*AB261+AC298*AC261+AD298*AD261+AE298*AE261+AF298*AF261+AG298*AG261+AH298*AH261+AI298*AI261+AJ298*AJ261+AK298*AK261+AL298*AL261+AM298*AM261+AN298*AN261+AO298*AO261+AP298*AP261+AQ298*AQ261+AR298*AR261+AS298*AS261+AT298*AT261+AU298*AU261+AV298*AV261+AW298*AW261+AX298*AX261+AY298*AY261+AZ298*AZ261+BA298*BA261+BB298*BB261+BC298*BC261+BD298*BD261+BE298*BE261+BF298*BF261+BG298*BG261+BH298*BH261+BI298*BI261+BJ298*BJ261+BK298*BK261+BL298*BL261+BM298*BM261+BN298*BN261+BO298*BO261+BP298*BP261+BQ298*BQ261+BR298*BR261+BS298*BS261+BT298*BT261+BU298*BU261+BV298*BV261+BW298*BW261+BX298*BX261+BY298*BY261+BZ298*BZ261+CA298*CA261+CB298*CB261+CC298*CC261+CD298*CD261+CE298*CE261+CF298*CF261+CG298*CG261+CH298*CH261+CI298*CI261+CJ298*CJ261+CK298*CK261+CL298*CL261+CM298*CM261+CN298*CN261+CO298*CO261+CP298*CP261+CQ298*CQ261+CR298*CR261+CS298*CS261+CT298*CT261+CU298*CU261</f>
        <v>0</v>
      </c>
    </row>
    <row r="262" spans="2:113" ht="18" x14ac:dyDescent="0.25">
      <c r="B262" s="2519">
        <v>109</v>
      </c>
      <c r="C262" s="2468" t="s">
        <v>3324</v>
      </c>
      <c r="D262" s="2469" t="s">
        <v>1123</v>
      </c>
      <c r="E262" s="3132">
        <f>0</f>
        <v>0</v>
      </c>
      <c r="F262" s="3132">
        <f>0</f>
        <v>0</v>
      </c>
      <c r="G262" s="3132">
        <f>0</f>
        <v>0</v>
      </c>
      <c r="H262" s="3132">
        <f>0</f>
        <v>0</v>
      </c>
      <c r="I262" s="3132">
        <f>0</f>
        <v>0</v>
      </c>
      <c r="J262" s="3145">
        <f>0</f>
        <v>0</v>
      </c>
      <c r="K262" s="3132">
        <f>0</f>
        <v>0</v>
      </c>
      <c r="L262" s="3132">
        <f>0</f>
        <v>0</v>
      </c>
      <c r="M262" s="3132">
        <f>0</f>
        <v>0</v>
      </c>
      <c r="N262" s="3132">
        <f>0</f>
        <v>0</v>
      </c>
      <c r="O262" s="3132">
        <f>0</f>
        <v>0</v>
      </c>
      <c r="P262" s="3132">
        <f>0</f>
        <v>0</v>
      </c>
      <c r="Q262" s="3132">
        <f>0</f>
        <v>0</v>
      </c>
      <c r="R262" s="3156">
        <f>0</f>
        <v>0</v>
      </c>
      <c r="S262" s="3132">
        <f>0</f>
        <v>0</v>
      </c>
      <c r="T262" s="3132">
        <f>0</f>
        <v>0</v>
      </c>
      <c r="U262" s="3132">
        <f>0</f>
        <v>0</v>
      </c>
      <c r="V262" s="3132">
        <f>0</f>
        <v>0</v>
      </c>
      <c r="W262" s="3132">
        <f>0</f>
        <v>0</v>
      </c>
      <c r="X262" s="3132">
        <f>0</f>
        <v>0</v>
      </c>
      <c r="Y262" s="3132">
        <f>0</f>
        <v>0</v>
      </c>
      <c r="Z262" s="3132">
        <f>0</f>
        <v>0</v>
      </c>
      <c r="AA262" s="3132">
        <f>0</f>
        <v>0</v>
      </c>
      <c r="AB262" s="3132">
        <f>0</f>
        <v>0</v>
      </c>
      <c r="AC262" s="3132">
        <f>0</f>
        <v>0</v>
      </c>
      <c r="AD262" s="3156">
        <f>0</f>
        <v>0</v>
      </c>
      <c r="AE262" s="3132">
        <f>0</f>
        <v>0</v>
      </c>
      <c r="AF262" s="3132">
        <f>0</f>
        <v>0</v>
      </c>
      <c r="AG262" s="3132">
        <f>0</f>
        <v>0</v>
      </c>
      <c r="AH262" s="3132">
        <f>0</f>
        <v>0</v>
      </c>
      <c r="AI262" s="3132">
        <f>0</f>
        <v>0</v>
      </c>
      <c r="AJ262" s="3145">
        <f>0</f>
        <v>0</v>
      </c>
      <c r="AK262" s="3132">
        <f>0</f>
        <v>0</v>
      </c>
      <c r="AL262" s="3156">
        <f>-2*A_MP/M_MVivi</f>
        <v>-0.1234998580474381</v>
      </c>
      <c r="AM262" s="3132">
        <f>0</f>
        <v>0</v>
      </c>
      <c r="AN262" s="3132">
        <f>0</f>
        <v>0</v>
      </c>
      <c r="AO262" s="3132">
        <f>0</f>
        <v>0</v>
      </c>
      <c r="AP262" s="3145">
        <f>0</f>
        <v>0</v>
      </c>
      <c r="AQ262" s="3132">
        <f>0</f>
        <v>0</v>
      </c>
      <c r="AR262" s="3132">
        <f>0</f>
        <v>0</v>
      </c>
      <c r="AS262" s="3132">
        <f>0</f>
        <v>0</v>
      </c>
      <c r="AT262" s="3132">
        <f>0</f>
        <v>0</v>
      </c>
      <c r="AU262" s="3132">
        <f>0</f>
        <v>0</v>
      </c>
      <c r="AV262" s="3132">
        <f>0</f>
        <v>0</v>
      </c>
      <c r="AW262" s="3132">
        <f>0</f>
        <v>0</v>
      </c>
      <c r="AX262" s="3132">
        <f>0</f>
        <v>0</v>
      </c>
      <c r="AY262" s="3132">
        <f>0</f>
        <v>0</v>
      </c>
      <c r="AZ262" s="3156">
        <f>0</f>
        <v>0</v>
      </c>
      <c r="BA262" s="3132">
        <f>0</f>
        <v>0</v>
      </c>
      <c r="BB262" s="3132">
        <f>0</f>
        <v>0</v>
      </c>
      <c r="BC262" s="3132">
        <f>0</f>
        <v>0</v>
      </c>
      <c r="BD262" s="3132">
        <f>0</f>
        <v>0</v>
      </c>
      <c r="BE262" s="3156">
        <f>-3*A_MFe/M_MVivi</f>
        <v>-0.33400121987727954</v>
      </c>
      <c r="BF262" s="3132">
        <f>0</f>
        <v>0</v>
      </c>
      <c r="BG262" s="3132">
        <f>0</f>
        <v>0</v>
      </c>
      <c r="BH262" s="3156">
        <f>0</f>
        <v>0</v>
      </c>
      <c r="BI262" s="3156">
        <f>0</f>
        <v>0</v>
      </c>
      <c r="BJ262" s="3132">
        <f>0</f>
        <v>0</v>
      </c>
      <c r="BK262" s="3156">
        <f>0</f>
        <v>0</v>
      </c>
      <c r="BL262" s="3156">
        <f>0</f>
        <v>0</v>
      </c>
      <c r="BM262" s="3132">
        <f>0</f>
        <v>0</v>
      </c>
      <c r="BN262" s="3132">
        <f>0</f>
        <v>0</v>
      </c>
      <c r="BO262" s="3156">
        <f>0</f>
        <v>0</v>
      </c>
      <c r="BP262" s="3156">
        <f>0</f>
        <v>0</v>
      </c>
      <c r="BQ262" s="3132">
        <f>0</f>
        <v>0</v>
      </c>
      <c r="BR262" s="3156">
        <f>0</f>
        <v>0</v>
      </c>
      <c r="BS262" s="3156">
        <f>0</f>
        <v>0</v>
      </c>
      <c r="BT262" s="3156">
        <f>0</f>
        <v>0</v>
      </c>
      <c r="BU262" s="3156">
        <f>0</f>
        <v>0</v>
      </c>
      <c r="BV262" s="3156">
        <f>0</f>
        <v>0</v>
      </c>
      <c r="BW262" s="3156">
        <f>0</f>
        <v>0</v>
      </c>
      <c r="BX262" s="3156">
        <f>1</f>
        <v>1</v>
      </c>
      <c r="BY262" s="3156">
        <f>0</f>
        <v>0</v>
      </c>
      <c r="BZ262" s="3209">
        <f>0</f>
        <v>0</v>
      </c>
      <c r="CA262" s="3209">
        <f>0</f>
        <v>0</v>
      </c>
      <c r="CB262" s="3209">
        <f>0</f>
        <v>0</v>
      </c>
      <c r="CC262" s="3209">
        <f>0</f>
        <v>0</v>
      </c>
      <c r="CD262" s="3156">
        <f>0</f>
        <v>0</v>
      </c>
      <c r="CE262" s="3156">
        <f>0</f>
        <v>0</v>
      </c>
      <c r="CF262" s="3156">
        <f>0</f>
        <v>0</v>
      </c>
      <c r="CG262" s="3156">
        <f>0</f>
        <v>0</v>
      </c>
      <c r="CH262" s="3156">
        <f>0</f>
        <v>0</v>
      </c>
      <c r="CI262" s="3156">
        <f>0</f>
        <v>0</v>
      </c>
      <c r="CJ262" s="3156">
        <f>0</f>
        <v>0</v>
      </c>
      <c r="CK262" s="3156">
        <f>0</f>
        <v>0</v>
      </c>
      <c r="CL262" s="3156">
        <f>0</f>
        <v>0</v>
      </c>
      <c r="CM262" s="3156">
        <f>0</f>
        <v>0</v>
      </c>
      <c r="CN262" s="3156">
        <f>0</f>
        <v>0</v>
      </c>
      <c r="CO262" s="3156">
        <f>0</f>
        <v>0</v>
      </c>
      <c r="CP262" s="3156">
        <f>0</f>
        <v>0</v>
      </c>
      <c r="CQ262" s="3156">
        <f>0</f>
        <v>0</v>
      </c>
      <c r="CR262" s="3156">
        <f>0</f>
        <v>0</v>
      </c>
      <c r="CS262" s="3156">
        <f>0</f>
        <v>0</v>
      </c>
      <c r="CT262" s="3156">
        <f>0</f>
        <v>0</v>
      </c>
      <c r="CU262" s="3156">
        <f>0</f>
        <v>0</v>
      </c>
      <c r="CV262" s="3236">
        <f>q_Vivi*P_recipDrivingForceVivi^2</f>
        <v>0</v>
      </c>
      <c r="CX262" s="2838">
        <f>E287*E262+F287*F262+G287*G262+H287*H262+I287*I262+J287*J262+K287*K262+L287*L262+M287*M262+N287*N262+O287*O262+P287*P262+Q287*Q262+R287*R262+S287*S262+T287*T262+U287*U262+V287*V262+W287*W262+X287*X262+Y287*Y262+Z287*Z262+AA287*AA262+AB287*AB262+AC287*AC262+AD287*AD262+AE287*AE262+AF287*AF262+AG287*AG262+AH287*AH262+AI287*AI262+AJ287*AJ262+AK287*AK262+AL287*AL262+AM287*AM262+AN287*AN262+AO287*AO262+AP287*AP262+AQ287*AQ262+AR287*AR262+AS287*AS262+AT287*AT262+AU287*AU262+AV287*AV262+AW287*AW262+AX287*AX262+AY287*AY262+AZ287*AZ262+BA287*BA262+BB287*BB262+BC287*BC262+BD287*BD262+BE287*BE262+BF287*BF262+BG287*BG262+BH287*BH262+BI287*BI262+BJ287*BJ262+BK287*BK262+BL287*BL262+BM287*BM262+BN287*BN262+BO287*BO262+BP287*BP262+BQ287*BQ262+BR287*BR262+BS287*BS262+BT287*BT262+BU287*BU262+BV287*BV262+BW287*BW262+BX287*BX262+BY287*BY262+BZ287*BZ262+CA287*CA262+CB287*CB262+CC287*CC262+CD287*CD262+CE287*CE262+CF287*CF262+CG287*CG262+CH287*CH262+CI287*CI262+CJ287*CJ262+CK287*CK262+CL287*CL262+CM287*CM262+CN287*CN262+CO287*CO262+CP287*CP262+CQ287*CQ262+CR287*CR262+CS287*CS262+CT287*CT262+CU287*CU262</f>
        <v>0</v>
      </c>
      <c r="CY262" s="2838">
        <f>E288*E262+F288*F262+G288*G262+H288*H262+I288*I262+J288*J262+K288*K262+L288*L262+M288*M262+N288*N262+O288*O262+P288*P262+Q288*Q262+R288*R262+S288*S262+T288*T262+U288*U262+V288*V262+W288*W262+X288*X262+Y288*Y262+Z288*Z262+AA288*AA262+AB288*AB262+AC288*AC262+AD288*AD262+AE288*AE262+AF288*AF262+AG288*AG262+AH288*AH262+AI288*AI262+AJ288*AJ262+AK288*AK262+AL288*AL262+AM288*AM262+AN288*AN262+AO288*AO262+AP288*AP262+AQ288*AQ262+AR288*AR262+AS288*AS262+AT288*AT262+AU288*AU262+AV288*AV262+AW288*AW262+AX288*AX262+AY288*AY262+AZ288*AZ262+BA288*BA262+BB288*BB262+BC288*BC262+BD288*BD262+BE288*BE262+BF288*BF262+BG288*BG262+BH288*BH262+BI288*BI262+BJ288*BJ262+BK288*BK262+BL288*BL262+BM288*BM262+BN288*BN262+BO288*BO262+BP288*BP262+BQ288*BQ262+BR288*BR262+BS288*BS262+BT288*BT262+BU288*BU262+BV288*BV262+BW288*BW262+BX288*BX262+BY288*BY262+BZ288*BZ262+CA288*CA262+CB288*CB262+CC288*CC262+CD288*CD262+CE288*CE262+CF288*CF262+CG288*CG262+CH288*CH262+CI288*CI262+CJ288*CJ262+CK288*CK262+CL288*CL262+CM288*CM262+CN288*CN262+CO288*CO262+CP288*CP262+CQ288*CQ262+CR288*CR262+CS288*CS262+CT288*CT262+CU288*CU262</f>
        <v>0</v>
      </c>
      <c r="CZ262" s="2839">
        <f>E289*E262+F289*F262+G289*G262+H289*H262+I289*I262+J289*J262+K289*K262+L289*L262+M289*M262+N289*N262+O289*O262+P289*P262+Q289*Q262+R289*R262+S289*S262+T289*T262+U289*U262+V289*V262+W289*W262+X289*X262+Y289*Y262+Z289*Z262+AA289*AA262+AB289*AB262+AC289*AC262+AD289*AD262+AE289*AE262+AF289*AF262+AG289*AG262+AH289*AH262+AI289*AI262+AJ289*AJ262+AK289*AK262+AL289*AL262+AM289*AM262+AN289*AN262+AO289*AO262+AP289*AP262+AQ289*AQ262+AR289*AR262+AS289*AS262+AT289*AT262+AU289*AU262+AV289*AV262+AW289*AW262+AX289*AX262+AY289*AY262+AZ289*AZ262+BA289*BA262+BB289*BB262+BC289*BC262+BD289*BD262+BE289*BE262+BF289*BF262+BG289*BG262+BH289*BH262+BI289*BI262+BJ289*BJ262+BK289*BK262+BL289*BL262+BM289*BM262+BN289*BN262+BO289*BO262+BP289*BP262+BQ289*BQ262+BR289*BR262+BS289*BS262+BT289*BT262+BU289*BU262+BV289*BV262+BW289*BW262+BX289*BX262+BY289*BY262+BZ289*BZ262+CA289*CA262+CB289*CB262+CC289*CC262+CD289*CD262+CE289*CE262+CF289*CF262+CG289*CG262+CH289*CH262+CI289*CI262+CJ289*CJ262+CK289*CK262+CL289*CL262+CM289*CM262+CN289*CN262+CO289*CO262+CP289*CP262+CQ289*CQ262+CR289*CR262+CS289*CS262+CT289*CT262+CU289*CU262</f>
        <v>0</v>
      </c>
      <c r="DA262" s="2840">
        <f>E290*E262+F290*F262+G290*G262+H290*H262+I290*I262+J290*J262+K290*K262+L290*L262+M290*M262+N290*N262+O290*O262+P290*P262+Q290*Q262+R290*R262+S290*S262+T290*T262+U290*U262+V290*V262+W290*W262+X290*X262+Y290*Y262+Z290*Z262+AA290*AA262+AB290*AB262+AC290*AC262+AD290*AD262+AE290*AE262+AF290*AF262+AG290*AG262+AH290*AH262+AI290*AI262+AJ290*AJ262+AK290*AK262+AL290*AL262+AM290*AM262+AN290*AN262+AO290*AO262+AP290*AP262+AQ290*AQ262+AR290*AR262+AS290*AS262+AT290*AT262+AU290*AU262+AV290*AV262+AW290*AW262+AX290*AX262+AY290*AY262+AZ290*AZ262+BA290*BA262+BB290*BB262+BC290*BC262+BD290*BD262+BE290*BE262+BF290*BF262+BG290*BG262+BH290*BH262+BI290*BI262+BJ290*BJ262+BK290*BK262+BL290*BL262+BM290*BM262+BN290*BN262+BO290*BO262+BP290*BP262+BQ290*BQ262+BR290*BR262+BS290*BS262+BT290*BT262+BU290*BU262+BV290*BV262+BW290*BW262+BX290*BX262+BY290*BY262+BZ290*BZ262+CA290*CA262+CB290*CB262+CC290*CC262+CD290*CD262+CE290*CE262+CF290*CF262+CG290*CG262+CH290*CH262+CI290*CI262+CJ290*CJ262+CK290*CK262+CL290*CL262+CM290*CM262+CN290*CN262+CO290*CO262+CP290*CP262+CQ290*CQ262+CR290*CR262+CS290*CS262+CT290*CT262+CU290*CU262</f>
        <v>0</v>
      </c>
      <c r="DB262" s="2840">
        <f>E291*E262+F291*F262+G291*G262+H291*H262+I291*I262+J291*J262+K291*K262+L291*L262+M291*M262+N291*N262+O291*O262+P291*P262+Q291*Q262+R291*R262+S291*S262+T291*T262+U291*U262+V291*V262+W291*W262+X291*X262+Y291*Y262+Z291*Z262+AA291*AA262+AB291*AB262+AC291*AC262+AD291*AD262+AE291*AE262+AF291*AF262+AG291*AG262+AH291*AH262+AI291*AI262+AJ291*AJ262+AK291*AK262+AL291*AL262+AM291*AM262+AN291*AN262+AO291*AO262+AP291*AP262+AQ291*AQ262+AR291*AR262+AS291*AS262+AT291*AT262+AU291*AU262+AV291*AV262+AW291*AW262+AX291*AX262+AY291*AY262+AZ291*AZ262+BA291*BA262+BB291*BB262+BC291*BC262+BD291*BD262+BE291*BE262+BF291*BF262+BG291*BG262+BH291*BH262+BI291*BI262+BJ291*BJ262+BK291*BK262+BL291*BL262+BM291*BM262+BN291*BN262+BO291*BO262+BP291*BP262+BQ291*BQ262+BR291*BR262+BS291*BS262+BT291*BT262+BU291*BU262+BV291*BV262+BW291*BW262+BX291*BX262+BY291*BY262+BZ291*BZ262+CA291*CA262+CB291*CB262+CC291*CC262+CD291*CD262+CE291*CE262+CF291*CF262+CG291*CG262+CH291*CH262+CI291*CI262+CJ291*CJ262+CK291*CK262+CL291*CL262+CM291*CM262+CN291*CN262+CO291*CO262+CP291*CP262+CQ291*CQ262+CR291*CR262+CS291*CS262+CT291*CT262+CU291*CU262</f>
        <v>0</v>
      </c>
      <c r="DC262" s="2840">
        <f>E292*E262+F292*F262+G292*G262+H292*H262+I292*I262+J292*J262+K292*K262+L292*L262+M292*M262+N292*N262+O292*O262+P292*P262+Q292*Q262+R292*R262+S292*S262+T292*T262+U292*U262+V292*V262+W292*W262+X292*X262+Y292*Y262+Z292*Z262+AA292*AA262+AB292*AB262+AC292*AC262+AD292*AD262+AE292*AE262+AF292*AF262+AG292*AG262+AH292*AH262+AI292*AI262+AJ292*AJ262+AK292*AK262+AL292*AL262+AM292*AM262+AN292*AN262+AO292*AO262+AP292*AP262+AQ292*AQ262+AR292*AR262+AS292*AS262+AT292*AT262+AU292*AU262+AV292*AV262+AW292*AW262+AX292*AX262+AY292*AY262+AZ292*AZ262+BA292*BA262+BB292*BB262+BC292*BC262+BD292*BD262+BE292*BE262+BF292*BF262+BG292*BG262+BH292*BH262+BI292*BI262+BJ292*BJ262+BK292*BK262+BL292*BL262+BM292*BM262+BN292*BN262+BO292*BO262+BP292*BP262+BQ292*BQ262+BR292*BR262+BS292*BS262+BT292*BT262+BU292*BU262+BV292*BV262+BW292*BW262+BX292*BX262+BY292*BY262+BZ292*BZ262+CA292*CA262+CB292*CB262+CC292*CC262+CD292*CD262+CE292*CE262+CF292*CF262+CG292*CG262+CH292*CH262+CI292*CI262+CJ292*CJ262+CK292*CK262+CL292*CL262+CM292*CM262+CN292*CN262+CO292*CO262+CP292*CP262+CQ292*CQ262+CR292*CR262+CS292*CS262+CT292*CT262+CU292*CU262</f>
        <v>0</v>
      </c>
      <c r="DD262" s="2840">
        <f>E293*E262+F293*F262+G293*G262+H293*H262+I293*I262+J293*J262+K293*K262+L293*L262+M293*M262+N293*N262+O293*O262+P293*P262+Q293*Q262+R293*R262+S293*S262+T293*T262+U293*U262+V293*V262+W293*W262+X293*X262+Y293*Y262+Z293*Z262+AA293*AA262+AB293*AB262+AC293*AC262+AD293*AD262+AE293*AE262+AF293*AF262+AG293*AG262+AH293*AH262+AI293*AI262+AJ293*AJ262+AK293*AK262+AL293*AL262+AM293*AM262+AN293*AN262+AO293*AO262+AP293*AP262+AQ293*AQ262+AR293*AR262+AS293*AS262+AT293*AT262+AU293*AU262+AV293*AV262+AW293*AW262+AX293*AX262+AY293*AY262+AZ293*AZ262+BA293*BA262+BB293*BB262+BC293*BC262+BD293*BD262+BE293*BE262+BF293*BF262+BG293*BG262+BH293*BH262+BI293*BI262+BJ293*BJ262+BK293*BK262+BL293*BL262+BM293*BM262+BN293*BN262+BO293*BO262+BP293*BP262+BQ293*BQ262+BR293*BR262+BS293*BS262+BT293*BT262+BU293*BU262+BV293*BV262+BW293*BW262+BX293*BX262+BY293*BY262+BZ293*BZ262+CA293*CA262+CB293*CB262+CC293*CC262+CD293*CD262+CE293*CE262+CF293*CF262+CG293*CG262+CH293*CH262+CI293*CI262+CJ293*CJ262+CK293*CK262+CL293*CL262+CM293*CM262+CN293*CN262+CO293*CO262+CP293*CP262+CQ293*CQ262+CR293*CR262+CS293*CS262+CT293*CT262+CU293*CU262</f>
        <v>0</v>
      </c>
      <c r="DE262" s="2840">
        <f>E294*E262+F294*F262+G294*G262+H294*H262+I294*I262+J294*J262+K294*K262+L294*L262+M294*M262+N294*N262+O294*O262+P294*P262+Q294*Q262+R294*R262+S294*S262+T294*T262+U294*U262+V294*V262+W294*W262+X294*X262+Y294*Y262+Z294*Z262+AA294*AA262+AB294*AB262+AC294*AC262+AD294*AD262+AE294*AE262+AF294*AF262+AG294*AG262+AH294*AH262+AI294*AI262+AJ294*AJ262+AK294*AK262+AL294*AL262+AM294*AM262+AN294*AN262+AO294*AO262+AP294*AP262+AQ294*AQ262+AR294*AR262+AS294*AS262+AT294*AT262+AU294*AU262+AV294*AV262+AW294*AW262+AX294*AX262+AY294*AY262+AZ294*AZ262+BA294*BA262+BB294*BB262+BC294*BC262+BD294*BD262+BE294*BE262+BF294*BF262+BG294*BG262+BH294*BH262+BI294*BI262+BJ294*BJ262+BK294*BK262+BL294*BL262+BM294*BM262+BN294*BN262+BO294*BO262+BP294*BP262+BQ294*BQ262+BR294*BR262+BS294*BS262+BT294*BT262+BU294*BU262+BV294*BV262+BW294*BW262+BX294*BX262+BY294*BY262+BZ294*BZ262+CA294*CA262+CB294*CB262+CC294*CC262+CD294*CD262+CE294*CE262+CF294*CF262+CG294*CG262+CH294*CH262+CI294*CI262+CJ294*CJ262+CK294*CK262+CL294*CL262+CM294*CM262+CN294*CN262+CO294*CO262+CP294*CP262+CQ294*CQ262+CR294*CR262+CS294*CS262+CT294*CT262+CU294*CU262</f>
        <v>0</v>
      </c>
      <c r="DF262" s="2840">
        <f>E295*E262+F295*F262+G295*G262+H295*H262+I295*I262+J295*J262+K295*K262+L295*L262+M295*M262+N295*N262+O295*O262+P295*P262+Q295*Q262+R295*R262+S295*S262+T295*T262+U295*U262+V295*V262+W295*W262+X295*X262+Y295*Y262+Z295*Z262+AA295*AA262+AB295*AB262+AC295*AC262+AD295*AD262+AE295*AE262+AF295*AF262+AG295*AG262+AH295*AH262+AI295*AI262+AJ295*AJ262+AK295*AK262+AL295*AL262+AM295*AM262+AN295*AN262+AO295*AO262+AP295*AP262+AQ295*AQ262+AR295*AR262+AS295*AS262+AT295*AT262+AU295*AU262+AV295*AV262+AW295*AW262+AX295*AX262+AY295*AY262+AZ295*AZ262+BA295*BA262+BB295*BB262+BC295*BC262+BD295*BD262+BE295*BE262+BF295*BF262+BG295*BG262+BH295*BH262+BI295*BI262+BJ295*BJ262+BK295*BK262+BL295*BL262+BM295*BM262+BN295*BN262+BO295*BO262+BP295*BP262+BQ295*BQ262+BR295*BR262+BS295*BS262+BT295*BT262+BU295*BU262+BV295*BV262+BW295*BW262+BX295*BX262+BY295*BY262+BZ295*BZ262+CA295*CA262+CB295*CB262+CC295*CC262+CD295*CD262+CE295*CE262+CF295*CF262+CG295*CG262+CH295*CH262+CI295*CI262+CJ295*CJ262+CK295*CK262+CL295*CL262+CM295*CM262+CN295*CN262+CO295*CO262+CP295*CP262+CQ295*CQ262+CR295*CR262+CS295*CS262+CT295*CT262+CU295*CU262</f>
        <v>0</v>
      </c>
      <c r="DG262" s="2840">
        <f>E296*E262+F296*F262+G296*G262+H296*H262+I296*I262+J296*J262+K296*K262+L296*L262+M296*M262+N296*N262+O296*O262+P296*P262+Q296*Q262+R296*R262+S296*S262+T296*T262+U296*U262+V296*V262+W296*W262+X296*X262+Y296*Y262+Z296*Z262+AA296*AA262+AB296*AB262+AC296*AC262+AD296*AD262+AE296*AE262+AF296*AF262+AG296*AG262+AH296*AH262+AI296*AI262+AJ296*AJ262+AK296*AK262+AL296*AL262+AM296*AM262+AN296*AN262+AO296*AO262+AP296*AP262+AQ296*AQ262+AR296*AR262+AS296*AS262+AT296*AT262+AU296*AU262+AV296*AV262+AW296*AW262+AX296*AX262+AY296*AY262+AZ296*AZ262+BA296*BA262+BB296*BB262+BC296*BC262+BD296*BD262+BE296*BE262+BF296*BF262+BG296*BG262+BH296*BH262+BI296*BI262+BJ296*BJ262+BK296*BK262+BL296*BL262+BM296*BM262+BN296*BN262+BO296*BO262+BP296*BP262+BQ296*BQ262+BR296*BR262+BS296*BS262+BT296*BT262+BU296*BU262+BV296*BV262+BW296*BW262+BX296*BX262+BY296*BY262+BZ296*BZ262+CA296*CA262+CB296*CB262+CC296*CC262+CD296*CD262+CE296*CE262+CF296*CF262+CG296*CG262+CH296*CH262+CI296*CI262+CJ296*CJ262+CK296*CK262+CL296*CL262+CM296*CM262+CN296*CN262+CO296*CO262+CP296*CP262+CQ296*CQ262+CR296*CR262+CS296*CS262+CT296*CT262+CU296*CU262</f>
        <v>0</v>
      </c>
      <c r="DH262" s="2840">
        <f>E297*E262+F297*F262+G297*G262+H297*H262+I297*I262+J297*J262+K297*K262+L297*L262+M297*M262+N297*N262+O297*O262+P297*P262+Q297*Q262+R297*R262+S297*S262+T297*T262+U297*U262+V297*V262+W297*W262+X297*X262+Y297*Y262+Z297*Z262+AA297*AA262+AB297*AB262+AC297*AC262+AD297*AD262+AE297*AE262+AF297*AF262+AG297*AG262+AH297*AH262+AI297*AI262+AJ297*AJ262+AK297*AK262+AL297*AL262+AM297*AM262+AN297*AN262+AO297*AO262+AP297*AP262+AQ297*AQ262+AR297*AR262+AS297*AS262+AT297*AT262+AU297*AU262+AV297*AV262+AW297*AW262+AX297*AX262+AY297*AY262+AZ297*AZ262+BA297*BA262+BB297*BB262+BC297*BC262+BD297*BD262+BE297*BE262+BF297*BF262+BG297*BG262+BH297*BH262+BI297*BI262+BJ297*BJ262+BK297*BK262+BL297*BL262+BM297*BM262+BN297*BN262+BO297*BO262+BP297*BP262+BQ297*BQ262+BR297*BR262+BS297*BS262+BT297*BT262+BU297*BU262+BV297*BV262+BW297*BW262+BX297*BX262+BY297*BY262+BZ297*BZ262+CA297*CA262+CB297*CB262+CC297*CC262+CD297*CD262+CE297*CE262+CF297*CF262+CG297*CG262+CH297*CH262+CI297*CI262+CJ297*CJ262+CK297*CK262+CL297*CL262+CM297*CM262+CN297*CN262+CO297*CO262+CP297*CP262+CQ297*CQ262+CR297*CR262+CS297*CS262+CT297*CT262+CU297*CU262</f>
        <v>0</v>
      </c>
      <c r="DI262" s="2840">
        <f>E298*E262+F298*F262+G298*G262+H298*H262+I298*I262+J298*J262+K298*K262+L298*L262+M298*M262+N298*N262+O298*O262+P298*P262+Q298*Q262+R298*R262+S298*S262+T298*T262+U298*U262+V298*V262+W298*W262+X298*X262+Y298*Y262+Z298*Z262+AA298*AA262+AB298*AB262+AC298*AC262+AD298*AD262+AE298*AE262+AF298*AF262+AG298*AG262+AH298*AH262+AI298*AI262+AJ298*AJ262+AK298*AK262+AL298*AL262+AM298*AM262+AN298*AN262+AO298*AO262+AP298*AP262+AQ298*AQ262+AR298*AR262+AS298*AS262+AT298*AT262+AU298*AU262+AV298*AV262+AW298*AW262+AX298*AX262+AY298*AY262+AZ298*AZ262+BA298*BA262+BB298*BB262+BC298*BC262+BD298*BD262+BE298*BE262+BF298*BF262+BG298*BG262+BH298*BH262+BI298*BI262+BJ298*BJ262+BK298*BK262+BL298*BL262+BM298*BM262+BN298*BN262+BO298*BO262+BP298*BP262+BQ298*BQ262+BR298*BR262+BS298*BS262+BT298*BT262+BU298*BU262+BV298*BV262+BW298*BW262+BX298*BX262+BY298*BY262+BZ298*BZ262+CA298*CA262+CB298*CB262+CC298*CC262+CD298*CD262+CE298*CE262+CF298*CF262+CG298*CG262+CH298*CH262+CI298*CI262+CJ298*CJ262+CK298*CK262+CL298*CL262+CM298*CM262+CN298*CN262+CO298*CO262+CP298*CP262+CQ298*CQ262+CR298*CR262+CS298*CS262+CT298*CT262+CU298*CU262</f>
        <v>0</v>
      </c>
    </row>
    <row r="263" spans="2:113" ht="18" x14ac:dyDescent="0.25">
      <c r="B263" s="2519">
        <v>110</v>
      </c>
      <c r="C263" s="2468" t="s">
        <v>3635</v>
      </c>
      <c r="D263" s="2469" t="s">
        <v>3293</v>
      </c>
      <c r="E263" s="3132">
        <f>0</f>
        <v>0</v>
      </c>
      <c r="F263" s="3132">
        <f>0</f>
        <v>0</v>
      </c>
      <c r="G263" s="3132">
        <f>0</f>
        <v>0</v>
      </c>
      <c r="H263" s="3132">
        <f>0</f>
        <v>0</v>
      </c>
      <c r="I263" s="3132">
        <f>0</f>
        <v>0</v>
      </c>
      <c r="J263" s="3145">
        <f>0</f>
        <v>0</v>
      </c>
      <c r="K263" s="3132">
        <f>0</f>
        <v>0</v>
      </c>
      <c r="L263" s="3132">
        <f>0</f>
        <v>0</v>
      </c>
      <c r="M263" s="3132">
        <f>0</f>
        <v>0</v>
      </c>
      <c r="N263" s="3132">
        <f>0</f>
        <v>0</v>
      </c>
      <c r="O263" s="3132">
        <f>0</f>
        <v>0</v>
      </c>
      <c r="P263" s="3132">
        <f>0</f>
        <v>0</v>
      </c>
      <c r="Q263" s="3132">
        <f>0</f>
        <v>0</v>
      </c>
      <c r="R263" s="3156">
        <f>0</f>
        <v>0</v>
      </c>
      <c r="S263" s="3132">
        <f>0</f>
        <v>0</v>
      </c>
      <c r="T263" s="3132">
        <f>0</f>
        <v>0</v>
      </c>
      <c r="U263" s="3132">
        <f>0</f>
        <v>0</v>
      </c>
      <c r="V263" s="3132">
        <f>0</f>
        <v>0</v>
      </c>
      <c r="W263" s="3132">
        <f>0</f>
        <v>0</v>
      </c>
      <c r="X263" s="3132">
        <f>0</f>
        <v>0</v>
      </c>
      <c r="Y263" s="3132">
        <f>0</f>
        <v>0</v>
      </c>
      <c r="Z263" s="3132">
        <f>0</f>
        <v>0</v>
      </c>
      <c r="AA263" s="3132">
        <f>0</f>
        <v>0</v>
      </c>
      <c r="AB263" s="3132">
        <f>0</f>
        <v>0</v>
      </c>
      <c r="AC263" s="3132">
        <f>0</f>
        <v>0</v>
      </c>
      <c r="AD263" s="3156">
        <f>0</f>
        <v>0</v>
      </c>
      <c r="AE263" s="3132">
        <f>0</f>
        <v>0</v>
      </c>
      <c r="AF263" s="3132">
        <f>0</f>
        <v>0</v>
      </c>
      <c r="AG263" s="3132">
        <f>0</f>
        <v>0</v>
      </c>
      <c r="AH263" s="3132">
        <f>0</f>
        <v>0</v>
      </c>
      <c r="AI263" s="3132">
        <f>0</f>
        <v>0</v>
      </c>
      <c r="AJ263" s="3145">
        <f>0</f>
        <v>0</v>
      </c>
      <c r="AK263" s="3132">
        <f>0</f>
        <v>0</v>
      </c>
      <c r="AL263" s="3156">
        <f>0</f>
        <v>0</v>
      </c>
      <c r="AM263" s="3132">
        <f>0</f>
        <v>0</v>
      </c>
      <c r="AN263" s="3132">
        <f>0</f>
        <v>0</v>
      </c>
      <c r="AO263" s="3132">
        <f>0</f>
        <v>0</v>
      </c>
      <c r="AP263" s="3145">
        <f>0</f>
        <v>0</v>
      </c>
      <c r="AQ263" s="3132">
        <f>0</f>
        <v>0</v>
      </c>
      <c r="AR263" s="3132">
        <f>0</f>
        <v>0</v>
      </c>
      <c r="AS263" s="3132">
        <f>0</f>
        <v>0</v>
      </c>
      <c r="AT263" s="3132">
        <f>0</f>
        <v>0</v>
      </c>
      <c r="AU263" s="3132">
        <f>0</f>
        <v>0</v>
      </c>
      <c r="AV263" s="3132">
        <f>0</f>
        <v>0</v>
      </c>
      <c r="AW263" s="3132">
        <f>0</f>
        <v>0</v>
      </c>
      <c r="AX263" s="3132">
        <f>0</f>
        <v>0</v>
      </c>
      <c r="AY263" s="3132">
        <f>0</f>
        <v>0</v>
      </c>
      <c r="AZ263" s="3156">
        <f>0</f>
        <v>0</v>
      </c>
      <c r="BA263" s="3132">
        <f>0</f>
        <v>0</v>
      </c>
      <c r="BB263" s="3156">
        <f>-A_MS/M_MFeS</f>
        <v>-0.36474803776589693</v>
      </c>
      <c r="BC263" s="3132">
        <f>0</f>
        <v>0</v>
      </c>
      <c r="BD263" s="3132">
        <f>0</f>
        <v>0</v>
      </c>
      <c r="BE263" s="3156">
        <f>-A_MFe/M_MFeS</f>
        <v>-0.63525196223410307</v>
      </c>
      <c r="BF263" s="3132">
        <f>0</f>
        <v>0</v>
      </c>
      <c r="BG263" s="3132">
        <f>0</f>
        <v>0</v>
      </c>
      <c r="BH263" s="3156">
        <f>0</f>
        <v>0</v>
      </c>
      <c r="BI263" s="3156">
        <f>0</f>
        <v>0</v>
      </c>
      <c r="BJ263" s="3132">
        <f>0</f>
        <v>0</v>
      </c>
      <c r="BK263" s="3156">
        <f>0</f>
        <v>0</v>
      </c>
      <c r="BL263" s="3156">
        <f>0</f>
        <v>0</v>
      </c>
      <c r="BM263" s="3132">
        <f>0</f>
        <v>0</v>
      </c>
      <c r="BN263" s="3132">
        <f>0</f>
        <v>0</v>
      </c>
      <c r="BO263" s="3156">
        <f>0</f>
        <v>0</v>
      </c>
      <c r="BP263" s="3156">
        <f>0</f>
        <v>0</v>
      </c>
      <c r="BQ263" s="3132">
        <f>0</f>
        <v>0</v>
      </c>
      <c r="BR263" s="3156">
        <f>0</f>
        <v>0</v>
      </c>
      <c r="BS263" s="3156">
        <f>0</f>
        <v>0</v>
      </c>
      <c r="BT263" s="3156">
        <f>0</f>
        <v>0</v>
      </c>
      <c r="BU263" s="3156">
        <f>0</f>
        <v>0</v>
      </c>
      <c r="BV263" s="3156">
        <f>0</f>
        <v>0</v>
      </c>
      <c r="BW263" s="3156">
        <f>0</f>
        <v>0</v>
      </c>
      <c r="BX263" s="3156">
        <f>0</f>
        <v>0</v>
      </c>
      <c r="BY263" s="3156">
        <f>1</f>
        <v>1</v>
      </c>
      <c r="BZ263" s="3209">
        <f>0</f>
        <v>0</v>
      </c>
      <c r="CA263" s="3209">
        <f>0</f>
        <v>0</v>
      </c>
      <c r="CB263" s="3209">
        <f>0</f>
        <v>0</v>
      </c>
      <c r="CC263" s="3209">
        <f>0</f>
        <v>0</v>
      </c>
      <c r="CD263" s="3156">
        <f>0</f>
        <v>0</v>
      </c>
      <c r="CE263" s="3156">
        <f>0</f>
        <v>0</v>
      </c>
      <c r="CF263" s="3156">
        <f>0</f>
        <v>0</v>
      </c>
      <c r="CG263" s="3156">
        <f>0</f>
        <v>0</v>
      </c>
      <c r="CH263" s="3156">
        <f>0</f>
        <v>0</v>
      </c>
      <c r="CI263" s="3156">
        <f>0</f>
        <v>0</v>
      </c>
      <c r="CJ263" s="3156">
        <f>0</f>
        <v>0</v>
      </c>
      <c r="CK263" s="3156">
        <f>0</f>
        <v>0</v>
      </c>
      <c r="CL263" s="3156">
        <f>0</f>
        <v>0</v>
      </c>
      <c r="CM263" s="3156">
        <f>0</f>
        <v>0</v>
      </c>
      <c r="CN263" s="3156">
        <f>0</f>
        <v>0</v>
      </c>
      <c r="CO263" s="3156">
        <f>0</f>
        <v>0</v>
      </c>
      <c r="CP263" s="3156">
        <f>0</f>
        <v>0</v>
      </c>
      <c r="CQ263" s="3156">
        <f>0</f>
        <v>0</v>
      </c>
      <c r="CR263" s="3156">
        <f>0</f>
        <v>0</v>
      </c>
      <c r="CS263" s="3156">
        <f>0</f>
        <v>0</v>
      </c>
      <c r="CT263" s="3156">
        <f>0</f>
        <v>0</v>
      </c>
      <c r="CU263" s="3156">
        <f>0</f>
        <v>0</v>
      </c>
      <c r="CV263" s="3236">
        <f>q_FeS*P_recipDrivingForceFeS^2</f>
        <v>0</v>
      </c>
      <c r="CX263" s="2838">
        <f>E287*E263+F287*F263+G287*G263+H287*H263+I287*I263+J287*J263+K287*K263+L287*L263+M287*M263+N287*N263+O287*O263+P287*P263+Q287*Q263+R287*R263+S287*S263+T287*T263+U287*U263+V287*V263+W287*W263+X287*X263+Y287*Y263+Z287*Z263+AA287*AA263+AB287*AB263+AC287*AC263+AD287*AD263+AE287*AE263+AF287*AF263+AG287*AG263+AH287*AH263+AI287*AI263+AJ287*AJ263+AK287*AK263+AL287*AL263+AM287*AM263+AN287*AN263+AO287*AO263+AP287*AP263+AQ287*AQ263+AR287*AR263+AS287*AS263+AT287*AT263+AU287*AU263+AV287*AV263+AW287*AW263+AX287*AX263+AY287*AY263+AZ287*AZ263+BA287*BA263+BB287*BB263+BC287*BC263+BD287*BD263+BE287*BE263+BF287*BF263+BG287*BG263+BH287*BH263+BI287*BI263+BJ287*BJ263+BK287*BK263+BL287*BL263+BM287*BM263+BN287*BN263+BO287*BO263+BP287*BP263+BQ287*BQ263+BR287*BR263+BS287*BS263+BT287*BT263+BU287*BU263+BV287*BV263+BW287*BW263+BX287*BX263+BY287*BY263+BZ287*BZ263+CA287*CA263+CB287*CB263+CC287*CC263+CD287*CD263+CE287*CE263+CF287*CF263+CG287*CG263+CH287*CH263+CI287*CI263+CJ287*CJ263+CK287*CK263+CL287*CL263+CM287*CM263+CN287*CN263+CO287*CO263+CP287*CP263+CQ287*CQ263+CR287*CR263+CS287*CS263+CT287*CT263+CU287*CU263</f>
        <v>0</v>
      </c>
      <c r="CY263" s="2838">
        <f>E288*E263+F288*F263+G288*G263+H288*H263+I288*I263+J288*J263+K288*K263+L288*L263+M288*M263+N288*N263+O288*O263+P288*P263+Q288*Q263+R288*R263+S288*S263+T288*T263+U288*U263+V288*V263+W288*W263+X288*X263+Y288*Y263+Z288*Z263+AA288*AA263+AB288*AB263+AC288*AC263+AD288*AD263+AE288*AE263+AF288*AF263+AG288*AG263+AH288*AH263+AI288*AI263+AJ288*AJ263+AK288*AK263+AL288*AL263+AM288*AM263+AN288*AN263+AO288*AO263+AP288*AP263+AQ288*AQ263+AR288*AR263+AS288*AS263+AT288*AT263+AU288*AU263+AV288*AV263+AW288*AW263+AX288*AX263+AY288*AY263+AZ288*AZ263+BA288*BA263+BB288*BB263+BC288*BC263+BD288*BD263+BE288*BE263+BF288*BF263+BG288*BG263+BH288*BH263+BI288*BI263+BJ288*BJ263+BK288*BK263+BL288*BL263+BM288*BM263+BN288*BN263+BO288*BO263+BP288*BP263+BQ288*BQ263+BR288*BR263+BS288*BS263+BT288*BT263+BU288*BU263+BV288*BV263+BW288*BW263+BX288*BX263+BY288*BY263+BZ288*BZ263+CA288*CA263+CB288*CB263+CC288*CC263+CD288*CD263+CE288*CE263+CF288*CF263+CG288*CG263+CH288*CH263+CI288*CI263+CJ288*CJ263+CK288*CK263+CL288*CL263+CM288*CM263+CN288*CN263+CO288*CO263+CP288*CP263+CQ288*CQ263+CR288*CR263+CS288*CS263+CT288*CT263+CU288*CU263</f>
        <v>0</v>
      </c>
      <c r="CZ263" s="2839">
        <f>E289*E263+F289*F263+G289*G263+H289*H263+I289*I263+J289*J263+K289*K263+L289*L263+M289*M263+N289*N263+O289*O263+P289*P263+Q289*Q263+R289*R263+S289*S263+T289*T263+U289*U263+V289*V263+W289*W263+X289*X263+Y289*Y263+Z289*Z263+AA289*AA263+AB289*AB263+AC289*AC263+AD289*AD263+AE289*AE263+AF289*AF263+AG289*AG263+AH289*AH263+AI289*AI263+AJ289*AJ263+AK289*AK263+AL289*AL263+AM289*AM263+AN289*AN263+AO289*AO263+AP289*AP263+AQ289*AQ263+AR289*AR263+AS289*AS263+AT289*AT263+AU289*AU263+AV289*AV263+AW289*AW263+AX289*AX263+AY289*AY263+AZ289*AZ263+BA289*BA263+BB289*BB263+BC289*BC263+BD289*BD263+BE289*BE263+BF289*BF263+BG289*BG263+BH289*BH263+BI289*BI263+BJ289*BJ263+BK289*BK263+BL289*BL263+BM289*BM263+BN289*BN263+BO289*BO263+BP289*BP263+BQ289*BQ263+BR289*BR263+BS289*BS263+BT289*BT263+BU289*BU263+BV289*BV263+BW289*BW263+BX289*BX263+BY289*BY263+BZ289*BZ263+CA289*CA263+CB289*CB263+CC289*CC263+CD289*CD263+CE289*CE263+CF289*CF263+CG289*CG263+CH289*CH263+CI289*CI263+CJ289*CJ263+CK289*CK263+CL289*CL263+CM289*CM263+CN289*CN263+CO289*CO263+CP289*CP263+CQ289*CQ263+CR289*CR263+CS289*CS263+CT289*CT263+CU289*CU263</f>
        <v>0</v>
      </c>
      <c r="DA263" s="2840">
        <f>E290*E263+F290*F263+G290*G263+H290*H263+I290*I263+J290*J263+K290*K263+L290*L263+M290*M263+N290*N263+O290*O263+P290*P263+Q290*Q263+R290*R263+S290*S263+T290*T263+U290*U263+V290*V263+W290*W263+X290*X263+Y290*Y263+Z290*Z263+AA290*AA263+AB290*AB263+AC290*AC263+AD290*AD263+AE290*AE263+AF290*AF263+AG290*AG263+AH290*AH263+AI290*AI263+AJ290*AJ263+AK290*AK263+AL290*AL263+AM290*AM263+AN290*AN263+AO290*AO263+AP290*AP263+AQ290*AQ263+AR290*AR263+AS290*AS263+AT290*AT263+AU290*AU263+AV290*AV263+AW290*AW263+AX290*AX263+AY290*AY263+AZ290*AZ263+BA290*BA263+BB290*BB263+BC290*BC263+BD290*BD263+BE290*BE263+BF290*BF263+BG290*BG263+BH290*BH263+BI290*BI263+BJ290*BJ263+BK290*BK263+BL290*BL263+BM290*BM263+BN290*BN263+BO290*BO263+BP290*BP263+BQ290*BQ263+BR290*BR263+BS290*BS263+BT290*BT263+BU290*BU263+BV290*BV263+BW290*BW263+BX290*BX263+BY290*BY263+BZ290*BZ263+CA290*CA263+CB290*CB263+CC290*CC263+CD290*CD263+CE290*CE263+CF290*CF263+CG290*CG263+CH290*CH263+CI290*CI263+CJ290*CJ263+CK290*CK263+CL290*CL263+CM290*CM263+CN290*CN263+CO290*CO263+CP290*CP263+CQ290*CQ263+CR290*CR263+CS290*CS263+CT290*CT263+CU290*CU263</f>
        <v>0</v>
      </c>
      <c r="DB263" s="2840">
        <f>E291*E263+F291*F263+G291*G263+H291*H263+I291*I263+J291*J263+K291*K263+L291*L263+M291*M263+N291*N263+O291*O263+P291*P263+Q291*Q263+R291*R263+S291*S263+T291*T263+U291*U263+V291*V263+W291*W263+X291*X263+Y291*Y263+Z291*Z263+AA291*AA263+AB291*AB263+AC291*AC263+AD291*AD263+AE291*AE263+AF291*AF263+AG291*AG263+AH291*AH263+AI291*AI263+AJ291*AJ263+AK291*AK263+AL291*AL263+AM291*AM263+AN291*AN263+AO291*AO263+AP291*AP263+AQ291*AQ263+AR291*AR263+AS291*AS263+AT291*AT263+AU291*AU263+AV291*AV263+AW291*AW263+AX291*AX263+AY291*AY263+AZ291*AZ263+BA291*BA263+BB291*BB263+BC291*BC263+BD291*BD263+BE291*BE263+BF291*BF263+BG291*BG263+BH291*BH263+BI291*BI263+BJ291*BJ263+BK291*BK263+BL291*BL263+BM291*BM263+BN291*BN263+BO291*BO263+BP291*BP263+BQ291*BQ263+BR291*BR263+BS291*BS263+BT291*BT263+BU291*BU263+BV291*BV263+BW291*BW263+BX291*BX263+BY291*BY263+BZ291*BZ263+CA291*CA263+CB291*CB263+CC291*CC263+CD291*CD263+CE291*CE263+CF291*CF263+CG291*CG263+CH291*CH263+CI291*CI263+CJ291*CJ263+CK291*CK263+CL291*CL263+CM291*CM263+CN291*CN263+CO291*CO263+CP291*CP263+CQ291*CQ263+CR291*CR263+CS291*CS263+CT291*CT263+CU291*CU263</f>
        <v>0</v>
      </c>
      <c r="DC263" s="2840">
        <f>E292*E263+F292*F263+G292*G263+H292*H263+I292*I263+J292*J263+K292*K263+L292*L263+M292*M263+N292*N263+O292*O263+P292*P263+Q292*Q263+R292*R263+S292*S263+T292*T263+U292*U263+V292*V263+W292*W263+X292*X263+Y292*Y263+Z292*Z263+AA292*AA263+AB292*AB263+AC292*AC263+AD292*AD263+AE292*AE263+AF292*AF263+AG292*AG263+AH292*AH263+AI292*AI263+AJ292*AJ263+AK292*AK263+AL292*AL263+AM292*AM263+AN292*AN263+AO292*AO263+AP292*AP263+AQ292*AQ263+AR292*AR263+AS292*AS263+AT292*AT263+AU292*AU263+AV292*AV263+AW292*AW263+AX292*AX263+AY292*AY263+AZ292*AZ263+BA292*BA263+BB292*BB263+BC292*BC263+BD292*BD263+BE292*BE263+BF292*BF263+BG292*BG263+BH292*BH263+BI292*BI263+BJ292*BJ263+BK292*BK263+BL292*BL263+BM292*BM263+BN292*BN263+BO292*BO263+BP292*BP263+BQ292*BQ263+BR292*BR263+BS292*BS263+BT292*BT263+BU292*BU263+BV292*BV263+BW292*BW263+BX292*BX263+BY292*BY263+BZ292*BZ263+CA292*CA263+CB292*CB263+CC292*CC263+CD292*CD263+CE292*CE263+CF292*CF263+CG292*CG263+CH292*CH263+CI292*CI263+CJ292*CJ263+CK292*CK263+CL292*CL263+CM292*CM263+CN292*CN263+CO292*CO263+CP292*CP263+CQ292*CQ263+CR292*CR263+CS292*CS263+CT292*CT263+CU292*CU263</f>
        <v>0</v>
      </c>
      <c r="DD263" s="2840">
        <f>E293*E263+F293*F263+G293*G263+H293*H263+I293*I263+J293*J263+K293*K263+L293*L263+M293*M263+N293*N263+O293*O263+P293*P263+Q293*Q263+R293*R263+S293*S263+T293*T263+U293*U263+V293*V263+W293*W263+X293*X263+Y293*Y263+Z293*Z263+AA293*AA263+AB293*AB263+AC293*AC263+AD293*AD263+AE293*AE263+AF293*AF263+AG293*AG263+AH293*AH263+AI293*AI263+AJ293*AJ263+AK293*AK263+AL293*AL263+AM293*AM263+AN293*AN263+AO293*AO263+AP293*AP263+AQ293*AQ263+AR293*AR263+AS293*AS263+AT293*AT263+AU293*AU263+AV293*AV263+AW293*AW263+AX293*AX263+AY293*AY263+AZ293*AZ263+BA293*BA263+BB293*BB263+BC293*BC263+BD293*BD263+BE293*BE263+BF293*BF263+BG293*BG263+BH293*BH263+BI293*BI263+BJ293*BJ263+BK293*BK263+BL293*BL263+BM293*BM263+BN293*BN263+BO293*BO263+BP293*BP263+BQ293*BQ263+BR293*BR263+BS293*BS263+BT293*BT263+BU293*BU263+BV293*BV263+BW293*BW263+BX293*BX263+BY293*BY263+BZ293*BZ263+CA293*CA263+CB293*CB263+CC293*CC263+CD293*CD263+CE293*CE263+CF293*CF263+CG293*CG263+CH293*CH263+CI293*CI263+CJ293*CJ263+CK293*CK263+CL293*CL263+CM293*CM263+CN293*CN263+CO293*CO263+CP293*CP263+CQ293*CQ263+CR293*CR263+CS293*CS263+CT293*CT263+CU293*CU263</f>
        <v>0</v>
      </c>
      <c r="DE263" s="2840">
        <f>E294*E263+F294*F263+G294*G263+H294*H263+I294*I263+J294*J263+K294*K263+L294*L263+M294*M263+N294*N263+O294*O263+P294*P263+Q294*Q263+R294*R263+S294*S263+T294*T263+U294*U263+V294*V263+W294*W263+X294*X263+Y294*Y263+Z294*Z263+AA294*AA263+AB294*AB263+AC294*AC263+AD294*AD263+AE294*AE263+AF294*AF263+AG294*AG263+AH294*AH263+AI294*AI263+AJ294*AJ263+AK294*AK263+AL294*AL263+AM294*AM263+AN294*AN263+AO294*AO263+AP294*AP263+AQ294*AQ263+AR294*AR263+AS294*AS263+AT294*AT263+AU294*AU263+AV294*AV263+AW294*AW263+AX294*AX263+AY294*AY263+AZ294*AZ263+BA294*BA263+BB294*BB263+BC294*BC263+BD294*BD263+BE294*BE263+BF294*BF263+BG294*BG263+BH294*BH263+BI294*BI263+BJ294*BJ263+BK294*BK263+BL294*BL263+BM294*BM263+BN294*BN263+BO294*BO263+BP294*BP263+BQ294*BQ263+BR294*BR263+BS294*BS263+BT294*BT263+BU294*BU263+BV294*BV263+BW294*BW263+BX294*BX263+BY294*BY263+BZ294*BZ263+CA294*CA263+CB294*CB263+CC294*CC263+CD294*CD263+CE294*CE263+CF294*CF263+CG294*CG263+CH294*CH263+CI294*CI263+CJ294*CJ263+CK294*CK263+CL294*CL263+CM294*CM263+CN294*CN263+CO294*CO263+CP294*CP263+CQ294*CQ263+CR294*CR263+CS294*CS263+CT294*CT263+CU294*CU263</f>
        <v>0</v>
      </c>
      <c r="DF263" s="2840">
        <f>E295*E263+F295*F263+G295*G263+H295*H263+I295*I263+J295*J263+K295*K263+L295*L263+M295*M263+N295*N263+O295*O263+P295*P263+Q295*Q263+R295*R263+S295*S263+T295*T263+U295*U263+V295*V263+W295*W263+X295*X263+Y295*Y263+Z295*Z263+AA295*AA263+AB295*AB263+AC295*AC263+AD295*AD263+AE295*AE263+AF295*AF263+AG295*AG263+AH295*AH263+AI295*AI263+AJ295*AJ263+AK295*AK263+AL295*AL263+AM295*AM263+AN295*AN263+AO295*AO263+AP295*AP263+AQ295*AQ263+AR295*AR263+AS295*AS263+AT295*AT263+AU295*AU263+AV295*AV263+AW295*AW263+AX295*AX263+AY295*AY263+AZ295*AZ263+BA295*BA263+BB295*BB263+BC295*BC263+BD295*BD263+BE295*BE263+BF295*BF263+BG295*BG263+BH295*BH263+BI295*BI263+BJ295*BJ263+BK295*BK263+BL295*BL263+BM295*BM263+BN295*BN263+BO295*BO263+BP295*BP263+BQ295*BQ263+BR295*BR263+BS295*BS263+BT295*BT263+BU295*BU263+BV295*BV263+BW295*BW263+BX295*BX263+BY295*BY263+BZ295*BZ263+CA295*CA263+CB295*CB263+CC295*CC263+CD295*CD263+CE295*CE263+CF295*CF263+CG295*CG263+CH295*CH263+CI295*CI263+CJ295*CJ263+CK295*CK263+CL295*CL263+CM295*CM263+CN295*CN263+CO295*CO263+CP295*CP263+CQ295*CQ263+CR295*CR263+CS295*CS263+CT295*CT263+CU295*CU263</f>
        <v>0</v>
      </c>
      <c r="DG263" s="2840">
        <f>E296*E263+F296*F263+G296*G263+H296*H263+I296*I263+J296*J263+K296*K263+L296*L263+M296*M263+N296*N263+O296*O263+P296*P263+Q296*Q263+R296*R263+S296*S263+T296*T263+U296*U263+V296*V263+W296*W263+X296*X263+Y296*Y263+Z296*Z263+AA296*AA263+AB296*AB263+AC296*AC263+AD296*AD263+AE296*AE263+AF296*AF263+AG296*AG263+AH296*AH263+AI296*AI263+AJ296*AJ263+AK296*AK263+AL296*AL263+AM296*AM263+AN296*AN263+AO296*AO263+AP296*AP263+AQ296*AQ263+AR296*AR263+AS296*AS263+AT296*AT263+AU296*AU263+AV296*AV263+AW296*AW263+AX296*AX263+AY296*AY263+AZ296*AZ263+BA296*BA263+BB296*BB263+BC296*BC263+BD296*BD263+BE296*BE263+BF296*BF263+BG296*BG263+BH296*BH263+BI296*BI263+BJ296*BJ263+BK296*BK263+BL296*BL263+BM296*BM263+BN296*BN263+BO296*BO263+BP296*BP263+BQ296*BQ263+BR296*BR263+BS296*BS263+BT296*BT263+BU296*BU263+BV296*BV263+BW296*BW263+BX296*BX263+BY296*BY263+BZ296*BZ263+CA296*CA263+CB296*CB263+CC296*CC263+CD296*CD263+CE296*CE263+CF296*CF263+CG296*CG263+CH296*CH263+CI296*CI263+CJ296*CJ263+CK296*CK263+CL296*CL263+CM296*CM263+CN296*CN263+CO296*CO263+CP296*CP263+CQ296*CQ263+CR296*CR263+CS296*CS263+CT296*CT263+CU296*CU263</f>
        <v>0</v>
      </c>
      <c r="DH263" s="2840">
        <f>E297*E263+F297*F263+G297*G263+H297*H263+I297*I263+J297*J263+K297*K263+L297*L263+M297*M263+N297*N263+O297*O263+P297*P263+Q297*Q263+R297*R263+S297*S263+T297*T263+U297*U263+V297*V263+W297*W263+X297*X263+Y297*Y263+Z297*Z263+AA297*AA263+AB297*AB263+AC297*AC263+AD297*AD263+AE297*AE263+AF297*AF263+AG297*AG263+AH297*AH263+AI297*AI263+AJ297*AJ263+AK297*AK263+AL297*AL263+AM297*AM263+AN297*AN263+AO297*AO263+AP297*AP263+AQ297*AQ263+AR297*AR263+AS297*AS263+AT297*AT263+AU297*AU263+AV297*AV263+AW297*AW263+AX297*AX263+AY297*AY263+AZ297*AZ263+BA297*BA263+BB297*BB263+BC297*BC263+BD297*BD263+BE297*BE263+BF297*BF263+BG297*BG263+BH297*BH263+BI297*BI263+BJ297*BJ263+BK297*BK263+BL297*BL263+BM297*BM263+BN297*BN263+BO297*BO263+BP297*BP263+BQ297*BQ263+BR297*BR263+BS297*BS263+BT297*BT263+BU297*BU263+BV297*BV263+BW297*BW263+BX297*BX263+BY297*BY263+BZ297*BZ263+CA297*CA263+CB297*CB263+CC297*CC263+CD297*CD263+CE297*CE263+CF297*CF263+CG297*CG263+CH297*CH263+CI297*CI263+CJ297*CJ263+CK297*CK263+CL297*CL263+CM297*CM263+CN297*CN263+CO297*CO263+CP297*CP263+CQ297*CQ263+CR297*CR263+CS297*CS263+CT297*CT263+CU297*CU263</f>
        <v>0</v>
      </c>
      <c r="DI263" s="2840">
        <f>E298*E263+F298*F263+G298*G263+H298*H263+I298*I263+J298*J263+K298*K263+L298*L263+M298*M263+N298*N263+O298*O263+P298*P263+Q298*Q263+R298*R263+S298*S263+T298*T263+U298*U263+V298*V263+W298*W263+X298*X263+Y298*Y263+Z298*Z263+AA298*AA263+AB298*AB263+AC298*AC263+AD298*AD263+AE298*AE263+AF298*AF263+AG298*AG263+AH298*AH263+AI298*AI263+AJ298*AJ263+AK298*AK263+AL298*AL263+AM298*AM263+AN298*AN263+AO298*AO263+AP298*AP263+AQ298*AQ263+AR298*AR263+AS298*AS263+AT298*AT263+AU298*AU263+AV298*AV263+AW298*AW263+AX298*AX263+AY298*AY263+AZ298*AZ263+BA298*BA263+BB298*BB263+BC298*BC263+BD298*BD263+BE298*BE263+BF298*BF263+BG298*BG263+BH298*BH263+BI298*BI263+BJ298*BJ263+BK298*BK263+BL298*BL263+BM298*BM263+BN298*BN263+BO298*BO263+BP298*BP263+BQ298*BQ263+BR298*BR263+BS298*BS263+BT298*BT263+BU298*BU263+BV298*BV263+BW298*BW263+BX298*BX263+BY298*BY263+BZ298*BZ263+CA298*CA263+CB298*CB263+CC298*CC263+CD298*CD263+CE298*CE263+CF298*CF263+CG298*CG263+CH298*CH263+CI298*CI263+CJ298*CJ263+CK298*CK263+CL298*CL263+CM298*CM263+CN298*CN263+CO298*CO263+CP298*CP263+CQ298*CQ263+CR298*CR263+CS298*CS263+CT298*CT263+CU298*CU263</f>
        <v>0</v>
      </c>
    </row>
    <row r="264" spans="2:113" ht="18" x14ac:dyDescent="0.25">
      <c r="B264" s="2816">
        <v>111</v>
      </c>
      <c r="C264" s="2817" t="s">
        <v>3638</v>
      </c>
      <c r="D264" s="2818" t="s">
        <v>5514</v>
      </c>
      <c r="E264" s="3133">
        <f>0</f>
        <v>0</v>
      </c>
      <c r="F264" s="3133">
        <f>0</f>
        <v>0</v>
      </c>
      <c r="G264" s="3133">
        <f>0</f>
        <v>0</v>
      </c>
      <c r="H264" s="3133">
        <f>0</f>
        <v>0</v>
      </c>
      <c r="I264" s="3133">
        <f>0</f>
        <v>0</v>
      </c>
      <c r="J264" s="3133">
        <f>0</f>
        <v>0</v>
      </c>
      <c r="K264" s="3150">
        <f>0</f>
        <v>0</v>
      </c>
      <c r="L264" s="3133">
        <f>0</f>
        <v>0</v>
      </c>
      <c r="M264" s="3133">
        <f>0</f>
        <v>0</v>
      </c>
      <c r="N264" s="3133">
        <f>0</f>
        <v>0</v>
      </c>
      <c r="O264" s="3133">
        <f>0</f>
        <v>0</v>
      </c>
      <c r="P264" s="3133">
        <f>0</f>
        <v>0</v>
      </c>
      <c r="Q264" s="3133">
        <f>0</f>
        <v>0</v>
      </c>
      <c r="R264" s="3133">
        <f>0</f>
        <v>0</v>
      </c>
      <c r="S264" s="3133">
        <f>0</f>
        <v>0</v>
      </c>
      <c r="T264" s="3133">
        <f>0</f>
        <v>0</v>
      </c>
      <c r="U264" s="3133">
        <f>0</f>
        <v>0</v>
      </c>
      <c r="V264" s="3133">
        <f>0</f>
        <v>0</v>
      </c>
      <c r="W264" s="3133">
        <f>0</f>
        <v>0</v>
      </c>
      <c r="X264" s="3133">
        <f>0</f>
        <v>0</v>
      </c>
      <c r="Y264" s="3133">
        <f>0</f>
        <v>0</v>
      </c>
      <c r="Z264" s="3133">
        <f>0</f>
        <v>0</v>
      </c>
      <c r="AA264" s="3133">
        <f>0</f>
        <v>0</v>
      </c>
      <c r="AB264" s="3150">
        <f>0</f>
        <v>0</v>
      </c>
      <c r="AC264" s="3150">
        <f>0</f>
        <v>0</v>
      </c>
      <c r="AD264" s="3150">
        <f>0</f>
        <v>0</v>
      </c>
      <c r="AE264" s="3150">
        <f>0</f>
        <v>0</v>
      </c>
      <c r="AF264" s="3150">
        <f>0</f>
        <v>0</v>
      </c>
      <c r="AG264" s="3150">
        <f>0</f>
        <v>0</v>
      </c>
      <c r="AH264" s="3150">
        <f>0</f>
        <v>0</v>
      </c>
      <c r="AI264" s="3150">
        <f>0</f>
        <v>0</v>
      </c>
      <c r="AJ264" s="3150">
        <f>0</f>
        <v>0</v>
      </c>
      <c r="AK264" s="3150">
        <f>0</f>
        <v>0</v>
      </c>
      <c r="AL264" s="3150">
        <f>0</f>
        <v>0</v>
      </c>
      <c r="AM264" s="3150">
        <f>0</f>
        <v>0</v>
      </c>
      <c r="AN264" s="3133">
        <f>0</f>
        <v>0</v>
      </c>
      <c r="AO264" s="3150">
        <f>0</f>
        <v>0</v>
      </c>
      <c r="AP264" s="3150">
        <f>0</f>
        <v>0</v>
      </c>
      <c r="AQ264" s="3150">
        <f>0</f>
        <v>0</v>
      </c>
      <c r="AR264" s="3150">
        <f>0</f>
        <v>0</v>
      </c>
      <c r="AS264" s="3133">
        <f>0</f>
        <v>0</v>
      </c>
      <c r="AT264" s="3150">
        <f>0</f>
        <v>0</v>
      </c>
      <c r="AU264" s="3150">
        <f>0</f>
        <v>0</v>
      </c>
      <c r="AV264" s="3150">
        <f>0</f>
        <v>0</v>
      </c>
      <c r="AW264" s="3150">
        <f>0</f>
        <v>0</v>
      </c>
      <c r="AX264" s="3150">
        <f>0</f>
        <v>0</v>
      </c>
      <c r="AY264" s="3150">
        <f>0</f>
        <v>0</v>
      </c>
      <c r="AZ264" s="3150">
        <f>0</f>
        <v>0</v>
      </c>
      <c r="BA264" s="3150">
        <f>0</f>
        <v>0</v>
      </c>
      <c r="BB264" s="3150">
        <f>0</f>
        <v>0</v>
      </c>
      <c r="BC264" s="3150">
        <f>0</f>
        <v>0</v>
      </c>
      <c r="BD264" s="3150">
        <f>0</f>
        <v>0</v>
      </c>
      <c r="BE264" s="3150">
        <f>0</f>
        <v>0</v>
      </c>
      <c r="BF264" s="3150">
        <f>0</f>
        <v>0</v>
      </c>
      <c r="BG264" s="3150">
        <f>0</f>
        <v>0</v>
      </c>
      <c r="BH264" s="3150">
        <f>0</f>
        <v>0</v>
      </c>
      <c r="BI264" s="3150">
        <f>0</f>
        <v>0</v>
      </c>
      <c r="BJ264" s="3150">
        <f>0</f>
        <v>0</v>
      </c>
      <c r="BK264" s="3150">
        <f>0</f>
        <v>0</v>
      </c>
      <c r="BL264" s="3150">
        <f>0</f>
        <v>0</v>
      </c>
      <c r="BM264" s="3150">
        <f>0</f>
        <v>0</v>
      </c>
      <c r="BN264" s="3150">
        <f>0</f>
        <v>0</v>
      </c>
      <c r="BO264" s="3150">
        <f>0</f>
        <v>0</v>
      </c>
      <c r="BP264" s="3150">
        <f>0</f>
        <v>0</v>
      </c>
      <c r="BQ264" s="3150">
        <f>0</f>
        <v>0</v>
      </c>
      <c r="BR264" s="3150">
        <f>0</f>
        <v>0</v>
      </c>
      <c r="BS264" s="3150">
        <f>0</f>
        <v>0</v>
      </c>
      <c r="BT264" s="3150">
        <f>0</f>
        <v>0</v>
      </c>
      <c r="BU264" s="3150">
        <f>0</f>
        <v>0</v>
      </c>
      <c r="BV264" s="3150">
        <f>0</f>
        <v>0</v>
      </c>
      <c r="BW264" s="3150">
        <f>0</f>
        <v>0</v>
      </c>
      <c r="BX264" s="3150">
        <f>0</f>
        <v>0</v>
      </c>
      <c r="BY264" s="3150">
        <f>0</f>
        <v>0</v>
      </c>
      <c r="BZ264" s="3150">
        <f>-1</f>
        <v>-1</v>
      </c>
      <c r="CA264" s="3150">
        <f>1</f>
        <v>1</v>
      </c>
      <c r="CB264" s="3150">
        <f>0</f>
        <v>0</v>
      </c>
      <c r="CC264" s="3150">
        <f>0</f>
        <v>0</v>
      </c>
      <c r="CD264" s="3150">
        <f>0</f>
        <v>0</v>
      </c>
      <c r="CE264" s="3150">
        <f>0</f>
        <v>0</v>
      </c>
      <c r="CF264" s="3150">
        <f>0</f>
        <v>0</v>
      </c>
      <c r="CG264" s="3150">
        <f>0</f>
        <v>0</v>
      </c>
      <c r="CH264" s="3150">
        <f>0</f>
        <v>0</v>
      </c>
      <c r="CI264" s="3150">
        <f>0</f>
        <v>0</v>
      </c>
      <c r="CJ264" s="3150">
        <f>0</f>
        <v>0</v>
      </c>
      <c r="CK264" s="3213">
        <f>0</f>
        <v>0</v>
      </c>
      <c r="CL264" s="3213">
        <f>0</f>
        <v>0</v>
      </c>
      <c r="CM264" s="3213">
        <f>0</f>
        <v>0</v>
      </c>
      <c r="CN264" s="3213">
        <f>0</f>
        <v>0</v>
      </c>
      <c r="CO264" s="3213">
        <f>0</f>
        <v>0</v>
      </c>
      <c r="CP264" s="3213">
        <f>0</f>
        <v>0</v>
      </c>
      <c r="CQ264" s="3213">
        <f>0</f>
        <v>0</v>
      </c>
      <c r="CR264" s="3213">
        <f>0</f>
        <v>0</v>
      </c>
      <c r="CS264" s="3213">
        <f>0</f>
        <v>0</v>
      </c>
      <c r="CT264" s="3213">
        <f>0</f>
        <v>0</v>
      </c>
      <c r="CU264" s="3213">
        <f>0</f>
        <v>0</v>
      </c>
      <c r="CV264" s="3237">
        <f>q_PFOA_SORP*(S_PFOA-(X_PFOA/X_VSS)*(c_g_kg*c_mg_g)/K_OC_PFOA_EQ)</f>
        <v>3.0104031847391816E-6</v>
      </c>
      <c r="CX264" s="2838">
        <f>E287*E264+F287*F264+G287*G264+H287*H264+I287*I264+J287*J264+K287*K264+L287*L264+M287*M264+N287*N264+O287*O264+P287*P264+Q287*Q264+R287*R264+S287*S264+T287*T264+U287*U264+V287*V264+W287*W264+X287*X264+Y287*Y264+Z287*Z264+AA287*AA264+AB287*AB264+AC287*AC264+AD287*AD264+AE287*AE264+AF287*AF264+AG287*AG264+AH287*AH264+AI287*AI264+AJ287*AJ264+AK287*AK264+AL287*AL264+AM287*AM264+AN287*AN264+AO287*AO264+AP287*AP264+AQ287*AQ264+AR287*AR264+AS287*AS264+AT287*AT264+AU287*AU264+AV287*AV264+AW287*AW264+AX287*AX264+AY287*AY264+AZ287*AZ264+BA287*BA264+BB287*BB264+BC287*BC264+BD287*BD264+BE287*BE264+BF287*BF264+BG287*BG264+BH287*BH264+BI287*BI264+BJ287*BJ264+BK287*BK264+BL287*BL264+BM287*BM264+BN287*BN264+BO287*BO264+BP287*BP264+BQ287*BQ264+BR287*BR264+BS287*BS264+BT287*BT264+BU287*BU264+BV287*BV264+BW287*BW264+BX287*BX264+BY287*BY264+BZ287*BZ264+CA287*CA264+CB287*CB264+CC287*CC264+CD287*CD264+CE287*CE264+CF287*CF264+CG287*CG264+CH287*CH264+CI287*CI264+CJ287*CJ264+CK287*CK264+CL287*CL264+CM287*CM264+CN287*CN264+CO287*CO264+CP287*CP264+CQ287*CQ264+CR287*CR264+CS287*CS264+CT287*CT264+CU287*CU264</f>
        <v>0</v>
      </c>
      <c r="CY264" s="2838">
        <f>E288*E264+F288*F264+G288*G264+H288*H264+I288*I264+J288*J264+K288*K264+L288*L264+M288*M264+N288*N264+O288*O264+P288*P264+Q288*Q264+R288*R264+S288*S264+T288*T264+U288*U264+V288*V264+W288*W264+X288*X264+Y288*Y264+Z288*Z264+AA288*AA264+AB288*AB264+AC288*AC264+AD288*AD264+AE288*AE264+AF288*AF264+AG288*AG264+AH288*AH264+AI288*AI264+AJ288*AJ264+AK288*AK264+AL288*AL264+AM288*AM264+AN288*AN264+AO288*AO264+AP288*AP264+AQ288*AQ264+AR288*AR264+AS288*AS264+AT288*AT264+AU288*AU264+AV288*AV264+AW288*AW264+AX288*AX264+AY288*AY264+AZ288*AZ264+BA288*BA264+BB288*BB264+BC288*BC264+BD288*BD264+BE288*BE264+BF288*BF264+BG288*BG264+BH288*BH264+BI288*BI264+BJ288*BJ264+BK288*BK264+BL288*BL264+BM288*BM264+BN288*BN264+BO288*BO264+BP288*BP264+BQ288*BQ264+BR288*BR264+BS288*BS264+BT288*BT264+BU288*BU264+BV288*BV264+BW288*BW264+BX288*BX264+BY288*BY264+BZ288*BZ264+CA288*CA264+CB288*CB264+CC288*CC264+CD288*CD264+CE288*CE264+CF288*CF264+CG288*CG264+CH288*CH264+CI288*CI264+CJ288*CJ264+CK288*CK264+CL288*CL264+CM288*CM264+CN288*CN264+CO288*CO264+CP288*CP264+CQ288*CQ264+CR288*CR264+CS288*CS264+CT288*CT264+CU288*CU264</f>
        <v>0</v>
      </c>
      <c r="CZ264" s="2839">
        <f>E289*E264+F289*F264+G289*G264+H289*H264+I289*I264+J289*J264+K289*K264+L289*L264+M289*M264+N289*N264+O289*O264+P289*P264+Q289*Q264+R289*R264+S289*S264+T289*T264+U289*U264+V289*V264+W289*W264+X289*X264+Y289*Y264+Z289*Z264+AA289*AA264+AB289*AB264+AC289*AC264+AD289*AD264+AE289*AE264+AF289*AF264+AG289*AG264+AH289*AH264+AI289*AI264+AJ289*AJ264+AK289*AK264+AL289*AL264+AM289*AM264+AN289*AN264+AO289*AO264+AP289*AP264+AQ289*AQ264+AR289*AR264+AS289*AS264+AT289*AT264+AU289*AU264+AV289*AV264+AW289*AW264+AX289*AX264+AY289*AY264+AZ289*AZ264+BA289*BA264+BB289*BB264+BC289*BC264+BD289*BD264+BE289*BE264+BF289*BF264+BG289*BG264+BH289*BH264+BI289*BI264+BJ289*BJ264+BK289*BK264+BL289*BL264+BM289*BM264+BN289*BN264+BO289*BO264+BP289*BP264+BQ289*BQ264+BR289*BR264+BS289*BS264+BT289*BT264+BU289*BU264+BV289*BV264+BW289*BW264+BX289*BX264+BY289*BY264+BZ289*BZ264+CA289*CA264+CB289*CB264+CC289*CC264+CD289*CD264+CE289*CE264+CF289*CF264+CG289*CG264+CH289*CH264+CI289*CI264+CJ289*CJ264+CK289*CK264+CL289*CL264+CM289*CM264+CN289*CN264+CO289*CO264+CP289*CP264+CQ289*CQ264+CR289*CR264+CS289*CS264+CT289*CT264+CU289*CU264</f>
        <v>0</v>
      </c>
      <c r="DA264" s="2840">
        <f>E290*E264+F290*F264+G290*G264+H290*H264+I290*I264+J290*J264+K290*K264+L290*L264+M290*M264+N290*N264+O290*O264+P290*P264+Q290*Q264+R290*R264+S290*S264+T290*T264+U290*U264+V290*V264+W290*W264+X290*X264+Y290*Y264+Z290*Z264+AA290*AA264+AB290*AB264+AC290*AC264+AD290*AD264+AE290*AE264+AF290*AF264+AG290*AG264+AH290*AH264+AI290*AI264+AJ290*AJ264+AK290*AK264+AL290*AL264+AM290*AM264+AN290*AN264+AO290*AO264+AP290*AP264+AQ290*AQ264+AR290*AR264+AS290*AS264+AT290*AT264+AU290*AU264+AV290*AV264+AW290*AW264+AX290*AX264+AY290*AY264+AZ290*AZ264+BA290*BA264+BB290*BB264+BC290*BC264+BD290*BD264+BE290*BE264+BF290*BF264+BG290*BG264+BH290*BH264+BI290*BI264+BJ290*BJ264+BK290*BK264+BL290*BL264+BM290*BM264+BN290*BN264+BO290*BO264+BP290*BP264+BQ290*BQ264+BR290*BR264+BS290*BS264+BT290*BT264+BU290*BU264+BV290*BV264+BW290*BW264+BX290*BX264+BY290*BY264+BZ290*BZ264+CA290*CA264+CB290*CB264+CC290*CC264+CD290*CD264+CE290*CE264+CF290*CF264+CG290*CG264+CH290*CH264+CI290*CI264+CJ290*CJ264+CK290*CK264+CL290*CL264+CM290*CM264+CN290*CN264+CO290*CO264+CP290*CP264+CQ290*CQ264+CR290*CR264+CS290*CS264+CT290*CT264+CU290*CU264</f>
        <v>0</v>
      </c>
      <c r="DB264" s="2840">
        <f>E291*E264+F291*F264+G291*G264+H291*H264+I291*I264+J291*J264+K291*K264+L291*L264+M291*M264+N291*N264+O291*O264+P291*P264+Q291*Q264+R291*R264+S291*S264+T291*T264+U291*U264+V291*V264+W291*W264+X291*X264+Y291*Y264+Z291*Z264+AA291*AA264+AB291*AB264+AC291*AC264+AD291*AD264+AE291*AE264+AF291*AF264+AG291*AG264+AH291*AH264+AI291*AI264+AJ291*AJ264+AK291*AK264+AL291*AL264+AM291*AM264+AN291*AN264+AO291*AO264+AP291*AP264+AQ291*AQ264+AR291*AR264+AS291*AS264+AT291*AT264+AU291*AU264+AV291*AV264+AW291*AW264+AX291*AX264+AY291*AY264+AZ291*AZ264+BA291*BA264+BB291*BB264+BC291*BC264+BD291*BD264+BE291*BE264+BF291*BF264+BG291*BG264+BH291*BH264+BI291*BI264+BJ291*BJ264+BK291*BK264+BL291*BL264+BM291*BM264+BN291*BN264+BO291*BO264+BP291*BP264+BQ291*BQ264+BR291*BR264+BS291*BS264+BT291*BT264+BU291*BU264+BV291*BV264+BW291*BW264+BX291*BX264+BY291*BY264+BZ291*BZ264+CA291*CA264+CB291*CB264+CC291*CC264+CD291*CD264+CE291*CE264+CF291*CF264+CG291*CG264+CH291*CH264+CI291*CI264+CJ291*CJ264+CK291*CK264+CL291*CL264+CM291*CM264+CN291*CN264+CO291*CO264+CP291*CP264+CQ291*CQ264+CR291*CR264+CS291*CS264+CT291*CT264+CU291*CU264</f>
        <v>0</v>
      </c>
      <c r="DC264" s="2840">
        <f>E292*E264+F292*F264+G292*G264+H292*H264+I292*I264+J292*J264+K292*K264+L292*L264+M292*M264+N292*N264+O292*O264+P292*P264+Q292*Q264+R292*R264+S292*S264+T292*T264+U292*U264+V292*V264+W292*W264+X292*X264+Y292*Y264+Z292*Z264+AA292*AA264+AB292*AB264+AC292*AC264+AD292*AD264+AE292*AE264+AF292*AF264+AG292*AG264+AH292*AH264+AI292*AI264+AJ292*AJ264+AK292*AK264+AL292*AL264+AM292*AM264+AN292*AN264+AO292*AO264+AP292*AP264+AQ292*AQ264+AR292*AR264+AS292*AS264+AT292*AT264+AU292*AU264+AV292*AV264+AW292*AW264+AX292*AX264+AY292*AY264+AZ292*AZ264+BA292*BA264+BB292*BB264+BC292*BC264+BD292*BD264+BE292*BE264+BF292*BF264+BG292*BG264+BH292*BH264+BI292*BI264+BJ292*BJ264+BK292*BK264+BL292*BL264+BM292*BM264+BN292*BN264+BO292*BO264+BP292*BP264+BQ292*BQ264+BR292*BR264+BS292*BS264+BT292*BT264+BU292*BU264+BV292*BV264+BW292*BW264+BX292*BX264+BY292*BY264+BZ292*BZ264+CA292*CA264+CB292*CB264+CC292*CC264+CD292*CD264+CE292*CE264+CF292*CF264+CG292*CG264+CH292*CH264+CI292*CI264+CJ292*CJ264+CK292*CK264+CL292*CL264+CM292*CM264+CN292*CN264+CO292*CO264+CP292*CP264+CQ292*CQ264+CR292*CR264+CS292*CS264+CT292*CT264+CU292*CU264</f>
        <v>0</v>
      </c>
      <c r="DD264" s="2840">
        <f>E293*E264+F293*F264+G293*G264+H293*H264+I293*I264+J293*J264+K293*K264+L293*L264+M293*M264+N293*N264+O293*O264+P293*P264+Q293*Q264+R293*R264+S293*S264+T293*T264+U293*U264+V293*V264+W293*W264+X293*X264+Y293*Y264+Z293*Z264+AA293*AA264+AB293*AB264+AC293*AC264+AD293*AD264+AE293*AE264+AF293*AF264+AG293*AG264+AH293*AH264+AI293*AI264+AJ293*AJ264+AK293*AK264+AL293*AL264+AM293*AM264+AN293*AN264+AO293*AO264+AP293*AP264+AQ293*AQ264+AR293*AR264+AS293*AS264+AT293*AT264+AU293*AU264+AV293*AV264+AW293*AW264+AX293*AX264+AY293*AY264+AZ293*AZ264+BA293*BA264+BB293*BB264+BC293*BC264+BD293*BD264+BE293*BE264+BF293*BF264+BG293*BG264+BH293*BH264+BI293*BI264+BJ293*BJ264+BK293*BK264+BL293*BL264+BM293*BM264+BN293*BN264+BO293*BO264+BP293*BP264+BQ293*BQ264+BR293*BR264+BS293*BS264+BT293*BT264+BU293*BU264+BV293*BV264+BW293*BW264+BX293*BX264+BY293*BY264+BZ293*BZ264+CA293*CA264+CB293*CB264+CC293*CC264+CD293*CD264+CE293*CE264+CF293*CF264+CG293*CG264+CH293*CH264+CI293*CI264+CJ293*CJ264+CK293*CK264+CL293*CL264+CM293*CM264+CN293*CN264+CO293*CO264+CP293*CP264+CQ293*CQ264+CR293*CR264+CS293*CS264+CT293*CT264+CU293*CU264</f>
        <v>0</v>
      </c>
      <c r="DE264" s="2840">
        <f>E294*E264+F294*F264+G294*G264+H294*H264+I294*I264+J294*J264+K294*K264+L294*L264+M294*M264+N294*N264+O294*O264+P294*P264+Q294*Q264+R294*R264+S294*S264+T294*T264+U294*U264+V294*V264+W294*W264+X294*X264+Y294*Y264+Z294*Z264+AA294*AA264+AB294*AB264+AC294*AC264+AD294*AD264+AE294*AE264+AF294*AF264+AG294*AG264+AH294*AH264+AI294*AI264+AJ294*AJ264+AK294*AK264+AL294*AL264+AM294*AM264+AN294*AN264+AO294*AO264+AP294*AP264+AQ294*AQ264+AR294*AR264+AS294*AS264+AT294*AT264+AU294*AU264+AV294*AV264+AW294*AW264+AX294*AX264+AY294*AY264+AZ294*AZ264+BA294*BA264+BB294*BB264+BC294*BC264+BD294*BD264+BE294*BE264+BF294*BF264+BG294*BG264+BH294*BH264+BI294*BI264+BJ294*BJ264+BK294*BK264+BL294*BL264+BM294*BM264+BN294*BN264+BO294*BO264+BP294*BP264+BQ294*BQ264+BR294*BR264+BS294*BS264+BT294*BT264+BU294*BU264+BV294*BV264+BW294*BW264+BX294*BX264+BY294*BY264+BZ294*BZ264+CA294*CA264+CB294*CB264+CC294*CC264+CD294*CD264+CE294*CE264+CF294*CF264+CG294*CG264+CH294*CH264+CI294*CI264+CJ294*CJ264+CK294*CK264+CL294*CL264+CM294*CM264+CN294*CN264+CO294*CO264+CP294*CP264+CQ294*CQ264+CR294*CR264+CS294*CS264+CT294*CT264+CU294*CU264</f>
        <v>0</v>
      </c>
      <c r="DF264" s="2840">
        <f>E295*E264+F295*F264+G295*G264+H295*H264+I295*I264+J295*J264+K295*K264+L295*L264+M295*M264+N295*N264+O295*O264+P295*P264+Q295*Q264+R295*R264+S295*S264+T295*T264+U295*U264+V295*V264+W295*W264+X295*X264+Y295*Y264+Z295*Z264+AA295*AA264+AB295*AB264+AC295*AC264+AD295*AD264+AE295*AE264+AF295*AF264+AG295*AG264+AH295*AH264+AI295*AI264+AJ295*AJ264+AK295*AK264+AL295*AL264+AM295*AM264+AN295*AN264+AO295*AO264+AP295*AP264+AQ295*AQ264+AR295*AR264+AS295*AS264+AT295*AT264+AU295*AU264+AV295*AV264+AW295*AW264+AX295*AX264+AY295*AY264+AZ295*AZ264+BA295*BA264+BB295*BB264+BC295*BC264+BD295*BD264+BE295*BE264+BF295*BF264+BG295*BG264+BH295*BH264+BI295*BI264+BJ295*BJ264+BK295*BK264+BL295*BL264+BM295*BM264+BN295*BN264+BO295*BO264+BP295*BP264+BQ295*BQ264+BR295*BR264+BS295*BS264+BT295*BT264+BU295*BU264+BV295*BV264+BW295*BW264+BX295*BX264+BY295*BY264+BZ295*BZ264+CA295*CA264+CB295*CB264+CC295*CC264+CD295*CD264+CE295*CE264+CF295*CF264+CG295*CG264+CH295*CH264+CI295*CI264+CJ295*CJ264+CK295*CK264+CL295*CL264+CM295*CM264+CN295*CN264+CO295*CO264+CP295*CP264+CQ295*CQ264+CR295*CR264+CS295*CS264+CT295*CT264+CU295*CU264</f>
        <v>0</v>
      </c>
      <c r="DG264" s="2840">
        <f>E296*E264+F296*F264+G296*G264+H296*H264+I296*I264+J296*J264+K296*K264+L296*L264+M296*M264+N296*N264+O296*O264+P296*P264+Q296*Q264+R296*R264+S296*S264+T296*T264+U296*U264+V296*V264+W296*W264+X296*X264+Y296*Y264+Z296*Z264+AA296*AA264+AB296*AB264+AC296*AC264+AD296*AD264+AE296*AE264+AF296*AF264+AG296*AG264+AH296*AH264+AI296*AI264+AJ296*AJ264+AK296*AK264+AL296*AL264+AM296*AM264+AN296*AN264+AO296*AO264+AP296*AP264+AQ296*AQ264+AR296*AR264+AS296*AS264+AT296*AT264+AU296*AU264+AV296*AV264+AW296*AW264+AX296*AX264+AY296*AY264+AZ296*AZ264+BA296*BA264+BB296*BB264+BC296*BC264+BD296*BD264+BE296*BE264+BF296*BF264+BG296*BG264+BH296*BH264+BI296*BI264+BJ296*BJ264+BK296*BK264+BL296*BL264+BM296*BM264+BN296*BN264+BO296*BO264+BP296*BP264+BQ296*BQ264+BR296*BR264+BS296*BS264+BT296*BT264+BU296*BU264+BV296*BV264+BW296*BW264+BX296*BX264+BY296*BY264+BZ296*BZ264+CA296*CA264+CB296*CB264+CC296*CC264+CD296*CD264+CE296*CE264+CF296*CF264+CG296*CG264+CH296*CH264+CI296*CI264+CJ296*CJ264+CK296*CK264+CL296*CL264+CM296*CM264+CN296*CN264+CO296*CO264+CP296*CP264+CQ296*CQ264+CR296*CR264+CS296*CS264+CT296*CT264+CU296*CU264</f>
        <v>0</v>
      </c>
      <c r="DH264" s="2840">
        <f>E297*E264+F297*F264+G297*G264+H297*H264+I297*I264+J297*J264+K297*K264+L297*L264+M297*M264+N297*N264+O297*O264+P297*P264+Q297*Q264+R297*R264+S297*S264+T297*T264+U297*U264+V297*V264+W297*W264+X297*X264+Y297*Y264+Z297*Z264+AA297*AA264+AB297*AB264+AC297*AC264+AD297*AD264+AE297*AE264+AF297*AF264+AG297*AG264+AH297*AH264+AI297*AI264+AJ297*AJ264+AK297*AK264+AL297*AL264+AM297*AM264+AN297*AN264+AO297*AO264+AP297*AP264+AQ297*AQ264+AR297*AR264+AS297*AS264+AT297*AT264+AU297*AU264+AV297*AV264+AW297*AW264+AX297*AX264+AY297*AY264+AZ297*AZ264+BA297*BA264+BB297*BB264+BC297*BC264+BD297*BD264+BE297*BE264+BF297*BF264+BG297*BG264+BH297*BH264+BI297*BI264+BJ297*BJ264+BK297*BK264+BL297*BL264+BM297*BM264+BN297*BN264+BO297*BO264+BP297*BP264+BQ297*BQ264+BR297*BR264+BS297*BS264+BT297*BT264+BU297*BU264+BV297*BV264+BW297*BW264+BX297*BX264+BY297*BY264+BZ297*BZ264+CA297*CA264+CB297*CB264+CC297*CC264+CD297*CD264+CE297*CE264+CF297*CF264+CG297*CG264+CH297*CH264+CI297*CI264+CJ297*CJ264+CK297*CK264+CL297*CL264+CM297*CM264+CN297*CN264+CO297*CO264+CP297*CP264+CQ297*CQ264+CR297*CR264+CS297*CS264+CT297*CT264+CU297*CU264</f>
        <v>0</v>
      </c>
      <c r="DI264" s="2840">
        <f>E298*E264+F298*F264+G298*G264+H298*H264+I298*I264+J298*J264+K298*K264+L298*L264+M298*M264+N298*N264+O298*O264+P298*P264+Q298*Q264+R298*R264+S298*S264+T298*T264+U298*U264+V298*V264+W298*W264+X298*X264+Y298*Y264+Z298*Z264+AA298*AA264+AB298*AB264+AC298*AC264+AD298*AD264+AE298*AE264+AF298*AF264+AG298*AG264+AH298*AH264+AI298*AI264+AJ298*AJ264+AK298*AK264+AL298*AL264+AM298*AM264+AN298*AN264+AO298*AO264+AP298*AP264+AQ298*AQ264+AR298*AR264+AS298*AS264+AT298*AT264+AU298*AU264+AV298*AV264+AW298*AW264+AX298*AX264+AY298*AY264+AZ298*AZ264+BA298*BA264+BB298*BB264+BC298*BC264+BD298*BD264+BE298*BE264+BF298*BF264+BG298*BG264+BH298*BH264+BI298*BI264+BJ298*BJ264+BK298*BK264+BL298*BL264+BM298*BM264+BN298*BN264+BO298*BO264+BP298*BP264+BQ298*BQ264+BR298*BR264+BS298*BS264+BT298*BT264+BU298*BU264+BV298*BV264+BW298*BW264+BX298*BX264+BY298*BY264+BZ298*BZ264+CA298*CA264+CB298*CB264+CC298*CC264+CD298*CD264+CE298*CE264+CF298*CF264+CG298*CG264+CH298*CH264+CI298*CI264+CJ298*CJ264+CK298*CK264+CL298*CL264+CM298*CM264+CN298*CN264+CO298*CO264+CP298*CP264+CQ298*CQ264+CR298*CR264+CS298*CS264+CT298*CT264+CU298*CU264</f>
        <v>0</v>
      </c>
    </row>
    <row r="265" spans="2:113" ht="18" x14ac:dyDescent="0.25">
      <c r="B265" s="2816">
        <v>112</v>
      </c>
      <c r="C265" s="2817" t="s">
        <v>3641</v>
      </c>
      <c r="D265" s="2818" t="s">
        <v>5516</v>
      </c>
      <c r="E265" s="3133">
        <f>0</f>
        <v>0</v>
      </c>
      <c r="F265" s="3133">
        <f>0</f>
        <v>0</v>
      </c>
      <c r="G265" s="3133">
        <f>0</f>
        <v>0</v>
      </c>
      <c r="H265" s="3133">
        <f>0</f>
        <v>0</v>
      </c>
      <c r="I265" s="3133">
        <f>0</f>
        <v>0</v>
      </c>
      <c r="J265" s="3133">
        <f>0</f>
        <v>0</v>
      </c>
      <c r="K265" s="3150">
        <f>0</f>
        <v>0</v>
      </c>
      <c r="L265" s="3133">
        <f>0</f>
        <v>0</v>
      </c>
      <c r="M265" s="3133">
        <f>0</f>
        <v>0</v>
      </c>
      <c r="N265" s="3133">
        <f>0</f>
        <v>0</v>
      </c>
      <c r="O265" s="3133">
        <f>0</f>
        <v>0</v>
      </c>
      <c r="P265" s="3133">
        <f>0</f>
        <v>0</v>
      </c>
      <c r="Q265" s="3133">
        <f>0</f>
        <v>0</v>
      </c>
      <c r="R265" s="3133">
        <f>0</f>
        <v>0</v>
      </c>
      <c r="S265" s="3133">
        <f>0</f>
        <v>0</v>
      </c>
      <c r="T265" s="3133">
        <f>0</f>
        <v>0</v>
      </c>
      <c r="U265" s="3133">
        <f>0</f>
        <v>0</v>
      </c>
      <c r="V265" s="3133">
        <f>0</f>
        <v>0</v>
      </c>
      <c r="W265" s="3133">
        <f>0</f>
        <v>0</v>
      </c>
      <c r="X265" s="3133">
        <f>0</f>
        <v>0</v>
      </c>
      <c r="Y265" s="3133">
        <f>0</f>
        <v>0</v>
      </c>
      <c r="Z265" s="3133">
        <f>0</f>
        <v>0</v>
      </c>
      <c r="AA265" s="3133">
        <f>0</f>
        <v>0</v>
      </c>
      <c r="AB265" s="3150">
        <f>0</f>
        <v>0</v>
      </c>
      <c r="AC265" s="3150">
        <f>0</f>
        <v>0</v>
      </c>
      <c r="AD265" s="3150">
        <f>0</f>
        <v>0</v>
      </c>
      <c r="AE265" s="3150">
        <f>0</f>
        <v>0</v>
      </c>
      <c r="AF265" s="3150">
        <f>0</f>
        <v>0</v>
      </c>
      <c r="AG265" s="3150">
        <f>0</f>
        <v>0</v>
      </c>
      <c r="AH265" s="3150">
        <f>0</f>
        <v>0</v>
      </c>
      <c r="AI265" s="3150">
        <f>0</f>
        <v>0</v>
      </c>
      <c r="AJ265" s="3150">
        <f>0</f>
        <v>0</v>
      </c>
      <c r="AK265" s="3150">
        <f>0</f>
        <v>0</v>
      </c>
      <c r="AL265" s="3150">
        <f>0</f>
        <v>0</v>
      </c>
      <c r="AM265" s="3150">
        <f>0</f>
        <v>0</v>
      </c>
      <c r="AN265" s="3133">
        <f>0</f>
        <v>0</v>
      </c>
      <c r="AO265" s="3150">
        <f>0</f>
        <v>0</v>
      </c>
      <c r="AP265" s="3150">
        <f>0</f>
        <v>0</v>
      </c>
      <c r="AQ265" s="3150">
        <f>0</f>
        <v>0</v>
      </c>
      <c r="AR265" s="3150">
        <f>0</f>
        <v>0</v>
      </c>
      <c r="AS265" s="3133">
        <f>0</f>
        <v>0</v>
      </c>
      <c r="AT265" s="3150">
        <f>0</f>
        <v>0</v>
      </c>
      <c r="AU265" s="3150">
        <f>0</f>
        <v>0</v>
      </c>
      <c r="AV265" s="3150">
        <f>0</f>
        <v>0</v>
      </c>
      <c r="AW265" s="3150">
        <f>0</f>
        <v>0</v>
      </c>
      <c r="AX265" s="3150">
        <f>0</f>
        <v>0</v>
      </c>
      <c r="AY265" s="3150">
        <f>0</f>
        <v>0</v>
      </c>
      <c r="AZ265" s="3150">
        <f>0</f>
        <v>0</v>
      </c>
      <c r="BA265" s="3150">
        <f>0</f>
        <v>0</v>
      </c>
      <c r="BB265" s="3150">
        <f>0</f>
        <v>0</v>
      </c>
      <c r="BC265" s="3150">
        <f>0</f>
        <v>0</v>
      </c>
      <c r="BD265" s="3150">
        <f>0</f>
        <v>0</v>
      </c>
      <c r="BE265" s="3150">
        <f>0</f>
        <v>0</v>
      </c>
      <c r="BF265" s="3150">
        <f>0</f>
        <v>0</v>
      </c>
      <c r="BG265" s="3150">
        <f>0</f>
        <v>0</v>
      </c>
      <c r="BH265" s="3150">
        <f>0</f>
        <v>0</v>
      </c>
      <c r="BI265" s="3150">
        <f>0</f>
        <v>0</v>
      </c>
      <c r="BJ265" s="3150">
        <f>0</f>
        <v>0</v>
      </c>
      <c r="BK265" s="3150">
        <f>0</f>
        <v>0</v>
      </c>
      <c r="BL265" s="3150">
        <f>0</f>
        <v>0</v>
      </c>
      <c r="BM265" s="3150">
        <f>0</f>
        <v>0</v>
      </c>
      <c r="BN265" s="3150">
        <f>0</f>
        <v>0</v>
      </c>
      <c r="BO265" s="3150">
        <f>0</f>
        <v>0</v>
      </c>
      <c r="BP265" s="3150">
        <f>0</f>
        <v>0</v>
      </c>
      <c r="BQ265" s="3150">
        <f>0</f>
        <v>0</v>
      </c>
      <c r="BR265" s="3150">
        <f>0</f>
        <v>0</v>
      </c>
      <c r="BS265" s="3150">
        <f>0</f>
        <v>0</v>
      </c>
      <c r="BT265" s="3150">
        <f>0</f>
        <v>0</v>
      </c>
      <c r="BU265" s="3150">
        <f>0</f>
        <v>0</v>
      </c>
      <c r="BV265" s="3150">
        <f>0</f>
        <v>0</v>
      </c>
      <c r="BW265" s="3150">
        <f>0</f>
        <v>0</v>
      </c>
      <c r="BX265" s="3150">
        <f>0</f>
        <v>0</v>
      </c>
      <c r="BY265" s="3150">
        <f>0</f>
        <v>0</v>
      </c>
      <c r="BZ265" s="3150">
        <f>0</f>
        <v>0</v>
      </c>
      <c r="CA265" s="3150">
        <f>0</f>
        <v>0</v>
      </c>
      <c r="CB265" s="3150">
        <f>-1</f>
        <v>-1</v>
      </c>
      <c r="CC265" s="3150">
        <f>1</f>
        <v>1</v>
      </c>
      <c r="CD265" s="3150">
        <f>0</f>
        <v>0</v>
      </c>
      <c r="CE265" s="3150">
        <f>0</f>
        <v>0</v>
      </c>
      <c r="CF265" s="3150">
        <f>0</f>
        <v>0</v>
      </c>
      <c r="CG265" s="3150">
        <f>0</f>
        <v>0</v>
      </c>
      <c r="CH265" s="3150">
        <f>0</f>
        <v>0</v>
      </c>
      <c r="CI265" s="3150">
        <f>0</f>
        <v>0</v>
      </c>
      <c r="CJ265" s="3150">
        <f>0</f>
        <v>0</v>
      </c>
      <c r="CK265" s="3213">
        <f>0</f>
        <v>0</v>
      </c>
      <c r="CL265" s="3213">
        <f>0</f>
        <v>0</v>
      </c>
      <c r="CM265" s="3213">
        <f>0</f>
        <v>0</v>
      </c>
      <c r="CN265" s="3213">
        <f>0</f>
        <v>0</v>
      </c>
      <c r="CO265" s="3213">
        <f>0</f>
        <v>0</v>
      </c>
      <c r="CP265" s="3213">
        <f>0</f>
        <v>0</v>
      </c>
      <c r="CQ265" s="3213">
        <f>0</f>
        <v>0</v>
      </c>
      <c r="CR265" s="3213">
        <f>0</f>
        <v>0</v>
      </c>
      <c r="CS265" s="3213">
        <f>0</f>
        <v>0</v>
      </c>
      <c r="CT265" s="3213">
        <f>0</f>
        <v>0</v>
      </c>
      <c r="CU265" s="3213">
        <f>0</f>
        <v>0</v>
      </c>
      <c r="CV265" s="3237">
        <f>q_PFOS_SORP*(S_PFOS-(X_PFOS/X_VSS)*(c_g_kg*c_mg_g)/K_OC_PFOS_EQ)</f>
        <v>3.2726007961847956E-6</v>
      </c>
      <c r="CX265" s="2838">
        <f>E287*E265+F287*F265+G287*G265+H287*H265+I287*I265+J287*J265+K287*K265+L287*L265+M287*M265+N287*N265+O287*O265+P287*P265+Q287*Q265+R287*R265+S287*S265+T287*T265+U287*U265+V287*V265+W287*W265+X287*X265+Y287*Y265+Z287*Z265+AA287*AA265+AB287*AB265+AC287*AC265+AD287*AD265+AE287*AE265+AF287*AF265+AG287*AG265+AH287*AH265+AI287*AI265+AJ287*AJ265+AK287*AK265+AL287*AL265+AM287*AM265+AN287*AN265+AO287*AO265+AP287*AP265+AQ287*AQ265+AR287*AR265+AS287*AS265+AT287*AT265+AU287*AU265+AV287*AV265+AW287*AW265+AX287*AX265+AY287*AY265+AZ287*AZ265+BA287*BA265+BB287*BB265+BC287*BC265+BD287*BD265+BE287*BE265+BF287*BF265+BG287*BG265+BH287*BH265+BI287*BI265+BJ287*BJ265+BK287*BK265+BL287*BL265+BM287*BM265+BN287*BN265+BO287*BO265+BP287*BP265+BQ287*BQ265+BR287*BR265+BS287*BS265+BT287*BT265+BU287*BU265+BV287*BV265+BW287*BW265+BX287*BX265+BY287*BY265+BZ287*BZ265+CA287*CA265+CB287*CB265+CC287*CC265+CD287*CD265+CE287*CE265+CF287*CF265+CG287*CG265+CH287*CH265+CI287*CI265+CJ287*CJ265+CK287*CK265+CL287*CL265+CM287*CM265+CN287*CN265+CO287*CO265+CP287*CP265+CQ287*CQ265+CR287*CR265+CS287*CS265+CT287*CT265+CU287*CU265</f>
        <v>0</v>
      </c>
      <c r="CY265" s="2838">
        <f>E288*E265+F288*F265+G288*G265+H288*H265+I288*I265+J288*J265+K288*K265+L288*L265+M288*M265+N288*N265+O288*O265+P288*P265+Q288*Q265+R288*R265+S288*S265+T288*T265+U288*U265+V288*V265+W288*W265+X288*X265+Y288*Y265+Z288*Z265+AA288*AA265+AB288*AB265+AC288*AC265+AD288*AD265+AE288*AE265+AF288*AF265+AG288*AG265+AH288*AH265+AI288*AI265+AJ288*AJ265+AK288*AK265+AL288*AL265+AM288*AM265+AN288*AN265+AO288*AO265+AP288*AP265+AQ288*AQ265+AR288*AR265+AS288*AS265+AT288*AT265+AU288*AU265+AV288*AV265+AW288*AW265+AX288*AX265+AY288*AY265+AZ288*AZ265+BA288*BA265+BB288*BB265+BC288*BC265+BD288*BD265+BE288*BE265+BF288*BF265+BG288*BG265+BH288*BH265+BI288*BI265+BJ288*BJ265+BK288*BK265+BL288*BL265+BM288*BM265+BN288*BN265+BO288*BO265+BP288*BP265+BQ288*BQ265+BR288*BR265+BS288*BS265+BT288*BT265+BU288*BU265+BV288*BV265+BW288*BW265+BX288*BX265+BY288*BY265+BZ288*BZ265+CA288*CA265+CB288*CB265+CC288*CC265+CD288*CD265+CE288*CE265+CF288*CF265+CG288*CG265+CH288*CH265+CI288*CI265+CJ288*CJ265+CK288*CK265+CL288*CL265+CM288*CM265+CN288*CN265+CO288*CO265+CP288*CP265+CQ288*CQ265+CR288*CR265+CS288*CS265+CT288*CT265+CU288*CU265</f>
        <v>0</v>
      </c>
      <c r="CZ265" s="2839">
        <f>E289*E265+F289*F265+G289*G265+H289*H265+I289*I265+J289*J265+K289*K265+L289*L265+M289*M265+N289*N265+O289*O265+P289*P265+Q289*Q265+R289*R265+S289*S265+T289*T265+U289*U265+V289*V265+W289*W265+X289*X265+Y289*Y265+Z289*Z265+AA289*AA265+AB289*AB265+AC289*AC265+AD289*AD265+AE289*AE265+AF289*AF265+AG289*AG265+AH289*AH265+AI289*AI265+AJ289*AJ265+AK289*AK265+AL289*AL265+AM289*AM265+AN289*AN265+AO289*AO265+AP289*AP265+AQ289*AQ265+AR289*AR265+AS289*AS265+AT289*AT265+AU289*AU265+AV289*AV265+AW289*AW265+AX289*AX265+AY289*AY265+AZ289*AZ265+BA289*BA265+BB289*BB265+BC289*BC265+BD289*BD265+BE289*BE265+BF289*BF265+BG289*BG265+BH289*BH265+BI289*BI265+BJ289*BJ265+BK289*BK265+BL289*BL265+BM289*BM265+BN289*BN265+BO289*BO265+BP289*BP265+BQ289*BQ265+BR289*BR265+BS289*BS265+BT289*BT265+BU289*BU265+BV289*BV265+BW289*BW265+BX289*BX265+BY289*BY265+BZ289*BZ265+CA289*CA265+CB289*CB265+CC289*CC265+CD289*CD265+CE289*CE265+CF289*CF265+CG289*CG265+CH289*CH265+CI289*CI265+CJ289*CJ265+CK289*CK265+CL289*CL265+CM289*CM265+CN289*CN265+CO289*CO265+CP289*CP265+CQ289*CQ265+CR289*CR265+CS289*CS265+CT289*CT265+CU289*CU265</f>
        <v>0</v>
      </c>
      <c r="DA265" s="2840">
        <f>E290*E265+F290*F265+G290*G265+H290*H265+I290*I265+J290*J265+K290*K265+L290*L265+M290*M265+N290*N265+O290*O265+P290*P265+Q290*Q265+R290*R265+S290*S265+T290*T265+U290*U265+V290*V265+W290*W265+X290*X265+Y290*Y265+Z290*Z265+AA290*AA265+AB290*AB265+AC290*AC265+AD290*AD265+AE290*AE265+AF290*AF265+AG290*AG265+AH290*AH265+AI290*AI265+AJ290*AJ265+AK290*AK265+AL290*AL265+AM290*AM265+AN290*AN265+AO290*AO265+AP290*AP265+AQ290*AQ265+AR290*AR265+AS290*AS265+AT290*AT265+AU290*AU265+AV290*AV265+AW290*AW265+AX290*AX265+AY290*AY265+AZ290*AZ265+BA290*BA265+BB290*BB265+BC290*BC265+BD290*BD265+BE290*BE265+BF290*BF265+BG290*BG265+BH290*BH265+BI290*BI265+BJ290*BJ265+BK290*BK265+BL290*BL265+BM290*BM265+BN290*BN265+BO290*BO265+BP290*BP265+BQ290*BQ265+BR290*BR265+BS290*BS265+BT290*BT265+BU290*BU265+BV290*BV265+BW290*BW265+BX290*BX265+BY290*BY265+BZ290*BZ265+CA290*CA265+CB290*CB265+CC290*CC265+CD290*CD265+CE290*CE265+CF290*CF265+CG290*CG265+CH290*CH265+CI290*CI265+CJ290*CJ265+CK290*CK265+CL290*CL265+CM290*CM265+CN290*CN265+CO290*CO265+CP290*CP265+CQ290*CQ265+CR290*CR265+CS290*CS265+CT290*CT265+CU290*CU265</f>
        <v>0</v>
      </c>
      <c r="DB265" s="2840">
        <f>E291*E265+F291*F265+G291*G265+H291*H265+I291*I265+J291*J265+K291*K265+L291*L265+M291*M265+N291*N265+O291*O265+P291*P265+Q291*Q265+R291*R265+S291*S265+T291*T265+U291*U265+V291*V265+W291*W265+X291*X265+Y291*Y265+Z291*Z265+AA291*AA265+AB291*AB265+AC291*AC265+AD291*AD265+AE291*AE265+AF291*AF265+AG291*AG265+AH291*AH265+AI291*AI265+AJ291*AJ265+AK291*AK265+AL291*AL265+AM291*AM265+AN291*AN265+AO291*AO265+AP291*AP265+AQ291*AQ265+AR291*AR265+AS291*AS265+AT291*AT265+AU291*AU265+AV291*AV265+AW291*AW265+AX291*AX265+AY291*AY265+AZ291*AZ265+BA291*BA265+BB291*BB265+BC291*BC265+BD291*BD265+BE291*BE265+BF291*BF265+BG291*BG265+BH291*BH265+BI291*BI265+BJ291*BJ265+BK291*BK265+BL291*BL265+BM291*BM265+BN291*BN265+BO291*BO265+BP291*BP265+BQ291*BQ265+BR291*BR265+BS291*BS265+BT291*BT265+BU291*BU265+BV291*BV265+BW291*BW265+BX291*BX265+BY291*BY265+BZ291*BZ265+CA291*CA265+CB291*CB265+CC291*CC265+CD291*CD265+CE291*CE265+CF291*CF265+CG291*CG265+CH291*CH265+CI291*CI265+CJ291*CJ265+CK291*CK265+CL291*CL265+CM291*CM265+CN291*CN265+CO291*CO265+CP291*CP265+CQ291*CQ265+CR291*CR265+CS291*CS265+CT291*CT265+CU291*CU265</f>
        <v>0</v>
      </c>
      <c r="DC265" s="2840">
        <f>E292*E265+F292*F265+G292*G265+H292*H265+I292*I265+J292*J265+K292*K265+L292*L265+M292*M265+N292*N265+O292*O265+P292*P265+Q292*Q265+R292*R265+S292*S265+T292*T265+U292*U265+V292*V265+W292*W265+X292*X265+Y292*Y265+Z292*Z265+AA292*AA265+AB292*AB265+AC292*AC265+AD292*AD265+AE292*AE265+AF292*AF265+AG292*AG265+AH292*AH265+AI292*AI265+AJ292*AJ265+AK292*AK265+AL292*AL265+AM292*AM265+AN292*AN265+AO292*AO265+AP292*AP265+AQ292*AQ265+AR292*AR265+AS292*AS265+AT292*AT265+AU292*AU265+AV292*AV265+AW292*AW265+AX292*AX265+AY292*AY265+AZ292*AZ265+BA292*BA265+BB292*BB265+BC292*BC265+BD292*BD265+BE292*BE265+BF292*BF265+BG292*BG265+BH292*BH265+BI292*BI265+BJ292*BJ265+BK292*BK265+BL292*BL265+BM292*BM265+BN292*BN265+BO292*BO265+BP292*BP265+BQ292*BQ265+BR292*BR265+BS292*BS265+BT292*BT265+BU292*BU265+BV292*BV265+BW292*BW265+BX292*BX265+BY292*BY265+BZ292*BZ265+CA292*CA265+CB292*CB265+CC292*CC265+CD292*CD265+CE292*CE265+CF292*CF265+CG292*CG265+CH292*CH265+CI292*CI265+CJ292*CJ265+CK292*CK265+CL292*CL265+CM292*CM265+CN292*CN265+CO292*CO265+CP292*CP265+CQ292*CQ265+CR292*CR265+CS292*CS265+CT292*CT265+CU292*CU265</f>
        <v>0</v>
      </c>
      <c r="DD265" s="2840">
        <f>E293*E265+F293*F265+G293*G265+H293*H265+I293*I265+J293*J265+K293*K265+L293*L265+M293*M265+N293*N265+O293*O265+P293*P265+Q293*Q265+R293*R265+S293*S265+T293*T265+U293*U265+V293*V265+W293*W265+X293*X265+Y293*Y265+Z293*Z265+AA293*AA265+AB293*AB265+AC293*AC265+AD293*AD265+AE293*AE265+AF293*AF265+AG293*AG265+AH293*AH265+AI293*AI265+AJ293*AJ265+AK293*AK265+AL293*AL265+AM293*AM265+AN293*AN265+AO293*AO265+AP293*AP265+AQ293*AQ265+AR293*AR265+AS293*AS265+AT293*AT265+AU293*AU265+AV293*AV265+AW293*AW265+AX293*AX265+AY293*AY265+AZ293*AZ265+BA293*BA265+BB293*BB265+BC293*BC265+BD293*BD265+BE293*BE265+BF293*BF265+BG293*BG265+BH293*BH265+BI293*BI265+BJ293*BJ265+BK293*BK265+BL293*BL265+BM293*BM265+BN293*BN265+BO293*BO265+BP293*BP265+BQ293*BQ265+BR293*BR265+BS293*BS265+BT293*BT265+BU293*BU265+BV293*BV265+BW293*BW265+BX293*BX265+BY293*BY265+BZ293*BZ265+CA293*CA265+CB293*CB265+CC293*CC265+CD293*CD265+CE293*CE265+CF293*CF265+CG293*CG265+CH293*CH265+CI293*CI265+CJ293*CJ265+CK293*CK265+CL293*CL265+CM293*CM265+CN293*CN265+CO293*CO265+CP293*CP265+CQ293*CQ265+CR293*CR265+CS293*CS265+CT293*CT265+CU293*CU265</f>
        <v>0</v>
      </c>
      <c r="DE265" s="2840">
        <f>E294*E265+F294*F265+G294*G265+H294*H265+I294*I265+J294*J265+K294*K265+L294*L265+M294*M265+N294*N265+O294*O265+P294*P265+Q294*Q265+R294*R265+S294*S265+T294*T265+U294*U265+V294*V265+W294*W265+X294*X265+Y294*Y265+Z294*Z265+AA294*AA265+AB294*AB265+AC294*AC265+AD294*AD265+AE294*AE265+AF294*AF265+AG294*AG265+AH294*AH265+AI294*AI265+AJ294*AJ265+AK294*AK265+AL294*AL265+AM294*AM265+AN294*AN265+AO294*AO265+AP294*AP265+AQ294*AQ265+AR294*AR265+AS294*AS265+AT294*AT265+AU294*AU265+AV294*AV265+AW294*AW265+AX294*AX265+AY294*AY265+AZ294*AZ265+BA294*BA265+BB294*BB265+BC294*BC265+BD294*BD265+BE294*BE265+BF294*BF265+BG294*BG265+BH294*BH265+BI294*BI265+BJ294*BJ265+BK294*BK265+BL294*BL265+BM294*BM265+BN294*BN265+BO294*BO265+BP294*BP265+BQ294*BQ265+BR294*BR265+BS294*BS265+BT294*BT265+BU294*BU265+BV294*BV265+BW294*BW265+BX294*BX265+BY294*BY265+BZ294*BZ265+CA294*CA265+CB294*CB265+CC294*CC265+CD294*CD265+CE294*CE265+CF294*CF265+CG294*CG265+CH294*CH265+CI294*CI265+CJ294*CJ265+CK294*CK265+CL294*CL265+CM294*CM265+CN294*CN265+CO294*CO265+CP294*CP265+CQ294*CQ265+CR294*CR265+CS294*CS265+CT294*CT265+CU294*CU265</f>
        <v>0</v>
      </c>
      <c r="DF265" s="2840">
        <f>E295*E265+F295*F265+G295*G265+H295*H265+I295*I265+J295*J265+K295*K265+L295*L265+M295*M265+N295*N265+O295*O265+P295*P265+Q295*Q265+R295*R265+S295*S265+T295*T265+U295*U265+V295*V265+W295*W265+X295*X265+Y295*Y265+Z295*Z265+AA295*AA265+AB295*AB265+AC295*AC265+AD295*AD265+AE295*AE265+AF295*AF265+AG295*AG265+AH295*AH265+AI295*AI265+AJ295*AJ265+AK295*AK265+AL295*AL265+AM295*AM265+AN295*AN265+AO295*AO265+AP295*AP265+AQ295*AQ265+AR295*AR265+AS295*AS265+AT295*AT265+AU295*AU265+AV295*AV265+AW295*AW265+AX295*AX265+AY295*AY265+AZ295*AZ265+BA295*BA265+BB295*BB265+BC295*BC265+BD295*BD265+BE295*BE265+BF295*BF265+BG295*BG265+BH295*BH265+BI295*BI265+BJ295*BJ265+BK295*BK265+BL295*BL265+BM295*BM265+BN295*BN265+BO295*BO265+BP295*BP265+BQ295*BQ265+BR295*BR265+BS295*BS265+BT295*BT265+BU295*BU265+BV295*BV265+BW295*BW265+BX295*BX265+BY295*BY265+BZ295*BZ265+CA295*CA265+CB295*CB265+CC295*CC265+CD295*CD265+CE295*CE265+CF295*CF265+CG295*CG265+CH295*CH265+CI295*CI265+CJ295*CJ265+CK295*CK265+CL295*CL265+CM295*CM265+CN295*CN265+CO295*CO265+CP295*CP265+CQ295*CQ265+CR295*CR265+CS295*CS265+CT295*CT265+CU295*CU265</f>
        <v>0</v>
      </c>
      <c r="DG265" s="2840">
        <f>E296*E265+F296*F265+G296*G265+H296*H265+I296*I265+J296*J265+K296*K265+L296*L265+M296*M265+N296*N265+O296*O265+P296*P265+Q296*Q265+R296*R265+S296*S265+T296*T265+U296*U265+V296*V265+W296*W265+X296*X265+Y296*Y265+Z296*Z265+AA296*AA265+AB296*AB265+AC296*AC265+AD296*AD265+AE296*AE265+AF296*AF265+AG296*AG265+AH296*AH265+AI296*AI265+AJ296*AJ265+AK296*AK265+AL296*AL265+AM296*AM265+AN296*AN265+AO296*AO265+AP296*AP265+AQ296*AQ265+AR296*AR265+AS296*AS265+AT296*AT265+AU296*AU265+AV296*AV265+AW296*AW265+AX296*AX265+AY296*AY265+AZ296*AZ265+BA296*BA265+BB296*BB265+BC296*BC265+BD296*BD265+BE296*BE265+BF296*BF265+BG296*BG265+BH296*BH265+BI296*BI265+BJ296*BJ265+BK296*BK265+BL296*BL265+BM296*BM265+BN296*BN265+BO296*BO265+BP296*BP265+BQ296*BQ265+BR296*BR265+BS296*BS265+BT296*BT265+BU296*BU265+BV296*BV265+BW296*BW265+BX296*BX265+BY296*BY265+BZ296*BZ265+CA296*CA265+CB296*CB265+CC296*CC265+CD296*CD265+CE296*CE265+CF296*CF265+CG296*CG265+CH296*CH265+CI296*CI265+CJ296*CJ265+CK296*CK265+CL296*CL265+CM296*CM265+CN296*CN265+CO296*CO265+CP296*CP265+CQ296*CQ265+CR296*CR265+CS296*CS265+CT296*CT265+CU296*CU265</f>
        <v>0</v>
      </c>
      <c r="DH265" s="2840">
        <f>E297*E265+F297*F265+G297*G265+H297*H265+I297*I265+J297*J265+K297*K265+L297*L265+M297*M265+N297*N265+O297*O265+P297*P265+Q297*Q265+R297*R265+S297*S265+T297*T265+U297*U265+V297*V265+W297*W265+X297*X265+Y297*Y265+Z297*Z265+AA297*AA265+AB297*AB265+AC297*AC265+AD297*AD265+AE297*AE265+AF297*AF265+AG297*AG265+AH297*AH265+AI297*AI265+AJ297*AJ265+AK297*AK265+AL297*AL265+AM297*AM265+AN297*AN265+AO297*AO265+AP297*AP265+AQ297*AQ265+AR297*AR265+AS297*AS265+AT297*AT265+AU297*AU265+AV297*AV265+AW297*AW265+AX297*AX265+AY297*AY265+AZ297*AZ265+BA297*BA265+BB297*BB265+BC297*BC265+BD297*BD265+BE297*BE265+BF297*BF265+BG297*BG265+BH297*BH265+BI297*BI265+BJ297*BJ265+BK297*BK265+BL297*BL265+BM297*BM265+BN297*BN265+BO297*BO265+BP297*BP265+BQ297*BQ265+BR297*BR265+BS297*BS265+BT297*BT265+BU297*BU265+BV297*BV265+BW297*BW265+BX297*BX265+BY297*BY265+BZ297*BZ265+CA297*CA265+CB297*CB265+CC297*CC265+CD297*CD265+CE297*CE265+CF297*CF265+CG297*CG265+CH297*CH265+CI297*CI265+CJ297*CJ265+CK297*CK265+CL297*CL265+CM297*CM265+CN297*CN265+CO297*CO265+CP297*CP265+CQ297*CQ265+CR297*CR265+CS297*CS265+CT297*CT265+CU297*CU265</f>
        <v>0</v>
      </c>
      <c r="DI265" s="2840">
        <f>E298*E265+F298*F265+G298*G265+H298*H265+I298*I265+J298*J265+K298*K265+L298*L265+M298*M265+N298*N265+O298*O265+P298*P265+Q298*Q265+R298*R265+S298*S265+T298*T265+U298*U265+V298*V265+W298*W265+X298*X265+Y298*Y265+Z298*Z265+AA298*AA265+AB298*AB265+AC298*AC265+AD298*AD265+AE298*AE265+AF298*AF265+AG298*AG265+AH298*AH265+AI298*AI265+AJ298*AJ265+AK298*AK265+AL298*AL265+AM298*AM265+AN298*AN265+AO298*AO265+AP298*AP265+AQ298*AQ265+AR298*AR265+AS298*AS265+AT298*AT265+AU298*AU265+AV298*AV265+AW298*AW265+AX298*AX265+AY298*AY265+AZ298*AZ265+BA298*BA265+BB298*BB265+BC298*BC265+BD298*BD265+BE298*BE265+BF298*BF265+BG298*BG265+BH298*BH265+BI298*BI265+BJ298*BJ265+BK298*BK265+BL298*BL265+BM298*BM265+BN298*BN265+BO298*BO265+BP298*BP265+BQ298*BQ265+BR298*BR265+BS298*BS265+BT298*BT265+BU298*BU265+BV298*BV265+BW298*BW265+BX298*BX265+BY298*BY265+BZ298*BZ265+CA298*CA265+CB298*CB265+CC298*CC265+CD298*CD265+CE298*CE265+CF298*CF265+CG298*CG265+CH298*CH265+CI298*CI265+CJ298*CJ265+CK298*CK265+CL298*CL265+CM298*CM265+CN298*CN265+CO298*CO265+CP298*CP265+CQ298*CQ265+CR298*CR265+CS298*CS265+CT298*CT265+CU298*CU265</f>
        <v>0</v>
      </c>
    </row>
    <row r="266" spans="2:113" ht="18" x14ac:dyDescent="0.25">
      <c r="B266" s="2521">
        <v>113</v>
      </c>
      <c r="C266" s="2473" t="s">
        <v>3644</v>
      </c>
      <c r="D266" s="2474" t="s">
        <v>4696</v>
      </c>
      <c r="E266" s="3134">
        <f>0</f>
        <v>0</v>
      </c>
      <c r="F266" s="3134">
        <f>0</f>
        <v>0</v>
      </c>
      <c r="G266" s="3134">
        <f>0</f>
        <v>0</v>
      </c>
      <c r="H266" s="3134">
        <f>0</f>
        <v>0</v>
      </c>
      <c r="I266" s="3134">
        <f>0</f>
        <v>0</v>
      </c>
      <c r="J266" s="3146">
        <f>0</f>
        <v>0</v>
      </c>
      <c r="K266" s="3134">
        <f>0</f>
        <v>0</v>
      </c>
      <c r="L266" s="3134">
        <f>0</f>
        <v>0</v>
      </c>
      <c r="M266" s="3134">
        <f>0</f>
        <v>0</v>
      </c>
      <c r="N266" s="3134">
        <f>0</f>
        <v>0</v>
      </c>
      <c r="O266" s="3134">
        <f>0</f>
        <v>0</v>
      </c>
      <c r="P266" s="3134">
        <f>0</f>
        <v>0</v>
      </c>
      <c r="Q266" s="3134">
        <f>0</f>
        <v>0</v>
      </c>
      <c r="R266" s="3157">
        <f>0</f>
        <v>0</v>
      </c>
      <c r="S266" s="3134">
        <f>0</f>
        <v>0</v>
      </c>
      <c r="T266" s="3134">
        <f>0</f>
        <v>0</v>
      </c>
      <c r="U266" s="3134">
        <f>0</f>
        <v>0</v>
      </c>
      <c r="V266" s="3134">
        <f>0</f>
        <v>0</v>
      </c>
      <c r="W266" s="3134">
        <f>0</f>
        <v>0</v>
      </c>
      <c r="X266" s="3134">
        <f>0</f>
        <v>0</v>
      </c>
      <c r="Y266" s="3134">
        <f>0</f>
        <v>0</v>
      </c>
      <c r="Z266" s="3134">
        <f>0</f>
        <v>0</v>
      </c>
      <c r="AA266" s="3134">
        <f>0</f>
        <v>0</v>
      </c>
      <c r="AB266" s="3134">
        <f>0</f>
        <v>0</v>
      </c>
      <c r="AC266" s="3134">
        <f>0</f>
        <v>0</v>
      </c>
      <c r="AD266" s="3157">
        <f>0</f>
        <v>0</v>
      </c>
      <c r="AE266" s="3134">
        <f>0</f>
        <v>0</v>
      </c>
      <c r="AF266" s="3134">
        <f>0</f>
        <v>0</v>
      </c>
      <c r="AG266" s="3134">
        <f>0</f>
        <v>0</v>
      </c>
      <c r="AH266" s="3134">
        <f>0</f>
        <v>0</v>
      </c>
      <c r="AI266" s="3134">
        <f>0</f>
        <v>0</v>
      </c>
      <c r="AJ266" s="3146">
        <f>0</f>
        <v>0</v>
      </c>
      <c r="AK266" s="3134">
        <f>0</f>
        <v>0</v>
      </c>
      <c r="AL266" s="3157">
        <f>0</f>
        <v>0</v>
      </c>
      <c r="AM266" s="3134">
        <f>0</f>
        <v>0</v>
      </c>
      <c r="AN266" s="3134">
        <f>0</f>
        <v>0</v>
      </c>
      <c r="AO266" s="3134">
        <f>0</f>
        <v>0</v>
      </c>
      <c r="AP266" s="3146">
        <f>0</f>
        <v>0</v>
      </c>
      <c r="AQ266" s="3134">
        <f>0</f>
        <v>0</v>
      </c>
      <c r="AR266" s="3134">
        <f>0</f>
        <v>0</v>
      </c>
      <c r="AS266" s="3134">
        <f>0</f>
        <v>0</v>
      </c>
      <c r="AT266" s="3134">
        <f>0</f>
        <v>0</v>
      </c>
      <c r="AU266" s="3134">
        <f>0</f>
        <v>0</v>
      </c>
      <c r="AV266" s="3134">
        <f>0</f>
        <v>0</v>
      </c>
      <c r="AW266" s="3134">
        <f>0</f>
        <v>0</v>
      </c>
      <c r="AX266" s="3134">
        <f>0</f>
        <v>0</v>
      </c>
      <c r="AY266" s="3134">
        <f>0</f>
        <v>0</v>
      </c>
      <c r="AZ266" s="3157">
        <f>0</f>
        <v>0</v>
      </c>
      <c r="BA266" s="3134">
        <f>0</f>
        <v>0</v>
      </c>
      <c r="BB266" s="3157">
        <f>0</f>
        <v>0</v>
      </c>
      <c r="BC266" s="3134">
        <f>0</f>
        <v>0</v>
      </c>
      <c r="BD266" s="3134">
        <f>0</f>
        <v>0</v>
      </c>
      <c r="BE266" s="3157">
        <f>0</f>
        <v>0</v>
      </c>
      <c r="BF266" s="3134">
        <f>0</f>
        <v>0</v>
      </c>
      <c r="BG266" s="3134">
        <f>0</f>
        <v>0</v>
      </c>
      <c r="BH266" s="3157">
        <f>0</f>
        <v>0</v>
      </c>
      <c r="BI266" s="3157">
        <f>0</f>
        <v>0</v>
      </c>
      <c r="BJ266" s="3134">
        <f>0</f>
        <v>0</v>
      </c>
      <c r="BK266" s="3157">
        <f>0</f>
        <v>0</v>
      </c>
      <c r="BL266" s="3157">
        <f>0</f>
        <v>0</v>
      </c>
      <c r="BM266" s="3134">
        <f>0</f>
        <v>0</v>
      </c>
      <c r="BN266" s="3134">
        <f>0</f>
        <v>0</v>
      </c>
      <c r="BO266" s="3157">
        <f>0</f>
        <v>0</v>
      </c>
      <c r="BP266" s="3157">
        <f>0</f>
        <v>0</v>
      </c>
      <c r="BQ266" s="3134">
        <f>0</f>
        <v>0</v>
      </c>
      <c r="BR266" s="3157">
        <f>0</f>
        <v>0</v>
      </c>
      <c r="BS266" s="3157">
        <f>0</f>
        <v>0</v>
      </c>
      <c r="BT266" s="3157">
        <f>0</f>
        <v>0</v>
      </c>
      <c r="BU266" s="3157">
        <f>0</f>
        <v>0</v>
      </c>
      <c r="BV266" s="3157">
        <f>0</f>
        <v>0</v>
      </c>
      <c r="BW266" s="3157">
        <f>0</f>
        <v>0</v>
      </c>
      <c r="BX266" s="3157">
        <f>0</f>
        <v>0</v>
      </c>
      <c r="BY266" s="3157">
        <f>0</f>
        <v>0</v>
      </c>
      <c r="BZ266" s="3210">
        <f>0</f>
        <v>0</v>
      </c>
      <c r="CA266" s="3210">
        <f>0</f>
        <v>0</v>
      </c>
      <c r="CB266" s="3210">
        <f>0</f>
        <v>0</v>
      </c>
      <c r="CC266" s="3210">
        <f>0</f>
        <v>0</v>
      </c>
      <c r="CD266" s="3157">
        <f>0</f>
        <v>0</v>
      </c>
      <c r="CE266" s="3157">
        <f>1</f>
        <v>1</v>
      </c>
      <c r="CF266" s="3157">
        <f>0</f>
        <v>0</v>
      </c>
      <c r="CG266" s="3157">
        <f>0</f>
        <v>0</v>
      </c>
      <c r="CH266" s="3157">
        <f>0</f>
        <v>0</v>
      </c>
      <c r="CI266" s="3157">
        <f>0</f>
        <v>0</v>
      </c>
      <c r="CJ266" s="3157">
        <f>0</f>
        <v>0</v>
      </c>
      <c r="CK266" s="3157">
        <f>0</f>
        <v>0</v>
      </c>
      <c r="CL266" s="3157">
        <f>0</f>
        <v>0</v>
      </c>
      <c r="CM266" s="3157">
        <f>0</f>
        <v>0</v>
      </c>
      <c r="CN266" s="3157">
        <f>0</f>
        <v>0</v>
      </c>
      <c r="CO266" s="3157">
        <f>0</f>
        <v>0</v>
      </c>
      <c r="CP266" s="3157">
        <f>0</f>
        <v>0</v>
      </c>
      <c r="CQ266" s="3157">
        <f>0</f>
        <v>0</v>
      </c>
      <c r="CR266" s="3157">
        <f>0</f>
        <v>0</v>
      </c>
      <c r="CS266" s="3157">
        <f>0</f>
        <v>0</v>
      </c>
      <c r="CT266" s="3157">
        <f>0</f>
        <v>0</v>
      </c>
      <c r="CU266" s="3157">
        <f>0</f>
        <v>0</v>
      </c>
      <c r="CV266" s="3218">
        <f>q_ALPHA_O2*X_VSS*d_ampALPHA*(S_ALPHA_sat-S_ALPHA)</f>
        <v>1.4319511075289859</v>
      </c>
      <c r="CX266" s="2838">
        <f>E287*E266+F287*F266+G287*G266+H287*H266+I287*I266+J287*J266+K287*K266+L287*L266+M287*M266+N287*N266+O287*O266+P287*P266+Q287*Q266+R287*R266+S287*S266+T287*T266+U287*U266+V287*V266+W287*W266+X287*X266+Y287*Y266+Z287*Z266+AA287*AA266+AB287*AB266+AC287*AC266+AD287*AD266+AE287*AE266+AF287*AF266+AG287*AG266+AH287*AH266+AI287*AI266+AJ287*AJ266+AK287*AK266+AL287*AL266+AM287*AM266+AN287*AN266+AO287*AO266+AP287*AP266+AQ287*AQ266+AR287*AR266+AS287*AS266+AT287*AT266+AU287*AU266+AV287*AV266+AW287*AW266+AX287*AX266+AY287*AY266+AZ287*AZ266+BA287*BA266+BB287*BB266+BC287*BC266+BD287*BD266+BE287*BE266+BF287*BF266+BG287*BG266+BH287*BH266+BI287*BI266+BJ287*BJ266+BK287*BK266+BL287*BL266+BM287*BM266+BN287*BN266+BO287*BO266+BP287*BP266+BQ287*BQ266+BR287*BR266+BS287*BS266+BT287*BT266+BU287*BU266+BV287*BV266+BW287*BW266+BX287*BX266+BY287*BY266+BZ287*BZ266+CA287*CA266+CB287*CB266+CC287*CC266+CD287*CD266+CE287*CE266+CF287*CF266+CG287*CG266+CH287*CH266+CI287*CI266+CJ287*CJ266+CK287*CK266+CL287*CL266+CM287*CM266+CN287*CN266+CO287*CO266+CP287*CP266+CQ287*CQ266+CR287*CR266+CS287*CS266+CT287*CT266+CU287*CU266</f>
        <v>0</v>
      </c>
      <c r="CY266" s="2838">
        <f>E288*E266+F288*F266+G288*G266+H288*H266+I288*I266+J288*J266+K288*K266+L288*L266+M288*M266+N288*N266+O288*O266+P288*P266+Q288*Q266+R288*R266+S288*S266+T288*T266+U288*U266+V288*V266+W288*W266+X288*X266+Y288*Y266+Z288*Z266+AA288*AA266+AB288*AB266+AC288*AC266+AD288*AD266+AE288*AE266+AF288*AF266+AG288*AG266+AH288*AH266+AI288*AI266+AJ288*AJ266+AK288*AK266+AL288*AL266+AM288*AM266+AN288*AN266+AO288*AO266+AP288*AP266+AQ288*AQ266+AR288*AR266+AS288*AS266+AT288*AT266+AU288*AU266+AV288*AV266+AW288*AW266+AX288*AX266+AY288*AY266+AZ288*AZ266+BA288*BA266+BB288*BB266+BC288*BC266+BD288*BD266+BE288*BE266+BF288*BF266+BG288*BG266+BH288*BH266+BI288*BI266+BJ288*BJ266+BK288*BK266+BL288*BL266+BM288*BM266+BN288*BN266+BO288*BO266+BP288*BP266+BQ288*BQ266+BR288*BR266+BS288*BS266+BT288*BT266+BU288*BU266+BV288*BV266+BW288*BW266+BX288*BX266+BY288*BY266+BZ288*BZ266+CA288*CA266+CB288*CB266+CC288*CC266+CD288*CD266+CE288*CE266+CF288*CF266+CG288*CG266+CH288*CH266+CI288*CI266+CJ288*CJ266+CK288*CK266+CL288*CL266+CM288*CM266+CN288*CN266+CO288*CO266+CP288*CP266+CQ288*CQ266+CR288*CR266+CS288*CS266+CT288*CT266+CU288*CU266</f>
        <v>0</v>
      </c>
      <c r="CZ266" s="2839">
        <f>E289*E266+F289*F266+G289*G266+H289*H266+I289*I266+J289*J266+K289*K266+L289*L266+M289*M266+N289*N266+O289*O266+P289*P266+Q289*Q266+R289*R266+S289*S266+T289*T266+U289*U266+V289*V266+W289*W266+X289*X266+Y289*Y266+Z289*Z266+AA289*AA266+AB289*AB266+AC289*AC266+AD289*AD266+AE289*AE266+AF289*AF266+AG289*AG266+AH289*AH266+AI289*AI266+AJ289*AJ266+AK289*AK266+AL289*AL266+AM289*AM266+AN289*AN266+AO289*AO266+AP289*AP266+AQ289*AQ266+AR289*AR266+AS289*AS266+AT289*AT266+AU289*AU266+AV289*AV266+AW289*AW266+AX289*AX266+AY289*AY266+AZ289*AZ266+BA289*BA266+BB289*BB266+BC289*BC266+BD289*BD266+BE289*BE266+BF289*BF266+BG289*BG266+BH289*BH266+BI289*BI266+BJ289*BJ266+BK289*BK266+BL289*BL266+BM289*BM266+BN289*BN266+BO289*BO266+BP289*BP266+BQ289*BQ266+BR289*BR266+BS289*BS266+BT289*BT266+BU289*BU266+BV289*BV266+BW289*BW266+BX289*BX266+BY289*BY266+BZ289*BZ266+CA289*CA266+CB289*CB266+CC289*CC266+CD289*CD266+CE289*CE266+CF289*CF266+CG289*CG266+CH289*CH266+CI289*CI266+CJ289*CJ266+CK289*CK266+CL289*CL266+CM289*CM266+CN289*CN266+CO289*CO266+CP289*CP266+CQ289*CQ266+CR289*CR266+CS289*CS266+CT289*CT266+CU289*CU266</f>
        <v>0</v>
      </c>
      <c r="DA266" s="2840">
        <f>E290*E266+F290*F266+G290*G266+H290*H266+I290*I266+J290*J266+K290*K266+L290*L266+M290*M266+N290*N266+O290*O266+P290*P266+Q290*Q266+R290*R266+S290*S266+T290*T266+U290*U266+V290*V266+W290*W266+X290*X266+Y290*Y266+Z290*Z266+AA290*AA266+AB290*AB266+AC290*AC266+AD290*AD266+AE290*AE266+AF290*AF266+AG290*AG266+AH290*AH266+AI290*AI266+AJ290*AJ266+AK290*AK266+AL290*AL266+AM290*AM266+AN290*AN266+AO290*AO266+AP290*AP266+AQ290*AQ266+AR290*AR266+AS290*AS266+AT290*AT266+AU290*AU266+AV290*AV266+AW290*AW266+AX290*AX266+AY290*AY266+AZ290*AZ266+BA290*BA266+BB290*BB266+BC290*BC266+BD290*BD266+BE290*BE266+BF290*BF266+BG290*BG266+BH290*BH266+BI290*BI266+BJ290*BJ266+BK290*BK266+BL290*BL266+BM290*BM266+BN290*BN266+BO290*BO266+BP290*BP266+BQ290*BQ266+BR290*BR266+BS290*BS266+BT290*BT266+BU290*BU266+BV290*BV266+BW290*BW266+BX290*BX266+BY290*BY266+BZ290*BZ266+CA290*CA266+CB290*CB266+CC290*CC266+CD290*CD266+CE290*CE266+CF290*CF266+CG290*CG266+CH290*CH266+CI290*CI266+CJ290*CJ266+CK290*CK266+CL290*CL266+CM290*CM266+CN290*CN266+CO290*CO266+CP290*CP266+CQ290*CQ266+CR290*CR266+CS290*CS266+CT290*CT266+CU290*CU266</f>
        <v>0</v>
      </c>
      <c r="DB266" s="2840">
        <f>E291*E266+F291*F266+G291*G266+H291*H266+I291*I266+J291*J266+K291*K266+L291*L266+M291*M266+N291*N266+O291*O266+P291*P266+Q291*Q266+R291*R266+S291*S266+T291*T266+U291*U266+V291*V266+W291*W266+X291*X266+Y291*Y266+Z291*Z266+AA291*AA266+AB291*AB266+AC291*AC266+AD291*AD266+AE291*AE266+AF291*AF266+AG291*AG266+AH291*AH266+AI291*AI266+AJ291*AJ266+AK291*AK266+AL291*AL266+AM291*AM266+AN291*AN266+AO291*AO266+AP291*AP266+AQ291*AQ266+AR291*AR266+AS291*AS266+AT291*AT266+AU291*AU266+AV291*AV266+AW291*AW266+AX291*AX266+AY291*AY266+AZ291*AZ266+BA291*BA266+BB291*BB266+BC291*BC266+BD291*BD266+BE291*BE266+BF291*BF266+BG291*BG266+BH291*BH266+BI291*BI266+BJ291*BJ266+BK291*BK266+BL291*BL266+BM291*BM266+BN291*BN266+BO291*BO266+BP291*BP266+BQ291*BQ266+BR291*BR266+BS291*BS266+BT291*BT266+BU291*BU266+BV291*BV266+BW291*BW266+BX291*BX266+BY291*BY266+BZ291*BZ266+CA291*CA266+CB291*CB266+CC291*CC266+CD291*CD266+CE291*CE266+CF291*CF266+CG291*CG266+CH291*CH266+CI291*CI266+CJ291*CJ266+CK291*CK266+CL291*CL266+CM291*CM266+CN291*CN266+CO291*CO266+CP291*CP266+CQ291*CQ266+CR291*CR266+CS291*CS266+CT291*CT266+CU291*CU266</f>
        <v>0</v>
      </c>
      <c r="DC266" s="2840">
        <f>E292*E266+F292*F266+G292*G266+H292*H266+I292*I266+J292*J266+K292*K266+L292*L266+M292*M266+N292*N266+O292*O266+P292*P266+Q292*Q266+R292*R266+S292*S266+T292*T266+U292*U266+V292*V266+W292*W266+X292*X266+Y292*Y266+Z292*Z266+AA292*AA266+AB292*AB266+AC292*AC266+AD292*AD266+AE292*AE266+AF292*AF266+AG292*AG266+AH292*AH266+AI292*AI266+AJ292*AJ266+AK292*AK266+AL292*AL266+AM292*AM266+AN292*AN266+AO292*AO266+AP292*AP266+AQ292*AQ266+AR292*AR266+AS292*AS266+AT292*AT266+AU292*AU266+AV292*AV266+AW292*AW266+AX292*AX266+AY292*AY266+AZ292*AZ266+BA292*BA266+BB292*BB266+BC292*BC266+BD292*BD266+BE292*BE266+BF292*BF266+BG292*BG266+BH292*BH266+BI292*BI266+BJ292*BJ266+BK292*BK266+BL292*BL266+BM292*BM266+BN292*BN266+BO292*BO266+BP292*BP266+BQ292*BQ266+BR292*BR266+BS292*BS266+BT292*BT266+BU292*BU266+BV292*BV266+BW292*BW266+BX292*BX266+BY292*BY266+BZ292*BZ266+CA292*CA266+CB292*CB266+CC292*CC266+CD292*CD266+CE292*CE266+CF292*CF266+CG292*CG266+CH292*CH266+CI292*CI266+CJ292*CJ266+CK292*CK266+CL292*CL266+CM292*CM266+CN292*CN266+CO292*CO266+CP292*CP266+CQ292*CQ266+CR292*CR266+CS292*CS266+CT292*CT266+CU292*CU266</f>
        <v>0</v>
      </c>
      <c r="DD266" s="2840">
        <f>E293*E266+F293*F266+G293*G266+H293*H266+I293*I266+J293*J266+K293*K266+L293*L266+M293*M266+N293*N266+O293*O266+P293*P266+Q293*Q266+R293*R266+S293*S266+T293*T266+U293*U266+V293*V266+W293*W266+X293*X266+Y293*Y266+Z293*Z266+AA293*AA266+AB293*AB266+AC293*AC266+AD293*AD266+AE293*AE266+AF293*AF266+AG293*AG266+AH293*AH266+AI293*AI266+AJ293*AJ266+AK293*AK266+AL293*AL266+AM293*AM266+AN293*AN266+AO293*AO266+AP293*AP266+AQ293*AQ266+AR293*AR266+AS293*AS266+AT293*AT266+AU293*AU266+AV293*AV266+AW293*AW266+AX293*AX266+AY293*AY266+AZ293*AZ266+BA293*BA266+BB293*BB266+BC293*BC266+BD293*BD266+BE293*BE266+BF293*BF266+BG293*BG266+BH293*BH266+BI293*BI266+BJ293*BJ266+BK293*BK266+BL293*BL266+BM293*BM266+BN293*BN266+BO293*BO266+BP293*BP266+BQ293*BQ266+BR293*BR266+BS293*BS266+BT293*BT266+BU293*BU266+BV293*BV266+BW293*BW266+BX293*BX266+BY293*BY266+BZ293*BZ266+CA293*CA266+CB293*CB266+CC293*CC266+CD293*CD266+CE293*CE266+CF293*CF266+CG293*CG266+CH293*CH266+CI293*CI266+CJ293*CJ266+CK293*CK266+CL293*CL266+CM293*CM266+CN293*CN266+CO293*CO266+CP293*CP266+CQ293*CQ266+CR293*CR266+CS293*CS266+CT293*CT266+CU293*CU266</f>
        <v>0</v>
      </c>
      <c r="DE266" s="2840">
        <f>E294*E266+F294*F266+G294*G266+H294*H266+I294*I266+J294*J266+K294*K266+L294*L266+M294*M266+N294*N266+O294*O266+P294*P266+Q294*Q266+R294*R266+S294*S266+T294*T266+U294*U266+V294*V266+W294*W266+X294*X266+Y294*Y266+Z294*Z266+AA294*AA266+AB294*AB266+AC294*AC266+AD294*AD266+AE294*AE266+AF294*AF266+AG294*AG266+AH294*AH266+AI294*AI266+AJ294*AJ266+AK294*AK266+AL294*AL266+AM294*AM266+AN294*AN266+AO294*AO266+AP294*AP266+AQ294*AQ266+AR294*AR266+AS294*AS266+AT294*AT266+AU294*AU266+AV294*AV266+AW294*AW266+AX294*AX266+AY294*AY266+AZ294*AZ266+BA294*BA266+BB294*BB266+BC294*BC266+BD294*BD266+BE294*BE266+BF294*BF266+BG294*BG266+BH294*BH266+BI294*BI266+BJ294*BJ266+BK294*BK266+BL294*BL266+BM294*BM266+BN294*BN266+BO294*BO266+BP294*BP266+BQ294*BQ266+BR294*BR266+BS294*BS266+BT294*BT266+BU294*BU266+BV294*BV266+BW294*BW266+BX294*BX266+BY294*BY266+BZ294*BZ266+CA294*CA266+CB294*CB266+CC294*CC266+CD294*CD266+CE294*CE266+CF294*CF266+CG294*CG266+CH294*CH266+CI294*CI266+CJ294*CJ266+CK294*CK266+CL294*CL266+CM294*CM266+CN294*CN266+CO294*CO266+CP294*CP266+CQ294*CQ266+CR294*CR266+CS294*CS266+CT294*CT266+CU294*CU266</f>
        <v>0</v>
      </c>
      <c r="DF266" s="2840">
        <f>E295*E266+F295*F266+G295*G266+H295*H266+I295*I266+J295*J266+K295*K266+L295*L266+M295*M266+N295*N266+O295*O266+P295*P266+Q295*Q266+R295*R266+S295*S266+T295*T266+U295*U266+V295*V266+W295*W266+X295*X266+Y295*Y266+Z295*Z266+AA295*AA266+AB295*AB266+AC295*AC266+AD295*AD266+AE295*AE266+AF295*AF266+AG295*AG266+AH295*AH266+AI295*AI266+AJ295*AJ266+AK295*AK266+AL295*AL266+AM295*AM266+AN295*AN266+AO295*AO266+AP295*AP266+AQ295*AQ266+AR295*AR266+AS295*AS266+AT295*AT266+AU295*AU266+AV295*AV266+AW295*AW266+AX295*AX266+AY295*AY266+AZ295*AZ266+BA295*BA266+BB295*BB266+BC295*BC266+BD295*BD266+BE295*BE266+BF295*BF266+BG295*BG266+BH295*BH266+BI295*BI266+BJ295*BJ266+BK295*BK266+BL295*BL266+BM295*BM266+BN295*BN266+BO295*BO266+BP295*BP266+BQ295*BQ266+BR295*BR266+BS295*BS266+BT295*BT266+BU295*BU266+BV295*BV266+BW295*BW266+BX295*BX266+BY295*BY266+BZ295*BZ266+CA295*CA266+CB295*CB266+CC295*CC266+CD295*CD266+CE295*CE266+CF295*CF266+CG295*CG266+CH295*CH266+CI295*CI266+CJ295*CJ266+CK295*CK266+CL295*CL266+CM295*CM266+CN295*CN266+CO295*CO266+CP295*CP266+CQ295*CQ266+CR295*CR266+CS295*CS266+CT295*CT266+CU295*CU266</f>
        <v>0</v>
      </c>
      <c r="DG266" s="2840">
        <f>E296*E266+F296*F266+G296*G266+H296*H266+I296*I266+J296*J266+K296*K266+L296*L266+M296*M266+N296*N266+O296*O266+P296*P266+Q296*Q266+R296*R266+S296*S266+T296*T266+U296*U266+V296*V266+W296*W266+X296*X266+Y296*Y266+Z296*Z266+AA296*AA266+AB296*AB266+AC296*AC266+AD296*AD266+AE296*AE266+AF296*AF266+AG296*AG266+AH296*AH266+AI296*AI266+AJ296*AJ266+AK296*AK266+AL296*AL266+AM296*AM266+AN296*AN266+AO296*AO266+AP296*AP266+AQ296*AQ266+AR296*AR266+AS296*AS266+AT296*AT266+AU296*AU266+AV296*AV266+AW296*AW266+AX296*AX266+AY296*AY266+AZ296*AZ266+BA296*BA266+BB296*BB266+BC296*BC266+BD296*BD266+BE296*BE266+BF296*BF266+BG296*BG266+BH296*BH266+BI296*BI266+BJ296*BJ266+BK296*BK266+BL296*BL266+BM296*BM266+BN296*BN266+BO296*BO266+BP296*BP266+BQ296*BQ266+BR296*BR266+BS296*BS266+BT296*BT266+BU296*BU266+BV296*BV266+BW296*BW266+BX296*BX266+BY296*BY266+BZ296*BZ266+CA296*CA266+CB296*CB266+CC296*CC266+CD296*CD266+CE296*CE266+CF296*CF266+CG296*CG266+CH296*CH266+CI296*CI266+CJ296*CJ266+CK296*CK266+CL296*CL266+CM296*CM266+CN296*CN266+CO296*CO266+CP296*CP266+CQ296*CQ266+CR296*CR266+CS296*CS266+CT296*CT266+CU296*CU266</f>
        <v>0</v>
      </c>
      <c r="DH266" s="2840">
        <f>E297*E266+F297*F266+G297*G266+H297*H266+I297*I266+J297*J266+K297*K266+L297*L266+M297*M266+N297*N266+O297*O266+P297*P266+Q297*Q266+R297*R266+S297*S266+T297*T266+U297*U266+V297*V266+W297*W266+X297*X266+Y297*Y266+Z297*Z266+AA297*AA266+AB297*AB266+AC297*AC266+AD297*AD266+AE297*AE266+AF297*AF266+AG297*AG266+AH297*AH266+AI297*AI266+AJ297*AJ266+AK297*AK266+AL297*AL266+AM297*AM266+AN297*AN266+AO297*AO266+AP297*AP266+AQ297*AQ266+AR297*AR266+AS297*AS266+AT297*AT266+AU297*AU266+AV297*AV266+AW297*AW266+AX297*AX266+AY297*AY266+AZ297*AZ266+BA297*BA266+BB297*BB266+BC297*BC266+BD297*BD266+BE297*BE266+BF297*BF266+BG297*BG266+BH297*BH266+BI297*BI266+BJ297*BJ266+BK297*BK266+BL297*BL266+BM297*BM266+BN297*BN266+BO297*BO266+BP297*BP266+BQ297*BQ266+BR297*BR266+BS297*BS266+BT297*BT266+BU297*BU266+BV297*BV266+BW297*BW266+BX297*BX266+BY297*BY266+BZ297*BZ266+CA297*CA266+CB297*CB266+CC297*CC266+CD297*CD266+CE297*CE266+CF297*CF266+CG297*CG266+CH297*CH266+CI297*CI266+CJ297*CJ266+CK297*CK266+CL297*CL266+CM297*CM266+CN297*CN266+CO297*CO266+CP297*CP266+CQ297*CQ266+CR297*CR266+CS297*CS266+CT297*CT266+CU297*CU266</f>
        <v>0</v>
      </c>
      <c r="DI266" s="2840">
        <f>E298*E266+F298*F266+G298*G266+H298*H266+I298*I266+J298*J266+K298*K266+L298*L266+M298*M266+N298*N266+O298*O266+P298*P266+Q298*Q266+R298*R266+S298*S266+T298*T266+U298*U266+V298*V266+W298*W266+X298*X266+Y298*Y266+Z298*Z266+AA298*AA266+AB298*AB266+AC298*AC266+AD298*AD266+AE298*AE266+AF298*AF266+AG298*AG266+AH298*AH266+AI298*AI266+AJ298*AJ266+AK298*AK266+AL298*AL266+AM298*AM266+AN298*AN266+AO298*AO266+AP298*AP266+AQ298*AQ266+AR298*AR266+AS298*AS266+AT298*AT266+AU298*AU266+AV298*AV266+AW298*AW266+AX298*AX266+AY298*AY266+AZ298*AZ266+BA298*BA266+BB298*BB266+BC298*BC266+BD298*BD266+BE298*BE266+BF298*BF266+BG298*BG266+BH298*BH266+BI298*BI266+BJ298*BJ266+BK298*BK266+BL298*BL266+BM298*BM266+BN298*BN266+BO298*BO266+BP298*BP266+BQ298*BQ266+BR298*BR266+BS298*BS266+BT298*BT266+BU298*BU266+BV298*BV266+BW298*BW266+BX298*BX266+BY298*BY266+BZ298*BZ266+CA298*CA266+CB298*CB266+CC298*CC266+CD298*CD266+CE298*CE266+CF298*CF266+CG298*CG266+CH298*CH266+CI298*CI266+CJ298*CJ266+CK298*CK266+CL298*CL266+CM298*CM266+CN298*CN266+CO298*CO266+CP298*CP266+CQ298*CQ266+CR298*CR266+CS298*CS266+CT298*CT266+CU298*CU266</f>
        <v>0</v>
      </c>
    </row>
    <row r="267" spans="2:113" ht="18" x14ac:dyDescent="0.25">
      <c r="B267" s="2523">
        <v>114</v>
      </c>
      <c r="C267" s="2479" t="s">
        <v>3646</v>
      </c>
      <c r="D267" s="1281" t="s">
        <v>3614</v>
      </c>
      <c r="E267" s="3135">
        <f>0</f>
        <v>0</v>
      </c>
      <c r="F267" s="3135">
        <f>0</f>
        <v>0</v>
      </c>
      <c r="G267" s="3135">
        <f>0</f>
        <v>0</v>
      </c>
      <c r="H267" s="3135">
        <f>0</f>
        <v>0</v>
      </c>
      <c r="I267" s="3135">
        <f>0</f>
        <v>0</v>
      </c>
      <c r="J267" s="3147">
        <f>0</f>
        <v>0</v>
      </c>
      <c r="K267" s="3135">
        <f>0</f>
        <v>0</v>
      </c>
      <c r="L267" s="3135">
        <f>0</f>
        <v>0</v>
      </c>
      <c r="M267" s="3135">
        <f>0</f>
        <v>0</v>
      </c>
      <c r="N267" s="3135">
        <f>0</f>
        <v>0</v>
      </c>
      <c r="O267" s="3135">
        <f>0</f>
        <v>0</v>
      </c>
      <c r="P267" s="3135">
        <f>0</f>
        <v>0</v>
      </c>
      <c r="Q267" s="3135">
        <f>0</f>
        <v>0</v>
      </c>
      <c r="R267" s="3158">
        <f>0</f>
        <v>0</v>
      </c>
      <c r="S267" s="3135">
        <f>0</f>
        <v>0</v>
      </c>
      <c r="T267" s="3135">
        <f>0</f>
        <v>0</v>
      </c>
      <c r="U267" s="3135">
        <f>0</f>
        <v>0</v>
      </c>
      <c r="V267" s="3135">
        <f>0</f>
        <v>0</v>
      </c>
      <c r="W267" s="3135">
        <f>0</f>
        <v>0</v>
      </c>
      <c r="X267" s="3135">
        <f>0</f>
        <v>0</v>
      </c>
      <c r="Y267" s="3135">
        <f>0</f>
        <v>0</v>
      </c>
      <c r="Z267" s="3135">
        <f>0</f>
        <v>0</v>
      </c>
      <c r="AA267" s="3135">
        <f>0</f>
        <v>0</v>
      </c>
      <c r="AB267" s="3135">
        <f>0</f>
        <v>0</v>
      </c>
      <c r="AC267" s="3135">
        <f>0</f>
        <v>0</v>
      </c>
      <c r="AD267" s="3135">
        <f>0</f>
        <v>0</v>
      </c>
      <c r="AE267" s="3135">
        <f>0</f>
        <v>0</v>
      </c>
      <c r="AF267" s="3135">
        <f>0</f>
        <v>0</v>
      </c>
      <c r="AG267" s="3135">
        <f>0</f>
        <v>0</v>
      </c>
      <c r="AH267" s="3135">
        <f>0</f>
        <v>0</v>
      </c>
      <c r="AI267" s="3135">
        <f>0</f>
        <v>0</v>
      </c>
      <c r="AJ267" s="3147">
        <f>0</f>
        <v>0</v>
      </c>
      <c r="AK267" s="3135">
        <f>0</f>
        <v>0</v>
      </c>
      <c r="AL267" s="3135">
        <f>0</f>
        <v>0</v>
      </c>
      <c r="AM267" s="3135">
        <f>0</f>
        <v>0</v>
      </c>
      <c r="AN267" s="3135">
        <f>0</f>
        <v>0</v>
      </c>
      <c r="AO267" s="3135">
        <f>0</f>
        <v>0</v>
      </c>
      <c r="AP267" s="3147">
        <f>0</f>
        <v>0</v>
      </c>
      <c r="AQ267" s="3135">
        <f>0</f>
        <v>0</v>
      </c>
      <c r="AR267" s="3135">
        <f>0</f>
        <v>0</v>
      </c>
      <c r="AS267" s="3135">
        <f>0</f>
        <v>0</v>
      </c>
      <c r="AT267" s="3135">
        <f>0</f>
        <v>0</v>
      </c>
      <c r="AU267" s="3135">
        <f>1</f>
        <v>1</v>
      </c>
      <c r="AV267" s="3135">
        <f>0</f>
        <v>0</v>
      </c>
      <c r="AW267" s="3135">
        <f>0</f>
        <v>0</v>
      </c>
      <c r="AX267" s="3135">
        <f>0</f>
        <v>0</v>
      </c>
      <c r="AY267" s="3135">
        <f>0</f>
        <v>0</v>
      </c>
      <c r="AZ267" s="3135">
        <f>0</f>
        <v>0</v>
      </c>
      <c r="BA267" s="3135">
        <f>0</f>
        <v>0</v>
      </c>
      <c r="BB267" s="3135">
        <f>0</f>
        <v>0</v>
      </c>
      <c r="BC267" s="3135">
        <f>0</f>
        <v>0</v>
      </c>
      <c r="BD267" s="3135">
        <f>0</f>
        <v>0</v>
      </c>
      <c r="BE267" s="3158">
        <f>0</f>
        <v>0</v>
      </c>
      <c r="BF267" s="3158">
        <f>0</f>
        <v>0</v>
      </c>
      <c r="BG267" s="3158">
        <f>0</f>
        <v>0</v>
      </c>
      <c r="BH267" s="3158">
        <f>0</f>
        <v>0</v>
      </c>
      <c r="BI267" s="3158">
        <f>0</f>
        <v>0</v>
      </c>
      <c r="BJ267" s="3158">
        <f>0</f>
        <v>0</v>
      </c>
      <c r="BK267" s="3158">
        <f>0</f>
        <v>0</v>
      </c>
      <c r="BL267" s="3158">
        <f>0</f>
        <v>0</v>
      </c>
      <c r="BM267" s="3158">
        <f>0</f>
        <v>0</v>
      </c>
      <c r="BN267" s="3158">
        <f>0</f>
        <v>0</v>
      </c>
      <c r="BO267" s="3158">
        <f>0</f>
        <v>0</v>
      </c>
      <c r="BP267" s="3158">
        <f>0</f>
        <v>0</v>
      </c>
      <c r="BQ267" s="3158">
        <f>0</f>
        <v>0</v>
      </c>
      <c r="BR267" s="3158">
        <f>0</f>
        <v>0</v>
      </c>
      <c r="BS267" s="3158">
        <f>0</f>
        <v>0</v>
      </c>
      <c r="BT267" s="3158">
        <f>0</f>
        <v>0</v>
      </c>
      <c r="BU267" s="3158">
        <f>0</f>
        <v>0</v>
      </c>
      <c r="BV267" s="3158">
        <f>0</f>
        <v>0</v>
      </c>
      <c r="BW267" s="3158">
        <f>0</f>
        <v>0</v>
      </c>
      <c r="BX267" s="3158">
        <f>0</f>
        <v>0</v>
      </c>
      <c r="BY267" s="3158">
        <f>0</f>
        <v>0</v>
      </c>
      <c r="BZ267" s="3211">
        <f>0</f>
        <v>0</v>
      </c>
      <c r="CA267" s="3211">
        <f>0</f>
        <v>0</v>
      </c>
      <c r="CB267" s="3211">
        <f>0</f>
        <v>0</v>
      </c>
      <c r="CC267" s="3211">
        <f>0</f>
        <v>0</v>
      </c>
      <c r="CD267" s="3158">
        <f>0</f>
        <v>0</v>
      </c>
      <c r="CE267" s="3158">
        <f>0</f>
        <v>0</v>
      </c>
      <c r="CF267" s="3158">
        <f>0</f>
        <v>0</v>
      </c>
      <c r="CG267" s="3158">
        <f>-1</f>
        <v>-1</v>
      </c>
      <c r="CH267" s="3158">
        <f>0</f>
        <v>0</v>
      </c>
      <c r="CI267" s="3158">
        <f>0</f>
        <v>0</v>
      </c>
      <c r="CJ267" s="3158">
        <f>0</f>
        <v>0</v>
      </c>
      <c r="CK267" s="3158">
        <f>0</f>
        <v>0</v>
      </c>
      <c r="CL267" s="3158">
        <f>0</f>
        <v>0</v>
      </c>
      <c r="CM267" s="3158">
        <f>0</f>
        <v>0</v>
      </c>
      <c r="CN267" s="3158">
        <f>0</f>
        <v>0</v>
      </c>
      <c r="CO267" s="3158">
        <f>0</f>
        <v>0</v>
      </c>
      <c r="CP267" s="3158">
        <f>0</f>
        <v>0</v>
      </c>
      <c r="CQ267" s="3158">
        <f>0</f>
        <v>0</v>
      </c>
      <c r="CR267" s="3158">
        <f>0</f>
        <v>0</v>
      </c>
      <c r="CS267" s="3158">
        <f>0</f>
        <v>0</v>
      </c>
      <c r="CT267" s="3158">
        <f>0</f>
        <v>0</v>
      </c>
      <c r="CU267" s="3158">
        <f>0</f>
        <v>0</v>
      </c>
      <c r="CV267" s="3238">
        <f>k_transfer_GCO2_bub</f>
        <v>2861.6873452767227</v>
      </c>
      <c r="CX267" s="2838">
        <f>E287*E267+F287*F267+G287*G267+H287*H267+I287*I267+J287*J267+K287*K267+L287*L267+M287*M267+N287*N267+O287*O267+P287*P267+Q287*Q267+R287*R267+S287*S267+T287*T267+U287*U267+V287*V267+W287*W267+X287*X267+Y287*Y267+Z287*Z267+AA287*AA267+AB287*AB267+AC287*AC267+AD287*AD267+AE287*AE267+AF287*AF267+AG287*AG267+AH287*AH267+AI287*AI267+AJ287*AJ267+AK287*AK267+AL287*AL267+AM287*AM267+AN287*AN267+AO287*AO267+AP287*AP267+AQ287*AQ267+AR287*AR267+AS287*AS267+AT287*AT267+AU287*AU267+AV287*AV267+AW287*AW267+AX287*AX267+AY287*AY267+AZ287*AZ267+BA287*BA267+BB287*BB267+BC287*BC267+BD287*BD267+BE287*BE267+BF287*BF267+BG287*BG267+BH287*BH267+BI287*BI267+BJ287*BJ267+BK287*BK267+BL287*BL267+BM287*BM267+BN287*BN267+BO287*BO267+BP287*BP267+BQ287*BQ267+BR287*BR267+BS287*BS267+BT287*BT267+BU287*BU267+BV287*BV267+BW287*BW267+BX287*BX267+BY287*BY267+BZ287*BZ267+CA287*CA267+CB287*CB267+CC287*CC267+CD287*CD267+CE287*CE267+CF287*CF267+CG287*CG267+CH287*CH267+CI287*CI267+CJ287*CJ267+CK287*CK267+CL287*CL267+CM287*CM267+CN287*CN267+CO287*CO267+CP287*CP267+CQ287*CQ267+CR287*CR267+CS287*CS267+CT287*CT267+CU287*CU267</f>
        <v>0</v>
      </c>
      <c r="CY267" s="2838">
        <f>E288*E267+F288*F267+G288*G267+H288*H267+I288*I267+J288*J267+K288*K267+L288*L267+M288*M267+N288*N267+O288*O267+P288*P267+Q288*Q267+R288*R267+S288*S267+T288*T267+U288*U267+V288*V267+W288*W267+X288*X267+Y288*Y267+Z288*Z267+AA288*AA267+AB288*AB267+AC288*AC267+AD288*AD267+AE288*AE267+AF288*AF267+AG288*AG267+AH288*AH267+AI288*AI267+AJ288*AJ267+AK288*AK267+AL288*AL267+AM288*AM267+AN288*AN267+AO288*AO267+AP288*AP267+AQ288*AQ267+AR288*AR267+AS288*AS267+AT288*AT267+AU288*AU267+AV288*AV267+AW288*AW267+AX288*AX267+AY288*AY267+AZ288*AZ267+BA288*BA267+BB288*BB267+BC288*BC267+BD288*BD267+BE288*BE267+BF288*BF267+BG288*BG267+BH288*BH267+BI288*BI267+BJ288*BJ267+BK288*BK267+BL288*BL267+BM288*BM267+BN288*BN267+BO288*BO267+BP288*BP267+BQ288*BQ267+BR288*BR267+BS288*BS267+BT288*BT267+BU288*BU267+BV288*BV267+BW288*BW267+BX288*BX267+BY288*BY267+BZ288*BZ267+CA288*CA267+CB288*CB267+CC288*CC267+CD288*CD267+CE288*CE267+CF288*CF267+CG288*CG267+CH288*CH267+CI288*CI267+CJ288*CJ267+CK288*CK267+CL288*CL267+CM288*CM267+CN288*CN267+CO288*CO267+CP288*CP267+CQ288*CQ267+CR288*CR267+CS288*CS267+CT288*CT267+CU288*CU267</f>
        <v>0</v>
      </c>
      <c r="CZ267" s="2839">
        <f>E289*E267+F289*F267+G289*G267+H289*H267+I289*I267+J289*J267+K289*K267+L289*L267+M289*M267+N289*N267+O289*O267+P289*P267+Q289*Q267+R289*R267+S289*S267+T289*T267+U289*U267+V289*V267+W289*W267+X289*X267+Y289*Y267+Z289*Z267+AA289*AA267+AB289*AB267+AC289*AC267+AD289*AD267+AE289*AE267+AF289*AF267+AG289*AG267+AH289*AH267+AI289*AI267+AJ289*AJ267+AK289*AK267+AL289*AL267+AM289*AM267+AN289*AN267+AO289*AO267+AP289*AP267+AQ289*AQ267+AR289*AR267+AS289*AS267+AT289*AT267+AU289*AU267+AV289*AV267+AW289*AW267+AX289*AX267+AY289*AY267+AZ289*AZ267+BA289*BA267+BB289*BB267+BC289*BC267+BD289*BD267+BE289*BE267+BF289*BF267+BG289*BG267+BH289*BH267+BI289*BI267+BJ289*BJ267+BK289*BK267+BL289*BL267+BM289*BM267+BN289*BN267+BO289*BO267+BP289*BP267+BQ289*BQ267+BR289*BR267+BS289*BS267+BT289*BT267+BU289*BU267+BV289*BV267+BW289*BW267+BX289*BX267+BY289*BY267+BZ289*BZ267+CA289*CA267+CB289*CB267+CC289*CC267+CD289*CD267+CE289*CE267+CF289*CF267+CG289*CG267+CH289*CH267+CI289*CI267+CJ289*CJ267+CK289*CK267+CL289*CL267+CM289*CM267+CN289*CN267+CO289*CO267+CP289*CP267+CQ289*CQ267+CR289*CR267+CS289*CS267+CT289*CT267+CU289*CU267</f>
        <v>0</v>
      </c>
      <c r="DA267" s="2840">
        <f>E290*E267+F290*F267+G290*G267+H290*H267+I290*I267+J290*J267+K290*K267+L290*L267+M290*M267+N290*N267+O290*O267+P290*P267+Q290*Q267+R290*R267+S290*S267+T290*T267+U290*U267+V290*V267+W290*W267+X290*X267+Y290*Y267+Z290*Z267+AA290*AA267+AB290*AB267+AC290*AC267+AD290*AD267+AE290*AE267+AF290*AF267+AG290*AG267+AH290*AH267+AI290*AI267+AJ290*AJ267+AK290*AK267+AL290*AL267+AM290*AM267+AN290*AN267+AO290*AO267+AP290*AP267+AQ290*AQ267+AR290*AR267+AS290*AS267+AT290*AT267+AU290*AU267+AV290*AV267+AW290*AW267+AX290*AX267+AY290*AY267+AZ290*AZ267+BA290*BA267+BB290*BB267+BC290*BC267+BD290*BD267+BE290*BE267+BF290*BF267+BG290*BG267+BH290*BH267+BI290*BI267+BJ290*BJ267+BK290*BK267+BL290*BL267+BM290*BM267+BN290*BN267+BO290*BO267+BP290*BP267+BQ290*BQ267+BR290*BR267+BS290*BS267+BT290*BT267+BU290*BU267+BV290*BV267+BW290*BW267+BX290*BX267+BY290*BY267+BZ290*BZ267+CA290*CA267+CB290*CB267+CC290*CC267+CD290*CD267+CE290*CE267+CF290*CF267+CG290*CG267+CH290*CH267+CI290*CI267+CJ290*CJ267+CK290*CK267+CL290*CL267+CM290*CM267+CN290*CN267+CO290*CO267+CP290*CP267+CQ290*CQ267+CR290*CR267+CS290*CS267+CT290*CT267+CU290*CU267</f>
        <v>0</v>
      </c>
      <c r="DB267" s="2840">
        <f>E291*E267+F291*F267+G291*G267+H291*H267+I291*I267+J291*J267+K291*K267+L291*L267+M291*M267+N291*N267+O291*O267+P291*P267+Q291*Q267+R291*R267+S291*S267+T291*T267+U291*U267+V291*V267+W291*W267+X291*X267+Y291*Y267+Z291*Z267+AA291*AA267+AB291*AB267+AC291*AC267+AD291*AD267+AE291*AE267+AF291*AF267+AG291*AG267+AH291*AH267+AI291*AI267+AJ291*AJ267+AK291*AK267+AL291*AL267+AM291*AM267+AN291*AN267+AO291*AO267+AP291*AP267+AQ291*AQ267+AR291*AR267+AS291*AS267+AT291*AT267+AU291*AU267+AV291*AV267+AW291*AW267+AX291*AX267+AY291*AY267+AZ291*AZ267+BA291*BA267+BB291*BB267+BC291*BC267+BD291*BD267+BE291*BE267+BF291*BF267+BG291*BG267+BH291*BH267+BI291*BI267+BJ291*BJ267+BK291*BK267+BL291*BL267+BM291*BM267+BN291*BN267+BO291*BO267+BP291*BP267+BQ291*BQ267+BR291*BR267+BS291*BS267+BT291*BT267+BU291*BU267+BV291*BV267+BW291*BW267+BX291*BX267+BY291*BY267+BZ291*BZ267+CA291*CA267+CB291*CB267+CC291*CC267+CD291*CD267+CE291*CE267+CF291*CF267+CG291*CG267+CH291*CH267+CI291*CI267+CJ291*CJ267+CK291*CK267+CL291*CL267+CM291*CM267+CN291*CN267+CO291*CO267+CP291*CP267+CQ291*CQ267+CR291*CR267+CS291*CS267+CT291*CT267+CU291*CU267</f>
        <v>0</v>
      </c>
      <c r="DC267" s="2840">
        <f>E292*E267+F292*F267+G292*G267+H292*H267+I292*I267+J292*J267+K292*K267+L292*L267+M292*M267+N292*N267+O292*O267+P292*P267+Q292*Q267+R292*R267+S292*S267+T292*T267+U292*U267+V292*V267+W292*W267+X292*X267+Y292*Y267+Z292*Z267+AA292*AA267+AB292*AB267+AC292*AC267+AD292*AD267+AE292*AE267+AF292*AF267+AG292*AG267+AH292*AH267+AI292*AI267+AJ292*AJ267+AK292*AK267+AL292*AL267+AM292*AM267+AN292*AN267+AO292*AO267+AP292*AP267+AQ292*AQ267+AR292*AR267+AS292*AS267+AT292*AT267+AU292*AU267+AV292*AV267+AW292*AW267+AX292*AX267+AY292*AY267+AZ292*AZ267+BA292*BA267+BB292*BB267+BC292*BC267+BD292*BD267+BE292*BE267+BF292*BF267+BG292*BG267+BH292*BH267+BI292*BI267+BJ292*BJ267+BK292*BK267+BL292*BL267+BM292*BM267+BN292*BN267+BO292*BO267+BP292*BP267+BQ292*BQ267+BR292*BR267+BS292*BS267+BT292*BT267+BU292*BU267+BV292*BV267+BW292*BW267+BX292*BX267+BY292*BY267+BZ292*BZ267+CA292*CA267+CB292*CB267+CC292*CC267+CD292*CD267+CE292*CE267+CF292*CF267+CG292*CG267+CH292*CH267+CI292*CI267+CJ292*CJ267+CK292*CK267+CL292*CL267+CM292*CM267+CN292*CN267+CO292*CO267+CP292*CP267+CQ292*CQ267+CR292*CR267+CS292*CS267+CT292*CT267+CU292*CU267</f>
        <v>0</v>
      </c>
      <c r="DD267" s="2840">
        <f>E293*E267+F293*F267+G293*G267+H293*H267+I293*I267+J293*J267+K293*K267+L293*L267+M293*M267+N293*N267+O293*O267+P293*P267+Q293*Q267+R293*R267+S293*S267+T293*T267+U293*U267+V293*V267+W293*W267+X293*X267+Y293*Y267+Z293*Z267+AA293*AA267+AB293*AB267+AC293*AC267+AD293*AD267+AE293*AE267+AF293*AF267+AG293*AG267+AH293*AH267+AI293*AI267+AJ293*AJ267+AK293*AK267+AL293*AL267+AM293*AM267+AN293*AN267+AO293*AO267+AP293*AP267+AQ293*AQ267+AR293*AR267+AS293*AS267+AT293*AT267+AU293*AU267+AV293*AV267+AW293*AW267+AX293*AX267+AY293*AY267+AZ293*AZ267+BA293*BA267+BB293*BB267+BC293*BC267+BD293*BD267+BE293*BE267+BF293*BF267+BG293*BG267+BH293*BH267+BI293*BI267+BJ293*BJ267+BK293*BK267+BL293*BL267+BM293*BM267+BN293*BN267+BO293*BO267+BP293*BP267+BQ293*BQ267+BR293*BR267+BS293*BS267+BT293*BT267+BU293*BU267+BV293*BV267+BW293*BW267+BX293*BX267+BY293*BY267+BZ293*BZ267+CA293*CA267+CB293*CB267+CC293*CC267+CD293*CD267+CE293*CE267+CF293*CF267+CG293*CG267+CH293*CH267+CI293*CI267+CJ293*CJ267+CK293*CK267+CL293*CL267+CM293*CM267+CN293*CN267+CO293*CO267+CP293*CP267+CQ293*CQ267+CR293*CR267+CS293*CS267+CT293*CT267+CU293*CU267</f>
        <v>0</v>
      </c>
      <c r="DE267" s="2840">
        <f>E294*E267+F294*F267+G294*G267+H294*H267+I294*I267+J294*J267+K294*K267+L294*L267+M294*M267+N294*N267+O294*O267+P294*P267+Q294*Q267+R294*R267+S294*S267+T294*T267+U294*U267+V294*V267+W294*W267+X294*X267+Y294*Y267+Z294*Z267+AA294*AA267+AB294*AB267+AC294*AC267+AD294*AD267+AE294*AE267+AF294*AF267+AG294*AG267+AH294*AH267+AI294*AI267+AJ294*AJ267+AK294*AK267+AL294*AL267+AM294*AM267+AN294*AN267+AO294*AO267+AP294*AP267+AQ294*AQ267+AR294*AR267+AS294*AS267+AT294*AT267+AU294*AU267+AV294*AV267+AW294*AW267+AX294*AX267+AY294*AY267+AZ294*AZ267+BA294*BA267+BB294*BB267+BC294*BC267+BD294*BD267+BE294*BE267+BF294*BF267+BG294*BG267+BH294*BH267+BI294*BI267+BJ294*BJ267+BK294*BK267+BL294*BL267+BM294*BM267+BN294*BN267+BO294*BO267+BP294*BP267+BQ294*BQ267+BR294*BR267+BS294*BS267+BT294*BT267+BU294*BU267+BV294*BV267+BW294*BW267+BX294*BX267+BY294*BY267+BZ294*BZ267+CA294*CA267+CB294*CB267+CC294*CC267+CD294*CD267+CE294*CE267+CF294*CF267+CG294*CG267+CH294*CH267+CI294*CI267+CJ294*CJ267+CK294*CK267+CL294*CL267+CM294*CM267+CN294*CN267+CO294*CO267+CP294*CP267+CQ294*CQ267+CR294*CR267+CS294*CS267+CT294*CT267+CU294*CU267</f>
        <v>0</v>
      </c>
      <c r="DF267" s="2840">
        <f>E295*E267+F295*F267+G295*G267+H295*H267+I295*I267+J295*J267+K295*K267+L295*L267+M295*M267+N295*N267+O295*O267+P295*P267+Q295*Q267+R295*R267+S295*S267+T295*T267+U295*U267+V295*V267+W295*W267+X295*X267+Y295*Y267+Z295*Z267+AA295*AA267+AB295*AB267+AC295*AC267+AD295*AD267+AE295*AE267+AF295*AF267+AG295*AG267+AH295*AH267+AI295*AI267+AJ295*AJ267+AK295*AK267+AL295*AL267+AM295*AM267+AN295*AN267+AO295*AO267+AP295*AP267+AQ295*AQ267+AR295*AR267+AS295*AS267+AT295*AT267+AU295*AU267+AV295*AV267+AW295*AW267+AX295*AX267+AY295*AY267+AZ295*AZ267+BA295*BA267+BB295*BB267+BC295*BC267+BD295*BD267+BE295*BE267+BF295*BF267+BG295*BG267+BH295*BH267+BI295*BI267+BJ295*BJ267+BK295*BK267+BL295*BL267+BM295*BM267+BN295*BN267+BO295*BO267+BP295*BP267+BQ295*BQ267+BR295*BR267+BS295*BS267+BT295*BT267+BU295*BU267+BV295*BV267+BW295*BW267+BX295*BX267+BY295*BY267+BZ295*BZ267+CA295*CA267+CB295*CB267+CC295*CC267+CD295*CD267+CE295*CE267+CF295*CF267+CG295*CG267+CH295*CH267+CI295*CI267+CJ295*CJ267+CK295*CK267+CL295*CL267+CM295*CM267+CN295*CN267+CO295*CO267+CP295*CP267+CQ295*CQ267+CR295*CR267+CS295*CS267+CT295*CT267+CU295*CU267</f>
        <v>0</v>
      </c>
      <c r="DG267" s="2840">
        <f>E296*E267+F296*F267+G296*G267+H296*H267+I296*I267+J296*J267+K296*K267+L296*L267+M296*M267+N296*N267+O296*O267+P296*P267+Q296*Q267+R296*R267+S296*S267+T296*T267+U296*U267+V296*V267+W296*W267+X296*X267+Y296*Y267+Z296*Z267+AA296*AA267+AB296*AB267+AC296*AC267+AD296*AD267+AE296*AE267+AF296*AF267+AG296*AG267+AH296*AH267+AI296*AI267+AJ296*AJ267+AK296*AK267+AL296*AL267+AM296*AM267+AN296*AN267+AO296*AO267+AP296*AP267+AQ296*AQ267+AR296*AR267+AS296*AS267+AT296*AT267+AU296*AU267+AV296*AV267+AW296*AW267+AX296*AX267+AY296*AY267+AZ296*AZ267+BA296*BA267+BB296*BB267+BC296*BC267+BD296*BD267+BE296*BE267+BF296*BF267+BG296*BG267+BH296*BH267+BI296*BI267+BJ296*BJ267+BK296*BK267+BL296*BL267+BM296*BM267+BN296*BN267+BO296*BO267+BP296*BP267+BQ296*BQ267+BR296*BR267+BS296*BS267+BT296*BT267+BU296*BU267+BV296*BV267+BW296*BW267+BX296*BX267+BY296*BY267+BZ296*BZ267+CA296*CA267+CB296*CB267+CC296*CC267+CD296*CD267+CE296*CE267+CF296*CF267+CG296*CG267+CH296*CH267+CI296*CI267+CJ296*CJ267+CK296*CK267+CL296*CL267+CM296*CM267+CN296*CN267+CO296*CO267+CP296*CP267+CQ296*CQ267+CR296*CR267+CS296*CS267+CT296*CT267+CU296*CU267</f>
        <v>0</v>
      </c>
      <c r="DH267" s="2840">
        <f>E297*E267+F297*F267+G297*G267+H297*H267+I297*I267+J297*J267+K297*K267+L297*L267+M297*M267+N297*N267+O297*O267+P297*P267+Q297*Q267+R297*R267+S297*S267+T297*T267+U297*U267+V297*V267+W297*W267+X297*X267+Y297*Y267+Z297*Z267+AA297*AA267+AB297*AB267+AC297*AC267+AD297*AD267+AE297*AE267+AF297*AF267+AG297*AG267+AH297*AH267+AI297*AI267+AJ297*AJ267+AK297*AK267+AL297*AL267+AM297*AM267+AN297*AN267+AO297*AO267+AP297*AP267+AQ297*AQ267+AR297*AR267+AS297*AS267+AT297*AT267+AU297*AU267+AV297*AV267+AW297*AW267+AX297*AX267+AY297*AY267+AZ297*AZ267+BA297*BA267+BB297*BB267+BC297*BC267+BD297*BD267+BE297*BE267+BF297*BF267+BG297*BG267+BH297*BH267+BI297*BI267+BJ297*BJ267+BK297*BK267+BL297*BL267+BM297*BM267+BN297*BN267+BO297*BO267+BP297*BP267+BQ297*BQ267+BR297*BR267+BS297*BS267+BT297*BT267+BU297*BU267+BV297*BV267+BW297*BW267+BX297*BX267+BY297*BY267+BZ297*BZ267+CA297*CA267+CB297*CB267+CC297*CC267+CD297*CD267+CE297*CE267+CF297*CF267+CG297*CG267+CH297*CH267+CI297*CI267+CJ297*CJ267+CK297*CK267+CL297*CL267+CM297*CM267+CN297*CN267+CO297*CO267+CP297*CP267+CQ297*CQ267+CR297*CR267+CS297*CS267+CT297*CT267+CU297*CU267</f>
        <v>0</v>
      </c>
      <c r="DI267" s="2840">
        <f>E298*E267+F298*F267+G298*G267+H298*H267+I298*I267+J298*J267+K298*K267+L298*L267+M298*M267+N298*N267+O298*O267+P298*P267+Q298*Q267+R298*R267+S298*S267+T298*T267+U298*U267+V298*V267+W298*W267+X298*X267+Y298*Y267+Z298*Z267+AA298*AA267+AB298*AB267+AC298*AC267+AD298*AD267+AE298*AE267+AF298*AF267+AG298*AG267+AH298*AH267+AI298*AI267+AJ298*AJ267+AK298*AK267+AL298*AL267+AM298*AM267+AN298*AN267+AO298*AO267+AP298*AP267+AQ298*AQ267+AR298*AR267+AS298*AS267+AT298*AT267+AU298*AU267+AV298*AV267+AW298*AW267+AX298*AX267+AY298*AY267+AZ298*AZ267+BA298*BA267+BB298*BB267+BC298*BC267+BD298*BD267+BE298*BE267+BF298*BF267+BG298*BG267+BH298*BH267+BI298*BI267+BJ298*BJ267+BK298*BK267+BL298*BL267+BM298*BM267+BN298*BN267+BO298*BO267+BP298*BP267+BQ298*BQ267+BR298*BR267+BS298*BS267+BT298*BT267+BU298*BU267+BV298*BV267+BW298*BW267+BX298*BX267+BY298*BY267+BZ298*BZ267+CA298*CA267+CB298*CB267+CC298*CC267+CD298*CD267+CE298*CE267+CF298*CF267+CG298*CG267+CH298*CH267+CI298*CI267+CJ298*CJ267+CK298*CK267+CL298*CL267+CM298*CM267+CN298*CN267+CO298*CO267+CP298*CP267+CQ298*CQ267+CR298*CR267+CS298*CS267+CT298*CT267+CU298*CU267</f>
        <v>0</v>
      </c>
    </row>
    <row r="268" spans="2:113" ht="18" x14ac:dyDescent="0.25">
      <c r="B268" s="2523">
        <v>115</v>
      </c>
      <c r="C268" s="2479" t="s">
        <v>3647</v>
      </c>
      <c r="D268" s="1281" t="s">
        <v>3616</v>
      </c>
      <c r="E268" s="3135">
        <f>0</f>
        <v>0</v>
      </c>
      <c r="F268" s="3135">
        <f>0</f>
        <v>0</v>
      </c>
      <c r="G268" s="3135">
        <f>0</f>
        <v>0</v>
      </c>
      <c r="H268" s="3135">
        <f>0</f>
        <v>0</v>
      </c>
      <c r="I268" s="3135">
        <f>0</f>
        <v>0</v>
      </c>
      <c r="J268" s="3147">
        <f>0</f>
        <v>0</v>
      </c>
      <c r="K268" s="3135">
        <f>0</f>
        <v>0</v>
      </c>
      <c r="L268" s="3135">
        <f>0</f>
        <v>0</v>
      </c>
      <c r="M268" s="3135">
        <f>0</f>
        <v>0</v>
      </c>
      <c r="N268" s="3135">
        <f>0</f>
        <v>0</v>
      </c>
      <c r="O268" s="3135">
        <f>0</f>
        <v>0</v>
      </c>
      <c r="P268" s="3135">
        <f>0</f>
        <v>0</v>
      </c>
      <c r="Q268" s="3135">
        <f>0</f>
        <v>0</v>
      </c>
      <c r="R268" s="3158">
        <f>0</f>
        <v>0</v>
      </c>
      <c r="S268" s="3135">
        <f>0</f>
        <v>0</v>
      </c>
      <c r="T268" s="3135">
        <f>0</f>
        <v>0</v>
      </c>
      <c r="U268" s="3135">
        <f>0</f>
        <v>0</v>
      </c>
      <c r="V268" s="3135">
        <f>0</f>
        <v>0</v>
      </c>
      <c r="W268" s="3135">
        <f>0</f>
        <v>0</v>
      </c>
      <c r="X268" s="3135">
        <f>0</f>
        <v>0</v>
      </c>
      <c r="Y268" s="3135">
        <f>0</f>
        <v>0</v>
      </c>
      <c r="Z268" s="3135">
        <f>0</f>
        <v>0</v>
      </c>
      <c r="AA268" s="3135">
        <f>0</f>
        <v>0</v>
      </c>
      <c r="AB268" s="3135">
        <f>0</f>
        <v>0</v>
      </c>
      <c r="AC268" s="3135">
        <f>0</f>
        <v>0</v>
      </c>
      <c r="AD268" s="3135">
        <f>0</f>
        <v>0</v>
      </c>
      <c r="AE268" s="3135">
        <f>0</f>
        <v>0</v>
      </c>
      <c r="AF268" s="3135">
        <f>0</f>
        <v>0</v>
      </c>
      <c r="AG268" s="3135">
        <f>0</f>
        <v>0</v>
      </c>
      <c r="AH268" s="3135">
        <f>0</f>
        <v>0</v>
      </c>
      <c r="AI268" s="3135">
        <f>0</f>
        <v>0</v>
      </c>
      <c r="AJ268" s="3147">
        <f>0</f>
        <v>0</v>
      </c>
      <c r="AK268" s="3135">
        <f>0</f>
        <v>0</v>
      </c>
      <c r="AL268" s="3135">
        <f>0</f>
        <v>0</v>
      </c>
      <c r="AM268" s="3135">
        <f>0</f>
        <v>0</v>
      </c>
      <c r="AN268" s="3135">
        <f>0</f>
        <v>0</v>
      </c>
      <c r="AO268" s="3135">
        <f>0</f>
        <v>0</v>
      </c>
      <c r="AP268" s="3147">
        <f>0</f>
        <v>0</v>
      </c>
      <c r="AQ268" s="3135">
        <f>0</f>
        <v>0</v>
      </c>
      <c r="AR268" s="3135">
        <f>0</f>
        <v>0</v>
      </c>
      <c r="AS268" s="3135">
        <f>1</f>
        <v>1</v>
      </c>
      <c r="AT268" s="3135">
        <f>0</f>
        <v>0</v>
      </c>
      <c r="AU268" s="3135">
        <f>0</f>
        <v>0</v>
      </c>
      <c r="AV268" s="3135">
        <f>0</f>
        <v>0</v>
      </c>
      <c r="AW268" s="3135">
        <f>0</f>
        <v>0</v>
      </c>
      <c r="AX268" s="3135">
        <f>0</f>
        <v>0</v>
      </c>
      <c r="AY268" s="3135">
        <f>0</f>
        <v>0</v>
      </c>
      <c r="AZ268" s="3135">
        <f>0</f>
        <v>0</v>
      </c>
      <c r="BA268" s="3135">
        <f>0</f>
        <v>0</v>
      </c>
      <c r="BB268" s="3135">
        <f>0</f>
        <v>0</v>
      </c>
      <c r="BC268" s="3135">
        <f>0</f>
        <v>0</v>
      </c>
      <c r="BD268" s="3135">
        <f>0</f>
        <v>0</v>
      </c>
      <c r="BE268" s="3158">
        <f>0</f>
        <v>0</v>
      </c>
      <c r="BF268" s="3158">
        <f>0</f>
        <v>0</v>
      </c>
      <c r="BG268" s="3158">
        <f>0</f>
        <v>0</v>
      </c>
      <c r="BH268" s="3158">
        <f>0</f>
        <v>0</v>
      </c>
      <c r="BI268" s="3158">
        <f>0</f>
        <v>0</v>
      </c>
      <c r="BJ268" s="3158">
        <f>0</f>
        <v>0</v>
      </c>
      <c r="BK268" s="3158">
        <f>0</f>
        <v>0</v>
      </c>
      <c r="BL268" s="3158">
        <f>0</f>
        <v>0</v>
      </c>
      <c r="BM268" s="3158">
        <f>0</f>
        <v>0</v>
      </c>
      <c r="BN268" s="3158">
        <f>0</f>
        <v>0</v>
      </c>
      <c r="BO268" s="3158">
        <f>0</f>
        <v>0</v>
      </c>
      <c r="BP268" s="3158">
        <f>0</f>
        <v>0</v>
      </c>
      <c r="BQ268" s="3158">
        <f>0</f>
        <v>0</v>
      </c>
      <c r="BR268" s="3158">
        <f>0</f>
        <v>0</v>
      </c>
      <c r="BS268" s="3158">
        <f>0</f>
        <v>0</v>
      </c>
      <c r="BT268" s="3158">
        <f>0</f>
        <v>0</v>
      </c>
      <c r="BU268" s="3158">
        <f>0</f>
        <v>0</v>
      </c>
      <c r="BV268" s="3158">
        <f>0</f>
        <v>0</v>
      </c>
      <c r="BW268" s="3158">
        <f>0</f>
        <v>0</v>
      </c>
      <c r="BX268" s="3158">
        <f>0</f>
        <v>0</v>
      </c>
      <c r="BY268" s="3158">
        <f>0</f>
        <v>0</v>
      </c>
      <c r="BZ268" s="3211">
        <f>0</f>
        <v>0</v>
      </c>
      <c r="CA268" s="3211">
        <f>0</f>
        <v>0</v>
      </c>
      <c r="CB268" s="3211">
        <f>0</f>
        <v>0</v>
      </c>
      <c r="CC268" s="3211">
        <f>0</f>
        <v>0</v>
      </c>
      <c r="CD268" s="3158">
        <f>0</f>
        <v>0</v>
      </c>
      <c r="CE268" s="3158">
        <f>0</f>
        <v>0</v>
      </c>
      <c r="CF268" s="3158">
        <f>0</f>
        <v>0</v>
      </c>
      <c r="CG268" s="3158">
        <f>0</f>
        <v>0</v>
      </c>
      <c r="CH268" s="3158">
        <f>-1</f>
        <v>-1</v>
      </c>
      <c r="CI268" s="3158">
        <f>0</f>
        <v>0</v>
      </c>
      <c r="CJ268" s="3158">
        <f>0</f>
        <v>0</v>
      </c>
      <c r="CK268" s="3158">
        <f>0</f>
        <v>0</v>
      </c>
      <c r="CL268" s="3158">
        <f>0</f>
        <v>0</v>
      </c>
      <c r="CM268" s="3158">
        <f>0</f>
        <v>0</v>
      </c>
      <c r="CN268" s="3158">
        <f>0</f>
        <v>0</v>
      </c>
      <c r="CO268" s="3158">
        <f>0</f>
        <v>0</v>
      </c>
      <c r="CP268" s="3158">
        <f>0</f>
        <v>0</v>
      </c>
      <c r="CQ268" s="3158">
        <f>0</f>
        <v>0</v>
      </c>
      <c r="CR268" s="3158">
        <f>0</f>
        <v>0</v>
      </c>
      <c r="CS268" s="3158">
        <f>0</f>
        <v>0</v>
      </c>
      <c r="CT268" s="3158">
        <f>0</f>
        <v>0</v>
      </c>
      <c r="CU268" s="3158">
        <f>0</f>
        <v>0</v>
      </c>
      <c r="CV268" s="3238">
        <f>k_LaGCH4_bub*(S_GCH4_bub_sat-S_CH4)</f>
        <v>-0.84435000000000004</v>
      </c>
      <c r="CX268" s="2838">
        <f>E287*E268+F287*F268+G287*G268+H287*H268+I287*I268+J287*J268+K287*K268+L287*L268+M287*M268+N287*N268+O287*O268+P287*P268+Q287*Q268+R287*R268+S287*S268+T287*T268+U287*U268+V287*V268+W287*W268+X287*X268+Y287*Y268+Z287*Z268+AA287*AA268+AB287*AB268+AC287*AC268+AD287*AD268+AE287*AE268+AF287*AF268+AG287*AG268+AH287*AH268+AI287*AI268+AJ287*AJ268+AK287*AK268+AL287*AL268+AM287*AM268+AN287*AN268+AO287*AO268+AP287*AP268+AQ287*AQ268+AR287*AR268+AS287*AS268+AT287*AT268+AU287*AU268+AV287*AV268+AW287*AW268+AX287*AX268+AY287*AY268+AZ287*AZ268+BA287*BA268+BB287*BB268+BC287*BC268+BD287*BD268+BE287*BE268+BF287*BF268+BG287*BG268+BH287*BH268+BI287*BI268+BJ287*BJ268+BK287*BK268+BL287*BL268+BM287*BM268+BN287*BN268+BO287*BO268+BP287*BP268+BQ287*BQ268+BR287*BR268+BS287*BS268+BT287*BT268+BU287*BU268+BV287*BV268+BW287*BW268+BX287*BX268+BY287*BY268+BZ287*BZ268+CA287*CA268+CB287*CB268+CC287*CC268+CD287*CD268+CE287*CE268+CF287*CF268+CG287*CG268+CH287*CH268+CI287*CI268+CJ287*CJ268+CK287*CK268+CL287*CL268+CM287*CM268+CN287*CN268+CO287*CO268+CP287*CP268+CQ287*CQ268+CR287*CR268+CS287*CS268+CT287*CT268+CU287*CU268</f>
        <v>0</v>
      </c>
      <c r="CY268" s="2838">
        <f>E288*E268+F288*F268+G288*G268+H288*H268+I288*I268+J288*J268+K288*K268+L288*L268+M288*M268+N288*N268+O288*O268+P288*P268+Q288*Q268+R288*R268+S288*S268+T288*T268+U288*U268+V288*V268+W288*W268+X288*X268+Y288*Y268+Z288*Z268+AA288*AA268+AB288*AB268+AC288*AC268+AD288*AD268+AE288*AE268+AF288*AF268+AG288*AG268+AH288*AH268+AI288*AI268+AJ288*AJ268+AK288*AK268+AL288*AL268+AM288*AM268+AN288*AN268+AO288*AO268+AP288*AP268+AQ288*AQ268+AR288*AR268+AS288*AS268+AT288*AT268+AU288*AU268+AV288*AV268+AW288*AW268+AX288*AX268+AY288*AY268+AZ288*AZ268+BA288*BA268+BB288*BB268+BC288*BC268+BD288*BD268+BE288*BE268+BF288*BF268+BG288*BG268+BH288*BH268+BI288*BI268+BJ288*BJ268+BK288*BK268+BL288*BL268+BM288*BM268+BN288*BN268+BO288*BO268+BP288*BP268+BQ288*BQ268+BR288*BR268+BS288*BS268+BT288*BT268+BU288*BU268+BV288*BV268+BW288*BW268+BX288*BX268+BY288*BY268+BZ288*BZ268+CA288*CA268+CB288*CB268+CC288*CC268+CD288*CD268+CE288*CE268+CF288*CF268+CG288*CG268+CH288*CH268+CI288*CI268+CJ288*CJ268+CK288*CK268+CL288*CL268+CM288*CM268+CN288*CN268+CO288*CO268+CP288*CP268+CQ288*CQ268+CR288*CR268+CS288*CS268+CT288*CT268+CU288*CU268</f>
        <v>0</v>
      </c>
      <c r="CZ268" s="2839">
        <f>E289*E268+F289*F268+G289*G268+H289*H268+I289*I268+J289*J268+K289*K268+L289*L268+M289*M268+N289*N268+O289*O268+P289*P268+Q289*Q268+R289*R268+S289*S268+T289*T268+U289*U268+V289*V268+W289*W268+X289*X268+Y289*Y268+Z289*Z268+AA289*AA268+AB289*AB268+AC289*AC268+AD289*AD268+AE289*AE268+AF289*AF268+AG289*AG268+AH289*AH268+AI289*AI268+AJ289*AJ268+AK289*AK268+AL289*AL268+AM289*AM268+AN289*AN268+AO289*AO268+AP289*AP268+AQ289*AQ268+AR289*AR268+AS289*AS268+AT289*AT268+AU289*AU268+AV289*AV268+AW289*AW268+AX289*AX268+AY289*AY268+AZ289*AZ268+BA289*BA268+BB289*BB268+BC289*BC268+BD289*BD268+BE289*BE268+BF289*BF268+BG289*BG268+BH289*BH268+BI289*BI268+BJ289*BJ268+BK289*BK268+BL289*BL268+BM289*BM268+BN289*BN268+BO289*BO268+BP289*BP268+BQ289*BQ268+BR289*BR268+BS289*BS268+BT289*BT268+BU289*BU268+BV289*BV268+BW289*BW268+BX289*BX268+BY289*BY268+BZ289*BZ268+CA289*CA268+CB289*CB268+CC289*CC268+CD289*CD268+CE289*CE268+CF289*CF268+CG289*CG268+CH289*CH268+CI289*CI268+CJ289*CJ268+CK289*CK268+CL289*CL268+CM289*CM268+CN289*CN268+CO289*CO268+CP289*CP268+CQ289*CQ268+CR289*CR268+CS289*CS268+CT289*CT268+CU289*CU268</f>
        <v>0</v>
      </c>
      <c r="DA268" s="2840">
        <f>E290*E268+F290*F268+G290*G268+H290*H268+I290*I268+J290*J268+K290*K268+L290*L268+M290*M268+N290*N268+O290*O268+P290*P268+Q290*Q268+R290*R268+S290*S268+T290*T268+U290*U268+V290*V268+W290*W268+X290*X268+Y290*Y268+Z290*Z268+AA290*AA268+AB290*AB268+AC290*AC268+AD290*AD268+AE290*AE268+AF290*AF268+AG290*AG268+AH290*AH268+AI290*AI268+AJ290*AJ268+AK290*AK268+AL290*AL268+AM290*AM268+AN290*AN268+AO290*AO268+AP290*AP268+AQ290*AQ268+AR290*AR268+AS290*AS268+AT290*AT268+AU290*AU268+AV290*AV268+AW290*AW268+AX290*AX268+AY290*AY268+AZ290*AZ268+BA290*BA268+BB290*BB268+BC290*BC268+BD290*BD268+BE290*BE268+BF290*BF268+BG290*BG268+BH290*BH268+BI290*BI268+BJ290*BJ268+BK290*BK268+BL290*BL268+BM290*BM268+BN290*BN268+BO290*BO268+BP290*BP268+BQ290*BQ268+BR290*BR268+BS290*BS268+BT290*BT268+BU290*BU268+BV290*BV268+BW290*BW268+BX290*BX268+BY290*BY268+BZ290*BZ268+CA290*CA268+CB290*CB268+CC290*CC268+CD290*CD268+CE290*CE268+CF290*CF268+CG290*CG268+CH290*CH268+CI290*CI268+CJ290*CJ268+CK290*CK268+CL290*CL268+CM290*CM268+CN290*CN268+CO290*CO268+CP290*CP268+CQ290*CQ268+CR290*CR268+CS290*CS268+CT290*CT268+CU290*CU268</f>
        <v>0</v>
      </c>
      <c r="DB268" s="2840">
        <f>E291*E268+F291*F268+G291*G268+H291*H268+I291*I268+J291*J268+K291*K268+L291*L268+M291*M268+N291*N268+O291*O268+P291*P268+Q291*Q268+R291*R268+S291*S268+T291*T268+U291*U268+V291*V268+W291*W268+X291*X268+Y291*Y268+Z291*Z268+AA291*AA268+AB291*AB268+AC291*AC268+AD291*AD268+AE291*AE268+AF291*AF268+AG291*AG268+AH291*AH268+AI291*AI268+AJ291*AJ268+AK291*AK268+AL291*AL268+AM291*AM268+AN291*AN268+AO291*AO268+AP291*AP268+AQ291*AQ268+AR291*AR268+AS291*AS268+AT291*AT268+AU291*AU268+AV291*AV268+AW291*AW268+AX291*AX268+AY291*AY268+AZ291*AZ268+BA291*BA268+BB291*BB268+BC291*BC268+BD291*BD268+BE291*BE268+BF291*BF268+BG291*BG268+BH291*BH268+BI291*BI268+BJ291*BJ268+BK291*BK268+BL291*BL268+BM291*BM268+BN291*BN268+BO291*BO268+BP291*BP268+BQ291*BQ268+BR291*BR268+BS291*BS268+BT291*BT268+BU291*BU268+BV291*BV268+BW291*BW268+BX291*BX268+BY291*BY268+BZ291*BZ268+CA291*CA268+CB291*CB268+CC291*CC268+CD291*CD268+CE291*CE268+CF291*CF268+CG291*CG268+CH291*CH268+CI291*CI268+CJ291*CJ268+CK291*CK268+CL291*CL268+CM291*CM268+CN291*CN268+CO291*CO268+CP291*CP268+CQ291*CQ268+CR291*CR268+CS291*CS268+CT291*CT268+CU291*CU268</f>
        <v>0</v>
      </c>
      <c r="DC268" s="2840">
        <f>E292*E268+F292*F268+G292*G268+H292*H268+I292*I268+J292*J268+K292*K268+L292*L268+M292*M268+N292*N268+O292*O268+P292*P268+Q292*Q268+R292*R268+S292*S268+T292*T268+U292*U268+V292*V268+W292*W268+X292*X268+Y292*Y268+Z292*Z268+AA292*AA268+AB292*AB268+AC292*AC268+AD292*AD268+AE292*AE268+AF292*AF268+AG292*AG268+AH292*AH268+AI292*AI268+AJ292*AJ268+AK292*AK268+AL292*AL268+AM292*AM268+AN292*AN268+AO292*AO268+AP292*AP268+AQ292*AQ268+AR292*AR268+AS292*AS268+AT292*AT268+AU292*AU268+AV292*AV268+AW292*AW268+AX292*AX268+AY292*AY268+AZ292*AZ268+BA292*BA268+BB292*BB268+BC292*BC268+BD292*BD268+BE292*BE268+BF292*BF268+BG292*BG268+BH292*BH268+BI292*BI268+BJ292*BJ268+BK292*BK268+BL292*BL268+BM292*BM268+BN292*BN268+BO292*BO268+BP292*BP268+BQ292*BQ268+BR292*BR268+BS292*BS268+BT292*BT268+BU292*BU268+BV292*BV268+BW292*BW268+BX292*BX268+BY292*BY268+BZ292*BZ268+CA292*CA268+CB292*CB268+CC292*CC268+CD292*CD268+CE292*CE268+CF292*CF268+CG292*CG268+CH292*CH268+CI292*CI268+CJ292*CJ268+CK292*CK268+CL292*CL268+CM292*CM268+CN292*CN268+CO292*CO268+CP292*CP268+CQ292*CQ268+CR292*CR268+CS292*CS268+CT292*CT268+CU292*CU268</f>
        <v>0</v>
      </c>
      <c r="DD268" s="2840">
        <f>E293*E268+F293*F268+G293*G268+H293*H268+I293*I268+J293*J268+K293*K268+L293*L268+M293*M268+N293*N268+O293*O268+P293*P268+Q293*Q268+R293*R268+S293*S268+T293*T268+U293*U268+V293*V268+W293*W268+X293*X268+Y293*Y268+Z293*Z268+AA293*AA268+AB293*AB268+AC293*AC268+AD293*AD268+AE293*AE268+AF293*AF268+AG293*AG268+AH293*AH268+AI293*AI268+AJ293*AJ268+AK293*AK268+AL293*AL268+AM293*AM268+AN293*AN268+AO293*AO268+AP293*AP268+AQ293*AQ268+AR293*AR268+AS293*AS268+AT293*AT268+AU293*AU268+AV293*AV268+AW293*AW268+AX293*AX268+AY293*AY268+AZ293*AZ268+BA293*BA268+BB293*BB268+BC293*BC268+BD293*BD268+BE293*BE268+BF293*BF268+BG293*BG268+BH293*BH268+BI293*BI268+BJ293*BJ268+BK293*BK268+BL293*BL268+BM293*BM268+BN293*BN268+BO293*BO268+BP293*BP268+BQ293*BQ268+BR293*BR268+BS293*BS268+BT293*BT268+BU293*BU268+BV293*BV268+BW293*BW268+BX293*BX268+BY293*BY268+BZ293*BZ268+CA293*CA268+CB293*CB268+CC293*CC268+CD293*CD268+CE293*CE268+CF293*CF268+CG293*CG268+CH293*CH268+CI293*CI268+CJ293*CJ268+CK293*CK268+CL293*CL268+CM293*CM268+CN293*CN268+CO293*CO268+CP293*CP268+CQ293*CQ268+CR293*CR268+CS293*CS268+CT293*CT268+CU293*CU268</f>
        <v>0</v>
      </c>
      <c r="DE268" s="2840">
        <f>E294*E268+F294*F268+G294*G268+H294*H268+I294*I268+J294*J268+K294*K268+L294*L268+M294*M268+N294*N268+O294*O268+P294*P268+Q294*Q268+R294*R268+S294*S268+T294*T268+U294*U268+V294*V268+W294*W268+X294*X268+Y294*Y268+Z294*Z268+AA294*AA268+AB294*AB268+AC294*AC268+AD294*AD268+AE294*AE268+AF294*AF268+AG294*AG268+AH294*AH268+AI294*AI268+AJ294*AJ268+AK294*AK268+AL294*AL268+AM294*AM268+AN294*AN268+AO294*AO268+AP294*AP268+AQ294*AQ268+AR294*AR268+AS294*AS268+AT294*AT268+AU294*AU268+AV294*AV268+AW294*AW268+AX294*AX268+AY294*AY268+AZ294*AZ268+BA294*BA268+BB294*BB268+BC294*BC268+BD294*BD268+BE294*BE268+BF294*BF268+BG294*BG268+BH294*BH268+BI294*BI268+BJ294*BJ268+BK294*BK268+BL294*BL268+BM294*BM268+BN294*BN268+BO294*BO268+BP294*BP268+BQ294*BQ268+BR294*BR268+BS294*BS268+BT294*BT268+BU294*BU268+BV294*BV268+BW294*BW268+BX294*BX268+BY294*BY268+BZ294*BZ268+CA294*CA268+CB294*CB268+CC294*CC268+CD294*CD268+CE294*CE268+CF294*CF268+CG294*CG268+CH294*CH268+CI294*CI268+CJ294*CJ268+CK294*CK268+CL294*CL268+CM294*CM268+CN294*CN268+CO294*CO268+CP294*CP268+CQ294*CQ268+CR294*CR268+CS294*CS268+CT294*CT268+CU294*CU268</f>
        <v>0</v>
      </c>
      <c r="DF268" s="2840">
        <f>E295*E268+F295*F268+G295*G268+H295*H268+I295*I268+J295*J268+K295*K268+L295*L268+M295*M268+N295*N268+O295*O268+P295*P268+Q295*Q268+R295*R268+S295*S268+T295*T268+U295*U268+V295*V268+W295*W268+X295*X268+Y295*Y268+Z295*Z268+AA295*AA268+AB295*AB268+AC295*AC268+AD295*AD268+AE295*AE268+AF295*AF268+AG295*AG268+AH295*AH268+AI295*AI268+AJ295*AJ268+AK295*AK268+AL295*AL268+AM295*AM268+AN295*AN268+AO295*AO268+AP295*AP268+AQ295*AQ268+AR295*AR268+AS295*AS268+AT295*AT268+AU295*AU268+AV295*AV268+AW295*AW268+AX295*AX268+AY295*AY268+AZ295*AZ268+BA295*BA268+BB295*BB268+BC295*BC268+BD295*BD268+BE295*BE268+BF295*BF268+BG295*BG268+BH295*BH268+BI295*BI268+BJ295*BJ268+BK295*BK268+BL295*BL268+BM295*BM268+BN295*BN268+BO295*BO268+BP295*BP268+BQ295*BQ268+BR295*BR268+BS295*BS268+BT295*BT268+BU295*BU268+BV295*BV268+BW295*BW268+BX295*BX268+BY295*BY268+BZ295*BZ268+CA295*CA268+CB295*CB268+CC295*CC268+CD295*CD268+CE295*CE268+CF295*CF268+CG295*CG268+CH295*CH268+CI295*CI268+CJ295*CJ268+CK295*CK268+CL295*CL268+CM295*CM268+CN295*CN268+CO295*CO268+CP295*CP268+CQ295*CQ268+CR295*CR268+CS295*CS268+CT295*CT268+CU295*CU268</f>
        <v>0</v>
      </c>
      <c r="DG268" s="2840">
        <f>E296*E268+F296*F268+G296*G268+H296*H268+I296*I268+J296*J268+K296*K268+L296*L268+M296*M268+N296*N268+O296*O268+P296*P268+Q296*Q268+R296*R268+S296*S268+T296*T268+U296*U268+V296*V268+W296*W268+X296*X268+Y296*Y268+Z296*Z268+AA296*AA268+AB296*AB268+AC296*AC268+AD296*AD268+AE296*AE268+AF296*AF268+AG296*AG268+AH296*AH268+AI296*AI268+AJ296*AJ268+AK296*AK268+AL296*AL268+AM296*AM268+AN296*AN268+AO296*AO268+AP296*AP268+AQ296*AQ268+AR296*AR268+AS296*AS268+AT296*AT268+AU296*AU268+AV296*AV268+AW296*AW268+AX296*AX268+AY296*AY268+AZ296*AZ268+BA296*BA268+BB296*BB268+BC296*BC268+BD296*BD268+BE296*BE268+BF296*BF268+BG296*BG268+BH296*BH268+BI296*BI268+BJ296*BJ268+BK296*BK268+BL296*BL268+BM296*BM268+BN296*BN268+BO296*BO268+BP296*BP268+BQ296*BQ268+BR296*BR268+BS296*BS268+BT296*BT268+BU296*BU268+BV296*BV268+BW296*BW268+BX296*BX268+BY296*BY268+BZ296*BZ268+CA296*CA268+CB296*CB268+CC296*CC268+CD296*CD268+CE296*CE268+CF296*CF268+CG296*CG268+CH296*CH268+CI296*CI268+CJ296*CJ268+CK296*CK268+CL296*CL268+CM296*CM268+CN296*CN268+CO296*CO268+CP296*CP268+CQ296*CQ268+CR296*CR268+CS296*CS268+CT296*CT268+CU296*CU268</f>
        <v>0</v>
      </c>
      <c r="DH268" s="2840">
        <f>E297*E268+F297*F268+G297*G268+H297*H268+I297*I268+J297*J268+K297*K268+L297*L268+M297*M268+N297*N268+O297*O268+P297*P268+Q297*Q268+R297*R268+S297*S268+T297*T268+U297*U268+V297*V268+W297*W268+X297*X268+Y297*Y268+Z297*Z268+AA297*AA268+AB297*AB268+AC297*AC268+AD297*AD268+AE297*AE268+AF297*AF268+AG297*AG268+AH297*AH268+AI297*AI268+AJ297*AJ268+AK297*AK268+AL297*AL268+AM297*AM268+AN297*AN268+AO297*AO268+AP297*AP268+AQ297*AQ268+AR297*AR268+AS297*AS268+AT297*AT268+AU297*AU268+AV297*AV268+AW297*AW268+AX297*AX268+AY297*AY268+AZ297*AZ268+BA297*BA268+BB297*BB268+BC297*BC268+BD297*BD268+BE297*BE268+BF297*BF268+BG297*BG268+BH297*BH268+BI297*BI268+BJ297*BJ268+BK297*BK268+BL297*BL268+BM297*BM268+BN297*BN268+BO297*BO268+BP297*BP268+BQ297*BQ268+BR297*BR268+BS297*BS268+BT297*BT268+BU297*BU268+BV297*BV268+BW297*BW268+BX297*BX268+BY297*BY268+BZ297*BZ268+CA297*CA268+CB297*CB268+CC297*CC268+CD297*CD268+CE297*CE268+CF297*CF268+CG297*CG268+CH297*CH268+CI297*CI268+CJ297*CJ268+CK297*CK268+CL297*CL268+CM297*CM268+CN297*CN268+CO297*CO268+CP297*CP268+CQ297*CQ268+CR297*CR268+CS297*CS268+CT297*CT268+CU297*CU268</f>
        <v>0</v>
      </c>
      <c r="DI268" s="2840">
        <f>E298*E268+F298*F268+G298*G268+H298*H268+I298*I268+J298*J268+K298*K268+L298*L268+M298*M268+N298*N268+O298*O268+P298*P268+Q298*Q268+R298*R268+S298*S268+T298*T268+U298*U268+V298*V268+W298*W268+X298*X268+Y298*Y268+Z298*Z268+AA298*AA268+AB298*AB268+AC298*AC268+AD298*AD268+AE298*AE268+AF298*AF268+AG298*AG268+AH298*AH268+AI298*AI268+AJ298*AJ268+AK298*AK268+AL298*AL268+AM298*AM268+AN298*AN268+AO298*AO268+AP298*AP268+AQ298*AQ268+AR298*AR268+AS298*AS268+AT298*AT268+AU298*AU268+AV298*AV268+AW298*AW268+AX298*AX268+AY298*AY268+AZ298*AZ268+BA298*BA268+BB298*BB268+BC298*BC268+BD298*BD268+BE298*BE268+BF298*BF268+BG298*BG268+BH298*BH268+BI298*BI268+BJ298*BJ268+BK298*BK268+BL298*BL268+BM298*BM268+BN298*BN268+BO298*BO268+BP298*BP268+BQ298*BQ268+BR298*BR268+BS298*BS268+BT298*BT268+BU298*BU268+BV298*BV268+BW298*BW268+BX298*BX268+BY298*BY268+BZ298*BZ268+CA298*CA268+CB298*CB268+CC298*CC268+CD298*CD268+CE298*CE268+CF298*CF268+CG298*CG268+CH298*CH268+CI298*CI268+CJ298*CJ268+CK298*CK268+CL298*CL268+CM298*CM268+CN298*CN268+CO298*CO268+CP298*CP268+CQ298*CQ268+CR298*CR268+CS298*CS268+CT298*CT268+CU298*CU268</f>
        <v>0</v>
      </c>
    </row>
    <row r="269" spans="2:113" ht="18" x14ac:dyDescent="0.25">
      <c r="B269" s="2523">
        <v>116</v>
      </c>
      <c r="C269" s="2479" t="s">
        <v>3648</v>
      </c>
      <c r="D269" s="1281" t="s">
        <v>3618</v>
      </c>
      <c r="E269" s="3135">
        <f>0</f>
        <v>0</v>
      </c>
      <c r="F269" s="3135">
        <f>0</f>
        <v>0</v>
      </c>
      <c r="G269" s="3135">
        <f>0</f>
        <v>0</v>
      </c>
      <c r="H269" s="3135">
        <f>0</f>
        <v>0</v>
      </c>
      <c r="I269" s="3135">
        <f>0</f>
        <v>0</v>
      </c>
      <c r="J269" s="3147">
        <f>0</f>
        <v>0</v>
      </c>
      <c r="K269" s="3135">
        <f>0</f>
        <v>0</v>
      </c>
      <c r="L269" s="3135">
        <f>0</f>
        <v>0</v>
      </c>
      <c r="M269" s="3135">
        <f>0</f>
        <v>0</v>
      </c>
      <c r="N269" s="3135">
        <f>0</f>
        <v>0</v>
      </c>
      <c r="O269" s="3135">
        <f>0</f>
        <v>0</v>
      </c>
      <c r="P269" s="3135">
        <f>0</f>
        <v>0</v>
      </c>
      <c r="Q269" s="3135">
        <f>0</f>
        <v>0</v>
      </c>
      <c r="R269" s="3158">
        <f>0</f>
        <v>0</v>
      </c>
      <c r="S269" s="3135">
        <f>0</f>
        <v>0</v>
      </c>
      <c r="T269" s="3135">
        <f>0</f>
        <v>0</v>
      </c>
      <c r="U269" s="3135">
        <f>0</f>
        <v>0</v>
      </c>
      <c r="V269" s="3135">
        <f>0</f>
        <v>0</v>
      </c>
      <c r="W269" s="3135">
        <f>0</f>
        <v>0</v>
      </c>
      <c r="X269" s="3135">
        <f>0</f>
        <v>0</v>
      </c>
      <c r="Y269" s="3135">
        <f>0</f>
        <v>0</v>
      </c>
      <c r="Z269" s="3135">
        <f>0</f>
        <v>0</v>
      </c>
      <c r="AA269" s="3135">
        <f>0</f>
        <v>0</v>
      </c>
      <c r="AB269" s="3135">
        <f>0</f>
        <v>0</v>
      </c>
      <c r="AC269" s="3135">
        <f>0</f>
        <v>0</v>
      </c>
      <c r="AD269" s="3135">
        <f>0</f>
        <v>0</v>
      </c>
      <c r="AE269" s="3135">
        <f>0</f>
        <v>0</v>
      </c>
      <c r="AF269" s="3135">
        <f>0</f>
        <v>0</v>
      </c>
      <c r="AG269" s="3135">
        <f>0</f>
        <v>0</v>
      </c>
      <c r="AH269" s="3135">
        <f>0</f>
        <v>0</v>
      </c>
      <c r="AI269" s="3135">
        <f>0</f>
        <v>0</v>
      </c>
      <c r="AJ269" s="3147">
        <f>0</f>
        <v>0</v>
      </c>
      <c r="AK269" s="3135">
        <f>0</f>
        <v>0</v>
      </c>
      <c r="AL269" s="3135">
        <f>0</f>
        <v>0</v>
      </c>
      <c r="AM269" s="3135">
        <f>0</f>
        <v>0</v>
      </c>
      <c r="AN269" s="3135">
        <f>0</f>
        <v>0</v>
      </c>
      <c r="AO269" s="3135">
        <f>0</f>
        <v>0</v>
      </c>
      <c r="AP269" s="3147">
        <f>0</f>
        <v>0</v>
      </c>
      <c r="AQ269" s="3135">
        <f>0</f>
        <v>0</v>
      </c>
      <c r="AR269" s="3135">
        <f>0</f>
        <v>0</v>
      </c>
      <c r="AS269" s="3135">
        <f>0</f>
        <v>0</v>
      </c>
      <c r="AT269" s="3135">
        <f>1</f>
        <v>1</v>
      </c>
      <c r="AU269" s="3135">
        <f>0</f>
        <v>0</v>
      </c>
      <c r="AV269" s="3135">
        <f>0</f>
        <v>0</v>
      </c>
      <c r="AW269" s="3135">
        <f>0</f>
        <v>0</v>
      </c>
      <c r="AX269" s="3135">
        <f>0</f>
        <v>0</v>
      </c>
      <c r="AY269" s="3135">
        <f>0</f>
        <v>0</v>
      </c>
      <c r="AZ269" s="3135">
        <f>0</f>
        <v>0</v>
      </c>
      <c r="BA269" s="3135">
        <f>0</f>
        <v>0</v>
      </c>
      <c r="BB269" s="3135">
        <f>0</f>
        <v>0</v>
      </c>
      <c r="BC269" s="3135">
        <f>0</f>
        <v>0</v>
      </c>
      <c r="BD269" s="3135">
        <f>0</f>
        <v>0</v>
      </c>
      <c r="BE269" s="3158">
        <f>0</f>
        <v>0</v>
      </c>
      <c r="BF269" s="3158">
        <f>0</f>
        <v>0</v>
      </c>
      <c r="BG269" s="3158">
        <f>0</f>
        <v>0</v>
      </c>
      <c r="BH269" s="3158">
        <f>0</f>
        <v>0</v>
      </c>
      <c r="BI269" s="3158">
        <f>0</f>
        <v>0</v>
      </c>
      <c r="BJ269" s="3158">
        <f>0</f>
        <v>0</v>
      </c>
      <c r="BK269" s="3158">
        <f>0</f>
        <v>0</v>
      </c>
      <c r="BL269" s="3158">
        <f>0</f>
        <v>0</v>
      </c>
      <c r="BM269" s="3158">
        <f>0</f>
        <v>0</v>
      </c>
      <c r="BN269" s="3158">
        <f>0</f>
        <v>0</v>
      </c>
      <c r="BO269" s="3158">
        <f>0</f>
        <v>0</v>
      </c>
      <c r="BP269" s="3158">
        <f>0</f>
        <v>0</v>
      </c>
      <c r="BQ269" s="3158">
        <f>0</f>
        <v>0</v>
      </c>
      <c r="BR269" s="3158">
        <f>0</f>
        <v>0</v>
      </c>
      <c r="BS269" s="3158">
        <f>0</f>
        <v>0</v>
      </c>
      <c r="BT269" s="3158">
        <f>0</f>
        <v>0</v>
      </c>
      <c r="BU269" s="3158">
        <f>0</f>
        <v>0</v>
      </c>
      <c r="BV269" s="3158">
        <f>0</f>
        <v>0</v>
      </c>
      <c r="BW269" s="3158">
        <f>0</f>
        <v>0</v>
      </c>
      <c r="BX269" s="3158">
        <f>0</f>
        <v>0</v>
      </c>
      <c r="BY269" s="3158">
        <f>0</f>
        <v>0</v>
      </c>
      <c r="BZ269" s="3211">
        <f>0</f>
        <v>0</v>
      </c>
      <c r="CA269" s="3211">
        <f>0</f>
        <v>0</v>
      </c>
      <c r="CB269" s="3211">
        <f>0</f>
        <v>0</v>
      </c>
      <c r="CC269" s="3211">
        <f>0</f>
        <v>0</v>
      </c>
      <c r="CD269" s="3158">
        <f>0</f>
        <v>0</v>
      </c>
      <c r="CE269" s="3158">
        <f>0</f>
        <v>0</v>
      </c>
      <c r="CF269" s="3158">
        <f>0</f>
        <v>0</v>
      </c>
      <c r="CG269" s="3158">
        <f>0</f>
        <v>0</v>
      </c>
      <c r="CH269" s="3158">
        <f>0</f>
        <v>0</v>
      </c>
      <c r="CI269" s="3158">
        <f>-1</f>
        <v>-1</v>
      </c>
      <c r="CJ269" s="3158">
        <f>0</f>
        <v>0</v>
      </c>
      <c r="CK269" s="3158">
        <f>0</f>
        <v>0</v>
      </c>
      <c r="CL269" s="3158">
        <f>0</f>
        <v>0</v>
      </c>
      <c r="CM269" s="3158">
        <f>0</f>
        <v>0</v>
      </c>
      <c r="CN269" s="3158">
        <f>0</f>
        <v>0</v>
      </c>
      <c r="CO269" s="3158">
        <f>0</f>
        <v>0</v>
      </c>
      <c r="CP269" s="3158">
        <f>0</f>
        <v>0</v>
      </c>
      <c r="CQ269" s="3158">
        <f>0</f>
        <v>0</v>
      </c>
      <c r="CR269" s="3158">
        <f>0</f>
        <v>0</v>
      </c>
      <c r="CS269" s="3158">
        <f>0</f>
        <v>0</v>
      </c>
      <c r="CT269" s="3158">
        <f>0</f>
        <v>0</v>
      </c>
      <c r="CU269" s="3158">
        <f>0</f>
        <v>0</v>
      </c>
      <c r="CV269" s="3238">
        <f>k_LaGH2_bub*(S_GH2_bub_sat-S_H2)</f>
        <v>-1.4673500000000002</v>
      </c>
      <c r="CX269" s="2838">
        <f>E287*E269+F287*F269+G287*G269+H287*H269+I287*I269+J287*J269+K287*K269+L287*L269+M287*M269+N287*N269+O287*O269+P287*P269+Q287*Q269+R287*R269+S287*S269+T287*T269+U287*U269+V287*V269+W287*W269+X287*X269+Y287*Y269+Z287*Z269+AA287*AA269+AB287*AB269+AC287*AC269+AD287*AD269+AE287*AE269+AF287*AF269+AG287*AG269+AH287*AH269+AI287*AI269+AJ287*AJ269+AK287*AK269+AL287*AL269+AM287*AM269+AN287*AN269+AO287*AO269+AP287*AP269+AQ287*AQ269+AR287*AR269+AS287*AS269+AT287*AT269+AU287*AU269+AV287*AV269+AW287*AW269+AX287*AX269+AY287*AY269+AZ287*AZ269+BA287*BA269+BB287*BB269+BC287*BC269+BD287*BD269+BE287*BE269+BF287*BF269+BG287*BG269+BH287*BH269+BI287*BI269+BJ287*BJ269+BK287*BK269+BL287*BL269+BM287*BM269+BN287*BN269+BO287*BO269+BP287*BP269+BQ287*BQ269+BR287*BR269+BS287*BS269+BT287*BT269+BU287*BU269+BV287*BV269+BW287*BW269+BX287*BX269+BY287*BY269+BZ287*BZ269+CA287*CA269+CB287*CB269+CC287*CC269+CD287*CD269+CE287*CE269+CF287*CF269+CG287*CG269+CH287*CH269+CI287*CI269+CJ287*CJ269+CK287*CK269+CL287*CL269+CM287*CM269+CN287*CN269+CO287*CO269+CP287*CP269+CQ287*CQ269+CR287*CR269+CS287*CS269+CT287*CT269+CU287*CU269</f>
        <v>0</v>
      </c>
      <c r="CY269" s="2838">
        <f>E288*E269+F288*F269+G288*G269+H288*H269+I288*I269+J288*J269+K288*K269+L288*L269+M288*M269+N288*N269+O288*O269+P288*P269+Q288*Q269+R288*R269+S288*S269+T288*T269+U288*U269+V288*V269+W288*W269+X288*X269+Y288*Y269+Z288*Z269+AA288*AA269+AB288*AB269+AC288*AC269+AD288*AD269+AE288*AE269+AF288*AF269+AG288*AG269+AH288*AH269+AI288*AI269+AJ288*AJ269+AK288*AK269+AL288*AL269+AM288*AM269+AN288*AN269+AO288*AO269+AP288*AP269+AQ288*AQ269+AR288*AR269+AS288*AS269+AT288*AT269+AU288*AU269+AV288*AV269+AW288*AW269+AX288*AX269+AY288*AY269+AZ288*AZ269+BA288*BA269+BB288*BB269+BC288*BC269+BD288*BD269+BE288*BE269+BF288*BF269+BG288*BG269+BH288*BH269+BI288*BI269+BJ288*BJ269+BK288*BK269+BL288*BL269+BM288*BM269+BN288*BN269+BO288*BO269+BP288*BP269+BQ288*BQ269+BR288*BR269+BS288*BS269+BT288*BT269+BU288*BU269+BV288*BV269+BW288*BW269+BX288*BX269+BY288*BY269+BZ288*BZ269+CA288*CA269+CB288*CB269+CC288*CC269+CD288*CD269+CE288*CE269+CF288*CF269+CG288*CG269+CH288*CH269+CI288*CI269+CJ288*CJ269+CK288*CK269+CL288*CL269+CM288*CM269+CN288*CN269+CO288*CO269+CP288*CP269+CQ288*CQ269+CR288*CR269+CS288*CS269+CT288*CT269+CU288*CU269</f>
        <v>0</v>
      </c>
      <c r="CZ269" s="2839">
        <f>E289*E269+F289*F269+G289*G269+H289*H269+I289*I269+J289*J269+K289*K269+L289*L269+M289*M269+N289*N269+O289*O269+P289*P269+Q289*Q269+R289*R269+S289*S269+T289*T269+U289*U269+V289*V269+W289*W269+X289*X269+Y289*Y269+Z289*Z269+AA289*AA269+AB289*AB269+AC289*AC269+AD289*AD269+AE289*AE269+AF289*AF269+AG289*AG269+AH289*AH269+AI289*AI269+AJ289*AJ269+AK289*AK269+AL289*AL269+AM289*AM269+AN289*AN269+AO289*AO269+AP289*AP269+AQ289*AQ269+AR289*AR269+AS289*AS269+AT289*AT269+AU289*AU269+AV289*AV269+AW289*AW269+AX289*AX269+AY289*AY269+AZ289*AZ269+BA289*BA269+BB289*BB269+BC289*BC269+BD289*BD269+BE289*BE269+BF289*BF269+BG289*BG269+BH289*BH269+BI289*BI269+BJ289*BJ269+BK289*BK269+BL289*BL269+BM289*BM269+BN289*BN269+BO289*BO269+BP289*BP269+BQ289*BQ269+BR289*BR269+BS289*BS269+BT289*BT269+BU289*BU269+BV289*BV269+BW289*BW269+BX289*BX269+BY289*BY269+BZ289*BZ269+CA289*CA269+CB289*CB269+CC289*CC269+CD289*CD269+CE289*CE269+CF289*CF269+CG289*CG269+CH289*CH269+CI289*CI269+CJ289*CJ269+CK289*CK269+CL289*CL269+CM289*CM269+CN289*CN269+CO289*CO269+CP289*CP269+CQ289*CQ269+CR289*CR269+CS289*CS269+CT289*CT269+CU289*CU269</f>
        <v>0</v>
      </c>
      <c r="DA269" s="2840">
        <f>E290*E269+F290*F269+G290*G269+H290*H269+I290*I269+J290*J269+K290*K269+L290*L269+M290*M269+N290*N269+O290*O269+P290*P269+Q290*Q269+R290*R269+S290*S269+T290*T269+U290*U269+V290*V269+W290*W269+X290*X269+Y290*Y269+Z290*Z269+AA290*AA269+AB290*AB269+AC290*AC269+AD290*AD269+AE290*AE269+AF290*AF269+AG290*AG269+AH290*AH269+AI290*AI269+AJ290*AJ269+AK290*AK269+AL290*AL269+AM290*AM269+AN290*AN269+AO290*AO269+AP290*AP269+AQ290*AQ269+AR290*AR269+AS290*AS269+AT290*AT269+AU290*AU269+AV290*AV269+AW290*AW269+AX290*AX269+AY290*AY269+AZ290*AZ269+BA290*BA269+BB290*BB269+BC290*BC269+BD290*BD269+BE290*BE269+BF290*BF269+BG290*BG269+BH290*BH269+BI290*BI269+BJ290*BJ269+BK290*BK269+BL290*BL269+BM290*BM269+BN290*BN269+BO290*BO269+BP290*BP269+BQ290*BQ269+BR290*BR269+BS290*BS269+BT290*BT269+BU290*BU269+BV290*BV269+BW290*BW269+BX290*BX269+BY290*BY269+BZ290*BZ269+CA290*CA269+CB290*CB269+CC290*CC269+CD290*CD269+CE290*CE269+CF290*CF269+CG290*CG269+CH290*CH269+CI290*CI269+CJ290*CJ269+CK290*CK269+CL290*CL269+CM290*CM269+CN290*CN269+CO290*CO269+CP290*CP269+CQ290*CQ269+CR290*CR269+CS290*CS269+CT290*CT269+CU290*CU269</f>
        <v>0</v>
      </c>
      <c r="DB269" s="2840">
        <f>E291*E269+F291*F269+G291*G269+H291*H269+I291*I269+J291*J269+K291*K269+L291*L269+M291*M269+N291*N269+O291*O269+P291*P269+Q291*Q269+R291*R269+S291*S269+T291*T269+U291*U269+V291*V269+W291*W269+X291*X269+Y291*Y269+Z291*Z269+AA291*AA269+AB291*AB269+AC291*AC269+AD291*AD269+AE291*AE269+AF291*AF269+AG291*AG269+AH291*AH269+AI291*AI269+AJ291*AJ269+AK291*AK269+AL291*AL269+AM291*AM269+AN291*AN269+AO291*AO269+AP291*AP269+AQ291*AQ269+AR291*AR269+AS291*AS269+AT291*AT269+AU291*AU269+AV291*AV269+AW291*AW269+AX291*AX269+AY291*AY269+AZ291*AZ269+BA291*BA269+BB291*BB269+BC291*BC269+BD291*BD269+BE291*BE269+BF291*BF269+BG291*BG269+BH291*BH269+BI291*BI269+BJ291*BJ269+BK291*BK269+BL291*BL269+BM291*BM269+BN291*BN269+BO291*BO269+BP291*BP269+BQ291*BQ269+BR291*BR269+BS291*BS269+BT291*BT269+BU291*BU269+BV291*BV269+BW291*BW269+BX291*BX269+BY291*BY269+BZ291*BZ269+CA291*CA269+CB291*CB269+CC291*CC269+CD291*CD269+CE291*CE269+CF291*CF269+CG291*CG269+CH291*CH269+CI291*CI269+CJ291*CJ269+CK291*CK269+CL291*CL269+CM291*CM269+CN291*CN269+CO291*CO269+CP291*CP269+CQ291*CQ269+CR291*CR269+CS291*CS269+CT291*CT269+CU291*CU269</f>
        <v>0</v>
      </c>
      <c r="DC269" s="2840">
        <f>E292*E269+F292*F269+G292*G269+H292*H269+I292*I269+J292*J269+K292*K269+L292*L269+M292*M269+N292*N269+O292*O269+P292*P269+Q292*Q269+R292*R269+S292*S269+T292*T269+U292*U269+V292*V269+W292*W269+X292*X269+Y292*Y269+Z292*Z269+AA292*AA269+AB292*AB269+AC292*AC269+AD292*AD269+AE292*AE269+AF292*AF269+AG292*AG269+AH292*AH269+AI292*AI269+AJ292*AJ269+AK292*AK269+AL292*AL269+AM292*AM269+AN292*AN269+AO292*AO269+AP292*AP269+AQ292*AQ269+AR292*AR269+AS292*AS269+AT292*AT269+AU292*AU269+AV292*AV269+AW292*AW269+AX292*AX269+AY292*AY269+AZ292*AZ269+BA292*BA269+BB292*BB269+BC292*BC269+BD292*BD269+BE292*BE269+BF292*BF269+BG292*BG269+BH292*BH269+BI292*BI269+BJ292*BJ269+BK292*BK269+BL292*BL269+BM292*BM269+BN292*BN269+BO292*BO269+BP292*BP269+BQ292*BQ269+BR292*BR269+BS292*BS269+BT292*BT269+BU292*BU269+BV292*BV269+BW292*BW269+BX292*BX269+BY292*BY269+BZ292*BZ269+CA292*CA269+CB292*CB269+CC292*CC269+CD292*CD269+CE292*CE269+CF292*CF269+CG292*CG269+CH292*CH269+CI292*CI269+CJ292*CJ269+CK292*CK269+CL292*CL269+CM292*CM269+CN292*CN269+CO292*CO269+CP292*CP269+CQ292*CQ269+CR292*CR269+CS292*CS269+CT292*CT269+CU292*CU269</f>
        <v>0</v>
      </c>
      <c r="DD269" s="2840">
        <f>E293*E269+F293*F269+G293*G269+H293*H269+I293*I269+J293*J269+K293*K269+L293*L269+M293*M269+N293*N269+O293*O269+P293*P269+Q293*Q269+R293*R269+S293*S269+T293*T269+U293*U269+V293*V269+W293*W269+X293*X269+Y293*Y269+Z293*Z269+AA293*AA269+AB293*AB269+AC293*AC269+AD293*AD269+AE293*AE269+AF293*AF269+AG293*AG269+AH293*AH269+AI293*AI269+AJ293*AJ269+AK293*AK269+AL293*AL269+AM293*AM269+AN293*AN269+AO293*AO269+AP293*AP269+AQ293*AQ269+AR293*AR269+AS293*AS269+AT293*AT269+AU293*AU269+AV293*AV269+AW293*AW269+AX293*AX269+AY293*AY269+AZ293*AZ269+BA293*BA269+BB293*BB269+BC293*BC269+BD293*BD269+BE293*BE269+BF293*BF269+BG293*BG269+BH293*BH269+BI293*BI269+BJ293*BJ269+BK293*BK269+BL293*BL269+BM293*BM269+BN293*BN269+BO293*BO269+BP293*BP269+BQ293*BQ269+BR293*BR269+BS293*BS269+BT293*BT269+BU293*BU269+BV293*BV269+BW293*BW269+BX293*BX269+BY293*BY269+BZ293*BZ269+CA293*CA269+CB293*CB269+CC293*CC269+CD293*CD269+CE293*CE269+CF293*CF269+CG293*CG269+CH293*CH269+CI293*CI269+CJ293*CJ269+CK293*CK269+CL293*CL269+CM293*CM269+CN293*CN269+CO293*CO269+CP293*CP269+CQ293*CQ269+CR293*CR269+CS293*CS269+CT293*CT269+CU293*CU269</f>
        <v>0</v>
      </c>
      <c r="DE269" s="2840">
        <f>E294*E269+F294*F269+G294*G269+H294*H269+I294*I269+J294*J269+K294*K269+L294*L269+M294*M269+N294*N269+O294*O269+P294*P269+Q294*Q269+R294*R269+S294*S269+T294*T269+U294*U269+V294*V269+W294*W269+X294*X269+Y294*Y269+Z294*Z269+AA294*AA269+AB294*AB269+AC294*AC269+AD294*AD269+AE294*AE269+AF294*AF269+AG294*AG269+AH294*AH269+AI294*AI269+AJ294*AJ269+AK294*AK269+AL294*AL269+AM294*AM269+AN294*AN269+AO294*AO269+AP294*AP269+AQ294*AQ269+AR294*AR269+AS294*AS269+AT294*AT269+AU294*AU269+AV294*AV269+AW294*AW269+AX294*AX269+AY294*AY269+AZ294*AZ269+BA294*BA269+BB294*BB269+BC294*BC269+BD294*BD269+BE294*BE269+BF294*BF269+BG294*BG269+BH294*BH269+BI294*BI269+BJ294*BJ269+BK294*BK269+BL294*BL269+BM294*BM269+BN294*BN269+BO294*BO269+BP294*BP269+BQ294*BQ269+BR294*BR269+BS294*BS269+BT294*BT269+BU294*BU269+BV294*BV269+BW294*BW269+BX294*BX269+BY294*BY269+BZ294*BZ269+CA294*CA269+CB294*CB269+CC294*CC269+CD294*CD269+CE294*CE269+CF294*CF269+CG294*CG269+CH294*CH269+CI294*CI269+CJ294*CJ269+CK294*CK269+CL294*CL269+CM294*CM269+CN294*CN269+CO294*CO269+CP294*CP269+CQ294*CQ269+CR294*CR269+CS294*CS269+CT294*CT269+CU294*CU269</f>
        <v>0</v>
      </c>
      <c r="DF269" s="2840">
        <f>E295*E269+F295*F269+G295*G269+H295*H269+I295*I269+J295*J269+K295*K269+L295*L269+M295*M269+N295*N269+O295*O269+P295*P269+Q295*Q269+R295*R269+S295*S269+T295*T269+U295*U269+V295*V269+W295*W269+X295*X269+Y295*Y269+Z295*Z269+AA295*AA269+AB295*AB269+AC295*AC269+AD295*AD269+AE295*AE269+AF295*AF269+AG295*AG269+AH295*AH269+AI295*AI269+AJ295*AJ269+AK295*AK269+AL295*AL269+AM295*AM269+AN295*AN269+AO295*AO269+AP295*AP269+AQ295*AQ269+AR295*AR269+AS295*AS269+AT295*AT269+AU295*AU269+AV295*AV269+AW295*AW269+AX295*AX269+AY295*AY269+AZ295*AZ269+BA295*BA269+BB295*BB269+BC295*BC269+BD295*BD269+BE295*BE269+BF295*BF269+BG295*BG269+BH295*BH269+BI295*BI269+BJ295*BJ269+BK295*BK269+BL295*BL269+BM295*BM269+BN295*BN269+BO295*BO269+BP295*BP269+BQ295*BQ269+BR295*BR269+BS295*BS269+BT295*BT269+BU295*BU269+BV295*BV269+BW295*BW269+BX295*BX269+BY295*BY269+BZ295*BZ269+CA295*CA269+CB295*CB269+CC295*CC269+CD295*CD269+CE295*CE269+CF295*CF269+CG295*CG269+CH295*CH269+CI295*CI269+CJ295*CJ269+CK295*CK269+CL295*CL269+CM295*CM269+CN295*CN269+CO295*CO269+CP295*CP269+CQ295*CQ269+CR295*CR269+CS295*CS269+CT295*CT269+CU295*CU269</f>
        <v>0</v>
      </c>
      <c r="DG269" s="2840">
        <f>E296*E269+F296*F269+G296*G269+H296*H269+I296*I269+J296*J269+K296*K269+L296*L269+M296*M269+N296*N269+O296*O269+P296*P269+Q296*Q269+R296*R269+S296*S269+T296*T269+U296*U269+V296*V269+W296*W269+X296*X269+Y296*Y269+Z296*Z269+AA296*AA269+AB296*AB269+AC296*AC269+AD296*AD269+AE296*AE269+AF296*AF269+AG296*AG269+AH296*AH269+AI296*AI269+AJ296*AJ269+AK296*AK269+AL296*AL269+AM296*AM269+AN296*AN269+AO296*AO269+AP296*AP269+AQ296*AQ269+AR296*AR269+AS296*AS269+AT296*AT269+AU296*AU269+AV296*AV269+AW296*AW269+AX296*AX269+AY296*AY269+AZ296*AZ269+BA296*BA269+BB296*BB269+BC296*BC269+BD296*BD269+BE296*BE269+BF296*BF269+BG296*BG269+BH296*BH269+BI296*BI269+BJ296*BJ269+BK296*BK269+BL296*BL269+BM296*BM269+BN296*BN269+BO296*BO269+BP296*BP269+BQ296*BQ269+BR296*BR269+BS296*BS269+BT296*BT269+BU296*BU269+BV296*BV269+BW296*BW269+BX296*BX269+BY296*BY269+BZ296*BZ269+CA296*CA269+CB296*CB269+CC296*CC269+CD296*CD269+CE296*CE269+CF296*CF269+CG296*CG269+CH296*CH269+CI296*CI269+CJ296*CJ269+CK296*CK269+CL296*CL269+CM296*CM269+CN296*CN269+CO296*CO269+CP296*CP269+CQ296*CQ269+CR296*CR269+CS296*CS269+CT296*CT269+CU296*CU269</f>
        <v>0</v>
      </c>
      <c r="DH269" s="2840">
        <f>E297*E269+F297*F269+G297*G269+H297*H269+I297*I269+J297*J269+K297*K269+L297*L269+M297*M269+N297*N269+O297*O269+P297*P269+Q297*Q269+R297*R269+S297*S269+T297*T269+U297*U269+V297*V269+W297*W269+X297*X269+Y297*Y269+Z297*Z269+AA297*AA269+AB297*AB269+AC297*AC269+AD297*AD269+AE297*AE269+AF297*AF269+AG297*AG269+AH297*AH269+AI297*AI269+AJ297*AJ269+AK297*AK269+AL297*AL269+AM297*AM269+AN297*AN269+AO297*AO269+AP297*AP269+AQ297*AQ269+AR297*AR269+AS297*AS269+AT297*AT269+AU297*AU269+AV297*AV269+AW297*AW269+AX297*AX269+AY297*AY269+AZ297*AZ269+BA297*BA269+BB297*BB269+BC297*BC269+BD297*BD269+BE297*BE269+BF297*BF269+BG297*BG269+BH297*BH269+BI297*BI269+BJ297*BJ269+BK297*BK269+BL297*BL269+BM297*BM269+BN297*BN269+BO297*BO269+BP297*BP269+BQ297*BQ269+BR297*BR269+BS297*BS269+BT297*BT269+BU297*BU269+BV297*BV269+BW297*BW269+BX297*BX269+BY297*BY269+BZ297*BZ269+CA297*CA269+CB297*CB269+CC297*CC269+CD297*CD269+CE297*CE269+CF297*CF269+CG297*CG269+CH297*CH269+CI297*CI269+CJ297*CJ269+CK297*CK269+CL297*CL269+CM297*CM269+CN297*CN269+CO297*CO269+CP297*CP269+CQ297*CQ269+CR297*CR269+CS297*CS269+CT297*CT269+CU297*CU269</f>
        <v>0</v>
      </c>
      <c r="DI269" s="2840">
        <f>E298*E269+F298*F269+G298*G269+H298*H269+I298*I269+J298*J269+K298*K269+L298*L269+M298*M269+N298*N269+O298*O269+P298*P269+Q298*Q269+R298*R269+S298*S269+T298*T269+U298*U269+V298*V269+W298*W269+X298*X269+Y298*Y269+Z298*Z269+AA298*AA269+AB298*AB269+AC298*AC269+AD298*AD269+AE298*AE269+AF298*AF269+AG298*AG269+AH298*AH269+AI298*AI269+AJ298*AJ269+AK298*AK269+AL298*AL269+AM298*AM269+AN298*AN269+AO298*AO269+AP298*AP269+AQ298*AQ269+AR298*AR269+AS298*AS269+AT298*AT269+AU298*AU269+AV298*AV269+AW298*AW269+AX298*AX269+AY298*AY269+AZ298*AZ269+BA298*BA269+BB298*BB269+BC298*BC269+BD298*BD269+BE298*BE269+BF298*BF269+BG298*BG269+BH298*BH269+BI298*BI269+BJ298*BJ269+BK298*BK269+BL298*BL269+BM298*BM269+BN298*BN269+BO298*BO269+BP298*BP269+BQ298*BQ269+BR298*BR269+BS298*BS269+BT298*BT269+BU298*BU269+BV298*BV269+BW298*BW269+BX298*BX269+BY298*BY269+BZ298*BZ269+CA298*CA269+CB298*CB269+CC298*CC269+CD298*CD269+CE298*CE269+CF298*CF269+CG298*CG269+CH298*CH269+CI298*CI269+CJ298*CJ269+CK298*CK269+CL298*CL269+CM298*CM269+CN298*CN269+CO298*CO269+CP298*CP269+CQ298*CQ269+CR298*CR269+CS298*CS269+CT298*CT269+CU298*CU269</f>
        <v>0</v>
      </c>
    </row>
    <row r="270" spans="2:113" ht="18" x14ac:dyDescent="0.25">
      <c r="B270" s="2523">
        <v>117</v>
      </c>
      <c r="C270" s="2479" t="s">
        <v>3879</v>
      </c>
      <c r="D270" s="1281" t="s">
        <v>3620</v>
      </c>
      <c r="E270" s="3135">
        <f>0</f>
        <v>0</v>
      </c>
      <c r="F270" s="3135">
        <f>0</f>
        <v>0</v>
      </c>
      <c r="G270" s="3135">
        <f>0</f>
        <v>0</v>
      </c>
      <c r="H270" s="3135">
        <f>0</f>
        <v>0</v>
      </c>
      <c r="I270" s="3135">
        <f>0</f>
        <v>0</v>
      </c>
      <c r="J270" s="3147">
        <f>0</f>
        <v>0</v>
      </c>
      <c r="K270" s="3135">
        <f>0</f>
        <v>0</v>
      </c>
      <c r="L270" s="3135">
        <f>0</f>
        <v>0</v>
      </c>
      <c r="M270" s="3135">
        <f>0</f>
        <v>0</v>
      </c>
      <c r="N270" s="3135">
        <f>0</f>
        <v>0</v>
      </c>
      <c r="O270" s="3135">
        <f>0</f>
        <v>0</v>
      </c>
      <c r="P270" s="3135">
        <f>0</f>
        <v>0</v>
      </c>
      <c r="Q270" s="3135">
        <f>0</f>
        <v>0</v>
      </c>
      <c r="R270" s="3158">
        <f>0</f>
        <v>0</v>
      </c>
      <c r="S270" s="3135">
        <f>0</f>
        <v>0</v>
      </c>
      <c r="T270" s="3135">
        <f>0</f>
        <v>0</v>
      </c>
      <c r="U270" s="3135">
        <f>0</f>
        <v>0</v>
      </c>
      <c r="V270" s="3135">
        <f>0</f>
        <v>0</v>
      </c>
      <c r="W270" s="3135">
        <f>0</f>
        <v>0</v>
      </c>
      <c r="X270" s="3135">
        <f>0</f>
        <v>0</v>
      </c>
      <c r="Y270" s="3135">
        <f>0</f>
        <v>0</v>
      </c>
      <c r="Z270" s="3135">
        <f>0</f>
        <v>0</v>
      </c>
      <c r="AA270" s="3135">
        <f>0</f>
        <v>0</v>
      </c>
      <c r="AB270" s="3135">
        <f>0</f>
        <v>0</v>
      </c>
      <c r="AC270" s="3135">
        <f>0</f>
        <v>0</v>
      </c>
      <c r="AD270" s="3135">
        <f>0</f>
        <v>0</v>
      </c>
      <c r="AE270" s="3135">
        <f>0</f>
        <v>0</v>
      </c>
      <c r="AF270" s="3135">
        <f>0</f>
        <v>0</v>
      </c>
      <c r="AG270" s="3135">
        <f>0</f>
        <v>0</v>
      </c>
      <c r="AH270" s="3135">
        <f>0</f>
        <v>0</v>
      </c>
      <c r="AI270" s="3135">
        <f>0</f>
        <v>0</v>
      </c>
      <c r="AJ270" s="3147">
        <f>0</f>
        <v>0</v>
      </c>
      <c r="AK270" s="3135">
        <f>0</f>
        <v>0</v>
      </c>
      <c r="AL270" s="3135">
        <f>0</f>
        <v>0</v>
      </c>
      <c r="AM270" s="3135">
        <f>0</f>
        <v>0</v>
      </c>
      <c r="AN270" s="3135">
        <f>0</f>
        <v>0</v>
      </c>
      <c r="AO270" s="3135">
        <f>0</f>
        <v>0</v>
      </c>
      <c r="AP270" s="3147">
        <f>0</f>
        <v>0</v>
      </c>
      <c r="AQ270" s="3135">
        <f>0</f>
        <v>0</v>
      </c>
      <c r="AR270" s="3135">
        <f>1</f>
        <v>1</v>
      </c>
      <c r="AS270" s="3135">
        <f>0</f>
        <v>0</v>
      </c>
      <c r="AT270" s="3135">
        <f>0</f>
        <v>0</v>
      </c>
      <c r="AU270" s="3135">
        <f>0</f>
        <v>0</v>
      </c>
      <c r="AV270" s="3135">
        <f>0</f>
        <v>0</v>
      </c>
      <c r="AW270" s="3135">
        <f>0</f>
        <v>0</v>
      </c>
      <c r="AX270" s="3135">
        <f>0</f>
        <v>0</v>
      </c>
      <c r="AY270" s="3135">
        <f>0</f>
        <v>0</v>
      </c>
      <c r="AZ270" s="3135">
        <f>0</f>
        <v>0</v>
      </c>
      <c r="BA270" s="3135">
        <f>0</f>
        <v>0</v>
      </c>
      <c r="BB270" s="3135">
        <f>0</f>
        <v>0</v>
      </c>
      <c r="BC270" s="3135">
        <f>0</f>
        <v>0</v>
      </c>
      <c r="BD270" s="3135">
        <f>0</f>
        <v>0</v>
      </c>
      <c r="BE270" s="3158">
        <f>0</f>
        <v>0</v>
      </c>
      <c r="BF270" s="3158">
        <f>0</f>
        <v>0</v>
      </c>
      <c r="BG270" s="3158">
        <f>0</f>
        <v>0</v>
      </c>
      <c r="BH270" s="3158">
        <f>0</f>
        <v>0</v>
      </c>
      <c r="BI270" s="3158">
        <f>0</f>
        <v>0</v>
      </c>
      <c r="BJ270" s="3158">
        <f>0</f>
        <v>0</v>
      </c>
      <c r="BK270" s="3158">
        <f>0</f>
        <v>0</v>
      </c>
      <c r="BL270" s="3158">
        <f>0</f>
        <v>0</v>
      </c>
      <c r="BM270" s="3158">
        <f>0</f>
        <v>0</v>
      </c>
      <c r="BN270" s="3158">
        <f>0</f>
        <v>0</v>
      </c>
      <c r="BO270" s="3158">
        <f>0</f>
        <v>0</v>
      </c>
      <c r="BP270" s="3158">
        <f>0</f>
        <v>0</v>
      </c>
      <c r="BQ270" s="3158">
        <f>0</f>
        <v>0</v>
      </c>
      <c r="BR270" s="3158">
        <f>0</f>
        <v>0</v>
      </c>
      <c r="BS270" s="3158">
        <f>0</f>
        <v>0</v>
      </c>
      <c r="BT270" s="3158">
        <f>0</f>
        <v>0</v>
      </c>
      <c r="BU270" s="3158">
        <f>0</f>
        <v>0</v>
      </c>
      <c r="BV270" s="3158">
        <f>0</f>
        <v>0</v>
      </c>
      <c r="BW270" s="3158">
        <f>0</f>
        <v>0</v>
      </c>
      <c r="BX270" s="3158">
        <f>0</f>
        <v>0</v>
      </c>
      <c r="BY270" s="3158">
        <f>0</f>
        <v>0</v>
      </c>
      <c r="BZ270" s="3211">
        <f>0</f>
        <v>0</v>
      </c>
      <c r="CA270" s="3211">
        <f>0</f>
        <v>0</v>
      </c>
      <c r="CB270" s="3211">
        <f>0</f>
        <v>0</v>
      </c>
      <c r="CC270" s="3211">
        <f>0</f>
        <v>0</v>
      </c>
      <c r="CD270" s="3158">
        <f>0</f>
        <v>0</v>
      </c>
      <c r="CE270" s="3158">
        <f>0</f>
        <v>0</v>
      </c>
      <c r="CF270" s="3158">
        <f>0</f>
        <v>0</v>
      </c>
      <c r="CG270" s="3158">
        <f>0</f>
        <v>0</v>
      </c>
      <c r="CH270" s="3158">
        <f>0</f>
        <v>0</v>
      </c>
      <c r="CI270" s="3158">
        <f>0</f>
        <v>0</v>
      </c>
      <c r="CJ270" s="3158">
        <f>-1</f>
        <v>-1</v>
      </c>
      <c r="CK270" s="3158">
        <f>0</f>
        <v>0</v>
      </c>
      <c r="CL270" s="3158">
        <f>0</f>
        <v>0</v>
      </c>
      <c r="CM270" s="3158">
        <f>0</f>
        <v>0</v>
      </c>
      <c r="CN270" s="3158">
        <f>0</f>
        <v>0</v>
      </c>
      <c r="CO270" s="3158">
        <f>0</f>
        <v>0</v>
      </c>
      <c r="CP270" s="3158">
        <f>0</f>
        <v>0</v>
      </c>
      <c r="CQ270" s="3158">
        <f>0</f>
        <v>0</v>
      </c>
      <c r="CR270" s="3158">
        <f>0</f>
        <v>0</v>
      </c>
      <c r="CS270" s="3158">
        <f>0</f>
        <v>0</v>
      </c>
      <c r="CT270" s="3158">
        <f>0</f>
        <v>0</v>
      </c>
      <c r="CU270" s="3158">
        <f>0</f>
        <v>0</v>
      </c>
      <c r="CV270" s="3238">
        <f>k_LaGO2_bub*(S_GO2_bub_sat-S_O2)</f>
        <v>800</v>
      </c>
      <c r="CX270" s="2838">
        <f>E287*E270+F287*F270+G287*G270+H287*H270+I287*I270+J287*J270+K287*K270+L287*L270+M287*M270+N287*N270+O287*O270+P287*P270+Q287*Q270+R287*R270+S287*S270+T287*T270+U287*U270+V287*V270+W287*W270+X287*X270+Y287*Y270+Z287*Z270+AA287*AA270+AB287*AB270+AC287*AC270+AD287*AD270+AE287*AE270+AF287*AF270+AG287*AG270+AH287*AH270+AI287*AI270+AJ287*AJ270+AK287*AK270+AL287*AL270+AM287*AM270+AN287*AN270+AO287*AO270+AP287*AP270+AQ287*AQ270+AR287*AR270+AS287*AS270+AT287*AT270+AU287*AU270+AV287*AV270+AW287*AW270+AX287*AX270+AY287*AY270+AZ287*AZ270+BA287*BA270+BB287*BB270+BC287*BC270+BD287*BD270+BE287*BE270+BF287*BF270+BG287*BG270+BH287*BH270+BI287*BI270+BJ287*BJ270+BK287*BK270+BL287*BL270+BM287*BM270+BN287*BN270+BO287*BO270+BP287*BP270+BQ287*BQ270+BR287*BR270+BS287*BS270+BT287*BT270+BU287*BU270+BV287*BV270+BW287*BW270+BX287*BX270+BY287*BY270+BZ287*BZ270+CA287*CA270+CB287*CB270+CC287*CC270+CD287*CD270+CE287*CE270+CF287*CF270+CG287*CG270+CH287*CH270+CI287*CI270+CJ287*CJ270+CK287*CK270+CL287*CL270+CM287*CM270+CN287*CN270+CO287*CO270+CP287*CP270+CQ287*CQ270+CR287*CR270+CS287*CS270+CT287*CT270+CU287*CU270</f>
        <v>0</v>
      </c>
      <c r="CY270" s="2838">
        <f>E288*E270+F288*F270+G288*G270+H288*H270+I288*I270+J288*J270+K288*K270+L288*L270+M288*M270+N288*N270+O288*O270+P288*P270+Q288*Q270+R288*R270+S288*S270+T288*T270+U288*U270+V288*V270+W288*W270+X288*X270+Y288*Y270+Z288*Z270+AA288*AA270+AB288*AB270+AC288*AC270+AD288*AD270+AE288*AE270+AF288*AF270+AG288*AG270+AH288*AH270+AI288*AI270+AJ288*AJ270+AK288*AK270+AL288*AL270+AM288*AM270+AN288*AN270+AO288*AO270+AP288*AP270+AQ288*AQ270+AR288*AR270+AS288*AS270+AT288*AT270+AU288*AU270+AV288*AV270+AW288*AW270+AX288*AX270+AY288*AY270+AZ288*AZ270+BA288*BA270+BB288*BB270+BC288*BC270+BD288*BD270+BE288*BE270+BF288*BF270+BG288*BG270+BH288*BH270+BI288*BI270+BJ288*BJ270+BK288*BK270+BL288*BL270+BM288*BM270+BN288*BN270+BO288*BO270+BP288*BP270+BQ288*BQ270+BR288*BR270+BS288*BS270+BT288*BT270+BU288*BU270+BV288*BV270+BW288*BW270+BX288*BX270+BY288*BY270+BZ288*BZ270+CA288*CA270+CB288*CB270+CC288*CC270+CD288*CD270+CE288*CE270+CF288*CF270+CG288*CG270+CH288*CH270+CI288*CI270+CJ288*CJ270+CK288*CK270+CL288*CL270+CM288*CM270+CN288*CN270+CO288*CO270+CP288*CP270+CQ288*CQ270+CR288*CR270+CS288*CS270+CT288*CT270+CU288*CU270</f>
        <v>0</v>
      </c>
      <c r="CZ270" s="2839">
        <f>E289*E270+F289*F270+G289*G270+H289*H270+I289*I270+J289*J270+K289*K270+L289*L270+M289*M270+N289*N270+O289*O270+P289*P270+Q289*Q270+R289*R270+S289*S270+T289*T270+U289*U270+V289*V270+W289*W270+X289*X270+Y289*Y270+Z289*Z270+AA289*AA270+AB289*AB270+AC289*AC270+AD289*AD270+AE289*AE270+AF289*AF270+AG289*AG270+AH289*AH270+AI289*AI270+AJ289*AJ270+AK289*AK270+AL289*AL270+AM289*AM270+AN289*AN270+AO289*AO270+AP289*AP270+AQ289*AQ270+AR289*AR270+AS289*AS270+AT289*AT270+AU289*AU270+AV289*AV270+AW289*AW270+AX289*AX270+AY289*AY270+AZ289*AZ270+BA289*BA270+BB289*BB270+BC289*BC270+BD289*BD270+BE289*BE270+BF289*BF270+BG289*BG270+BH289*BH270+BI289*BI270+BJ289*BJ270+BK289*BK270+BL289*BL270+BM289*BM270+BN289*BN270+BO289*BO270+BP289*BP270+BQ289*BQ270+BR289*BR270+BS289*BS270+BT289*BT270+BU289*BU270+BV289*BV270+BW289*BW270+BX289*BX270+BY289*BY270+BZ289*BZ270+CA289*CA270+CB289*CB270+CC289*CC270+CD289*CD270+CE289*CE270+CF289*CF270+CG289*CG270+CH289*CH270+CI289*CI270+CJ289*CJ270+CK289*CK270+CL289*CL270+CM289*CM270+CN289*CN270+CO289*CO270+CP289*CP270+CQ289*CQ270+CR289*CR270+CS289*CS270+CT289*CT270+CU289*CU270</f>
        <v>0</v>
      </c>
      <c r="DA270" s="2840">
        <f>E290*E270+F290*F270+G290*G270+H290*H270+I290*I270+J290*J270+K290*K270+L290*L270+M290*M270+N290*N270+O290*O270+P290*P270+Q290*Q270+R290*R270+S290*S270+T290*T270+U290*U270+V290*V270+W290*W270+X290*X270+Y290*Y270+Z290*Z270+AA290*AA270+AB290*AB270+AC290*AC270+AD290*AD270+AE290*AE270+AF290*AF270+AG290*AG270+AH290*AH270+AI290*AI270+AJ290*AJ270+AK290*AK270+AL290*AL270+AM290*AM270+AN290*AN270+AO290*AO270+AP290*AP270+AQ290*AQ270+AR290*AR270+AS290*AS270+AT290*AT270+AU290*AU270+AV290*AV270+AW290*AW270+AX290*AX270+AY290*AY270+AZ290*AZ270+BA290*BA270+BB290*BB270+BC290*BC270+BD290*BD270+BE290*BE270+BF290*BF270+BG290*BG270+BH290*BH270+BI290*BI270+BJ290*BJ270+BK290*BK270+BL290*BL270+BM290*BM270+BN290*BN270+BO290*BO270+BP290*BP270+BQ290*BQ270+BR290*BR270+BS290*BS270+BT290*BT270+BU290*BU270+BV290*BV270+BW290*BW270+BX290*BX270+BY290*BY270+BZ290*BZ270+CA290*CA270+CB290*CB270+CC290*CC270+CD290*CD270+CE290*CE270+CF290*CF270+CG290*CG270+CH290*CH270+CI290*CI270+CJ290*CJ270+CK290*CK270+CL290*CL270+CM290*CM270+CN290*CN270+CO290*CO270+CP290*CP270+CQ290*CQ270+CR290*CR270+CS290*CS270+CT290*CT270+CU290*CU270</f>
        <v>0</v>
      </c>
      <c r="DB270" s="2840">
        <f>E291*E270+F291*F270+G291*G270+H291*H270+I291*I270+J291*J270+K291*K270+L291*L270+M291*M270+N291*N270+O291*O270+P291*P270+Q291*Q270+R291*R270+S291*S270+T291*T270+U291*U270+V291*V270+W291*W270+X291*X270+Y291*Y270+Z291*Z270+AA291*AA270+AB291*AB270+AC291*AC270+AD291*AD270+AE291*AE270+AF291*AF270+AG291*AG270+AH291*AH270+AI291*AI270+AJ291*AJ270+AK291*AK270+AL291*AL270+AM291*AM270+AN291*AN270+AO291*AO270+AP291*AP270+AQ291*AQ270+AR291*AR270+AS291*AS270+AT291*AT270+AU291*AU270+AV291*AV270+AW291*AW270+AX291*AX270+AY291*AY270+AZ291*AZ270+BA291*BA270+BB291*BB270+BC291*BC270+BD291*BD270+BE291*BE270+BF291*BF270+BG291*BG270+BH291*BH270+BI291*BI270+BJ291*BJ270+BK291*BK270+BL291*BL270+BM291*BM270+BN291*BN270+BO291*BO270+BP291*BP270+BQ291*BQ270+BR291*BR270+BS291*BS270+BT291*BT270+BU291*BU270+BV291*BV270+BW291*BW270+BX291*BX270+BY291*BY270+BZ291*BZ270+CA291*CA270+CB291*CB270+CC291*CC270+CD291*CD270+CE291*CE270+CF291*CF270+CG291*CG270+CH291*CH270+CI291*CI270+CJ291*CJ270+CK291*CK270+CL291*CL270+CM291*CM270+CN291*CN270+CO291*CO270+CP291*CP270+CQ291*CQ270+CR291*CR270+CS291*CS270+CT291*CT270+CU291*CU270</f>
        <v>0</v>
      </c>
      <c r="DC270" s="2840">
        <f>E292*E270+F292*F270+G292*G270+H292*H270+I292*I270+J292*J270+K292*K270+L292*L270+M292*M270+N292*N270+O292*O270+P292*P270+Q292*Q270+R292*R270+S292*S270+T292*T270+U292*U270+V292*V270+W292*W270+X292*X270+Y292*Y270+Z292*Z270+AA292*AA270+AB292*AB270+AC292*AC270+AD292*AD270+AE292*AE270+AF292*AF270+AG292*AG270+AH292*AH270+AI292*AI270+AJ292*AJ270+AK292*AK270+AL292*AL270+AM292*AM270+AN292*AN270+AO292*AO270+AP292*AP270+AQ292*AQ270+AR292*AR270+AS292*AS270+AT292*AT270+AU292*AU270+AV292*AV270+AW292*AW270+AX292*AX270+AY292*AY270+AZ292*AZ270+BA292*BA270+BB292*BB270+BC292*BC270+BD292*BD270+BE292*BE270+BF292*BF270+BG292*BG270+BH292*BH270+BI292*BI270+BJ292*BJ270+BK292*BK270+BL292*BL270+BM292*BM270+BN292*BN270+BO292*BO270+BP292*BP270+BQ292*BQ270+BR292*BR270+BS292*BS270+BT292*BT270+BU292*BU270+BV292*BV270+BW292*BW270+BX292*BX270+BY292*BY270+BZ292*BZ270+CA292*CA270+CB292*CB270+CC292*CC270+CD292*CD270+CE292*CE270+CF292*CF270+CG292*CG270+CH292*CH270+CI292*CI270+CJ292*CJ270+CK292*CK270+CL292*CL270+CM292*CM270+CN292*CN270+CO292*CO270+CP292*CP270+CQ292*CQ270+CR292*CR270+CS292*CS270+CT292*CT270+CU292*CU270</f>
        <v>0</v>
      </c>
      <c r="DD270" s="2840">
        <f>E293*E270+F293*F270+G293*G270+H293*H270+I293*I270+J293*J270+K293*K270+L293*L270+M293*M270+N293*N270+O293*O270+P293*P270+Q293*Q270+R293*R270+S293*S270+T293*T270+U293*U270+V293*V270+W293*W270+X293*X270+Y293*Y270+Z293*Z270+AA293*AA270+AB293*AB270+AC293*AC270+AD293*AD270+AE293*AE270+AF293*AF270+AG293*AG270+AH293*AH270+AI293*AI270+AJ293*AJ270+AK293*AK270+AL293*AL270+AM293*AM270+AN293*AN270+AO293*AO270+AP293*AP270+AQ293*AQ270+AR293*AR270+AS293*AS270+AT293*AT270+AU293*AU270+AV293*AV270+AW293*AW270+AX293*AX270+AY293*AY270+AZ293*AZ270+BA293*BA270+BB293*BB270+BC293*BC270+BD293*BD270+BE293*BE270+BF293*BF270+BG293*BG270+BH293*BH270+BI293*BI270+BJ293*BJ270+BK293*BK270+BL293*BL270+BM293*BM270+BN293*BN270+BO293*BO270+BP293*BP270+BQ293*BQ270+BR293*BR270+BS293*BS270+BT293*BT270+BU293*BU270+BV293*BV270+BW293*BW270+BX293*BX270+BY293*BY270+BZ293*BZ270+CA293*CA270+CB293*CB270+CC293*CC270+CD293*CD270+CE293*CE270+CF293*CF270+CG293*CG270+CH293*CH270+CI293*CI270+CJ293*CJ270+CK293*CK270+CL293*CL270+CM293*CM270+CN293*CN270+CO293*CO270+CP293*CP270+CQ293*CQ270+CR293*CR270+CS293*CS270+CT293*CT270+CU293*CU270</f>
        <v>0</v>
      </c>
      <c r="DE270" s="2840">
        <f>E294*E270+F294*F270+G294*G270+H294*H270+I294*I270+J294*J270+K294*K270+L294*L270+M294*M270+N294*N270+O294*O270+P294*P270+Q294*Q270+R294*R270+S294*S270+T294*T270+U294*U270+V294*V270+W294*W270+X294*X270+Y294*Y270+Z294*Z270+AA294*AA270+AB294*AB270+AC294*AC270+AD294*AD270+AE294*AE270+AF294*AF270+AG294*AG270+AH294*AH270+AI294*AI270+AJ294*AJ270+AK294*AK270+AL294*AL270+AM294*AM270+AN294*AN270+AO294*AO270+AP294*AP270+AQ294*AQ270+AR294*AR270+AS294*AS270+AT294*AT270+AU294*AU270+AV294*AV270+AW294*AW270+AX294*AX270+AY294*AY270+AZ294*AZ270+BA294*BA270+BB294*BB270+BC294*BC270+BD294*BD270+BE294*BE270+BF294*BF270+BG294*BG270+BH294*BH270+BI294*BI270+BJ294*BJ270+BK294*BK270+BL294*BL270+BM294*BM270+BN294*BN270+BO294*BO270+BP294*BP270+BQ294*BQ270+BR294*BR270+BS294*BS270+BT294*BT270+BU294*BU270+BV294*BV270+BW294*BW270+BX294*BX270+BY294*BY270+BZ294*BZ270+CA294*CA270+CB294*CB270+CC294*CC270+CD294*CD270+CE294*CE270+CF294*CF270+CG294*CG270+CH294*CH270+CI294*CI270+CJ294*CJ270+CK294*CK270+CL294*CL270+CM294*CM270+CN294*CN270+CO294*CO270+CP294*CP270+CQ294*CQ270+CR294*CR270+CS294*CS270+CT294*CT270+CU294*CU270</f>
        <v>0</v>
      </c>
      <c r="DF270" s="2840">
        <f>E295*E270+F295*F270+G295*G270+H295*H270+I295*I270+J295*J270+K295*K270+L295*L270+M295*M270+N295*N270+O295*O270+P295*P270+Q295*Q270+R295*R270+S295*S270+T295*T270+U295*U270+V295*V270+W295*W270+X295*X270+Y295*Y270+Z295*Z270+AA295*AA270+AB295*AB270+AC295*AC270+AD295*AD270+AE295*AE270+AF295*AF270+AG295*AG270+AH295*AH270+AI295*AI270+AJ295*AJ270+AK295*AK270+AL295*AL270+AM295*AM270+AN295*AN270+AO295*AO270+AP295*AP270+AQ295*AQ270+AR295*AR270+AS295*AS270+AT295*AT270+AU295*AU270+AV295*AV270+AW295*AW270+AX295*AX270+AY295*AY270+AZ295*AZ270+BA295*BA270+BB295*BB270+BC295*BC270+BD295*BD270+BE295*BE270+BF295*BF270+BG295*BG270+BH295*BH270+BI295*BI270+BJ295*BJ270+BK295*BK270+BL295*BL270+BM295*BM270+BN295*BN270+BO295*BO270+BP295*BP270+BQ295*BQ270+BR295*BR270+BS295*BS270+BT295*BT270+BU295*BU270+BV295*BV270+BW295*BW270+BX295*BX270+BY295*BY270+BZ295*BZ270+CA295*CA270+CB295*CB270+CC295*CC270+CD295*CD270+CE295*CE270+CF295*CF270+CG295*CG270+CH295*CH270+CI295*CI270+CJ295*CJ270+CK295*CK270+CL295*CL270+CM295*CM270+CN295*CN270+CO295*CO270+CP295*CP270+CQ295*CQ270+CR295*CR270+CS295*CS270+CT295*CT270+CU295*CU270</f>
        <v>0</v>
      </c>
      <c r="DG270" s="2840">
        <f>E296*E270+F296*F270+G296*G270+H296*H270+I296*I270+J296*J270+K296*K270+L296*L270+M296*M270+N296*N270+O296*O270+P296*P270+Q296*Q270+R296*R270+S296*S270+T296*T270+U296*U270+V296*V270+W296*W270+X296*X270+Y296*Y270+Z296*Z270+AA296*AA270+AB296*AB270+AC296*AC270+AD296*AD270+AE296*AE270+AF296*AF270+AG296*AG270+AH296*AH270+AI296*AI270+AJ296*AJ270+AK296*AK270+AL296*AL270+AM296*AM270+AN296*AN270+AO296*AO270+AP296*AP270+AQ296*AQ270+AR296*AR270+AS296*AS270+AT296*AT270+AU296*AU270+AV296*AV270+AW296*AW270+AX296*AX270+AY296*AY270+AZ296*AZ270+BA296*BA270+BB296*BB270+BC296*BC270+BD296*BD270+BE296*BE270+BF296*BF270+BG296*BG270+BH296*BH270+BI296*BI270+BJ296*BJ270+BK296*BK270+BL296*BL270+BM296*BM270+BN296*BN270+BO296*BO270+BP296*BP270+BQ296*BQ270+BR296*BR270+BS296*BS270+BT296*BT270+BU296*BU270+BV296*BV270+BW296*BW270+BX296*BX270+BY296*BY270+BZ296*BZ270+CA296*CA270+CB296*CB270+CC296*CC270+CD296*CD270+CE296*CE270+CF296*CF270+CG296*CG270+CH296*CH270+CI296*CI270+CJ296*CJ270+CK296*CK270+CL296*CL270+CM296*CM270+CN296*CN270+CO296*CO270+CP296*CP270+CQ296*CQ270+CR296*CR270+CS296*CS270+CT296*CT270+CU296*CU270</f>
        <v>0</v>
      </c>
      <c r="DH270" s="2840">
        <f>E297*E270+F297*F270+G297*G270+H297*H270+I297*I270+J297*J270+K297*K270+L297*L270+M297*M270+N297*N270+O297*O270+P297*P270+Q297*Q270+R297*R270+S297*S270+T297*T270+U297*U270+V297*V270+W297*W270+X297*X270+Y297*Y270+Z297*Z270+AA297*AA270+AB297*AB270+AC297*AC270+AD297*AD270+AE297*AE270+AF297*AF270+AG297*AG270+AH297*AH270+AI297*AI270+AJ297*AJ270+AK297*AK270+AL297*AL270+AM297*AM270+AN297*AN270+AO297*AO270+AP297*AP270+AQ297*AQ270+AR297*AR270+AS297*AS270+AT297*AT270+AU297*AU270+AV297*AV270+AW297*AW270+AX297*AX270+AY297*AY270+AZ297*AZ270+BA297*BA270+BB297*BB270+BC297*BC270+BD297*BD270+BE297*BE270+BF297*BF270+BG297*BG270+BH297*BH270+BI297*BI270+BJ297*BJ270+BK297*BK270+BL297*BL270+BM297*BM270+BN297*BN270+BO297*BO270+BP297*BP270+BQ297*BQ270+BR297*BR270+BS297*BS270+BT297*BT270+BU297*BU270+BV297*BV270+BW297*BW270+BX297*BX270+BY297*BY270+BZ297*BZ270+CA297*CA270+CB297*CB270+CC297*CC270+CD297*CD270+CE297*CE270+CF297*CF270+CG297*CG270+CH297*CH270+CI297*CI270+CJ297*CJ270+CK297*CK270+CL297*CL270+CM297*CM270+CN297*CN270+CO297*CO270+CP297*CP270+CQ297*CQ270+CR297*CR270+CS297*CS270+CT297*CT270+CU297*CU270</f>
        <v>0</v>
      </c>
      <c r="DI270" s="2840">
        <f>E298*E270+F298*F270+G298*G270+H298*H270+I298*I270+J298*J270+K298*K270+L298*L270+M298*M270+N298*N270+O298*O270+P298*P270+Q298*Q270+R298*R270+S298*S270+T298*T270+U298*U270+V298*V270+W298*W270+X298*X270+Y298*Y270+Z298*Z270+AA298*AA270+AB298*AB270+AC298*AC270+AD298*AD270+AE298*AE270+AF298*AF270+AG298*AG270+AH298*AH270+AI298*AI270+AJ298*AJ270+AK298*AK270+AL298*AL270+AM298*AM270+AN298*AN270+AO298*AO270+AP298*AP270+AQ298*AQ270+AR298*AR270+AS298*AS270+AT298*AT270+AU298*AU270+AV298*AV270+AW298*AW270+AX298*AX270+AY298*AY270+AZ298*AZ270+BA298*BA270+BB298*BB270+BC298*BC270+BD298*BD270+BE298*BE270+BF298*BF270+BG298*BG270+BH298*BH270+BI298*BI270+BJ298*BJ270+BK298*BK270+BL298*BL270+BM298*BM270+BN298*BN270+BO298*BO270+BP298*BP270+BQ298*BQ270+BR298*BR270+BS298*BS270+BT298*BT270+BU298*BU270+BV298*BV270+BW298*BW270+BX298*BX270+BY298*BY270+BZ298*BZ270+CA298*CA270+CB298*CB270+CC298*CC270+CD298*CD270+CE298*CE270+CF298*CF270+CG298*CG270+CH298*CH270+CI298*CI270+CJ298*CJ270+CK298*CK270+CL298*CL270+CM298*CM270+CN298*CN270+CO298*CO270+CP298*CP270+CQ298*CQ270+CR298*CR270+CS298*CS270+CT298*CT270+CU298*CU270</f>
        <v>0</v>
      </c>
    </row>
    <row r="271" spans="2:113" ht="18" x14ac:dyDescent="0.25">
      <c r="B271" s="2523">
        <v>118</v>
      </c>
      <c r="C271" s="2479" t="s">
        <v>3880</v>
      </c>
      <c r="D271" s="1281" t="s">
        <v>3622</v>
      </c>
      <c r="E271" s="3135">
        <f>0</f>
        <v>0</v>
      </c>
      <c r="F271" s="3135">
        <f>0</f>
        <v>0</v>
      </c>
      <c r="G271" s="3135">
        <f>0</f>
        <v>0</v>
      </c>
      <c r="H271" s="3135">
        <f>0</f>
        <v>0</v>
      </c>
      <c r="I271" s="3135">
        <f>0</f>
        <v>0</v>
      </c>
      <c r="J271" s="3147">
        <f>0</f>
        <v>0</v>
      </c>
      <c r="K271" s="3135">
        <f>0</f>
        <v>0</v>
      </c>
      <c r="L271" s="3135">
        <f>0</f>
        <v>0</v>
      </c>
      <c r="M271" s="3135">
        <f>0</f>
        <v>0</v>
      </c>
      <c r="N271" s="3135">
        <f>0</f>
        <v>0</v>
      </c>
      <c r="O271" s="3135">
        <f>0</f>
        <v>0</v>
      </c>
      <c r="P271" s="3135">
        <f>0</f>
        <v>0</v>
      </c>
      <c r="Q271" s="3135">
        <f>0</f>
        <v>0</v>
      </c>
      <c r="R271" s="3158">
        <f>0</f>
        <v>0</v>
      </c>
      <c r="S271" s="3135">
        <f>0</f>
        <v>0</v>
      </c>
      <c r="T271" s="3135">
        <f>0</f>
        <v>0</v>
      </c>
      <c r="U271" s="3135">
        <f>0</f>
        <v>0</v>
      </c>
      <c r="V271" s="3135">
        <f>0</f>
        <v>0</v>
      </c>
      <c r="W271" s="3135">
        <f>0</f>
        <v>0</v>
      </c>
      <c r="X271" s="3135">
        <f>0</f>
        <v>0</v>
      </c>
      <c r="Y271" s="3135">
        <f>0</f>
        <v>0</v>
      </c>
      <c r="Z271" s="3135">
        <f>0</f>
        <v>0</v>
      </c>
      <c r="AA271" s="3135">
        <f>0</f>
        <v>0</v>
      </c>
      <c r="AB271" s="3135">
        <f>0</f>
        <v>0</v>
      </c>
      <c r="AC271" s="3135">
        <f>0</f>
        <v>0</v>
      </c>
      <c r="AD271" s="3135">
        <f>1</f>
        <v>1</v>
      </c>
      <c r="AE271" s="3135">
        <f>0</f>
        <v>0</v>
      </c>
      <c r="AF271" s="3135">
        <f>0</f>
        <v>0</v>
      </c>
      <c r="AG271" s="3135">
        <f>0</f>
        <v>0</v>
      </c>
      <c r="AH271" s="3135">
        <f>0</f>
        <v>0</v>
      </c>
      <c r="AI271" s="3135">
        <f>0</f>
        <v>0</v>
      </c>
      <c r="AJ271" s="3147">
        <f>0</f>
        <v>0</v>
      </c>
      <c r="AK271" s="3135">
        <f>0</f>
        <v>0</v>
      </c>
      <c r="AL271" s="3135">
        <f>0</f>
        <v>0</v>
      </c>
      <c r="AM271" s="3135">
        <f>0</f>
        <v>0</v>
      </c>
      <c r="AN271" s="3135">
        <f>0</f>
        <v>0</v>
      </c>
      <c r="AO271" s="3135">
        <f>0</f>
        <v>0</v>
      </c>
      <c r="AP271" s="3147">
        <f>0</f>
        <v>0</v>
      </c>
      <c r="AQ271" s="3135">
        <f>0</f>
        <v>0</v>
      </c>
      <c r="AR271" s="3135">
        <f>0</f>
        <v>0</v>
      </c>
      <c r="AS271" s="3135">
        <f>0</f>
        <v>0</v>
      </c>
      <c r="AT271" s="3135">
        <f>0</f>
        <v>0</v>
      </c>
      <c r="AU271" s="3135">
        <f>0</f>
        <v>0</v>
      </c>
      <c r="AV271" s="3135">
        <f>0</f>
        <v>0</v>
      </c>
      <c r="AW271" s="3135">
        <f>0</f>
        <v>0</v>
      </c>
      <c r="AX271" s="3135">
        <f>0</f>
        <v>0</v>
      </c>
      <c r="AY271" s="3135">
        <f>0</f>
        <v>0</v>
      </c>
      <c r="AZ271" s="3135">
        <f>0</f>
        <v>0</v>
      </c>
      <c r="BA271" s="3135">
        <f>0</f>
        <v>0</v>
      </c>
      <c r="BB271" s="3135">
        <f>0</f>
        <v>0</v>
      </c>
      <c r="BC271" s="3135">
        <f>0</f>
        <v>0</v>
      </c>
      <c r="BD271" s="3135">
        <f>0</f>
        <v>0</v>
      </c>
      <c r="BE271" s="3158">
        <f>0</f>
        <v>0</v>
      </c>
      <c r="BF271" s="3158">
        <f>0</f>
        <v>0</v>
      </c>
      <c r="BG271" s="3158">
        <f>0</f>
        <v>0</v>
      </c>
      <c r="BH271" s="3158">
        <f>0</f>
        <v>0</v>
      </c>
      <c r="BI271" s="3158">
        <f>0</f>
        <v>0</v>
      </c>
      <c r="BJ271" s="3158">
        <f>0</f>
        <v>0</v>
      </c>
      <c r="BK271" s="3158">
        <f>0</f>
        <v>0</v>
      </c>
      <c r="BL271" s="3158">
        <f>0</f>
        <v>0</v>
      </c>
      <c r="BM271" s="3158">
        <f>0</f>
        <v>0</v>
      </c>
      <c r="BN271" s="3158">
        <f>0</f>
        <v>0</v>
      </c>
      <c r="BO271" s="3158">
        <f>0</f>
        <v>0</v>
      </c>
      <c r="BP271" s="3158">
        <f>0</f>
        <v>0</v>
      </c>
      <c r="BQ271" s="3158">
        <f>0</f>
        <v>0</v>
      </c>
      <c r="BR271" s="3158">
        <f>0</f>
        <v>0</v>
      </c>
      <c r="BS271" s="3158">
        <f>0</f>
        <v>0</v>
      </c>
      <c r="BT271" s="3158">
        <f>0</f>
        <v>0</v>
      </c>
      <c r="BU271" s="3158">
        <f>0</f>
        <v>0</v>
      </c>
      <c r="BV271" s="3158">
        <f>0</f>
        <v>0</v>
      </c>
      <c r="BW271" s="3158">
        <f>0</f>
        <v>0</v>
      </c>
      <c r="BX271" s="3158">
        <f>0</f>
        <v>0</v>
      </c>
      <c r="BY271" s="3158">
        <f>0</f>
        <v>0</v>
      </c>
      <c r="BZ271" s="3211">
        <f>0</f>
        <v>0</v>
      </c>
      <c r="CA271" s="3211">
        <f>0</f>
        <v>0</v>
      </c>
      <c r="CB271" s="3211">
        <f>0</f>
        <v>0</v>
      </c>
      <c r="CC271" s="3211">
        <f>0</f>
        <v>0</v>
      </c>
      <c r="CD271" s="3158">
        <f>0</f>
        <v>0</v>
      </c>
      <c r="CE271" s="3158">
        <f>0</f>
        <v>0</v>
      </c>
      <c r="CF271" s="3158">
        <f>0</f>
        <v>0</v>
      </c>
      <c r="CG271" s="3158">
        <f>0</f>
        <v>0</v>
      </c>
      <c r="CH271" s="3158">
        <f>0</f>
        <v>0</v>
      </c>
      <c r="CI271" s="3158">
        <f>0</f>
        <v>0</v>
      </c>
      <c r="CJ271" s="3158">
        <f>0</f>
        <v>0</v>
      </c>
      <c r="CK271" s="3158">
        <f>-1</f>
        <v>-1</v>
      </c>
      <c r="CL271" s="3158">
        <f>0</f>
        <v>0</v>
      </c>
      <c r="CM271" s="3158">
        <f>0</f>
        <v>0</v>
      </c>
      <c r="CN271" s="3158">
        <f>0</f>
        <v>0</v>
      </c>
      <c r="CO271" s="3158">
        <f>0</f>
        <v>0</v>
      </c>
      <c r="CP271" s="3158">
        <f>0</f>
        <v>0</v>
      </c>
      <c r="CQ271" s="3158">
        <f>0</f>
        <v>0</v>
      </c>
      <c r="CR271" s="3158">
        <f>0</f>
        <v>0</v>
      </c>
      <c r="CS271" s="3158">
        <f>0</f>
        <v>0</v>
      </c>
      <c r="CT271" s="3158">
        <f>0</f>
        <v>0</v>
      </c>
      <c r="CU271" s="3158">
        <f>0</f>
        <v>0</v>
      </c>
      <c r="CV271" s="3238">
        <f>k_transfer_GNH3_bub</f>
        <v>0</v>
      </c>
      <c r="CX271" s="2838">
        <f>E287*E271+F287*F271+G287*G271+H287*H271+I287*I271+J287*J271+K287*K271+L287*L271+M287*M271+N287*N271+O287*O271+P287*P271+Q287*Q271+R287*R271+S287*S271+T287*T271+U287*U271+V287*V271+W287*W271+X287*X271+Y287*Y271+Z287*Z271+AA287*AA271+AB287*AB271+AC287*AC271+AD287*AD271+AE287*AE271+AF287*AF271+AG287*AG271+AH287*AH271+AI287*AI271+AJ287*AJ271+AK287*AK271+AL287*AL271+AM287*AM271+AN287*AN271+AO287*AO271+AP287*AP271+AQ287*AQ271+AR287*AR271+AS287*AS271+AT287*AT271+AU287*AU271+AV287*AV271+AW287*AW271+AX287*AX271+AY287*AY271+AZ287*AZ271+BA287*BA271+BB287*BB271+BC287*BC271+BD287*BD271+BE287*BE271+BF287*BF271+BG287*BG271+BH287*BH271+BI287*BI271+BJ287*BJ271+BK287*BK271+BL287*BL271+BM287*BM271+BN287*BN271+BO287*BO271+BP287*BP271+BQ287*BQ271+BR287*BR271+BS287*BS271+BT287*BT271+BU287*BU271+BV287*BV271+BW287*BW271+BX287*BX271+BY287*BY271+BZ287*BZ271+CA287*CA271+CB287*CB271+CC287*CC271+CD287*CD271+CE287*CE271+CF287*CF271+CG287*CG271+CH287*CH271+CI287*CI271+CJ287*CJ271+CK287*CK271+CL287*CL271+CM287*CM271+CN287*CN271+CO287*CO271+CP287*CP271+CQ287*CQ271+CR287*CR271+CS287*CS271+CT287*CT271+CU287*CU271</f>
        <v>0</v>
      </c>
      <c r="CY271" s="2838">
        <f>E288*E271+F288*F271+G288*G271+H288*H271+I288*I271+J288*J271+K288*K271+L288*L271+M288*M271+N288*N271+O288*O271+P288*P271+Q288*Q271+R288*R271+S288*S271+T288*T271+U288*U271+V288*V271+W288*W271+X288*X271+Y288*Y271+Z288*Z271+AA288*AA271+AB288*AB271+AC288*AC271+AD288*AD271+AE288*AE271+AF288*AF271+AG288*AG271+AH288*AH271+AI288*AI271+AJ288*AJ271+AK288*AK271+AL288*AL271+AM288*AM271+AN288*AN271+AO288*AO271+AP288*AP271+AQ288*AQ271+AR288*AR271+AS288*AS271+AT288*AT271+AU288*AU271+AV288*AV271+AW288*AW271+AX288*AX271+AY288*AY271+AZ288*AZ271+BA288*BA271+BB288*BB271+BC288*BC271+BD288*BD271+BE288*BE271+BF288*BF271+BG288*BG271+BH288*BH271+BI288*BI271+BJ288*BJ271+BK288*BK271+BL288*BL271+BM288*BM271+BN288*BN271+BO288*BO271+BP288*BP271+BQ288*BQ271+BR288*BR271+BS288*BS271+BT288*BT271+BU288*BU271+BV288*BV271+BW288*BW271+BX288*BX271+BY288*BY271+BZ288*BZ271+CA288*CA271+CB288*CB271+CC288*CC271+CD288*CD271+CE288*CE271+CF288*CF271+CG288*CG271+CH288*CH271+CI288*CI271+CJ288*CJ271+CK288*CK271+CL288*CL271+CM288*CM271+CN288*CN271+CO288*CO271+CP288*CP271+CQ288*CQ271+CR288*CR271+CS288*CS271+CT288*CT271+CU288*CU271</f>
        <v>0</v>
      </c>
      <c r="CZ271" s="2839">
        <f>E289*E271+F289*F271+G289*G271+H289*H271+I289*I271+J289*J271+K289*K271+L289*L271+M289*M271+N289*N271+O289*O271+P289*P271+Q289*Q271+R289*R271+S289*S271+T289*T271+U289*U271+V289*V271+W289*W271+X289*X271+Y289*Y271+Z289*Z271+AA289*AA271+AB289*AB271+AC289*AC271+AD289*AD271+AE289*AE271+AF289*AF271+AG289*AG271+AH289*AH271+AI289*AI271+AJ289*AJ271+AK289*AK271+AL289*AL271+AM289*AM271+AN289*AN271+AO289*AO271+AP289*AP271+AQ289*AQ271+AR289*AR271+AS289*AS271+AT289*AT271+AU289*AU271+AV289*AV271+AW289*AW271+AX289*AX271+AY289*AY271+AZ289*AZ271+BA289*BA271+BB289*BB271+BC289*BC271+BD289*BD271+BE289*BE271+BF289*BF271+BG289*BG271+BH289*BH271+BI289*BI271+BJ289*BJ271+BK289*BK271+BL289*BL271+BM289*BM271+BN289*BN271+BO289*BO271+BP289*BP271+BQ289*BQ271+BR289*BR271+BS289*BS271+BT289*BT271+BU289*BU271+BV289*BV271+BW289*BW271+BX289*BX271+BY289*BY271+BZ289*BZ271+CA289*CA271+CB289*CB271+CC289*CC271+CD289*CD271+CE289*CE271+CF289*CF271+CG289*CG271+CH289*CH271+CI289*CI271+CJ289*CJ271+CK289*CK271+CL289*CL271+CM289*CM271+CN289*CN271+CO289*CO271+CP289*CP271+CQ289*CQ271+CR289*CR271+CS289*CS271+CT289*CT271+CU289*CU271</f>
        <v>0</v>
      </c>
      <c r="DA271" s="2840">
        <f>E290*E271+F290*F271+G290*G271+H290*H271+I290*I271+J290*J271+K290*K271+L290*L271+M290*M271+N290*N271+O290*O271+P290*P271+Q290*Q271+R290*R271+S290*S271+T290*T271+U290*U271+V290*V271+W290*W271+X290*X271+Y290*Y271+Z290*Z271+AA290*AA271+AB290*AB271+AC290*AC271+AD290*AD271+AE290*AE271+AF290*AF271+AG290*AG271+AH290*AH271+AI290*AI271+AJ290*AJ271+AK290*AK271+AL290*AL271+AM290*AM271+AN290*AN271+AO290*AO271+AP290*AP271+AQ290*AQ271+AR290*AR271+AS290*AS271+AT290*AT271+AU290*AU271+AV290*AV271+AW290*AW271+AX290*AX271+AY290*AY271+AZ290*AZ271+BA290*BA271+BB290*BB271+BC290*BC271+BD290*BD271+BE290*BE271+BF290*BF271+BG290*BG271+BH290*BH271+BI290*BI271+BJ290*BJ271+BK290*BK271+BL290*BL271+BM290*BM271+BN290*BN271+BO290*BO271+BP290*BP271+BQ290*BQ271+BR290*BR271+BS290*BS271+BT290*BT271+BU290*BU271+BV290*BV271+BW290*BW271+BX290*BX271+BY290*BY271+BZ290*BZ271+CA290*CA271+CB290*CB271+CC290*CC271+CD290*CD271+CE290*CE271+CF290*CF271+CG290*CG271+CH290*CH271+CI290*CI271+CJ290*CJ271+CK290*CK271+CL290*CL271+CM290*CM271+CN290*CN271+CO290*CO271+CP290*CP271+CQ290*CQ271+CR290*CR271+CS290*CS271+CT290*CT271+CU290*CU271</f>
        <v>0</v>
      </c>
      <c r="DB271" s="2840">
        <f>E291*E271+F291*F271+G291*G271+H291*H271+I291*I271+J291*J271+K291*K271+L291*L271+M291*M271+N291*N271+O291*O271+P291*P271+Q291*Q271+R291*R271+S291*S271+T291*T271+U291*U271+V291*V271+W291*W271+X291*X271+Y291*Y271+Z291*Z271+AA291*AA271+AB291*AB271+AC291*AC271+AD291*AD271+AE291*AE271+AF291*AF271+AG291*AG271+AH291*AH271+AI291*AI271+AJ291*AJ271+AK291*AK271+AL291*AL271+AM291*AM271+AN291*AN271+AO291*AO271+AP291*AP271+AQ291*AQ271+AR291*AR271+AS291*AS271+AT291*AT271+AU291*AU271+AV291*AV271+AW291*AW271+AX291*AX271+AY291*AY271+AZ291*AZ271+BA291*BA271+BB291*BB271+BC291*BC271+BD291*BD271+BE291*BE271+BF291*BF271+BG291*BG271+BH291*BH271+BI291*BI271+BJ291*BJ271+BK291*BK271+BL291*BL271+BM291*BM271+BN291*BN271+BO291*BO271+BP291*BP271+BQ291*BQ271+BR291*BR271+BS291*BS271+BT291*BT271+BU291*BU271+BV291*BV271+BW291*BW271+BX291*BX271+BY291*BY271+BZ291*BZ271+CA291*CA271+CB291*CB271+CC291*CC271+CD291*CD271+CE291*CE271+CF291*CF271+CG291*CG271+CH291*CH271+CI291*CI271+CJ291*CJ271+CK291*CK271+CL291*CL271+CM291*CM271+CN291*CN271+CO291*CO271+CP291*CP271+CQ291*CQ271+CR291*CR271+CS291*CS271+CT291*CT271+CU291*CU271</f>
        <v>0</v>
      </c>
      <c r="DC271" s="2840">
        <f>E292*E271+F292*F271+G292*G271+H292*H271+I292*I271+J292*J271+K292*K271+L292*L271+M292*M271+N292*N271+O292*O271+P292*P271+Q292*Q271+R292*R271+S292*S271+T292*T271+U292*U271+V292*V271+W292*W271+X292*X271+Y292*Y271+Z292*Z271+AA292*AA271+AB292*AB271+AC292*AC271+AD292*AD271+AE292*AE271+AF292*AF271+AG292*AG271+AH292*AH271+AI292*AI271+AJ292*AJ271+AK292*AK271+AL292*AL271+AM292*AM271+AN292*AN271+AO292*AO271+AP292*AP271+AQ292*AQ271+AR292*AR271+AS292*AS271+AT292*AT271+AU292*AU271+AV292*AV271+AW292*AW271+AX292*AX271+AY292*AY271+AZ292*AZ271+BA292*BA271+BB292*BB271+BC292*BC271+BD292*BD271+BE292*BE271+BF292*BF271+BG292*BG271+BH292*BH271+BI292*BI271+BJ292*BJ271+BK292*BK271+BL292*BL271+BM292*BM271+BN292*BN271+BO292*BO271+BP292*BP271+BQ292*BQ271+BR292*BR271+BS292*BS271+BT292*BT271+BU292*BU271+BV292*BV271+BW292*BW271+BX292*BX271+BY292*BY271+BZ292*BZ271+CA292*CA271+CB292*CB271+CC292*CC271+CD292*CD271+CE292*CE271+CF292*CF271+CG292*CG271+CH292*CH271+CI292*CI271+CJ292*CJ271+CK292*CK271+CL292*CL271+CM292*CM271+CN292*CN271+CO292*CO271+CP292*CP271+CQ292*CQ271+CR292*CR271+CS292*CS271+CT292*CT271+CU292*CU271</f>
        <v>0</v>
      </c>
      <c r="DD271" s="2840">
        <f>E293*E271+F293*F271+G293*G271+H293*H271+I293*I271+J293*J271+K293*K271+L293*L271+M293*M271+N293*N271+O293*O271+P293*P271+Q293*Q271+R293*R271+S293*S271+T293*T271+U293*U271+V293*V271+W293*W271+X293*X271+Y293*Y271+Z293*Z271+AA293*AA271+AB293*AB271+AC293*AC271+AD293*AD271+AE293*AE271+AF293*AF271+AG293*AG271+AH293*AH271+AI293*AI271+AJ293*AJ271+AK293*AK271+AL293*AL271+AM293*AM271+AN293*AN271+AO293*AO271+AP293*AP271+AQ293*AQ271+AR293*AR271+AS293*AS271+AT293*AT271+AU293*AU271+AV293*AV271+AW293*AW271+AX293*AX271+AY293*AY271+AZ293*AZ271+BA293*BA271+BB293*BB271+BC293*BC271+BD293*BD271+BE293*BE271+BF293*BF271+BG293*BG271+BH293*BH271+BI293*BI271+BJ293*BJ271+BK293*BK271+BL293*BL271+BM293*BM271+BN293*BN271+BO293*BO271+BP293*BP271+BQ293*BQ271+BR293*BR271+BS293*BS271+BT293*BT271+BU293*BU271+BV293*BV271+BW293*BW271+BX293*BX271+BY293*BY271+BZ293*BZ271+CA293*CA271+CB293*CB271+CC293*CC271+CD293*CD271+CE293*CE271+CF293*CF271+CG293*CG271+CH293*CH271+CI293*CI271+CJ293*CJ271+CK293*CK271+CL293*CL271+CM293*CM271+CN293*CN271+CO293*CO271+CP293*CP271+CQ293*CQ271+CR293*CR271+CS293*CS271+CT293*CT271+CU293*CU271</f>
        <v>0</v>
      </c>
      <c r="DE271" s="2840">
        <f>E294*E271+F294*F271+G294*G271+H294*H271+I294*I271+J294*J271+K294*K271+L294*L271+M294*M271+N294*N271+O294*O271+P294*P271+Q294*Q271+R294*R271+S294*S271+T294*T271+U294*U271+V294*V271+W294*W271+X294*X271+Y294*Y271+Z294*Z271+AA294*AA271+AB294*AB271+AC294*AC271+AD294*AD271+AE294*AE271+AF294*AF271+AG294*AG271+AH294*AH271+AI294*AI271+AJ294*AJ271+AK294*AK271+AL294*AL271+AM294*AM271+AN294*AN271+AO294*AO271+AP294*AP271+AQ294*AQ271+AR294*AR271+AS294*AS271+AT294*AT271+AU294*AU271+AV294*AV271+AW294*AW271+AX294*AX271+AY294*AY271+AZ294*AZ271+BA294*BA271+BB294*BB271+BC294*BC271+BD294*BD271+BE294*BE271+BF294*BF271+BG294*BG271+BH294*BH271+BI294*BI271+BJ294*BJ271+BK294*BK271+BL294*BL271+BM294*BM271+BN294*BN271+BO294*BO271+BP294*BP271+BQ294*BQ271+BR294*BR271+BS294*BS271+BT294*BT271+BU294*BU271+BV294*BV271+BW294*BW271+BX294*BX271+BY294*BY271+BZ294*BZ271+CA294*CA271+CB294*CB271+CC294*CC271+CD294*CD271+CE294*CE271+CF294*CF271+CG294*CG271+CH294*CH271+CI294*CI271+CJ294*CJ271+CK294*CK271+CL294*CL271+CM294*CM271+CN294*CN271+CO294*CO271+CP294*CP271+CQ294*CQ271+CR294*CR271+CS294*CS271+CT294*CT271+CU294*CU271</f>
        <v>0</v>
      </c>
      <c r="DF271" s="2840">
        <f>E295*E271+F295*F271+G295*G271+H295*H271+I295*I271+J295*J271+K295*K271+L295*L271+M295*M271+N295*N271+O295*O271+P295*P271+Q295*Q271+R295*R271+S295*S271+T295*T271+U295*U271+V295*V271+W295*W271+X295*X271+Y295*Y271+Z295*Z271+AA295*AA271+AB295*AB271+AC295*AC271+AD295*AD271+AE295*AE271+AF295*AF271+AG295*AG271+AH295*AH271+AI295*AI271+AJ295*AJ271+AK295*AK271+AL295*AL271+AM295*AM271+AN295*AN271+AO295*AO271+AP295*AP271+AQ295*AQ271+AR295*AR271+AS295*AS271+AT295*AT271+AU295*AU271+AV295*AV271+AW295*AW271+AX295*AX271+AY295*AY271+AZ295*AZ271+BA295*BA271+BB295*BB271+BC295*BC271+BD295*BD271+BE295*BE271+BF295*BF271+BG295*BG271+BH295*BH271+BI295*BI271+BJ295*BJ271+BK295*BK271+BL295*BL271+BM295*BM271+BN295*BN271+BO295*BO271+BP295*BP271+BQ295*BQ271+BR295*BR271+BS295*BS271+BT295*BT271+BU295*BU271+BV295*BV271+BW295*BW271+BX295*BX271+BY295*BY271+BZ295*BZ271+CA295*CA271+CB295*CB271+CC295*CC271+CD295*CD271+CE295*CE271+CF295*CF271+CG295*CG271+CH295*CH271+CI295*CI271+CJ295*CJ271+CK295*CK271+CL295*CL271+CM295*CM271+CN295*CN271+CO295*CO271+CP295*CP271+CQ295*CQ271+CR295*CR271+CS295*CS271+CT295*CT271+CU295*CU271</f>
        <v>0</v>
      </c>
      <c r="DG271" s="2840">
        <f>E296*E271+F296*F271+G296*G271+H296*H271+I296*I271+J296*J271+K296*K271+L296*L271+M296*M271+N296*N271+O296*O271+P296*P271+Q296*Q271+R296*R271+S296*S271+T296*T271+U296*U271+V296*V271+W296*W271+X296*X271+Y296*Y271+Z296*Z271+AA296*AA271+AB296*AB271+AC296*AC271+AD296*AD271+AE296*AE271+AF296*AF271+AG296*AG271+AH296*AH271+AI296*AI271+AJ296*AJ271+AK296*AK271+AL296*AL271+AM296*AM271+AN296*AN271+AO296*AO271+AP296*AP271+AQ296*AQ271+AR296*AR271+AS296*AS271+AT296*AT271+AU296*AU271+AV296*AV271+AW296*AW271+AX296*AX271+AY296*AY271+AZ296*AZ271+BA296*BA271+BB296*BB271+BC296*BC271+BD296*BD271+BE296*BE271+BF296*BF271+BG296*BG271+BH296*BH271+BI296*BI271+BJ296*BJ271+BK296*BK271+BL296*BL271+BM296*BM271+BN296*BN271+BO296*BO271+BP296*BP271+BQ296*BQ271+BR296*BR271+BS296*BS271+BT296*BT271+BU296*BU271+BV296*BV271+BW296*BW271+BX296*BX271+BY296*BY271+BZ296*BZ271+CA296*CA271+CB296*CB271+CC296*CC271+CD296*CD271+CE296*CE271+CF296*CF271+CG296*CG271+CH296*CH271+CI296*CI271+CJ296*CJ271+CK296*CK271+CL296*CL271+CM296*CM271+CN296*CN271+CO296*CO271+CP296*CP271+CQ296*CQ271+CR296*CR271+CS296*CS271+CT296*CT271+CU296*CU271</f>
        <v>0</v>
      </c>
      <c r="DH271" s="2840">
        <f>E297*E271+F297*F271+G297*G271+H297*H271+I297*I271+J297*J271+K297*K271+L297*L271+M297*M271+N297*N271+O297*O271+P297*P271+Q297*Q271+R297*R271+S297*S271+T297*T271+U297*U271+V297*V271+W297*W271+X297*X271+Y297*Y271+Z297*Z271+AA297*AA271+AB297*AB271+AC297*AC271+AD297*AD271+AE297*AE271+AF297*AF271+AG297*AG271+AH297*AH271+AI297*AI271+AJ297*AJ271+AK297*AK271+AL297*AL271+AM297*AM271+AN297*AN271+AO297*AO271+AP297*AP271+AQ297*AQ271+AR297*AR271+AS297*AS271+AT297*AT271+AU297*AU271+AV297*AV271+AW297*AW271+AX297*AX271+AY297*AY271+AZ297*AZ271+BA297*BA271+BB297*BB271+BC297*BC271+BD297*BD271+BE297*BE271+BF297*BF271+BG297*BG271+BH297*BH271+BI297*BI271+BJ297*BJ271+BK297*BK271+BL297*BL271+BM297*BM271+BN297*BN271+BO297*BO271+BP297*BP271+BQ297*BQ271+BR297*BR271+BS297*BS271+BT297*BT271+BU297*BU271+BV297*BV271+BW297*BW271+BX297*BX271+BY297*BY271+BZ297*BZ271+CA297*CA271+CB297*CB271+CC297*CC271+CD297*CD271+CE297*CE271+CF297*CF271+CG297*CG271+CH297*CH271+CI297*CI271+CJ297*CJ271+CK297*CK271+CL297*CL271+CM297*CM271+CN297*CN271+CO297*CO271+CP297*CP271+CQ297*CQ271+CR297*CR271+CS297*CS271+CT297*CT271+CU297*CU271</f>
        <v>0</v>
      </c>
      <c r="DI271" s="2840">
        <f>E298*E271+F298*F271+G298*G271+H298*H271+I298*I271+J298*J271+K298*K271+L298*L271+M298*M271+N298*N271+O298*O271+P298*P271+Q298*Q271+R298*R271+S298*S271+T298*T271+U298*U271+V298*V271+W298*W271+X298*X271+Y298*Y271+Z298*Z271+AA298*AA271+AB298*AB271+AC298*AC271+AD298*AD271+AE298*AE271+AF298*AF271+AG298*AG271+AH298*AH271+AI298*AI271+AJ298*AJ271+AK298*AK271+AL298*AL271+AM298*AM271+AN298*AN271+AO298*AO271+AP298*AP271+AQ298*AQ271+AR298*AR271+AS298*AS271+AT298*AT271+AU298*AU271+AV298*AV271+AW298*AW271+AX298*AX271+AY298*AY271+AZ298*AZ271+BA298*BA271+BB298*BB271+BC298*BC271+BD298*BD271+BE298*BE271+BF298*BF271+BG298*BG271+BH298*BH271+BI298*BI271+BJ298*BJ271+BK298*BK271+BL298*BL271+BM298*BM271+BN298*BN271+BO298*BO271+BP298*BP271+BQ298*BQ271+BR298*BR271+BS298*BS271+BT298*BT271+BU298*BU271+BV298*BV271+BW298*BW271+BX298*BX271+BY298*BY271+BZ298*BZ271+CA298*CA271+CB298*CB271+CC298*CC271+CD298*CD271+CE298*CE271+CF298*CF271+CG298*CG271+CH298*CH271+CI298*CI271+CJ298*CJ271+CK298*CK271+CL298*CL271+CM298*CM271+CN298*CN271+CO298*CO271+CP298*CP271+CQ298*CQ271+CR298*CR271+CS298*CS271+CT298*CT271+CU298*CU271</f>
        <v>0</v>
      </c>
    </row>
    <row r="272" spans="2:113" ht="18" x14ac:dyDescent="0.25">
      <c r="B272" s="2523">
        <v>119</v>
      </c>
      <c r="C272" s="2479" t="s">
        <v>3889</v>
      </c>
      <c r="D272" s="1281" t="s">
        <v>3624</v>
      </c>
      <c r="E272" s="3135">
        <f>0</f>
        <v>0</v>
      </c>
      <c r="F272" s="3135">
        <f>0</f>
        <v>0</v>
      </c>
      <c r="G272" s="3135">
        <f>0</f>
        <v>0</v>
      </c>
      <c r="H272" s="3135">
        <f>0</f>
        <v>0</v>
      </c>
      <c r="I272" s="3135">
        <f>0</f>
        <v>0</v>
      </c>
      <c r="J272" s="3147">
        <f>0</f>
        <v>0</v>
      </c>
      <c r="K272" s="3135">
        <f>0</f>
        <v>0</v>
      </c>
      <c r="L272" s="3135">
        <f>0</f>
        <v>0</v>
      </c>
      <c r="M272" s="3135">
        <f>0</f>
        <v>0</v>
      </c>
      <c r="N272" s="3135">
        <f>0</f>
        <v>0</v>
      </c>
      <c r="O272" s="3135">
        <f>0</f>
        <v>0</v>
      </c>
      <c r="P272" s="3135">
        <f>0</f>
        <v>0</v>
      </c>
      <c r="Q272" s="3135">
        <f>0</f>
        <v>0</v>
      </c>
      <c r="R272" s="3158">
        <f>0</f>
        <v>0</v>
      </c>
      <c r="S272" s="3135">
        <f>0</f>
        <v>0</v>
      </c>
      <c r="T272" s="3135">
        <f>0</f>
        <v>0</v>
      </c>
      <c r="U272" s="3135">
        <f>0</f>
        <v>0</v>
      </c>
      <c r="V272" s="3135">
        <f>0</f>
        <v>0</v>
      </c>
      <c r="W272" s="3135">
        <f>0</f>
        <v>0</v>
      </c>
      <c r="X272" s="3135">
        <f>0</f>
        <v>0</v>
      </c>
      <c r="Y272" s="3135">
        <f>0</f>
        <v>0</v>
      </c>
      <c r="Z272" s="3135">
        <f>0</f>
        <v>0</v>
      </c>
      <c r="AA272" s="3135">
        <f>0</f>
        <v>0</v>
      </c>
      <c r="AB272" s="3135">
        <f>0</f>
        <v>0</v>
      </c>
      <c r="AC272" s="3135">
        <f>0</f>
        <v>0</v>
      </c>
      <c r="AD272" s="3135">
        <f>0</f>
        <v>0</v>
      </c>
      <c r="AE272" s="3135">
        <f>0</f>
        <v>0</v>
      </c>
      <c r="AF272" s="3135">
        <f>0</f>
        <v>0</v>
      </c>
      <c r="AG272" s="3135">
        <f>1</f>
        <v>1</v>
      </c>
      <c r="AH272" s="3135">
        <f>0</f>
        <v>0</v>
      </c>
      <c r="AI272" s="3135">
        <f>0</f>
        <v>0</v>
      </c>
      <c r="AJ272" s="3147">
        <f>0</f>
        <v>0</v>
      </c>
      <c r="AK272" s="3135">
        <f>0</f>
        <v>0</v>
      </c>
      <c r="AL272" s="3135">
        <f>0</f>
        <v>0</v>
      </c>
      <c r="AM272" s="3135">
        <f>0</f>
        <v>0</v>
      </c>
      <c r="AN272" s="3135">
        <f>0</f>
        <v>0</v>
      </c>
      <c r="AO272" s="3135">
        <f>0</f>
        <v>0</v>
      </c>
      <c r="AP272" s="3147">
        <f>0</f>
        <v>0</v>
      </c>
      <c r="AQ272" s="3135">
        <f>0</f>
        <v>0</v>
      </c>
      <c r="AR272" s="3135">
        <f>0</f>
        <v>0</v>
      </c>
      <c r="AS272" s="3135">
        <f>0</f>
        <v>0</v>
      </c>
      <c r="AT272" s="3135">
        <f>0</f>
        <v>0</v>
      </c>
      <c r="AU272" s="3135">
        <f>0</f>
        <v>0</v>
      </c>
      <c r="AV272" s="3135">
        <f>0</f>
        <v>0</v>
      </c>
      <c r="AW272" s="3135">
        <f>0</f>
        <v>0</v>
      </c>
      <c r="AX272" s="3135">
        <f>0</f>
        <v>0</v>
      </c>
      <c r="AY272" s="3135">
        <f>0</f>
        <v>0</v>
      </c>
      <c r="AZ272" s="3135">
        <f>0</f>
        <v>0</v>
      </c>
      <c r="BA272" s="3135">
        <f>0</f>
        <v>0</v>
      </c>
      <c r="BB272" s="3135">
        <f>0</f>
        <v>0</v>
      </c>
      <c r="BC272" s="3135">
        <f>0</f>
        <v>0</v>
      </c>
      <c r="BD272" s="3135">
        <f>0</f>
        <v>0</v>
      </c>
      <c r="BE272" s="3158">
        <f>0</f>
        <v>0</v>
      </c>
      <c r="BF272" s="3158">
        <f>0</f>
        <v>0</v>
      </c>
      <c r="BG272" s="3158">
        <f>0</f>
        <v>0</v>
      </c>
      <c r="BH272" s="3158">
        <f>0</f>
        <v>0</v>
      </c>
      <c r="BI272" s="3158">
        <f>0</f>
        <v>0</v>
      </c>
      <c r="BJ272" s="3158">
        <f>0</f>
        <v>0</v>
      </c>
      <c r="BK272" s="3158">
        <f>0</f>
        <v>0</v>
      </c>
      <c r="BL272" s="3158">
        <f>0</f>
        <v>0</v>
      </c>
      <c r="BM272" s="3158">
        <f>0</f>
        <v>0</v>
      </c>
      <c r="BN272" s="3158">
        <f>0</f>
        <v>0</v>
      </c>
      <c r="BO272" s="3158">
        <f>0</f>
        <v>0</v>
      </c>
      <c r="BP272" s="3158">
        <f>0</f>
        <v>0</v>
      </c>
      <c r="BQ272" s="3158">
        <f>0</f>
        <v>0</v>
      </c>
      <c r="BR272" s="3158">
        <f>0</f>
        <v>0</v>
      </c>
      <c r="BS272" s="3158">
        <f>0</f>
        <v>0</v>
      </c>
      <c r="BT272" s="3158">
        <f>0</f>
        <v>0</v>
      </c>
      <c r="BU272" s="3158">
        <f>0</f>
        <v>0</v>
      </c>
      <c r="BV272" s="3158">
        <f>0</f>
        <v>0</v>
      </c>
      <c r="BW272" s="3158">
        <f>0</f>
        <v>0</v>
      </c>
      <c r="BX272" s="3158">
        <f>0</f>
        <v>0</v>
      </c>
      <c r="BY272" s="3158">
        <f>0</f>
        <v>0</v>
      </c>
      <c r="BZ272" s="3211">
        <f>0</f>
        <v>0</v>
      </c>
      <c r="CA272" s="3211">
        <f>0</f>
        <v>0</v>
      </c>
      <c r="CB272" s="3211">
        <f>0</f>
        <v>0</v>
      </c>
      <c r="CC272" s="3211">
        <f>0</f>
        <v>0</v>
      </c>
      <c r="CD272" s="3158">
        <f>0</f>
        <v>0</v>
      </c>
      <c r="CE272" s="3158">
        <f>0</f>
        <v>0</v>
      </c>
      <c r="CF272" s="3158">
        <f>0</f>
        <v>0</v>
      </c>
      <c r="CG272" s="3158">
        <f>0</f>
        <v>0</v>
      </c>
      <c r="CH272" s="3158">
        <f>0</f>
        <v>0</v>
      </c>
      <c r="CI272" s="3158">
        <f>0</f>
        <v>0</v>
      </c>
      <c r="CJ272" s="3158">
        <f>0</f>
        <v>0</v>
      </c>
      <c r="CK272" s="3158">
        <f>0</f>
        <v>0</v>
      </c>
      <c r="CL272" s="3158">
        <f>-1</f>
        <v>-1</v>
      </c>
      <c r="CM272" s="3158">
        <f>0</f>
        <v>0</v>
      </c>
      <c r="CN272" s="3158">
        <f>0</f>
        <v>0</v>
      </c>
      <c r="CO272" s="3158">
        <f>0</f>
        <v>0</v>
      </c>
      <c r="CP272" s="3158">
        <f>0</f>
        <v>0</v>
      </c>
      <c r="CQ272" s="3158">
        <f>0</f>
        <v>0</v>
      </c>
      <c r="CR272" s="3158">
        <f>0</f>
        <v>0</v>
      </c>
      <c r="CS272" s="3158">
        <f>0</f>
        <v>0</v>
      </c>
      <c r="CT272" s="3158">
        <f>0</f>
        <v>0</v>
      </c>
      <c r="CU272" s="3158">
        <f>0</f>
        <v>0</v>
      </c>
      <c r="CV272" s="3238">
        <f>k_LaGN2_bub*(S_GN2_bub_sat-S_N2)</f>
        <v>-272.94299999999998</v>
      </c>
      <c r="CX272" s="2838">
        <f>E287*E272+F287*F272+G287*G272+H287*H272+I287*I272+J287*J272+K287*K272+L287*L272+M287*M272+N287*N272+O287*O272+P287*P272+Q287*Q272+R287*R272+S287*S272+T287*T272+U287*U272+V287*V272+W287*W272+X287*X272+Y287*Y272+Z287*Z272+AA287*AA272+AB287*AB272+AC287*AC272+AD287*AD272+AE287*AE272+AF287*AF272+AG287*AG272+AH287*AH272+AI287*AI272+AJ287*AJ272+AK287*AK272+AL287*AL272+AM287*AM272+AN287*AN272+AO287*AO272+AP287*AP272+AQ287*AQ272+AR287*AR272+AS287*AS272+AT287*AT272+AU287*AU272+AV287*AV272+AW287*AW272+AX287*AX272+AY287*AY272+AZ287*AZ272+BA287*BA272+BB287*BB272+BC287*BC272+BD287*BD272+BE287*BE272+BF287*BF272+BG287*BG272+BH287*BH272+BI287*BI272+BJ287*BJ272+BK287*BK272+BL287*BL272+BM287*BM272+BN287*BN272+BO287*BO272+BP287*BP272+BQ287*BQ272+BR287*BR272+BS287*BS272+BT287*BT272+BU287*BU272+BV287*BV272+BW287*BW272+BX287*BX272+BY287*BY272+BZ287*BZ272+CA287*CA272+CB287*CB272+CC287*CC272+CD287*CD272+CE287*CE272+CF287*CF272+CG287*CG272+CH287*CH272+CI287*CI272+CJ287*CJ272+CK287*CK272+CL287*CL272+CM287*CM272+CN287*CN272+CO287*CO272+CP287*CP272+CQ287*CQ272+CR287*CR272+CS287*CS272+CT287*CT272+CU287*CU272</f>
        <v>0</v>
      </c>
      <c r="CY272" s="2838">
        <f>E288*E272+F288*F272+G288*G272+H288*H272+I288*I272+J288*J272+K288*K272+L288*L272+M288*M272+N288*N272+O288*O272+P288*P272+Q288*Q272+R288*R272+S288*S272+T288*T272+U288*U272+V288*V272+W288*W272+X288*X272+Y288*Y272+Z288*Z272+AA288*AA272+AB288*AB272+AC288*AC272+AD288*AD272+AE288*AE272+AF288*AF272+AG288*AG272+AH288*AH272+AI288*AI272+AJ288*AJ272+AK288*AK272+AL288*AL272+AM288*AM272+AN288*AN272+AO288*AO272+AP288*AP272+AQ288*AQ272+AR288*AR272+AS288*AS272+AT288*AT272+AU288*AU272+AV288*AV272+AW288*AW272+AX288*AX272+AY288*AY272+AZ288*AZ272+BA288*BA272+BB288*BB272+BC288*BC272+BD288*BD272+BE288*BE272+BF288*BF272+BG288*BG272+BH288*BH272+BI288*BI272+BJ288*BJ272+BK288*BK272+BL288*BL272+BM288*BM272+BN288*BN272+BO288*BO272+BP288*BP272+BQ288*BQ272+BR288*BR272+BS288*BS272+BT288*BT272+BU288*BU272+BV288*BV272+BW288*BW272+BX288*BX272+BY288*BY272+BZ288*BZ272+CA288*CA272+CB288*CB272+CC288*CC272+CD288*CD272+CE288*CE272+CF288*CF272+CG288*CG272+CH288*CH272+CI288*CI272+CJ288*CJ272+CK288*CK272+CL288*CL272+CM288*CM272+CN288*CN272+CO288*CO272+CP288*CP272+CQ288*CQ272+CR288*CR272+CS288*CS272+CT288*CT272+CU288*CU272</f>
        <v>0</v>
      </c>
      <c r="CZ272" s="2839">
        <f>E289*E272+F289*F272+G289*G272+H289*H272+I289*I272+J289*J272+K289*K272+L289*L272+M289*M272+N289*N272+O289*O272+P289*P272+Q289*Q272+R289*R272+S289*S272+T289*T272+U289*U272+V289*V272+W289*W272+X289*X272+Y289*Y272+Z289*Z272+AA289*AA272+AB289*AB272+AC289*AC272+AD289*AD272+AE289*AE272+AF289*AF272+AG289*AG272+AH289*AH272+AI289*AI272+AJ289*AJ272+AK289*AK272+AL289*AL272+AM289*AM272+AN289*AN272+AO289*AO272+AP289*AP272+AQ289*AQ272+AR289*AR272+AS289*AS272+AT289*AT272+AU289*AU272+AV289*AV272+AW289*AW272+AX289*AX272+AY289*AY272+AZ289*AZ272+BA289*BA272+BB289*BB272+BC289*BC272+BD289*BD272+BE289*BE272+BF289*BF272+BG289*BG272+BH289*BH272+BI289*BI272+BJ289*BJ272+BK289*BK272+BL289*BL272+BM289*BM272+BN289*BN272+BO289*BO272+BP289*BP272+BQ289*BQ272+BR289*BR272+BS289*BS272+BT289*BT272+BU289*BU272+BV289*BV272+BW289*BW272+BX289*BX272+BY289*BY272+BZ289*BZ272+CA289*CA272+CB289*CB272+CC289*CC272+CD289*CD272+CE289*CE272+CF289*CF272+CG289*CG272+CH289*CH272+CI289*CI272+CJ289*CJ272+CK289*CK272+CL289*CL272+CM289*CM272+CN289*CN272+CO289*CO272+CP289*CP272+CQ289*CQ272+CR289*CR272+CS289*CS272+CT289*CT272+CU289*CU272</f>
        <v>0</v>
      </c>
      <c r="DA272" s="2840">
        <f>E290*E272+F290*F272+G290*G272+H290*H272+I290*I272+J290*J272+K290*K272+L290*L272+M290*M272+N290*N272+O290*O272+P290*P272+Q290*Q272+R290*R272+S290*S272+T290*T272+U290*U272+V290*V272+W290*W272+X290*X272+Y290*Y272+Z290*Z272+AA290*AA272+AB290*AB272+AC290*AC272+AD290*AD272+AE290*AE272+AF290*AF272+AG290*AG272+AH290*AH272+AI290*AI272+AJ290*AJ272+AK290*AK272+AL290*AL272+AM290*AM272+AN290*AN272+AO290*AO272+AP290*AP272+AQ290*AQ272+AR290*AR272+AS290*AS272+AT290*AT272+AU290*AU272+AV290*AV272+AW290*AW272+AX290*AX272+AY290*AY272+AZ290*AZ272+BA290*BA272+BB290*BB272+BC290*BC272+BD290*BD272+BE290*BE272+BF290*BF272+BG290*BG272+BH290*BH272+BI290*BI272+BJ290*BJ272+BK290*BK272+BL290*BL272+BM290*BM272+BN290*BN272+BO290*BO272+BP290*BP272+BQ290*BQ272+BR290*BR272+BS290*BS272+BT290*BT272+BU290*BU272+BV290*BV272+BW290*BW272+BX290*BX272+BY290*BY272+BZ290*BZ272+CA290*CA272+CB290*CB272+CC290*CC272+CD290*CD272+CE290*CE272+CF290*CF272+CG290*CG272+CH290*CH272+CI290*CI272+CJ290*CJ272+CK290*CK272+CL290*CL272+CM290*CM272+CN290*CN272+CO290*CO272+CP290*CP272+CQ290*CQ272+CR290*CR272+CS290*CS272+CT290*CT272+CU290*CU272</f>
        <v>0</v>
      </c>
      <c r="DB272" s="2840">
        <f>E291*E272+F291*F272+G291*G272+H291*H272+I291*I272+J291*J272+K291*K272+L291*L272+M291*M272+N291*N272+O291*O272+P291*P272+Q291*Q272+R291*R272+S291*S272+T291*T272+U291*U272+V291*V272+W291*W272+X291*X272+Y291*Y272+Z291*Z272+AA291*AA272+AB291*AB272+AC291*AC272+AD291*AD272+AE291*AE272+AF291*AF272+AG291*AG272+AH291*AH272+AI291*AI272+AJ291*AJ272+AK291*AK272+AL291*AL272+AM291*AM272+AN291*AN272+AO291*AO272+AP291*AP272+AQ291*AQ272+AR291*AR272+AS291*AS272+AT291*AT272+AU291*AU272+AV291*AV272+AW291*AW272+AX291*AX272+AY291*AY272+AZ291*AZ272+BA291*BA272+BB291*BB272+BC291*BC272+BD291*BD272+BE291*BE272+BF291*BF272+BG291*BG272+BH291*BH272+BI291*BI272+BJ291*BJ272+BK291*BK272+BL291*BL272+BM291*BM272+BN291*BN272+BO291*BO272+BP291*BP272+BQ291*BQ272+BR291*BR272+BS291*BS272+BT291*BT272+BU291*BU272+BV291*BV272+BW291*BW272+BX291*BX272+BY291*BY272+BZ291*BZ272+CA291*CA272+CB291*CB272+CC291*CC272+CD291*CD272+CE291*CE272+CF291*CF272+CG291*CG272+CH291*CH272+CI291*CI272+CJ291*CJ272+CK291*CK272+CL291*CL272+CM291*CM272+CN291*CN272+CO291*CO272+CP291*CP272+CQ291*CQ272+CR291*CR272+CS291*CS272+CT291*CT272+CU291*CU272</f>
        <v>0</v>
      </c>
      <c r="DC272" s="2840">
        <f>E292*E272+F292*F272+G292*G272+H292*H272+I292*I272+J292*J272+K292*K272+L292*L272+M292*M272+N292*N272+O292*O272+P292*P272+Q292*Q272+R292*R272+S292*S272+T292*T272+U292*U272+V292*V272+W292*W272+X292*X272+Y292*Y272+Z292*Z272+AA292*AA272+AB292*AB272+AC292*AC272+AD292*AD272+AE292*AE272+AF292*AF272+AG292*AG272+AH292*AH272+AI292*AI272+AJ292*AJ272+AK292*AK272+AL292*AL272+AM292*AM272+AN292*AN272+AO292*AO272+AP292*AP272+AQ292*AQ272+AR292*AR272+AS292*AS272+AT292*AT272+AU292*AU272+AV292*AV272+AW292*AW272+AX292*AX272+AY292*AY272+AZ292*AZ272+BA292*BA272+BB292*BB272+BC292*BC272+BD292*BD272+BE292*BE272+BF292*BF272+BG292*BG272+BH292*BH272+BI292*BI272+BJ292*BJ272+BK292*BK272+BL292*BL272+BM292*BM272+BN292*BN272+BO292*BO272+BP292*BP272+BQ292*BQ272+BR292*BR272+BS292*BS272+BT292*BT272+BU292*BU272+BV292*BV272+BW292*BW272+BX292*BX272+BY292*BY272+BZ292*BZ272+CA292*CA272+CB292*CB272+CC292*CC272+CD292*CD272+CE292*CE272+CF292*CF272+CG292*CG272+CH292*CH272+CI292*CI272+CJ292*CJ272+CK292*CK272+CL292*CL272+CM292*CM272+CN292*CN272+CO292*CO272+CP292*CP272+CQ292*CQ272+CR292*CR272+CS292*CS272+CT292*CT272+CU292*CU272</f>
        <v>0</v>
      </c>
      <c r="DD272" s="2840">
        <f>E293*E272+F293*F272+G293*G272+H293*H272+I293*I272+J293*J272+K293*K272+L293*L272+M293*M272+N293*N272+O293*O272+P293*P272+Q293*Q272+R293*R272+S293*S272+T293*T272+U293*U272+V293*V272+W293*W272+X293*X272+Y293*Y272+Z293*Z272+AA293*AA272+AB293*AB272+AC293*AC272+AD293*AD272+AE293*AE272+AF293*AF272+AG293*AG272+AH293*AH272+AI293*AI272+AJ293*AJ272+AK293*AK272+AL293*AL272+AM293*AM272+AN293*AN272+AO293*AO272+AP293*AP272+AQ293*AQ272+AR293*AR272+AS293*AS272+AT293*AT272+AU293*AU272+AV293*AV272+AW293*AW272+AX293*AX272+AY293*AY272+AZ293*AZ272+BA293*BA272+BB293*BB272+BC293*BC272+BD293*BD272+BE293*BE272+BF293*BF272+BG293*BG272+BH293*BH272+BI293*BI272+BJ293*BJ272+BK293*BK272+BL293*BL272+BM293*BM272+BN293*BN272+BO293*BO272+BP293*BP272+BQ293*BQ272+BR293*BR272+BS293*BS272+BT293*BT272+BU293*BU272+BV293*BV272+BW293*BW272+BX293*BX272+BY293*BY272+BZ293*BZ272+CA293*CA272+CB293*CB272+CC293*CC272+CD293*CD272+CE293*CE272+CF293*CF272+CG293*CG272+CH293*CH272+CI293*CI272+CJ293*CJ272+CK293*CK272+CL293*CL272+CM293*CM272+CN293*CN272+CO293*CO272+CP293*CP272+CQ293*CQ272+CR293*CR272+CS293*CS272+CT293*CT272+CU293*CU272</f>
        <v>0</v>
      </c>
      <c r="DE272" s="2840">
        <f>E294*E272+F294*F272+G294*G272+H294*H272+I294*I272+J294*J272+K294*K272+L294*L272+M294*M272+N294*N272+O294*O272+P294*P272+Q294*Q272+R294*R272+S294*S272+T294*T272+U294*U272+V294*V272+W294*W272+X294*X272+Y294*Y272+Z294*Z272+AA294*AA272+AB294*AB272+AC294*AC272+AD294*AD272+AE294*AE272+AF294*AF272+AG294*AG272+AH294*AH272+AI294*AI272+AJ294*AJ272+AK294*AK272+AL294*AL272+AM294*AM272+AN294*AN272+AO294*AO272+AP294*AP272+AQ294*AQ272+AR294*AR272+AS294*AS272+AT294*AT272+AU294*AU272+AV294*AV272+AW294*AW272+AX294*AX272+AY294*AY272+AZ294*AZ272+BA294*BA272+BB294*BB272+BC294*BC272+BD294*BD272+BE294*BE272+BF294*BF272+BG294*BG272+BH294*BH272+BI294*BI272+BJ294*BJ272+BK294*BK272+BL294*BL272+BM294*BM272+BN294*BN272+BO294*BO272+BP294*BP272+BQ294*BQ272+BR294*BR272+BS294*BS272+BT294*BT272+BU294*BU272+BV294*BV272+BW294*BW272+BX294*BX272+BY294*BY272+BZ294*BZ272+CA294*CA272+CB294*CB272+CC294*CC272+CD294*CD272+CE294*CE272+CF294*CF272+CG294*CG272+CH294*CH272+CI294*CI272+CJ294*CJ272+CK294*CK272+CL294*CL272+CM294*CM272+CN294*CN272+CO294*CO272+CP294*CP272+CQ294*CQ272+CR294*CR272+CS294*CS272+CT294*CT272+CU294*CU272</f>
        <v>0</v>
      </c>
      <c r="DF272" s="2840">
        <f>E295*E272+F295*F272+G295*G272+H295*H272+I295*I272+J295*J272+K295*K272+L295*L272+M295*M272+N295*N272+O295*O272+P295*P272+Q295*Q272+R295*R272+S295*S272+T295*T272+U295*U272+V295*V272+W295*W272+X295*X272+Y295*Y272+Z295*Z272+AA295*AA272+AB295*AB272+AC295*AC272+AD295*AD272+AE295*AE272+AF295*AF272+AG295*AG272+AH295*AH272+AI295*AI272+AJ295*AJ272+AK295*AK272+AL295*AL272+AM295*AM272+AN295*AN272+AO295*AO272+AP295*AP272+AQ295*AQ272+AR295*AR272+AS295*AS272+AT295*AT272+AU295*AU272+AV295*AV272+AW295*AW272+AX295*AX272+AY295*AY272+AZ295*AZ272+BA295*BA272+BB295*BB272+BC295*BC272+BD295*BD272+BE295*BE272+BF295*BF272+BG295*BG272+BH295*BH272+BI295*BI272+BJ295*BJ272+BK295*BK272+BL295*BL272+BM295*BM272+BN295*BN272+BO295*BO272+BP295*BP272+BQ295*BQ272+BR295*BR272+BS295*BS272+BT295*BT272+BU295*BU272+BV295*BV272+BW295*BW272+BX295*BX272+BY295*BY272+BZ295*BZ272+CA295*CA272+CB295*CB272+CC295*CC272+CD295*CD272+CE295*CE272+CF295*CF272+CG295*CG272+CH295*CH272+CI295*CI272+CJ295*CJ272+CK295*CK272+CL295*CL272+CM295*CM272+CN295*CN272+CO295*CO272+CP295*CP272+CQ295*CQ272+CR295*CR272+CS295*CS272+CT295*CT272+CU295*CU272</f>
        <v>0</v>
      </c>
      <c r="DG272" s="2840">
        <f>E296*E272+F296*F272+G296*G272+H296*H272+I296*I272+J296*J272+K296*K272+L296*L272+M296*M272+N296*N272+O296*O272+P296*P272+Q296*Q272+R296*R272+S296*S272+T296*T272+U296*U272+V296*V272+W296*W272+X296*X272+Y296*Y272+Z296*Z272+AA296*AA272+AB296*AB272+AC296*AC272+AD296*AD272+AE296*AE272+AF296*AF272+AG296*AG272+AH296*AH272+AI296*AI272+AJ296*AJ272+AK296*AK272+AL296*AL272+AM296*AM272+AN296*AN272+AO296*AO272+AP296*AP272+AQ296*AQ272+AR296*AR272+AS296*AS272+AT296*AT272+AU296*AU272+AV296*AV272+AW296*AW272+AX296*AX272+AY296*AY272+AZ296*AZ272+BA296*BA272+BB296*BB272+BC296*BC272+BD296*BD272+BE296*BE272+BF296*BF272+BG296*BG272+BH296*BH272+BI296*BI272+BJ296*BJ272+BK296*BK272+BL296*BL272+BM296*BM272+BN296*BN272+BO296*BO272+BP296*BP272+BQ296*BQ272+BR296*BR272+BS296*BS272+BT296*BT272+BU296*BU272+BV296*BV272+BW296*BW272+BX296*BX272+BY296*BY272+BZ296*BZ272+CA296*CA272+CB296*CB272+CC296*CC272+CD296*CD272+CE296*CE272+CF296*CF272+CG296*CG272+CH296*CH272+CI296*CI272+CJ296*CJ272+CK296*CK272+CL296*CL272+CM296*CM272+CN296*CN272+CO296*CO272+CP296*CP272+CQ296*CQ272+CR296*CR272+CS296*CS272+CT296*CT272+CU296*CU272</f>
        <v>0</v>
      </c>
      <c r="DH272" s="2840">
        <f>E297*E272+F297*F272+G297*G272+H297*H272+I297*I272+J297*J272+K297*K272+L297*L272+M297*M272+N297*N272+O297*O272+P297*P272+Q297*Q272+R297*R272+S297*S272+T297*T272+U297*U272+V297*V272+W297*W272+X297*X272+Y297*Y272+Z297*Z272+AA297*AA272+AB297*AB272+AC297*AC272+AD297*AD272+AE297*AE272+AF297*AF272+AG297*AG272+AH297*AH272+AI297*AI272+AJ297*AJ272+AK297*AK272+AL297*AL272+AM297*AM272+AN297*AN272+AO297*AO272+AP297*AP272+AQ297*AQ272+AR297*AR272+AS297*AS272+AT297*AT272+AU297*AU272+AV297*AV272+AW297*AW272+AX297*AX272+AY297*AY272+AZ297*AZ272+BA297*BA272+BB297*BB272+BC297*BC272+BD297*BD272+BE297*BE272+BF297*BF272+BG297*BG272+BH297*BH272+BI297*BI272+BJ297*BJ272+BK297*BK272+BL297*BL272+BM297*BM272+BN297*BN272+BO297*BO272+BP297*BP272+BQ297*BQ272+BR297*BR272+BS297*BS272+BT297*BT272+BU297*BU272+BV297*BV272+BW297*BW272+BX297*BX272+BY297*BY272+BZ297*BZ272+CA297*CA272+CB297*CB272+CC297*CC272+CD297*CD272+CE297*CE272+CF297*CF272+CG297*CG272+CH297*CH272+CI297*CI272+CJ297*CJ272+CK297*CK272+CL297*CL272+CM297*CM272+CN297*CN272+CO297*CO272+CP297*CP272+CQ297*CQ272+CR297*CR272+CS297*CS272+CT297*CT272+CU297*CU272</f>
        <v>0</v>
      </c>
      <c r="DI272" s="2840">
        <f>E298*E272+F298*F272+G298*G272+H298*H272+I298*I272+J298*J272+K298*K272+L298*L272+M298*M272+N298*N272+O298*O272+P298*P272+Q298*Q272+R298*R272+S298*S272+T298*T272+U298*U272+V298*V272+W298*W272+X298*X272+Y298*Y272+Z298*Z272+AA298*AA272+AB298*AB272+AC298*AC272+AD298*AD272+AE298*AE272+AF298*AF272+AG298*AG272+AH298*AH272+AI298*AI272+AJ298*AJ272+AK298*AK272+AL298*AL272+AM298*AM272+AN298*AN272+AO298*AO272+AP298*AP272+AQ298*AQ272+AR298*AR272+AS298*AS272+AT298*AT272+AU298*AU272+AV298*AV272+AW298*AW272+AX298*AX272+AY298*AY272+AZ298*AZ272+BA298*BA272+BB298*BB272+BC298*BC272+BD298*BD272+BE298*BE272+BF298*BF272+BG298*BG272+BH298*BH272+BI298*BI272+BJ298*BJ272+BK298*BK272+BL298*BL272+BM298*BM272+BN298*BN272+BO298*BO272+BP298*BP272+BQ298*BQ272+BR298*BR272+BS298*BS272+BT298*BT272+BU298*BU272+BV298*BV272+BW298*BW272+BX298*BX272+BY298*BY272+BZ298*BZ272+CA298*CA272+CB298*CB272+CC298*CC272+CD298*CD272+CE298*CE272+CF298*CF272+CG298*CG272+CH298*CH272+CI298*CI272+CJ298*CJ272+CK298*CK272+CL298*CL272+CM298*CM272+CN298*CN272+CO298*CO272+CP298*CP272+CQ298*CQ272+CR298*CR272+CS298*CS272+CT298*CT272+CU298*CU272</f>
        <v>0</v>
      </c>
    </row>
    <row r="273" spans="2:113" ht="18" x14ac:dyDescent="0.25">
      <c r="B273" s="2523">
        <v>120</v>
      </c>
      <c r="C273" s="2479" t="s">
        <v>4647</v>
      </c>
      <c r="D273" s="1281" t="s">
        <v>3626</v>
      </c>
      <c r="E273" s="3135">
        <f>0</f>
        <v>0</v>
      </c>
      <c r="F273" s="3135">
        <f>0</f>
        <v>0</v>
      </c>
      <c r="G273" s="3135">
        <f>0</f>
        <v>0</v>
      </c>
      <c r="H273" s="3135">
        <f>0</f>
        <v>0</v>
      </c>
      <c r="I273" s="3135">
        <f>0</f>
        <v>0</v>
      </c>
      <c r="J273" s="3147">
        <f>0</f>
        <v>0</v>
      </c>
      <c r="K273" s="3135">
        <f>0</f>
        <v>0</v>
      </c>
      <c r="L273" s="3135">
        <f>0</f>
        <v>0</v>
      </c>
      <c r="M273" s="3135">
        <f>0</f>
        <v>0</v>
      </c>
      <c r="N273" s="3135">
        <f>0</f>
        <v>0</v>
      </c>
      <c r="O273" s="3135">
        <f>0</f>
        <v>0</v>
      </c>
      <c r="P273" s="3135">
        <f>0</f>
        <v>0</v>
      </c>
      <c r="Q273" s="3135">
        <f>0</f>
        <v>0</v>
      </c>
      <c r="R273" s="3158">
        <f>0</f>
        <v>0</v>
      </c>
      <c r="S273" s="3135">
        <f>0</f>
        <v>0</v>
      </c>
      <c r="T273" s="3135">
        <f>0</f>
        <v>0</v>
      </c>
      <c r="U273" s="3135">
        <f>0</f>
        <v>0</v>
      </c>
      <c r="V273" s="3135">
        <f>0</f>
        <v>0</v>
      </c>
      <c r="W273" s="3135">
        <f>0</f>
        <v>0</v>
      </c>
      <c r="X273" s="3135">
        <f>0</f>
        <v>0</v>
      </c>
      <c r="Y273" s="3135">
        <f>0</f>
        <v>0</v>
      </c>
      <c r="Z273" s="3135">
        <f>0</f>
        <v>0</v>
      </c>
      <c r="AA273" s="3135">
        <f>0</f>
        <v>0</v>
      </c>
      <c r="AB273" s="3135">
        <f>0</f>
        <v>0</v>
      </c>
      <c r="AC273" s="3135">
        <f>0</f>
        <v>0</v>
      </c>
      <c r="AD273" s="3135">
        <f>0</f>
        <v>0</v>
      </c>
      <c r="AE273" s="3135">
        <f>0</f>
        <v>0</v>
      </c>
      <c r="AF273" s="3135">
        <f>0</f>
        <v>0</v>
      </c>
      <c r="AG273" s="3135">
        <f>0</f>
        <v>0</v>
      </c>
      <c r="AH273" s="3135">
        <f>0</f>
        <v>0</v>
      </c>
      <c r="AI273" s="3135">
        <f>0</f>
        <v>0</v>
      </c>
      <c r="AJ273" s="3147">
        <f>0</f>
        <v>0</v>
      </c>
      <c r="AK273" s="3135">
        <f>0</f>
        <v>0</v>
      </c>
      <c r="AL273" s="3135">
        <f>0</f>
        <v>0</v>
      </c>
      <c r="AM273" s="3135">
        <f>0</f>
        <v>0</v>
      </c>
      <c r="AN273" s="3135">
        <f>0</f>
        <v>0</v>
      </c>
      <c r="AO273" s="3135">
        <f>0</f>
        <v>0</v>
      </c>
      <c r="AP273" s="3147">
        <f>0</f>
        <v>0</v>
      </c>
      <c r="AQ273" s="3135">
        <f>0</f>
        <v>0</v>
      </c>
      <c r="AR273" s="3135">
        <f>0</f>
        <v>0</v>
      </c>
      <c r="AS273" s="3135">
        <f>0</f>
        <v>0</v>
      </c>
      <c r="AT273" s="3135">
        <f>0</f>
        <v>0</v>
      </c>
      <c r="AU273" s="3135">
        <f>0</f>
        <v>0</v>
      </c>
      <c r="AV273" s="3135">
        <f>0</f>
        <v>0</v>
      </c>
      <c r="AW273" s="3135">
        <f>0</f>
        <v>0</v>
      </c>
      <c r="AX273" s="3135">
        <f>0</f>
        <v>0</v>
      </c>
      <c r="AY273" s="3135">
        <f>0</f>
        <v>0</v>
      </c>
      <c r="AZ273" s="3135">
        <f>0</f>
        <v>0</v>
      </c>
      <c r="BA273" s="3135">
        <f>0</f>
        <v>0</v>
      </c>
      <c r="BB273" s="3135">
        <f>1</f>
        <v>1</v>
      </c>
      <c r="BC273" s="3135">
        <f>0</f>
        <v>0</v>
      </c>
      <c r="BD273" s="3135">
        <f>0</f>
        <v>0</v>
      </c>
      <c r="BE273" s="3158">
        <f>0</f>
        <v>0</v>
      </c>
      <c r="BF273" s="3158">
        <f>0</f>
        <v>0</v>
      </c>
      <c r="BG273" s="3158">
        <f>0</f>
        <v>0</v>
      </c>
      <c r="BH273" s="3158">
        <f>0</f>
        <v>0</v>
      </c>
      <c r="BI273" s="3158">
        <f>0</f>
        <v>0</v>
      </c>
      <c r="BJ273" s="3158">
        <f>0</f>
        <v>0</v>
      </c>
      <c r="BK273" s="3158">
        <f>0</f>
        <v>0</v>
      </c>
      <c r="BL273" s="3158">
        <f>0</f>
        <v>0</v>
      </c>
      <c r="BM273" s="3158">
        <f>0</f>
        <v>0</v>
      </c>
      <c r="BN273" s="3158">
        <f>0</f>
        <v>0</v>
      </c>
      <c r="BO273" s="3158">
        <f>0</f>
        <v>0</v>
      </c>
      <c r="BP273" s="3158">
        <f>0</f>
        <v>0</v>
      </c>
      <c r="BQ273" s="3158">
        <f>0</f>
        <v>0</v>
      </c>
      <c r="BR273" s="3158">
        <f>0</f>
        <v>0</v>
      </c>
      <c r="BS273" s="3158">
        <f>0</f>
        <v>0</v>
      </c>
      <c r="BT273" s="3158">
        <f>0</f>
        <v>0</v>
      </c>
      <c r="BU273" s="3158">
        <f>0</f>
        <v>0</v>
      </c>
      <c r="BV273" s="3158">
        <f>0</f>
        <v>0</v>
      </c>
      <c r="BW273" s="3158">
        <f>0</f>
        <v>0</v>
      </c>
      <c r="BX273" s="3158">
        <f>0</f>
        <v>0</v>
      </c>
      <c r="BY273" s="3158">
        <f>0</f>
        <v>0</v>
      </c>
      <c r="BZ273" s="3211">
        <f>0</f>
        <v>0</v>
      </c>
      <c r="CA273" s="3211">
        <f>0</f>
        <v>0</v>
      </c>
      <c r="CB273" s="3211">
        <f>0</f>
        <v>0</v>
      </c>
      <c r="CC273" s="3211">
        <f>0</f>
        <v>0</v>
      </c>
      <c r="CD273" s="3158">
        <f>0</f>
        <v>0</v>
      </c>
      <c r="CE273" s="3158">
        <f>0</f>
        <v>0</v>
      </c>
      <c r="CF273" s="3158">
        <f>0</f>
        <v>0</v>
      </c>
      <c r="CG273" s="3158">
        <f>0</f>
        <v>0</v>
      </c>
      <c r="CH273" s="3158">
        <f>0</f>
        <v>0</v>
      </c>
      <c r="CI273" s="3158">
        <f>0</f>
        <v>0</v>
      </c>
      <c r="CJ273" s="3158">
        <f>0</f>
        <v>0</v>
      </c>
      <c r="CK273" s="3158">
        <f>0</f>
        <v>0</v>
      </c>
      <c r="CL273" s="3158">
        <f>0</f>
        <v>0</v>
      </c>
      <c r="CM273" s="3158">
        <f>-1</f>
        <v>-1</v>
      </c>
      <c r="CN273" s="3158">
        <f>0</f>
        <v>0</v>
      </c>
      <c r="CO273" s="3158">
        <f>0</f>
        <v>0</v>
      </c>
      <c r="CP273" s="3158">
        <f>0</f>
        <v>0</v>
      </c>
      <c r="CQ273" s="3158">
        <f>0</f>
        <v>0</v>
      </c>
      <c r="CR273" s="3158">
        <f>0</f>
        <v>0</v>
      </c>
      <c r="CS273" s="3158">
        <f>0</f>
        <v>0</v>
      </c>
      <c r="CT273" s="3158">
        <f>0</f>
        <v>0</v>
      </c>
      <c r="CU273" s="3158">
        <f>0</f>
        <v>0</v>
      </c>
      <c r="CV273" s="3238">
        <f>k_transfer_GH2S_bub</f>
        <v>286423.9357096504</v>
      </c>
      <c r="CX273" s="2838">
        <f>E287*E273+F287*F273+G287*G273+H287*H273+I287*I273+J287*J273+K287*K273+L287*L273+M287*M273+N287*N273+O287*O273+P287*P273+Q287*Q273+R287*R273+S287*S273+T287*T273+U287*U273+V287*V273+W287*W273+X287*X273+Y287*Y273+Z287*Z273+AA287*AA273+AB287*AB273+AC287*AC273+AD287*AD273+AE287*AE273+AF287*AF273+AG287*AG273+AH287*AH273+AI287*AI273+AJ287*AJ273+AK287*AK273+AL287*AL273+AM287*AM273+AN287*AN273+AO287*AO273+AP287*AP273+AQ287*AQ273+AR287*AR273+AS287*AS273+AT287*AT273+AU287*AU273+AV287*AV273+AW287*AW273+AX287*AX273+AY287*AY273+AZ287*AZ273+BA287*BA273+BB287*BB273+BC287*BC273+BD287*BD273+BE287*BE273+BF287*BF273+BG287*BG273+BH287*BH273+BI287*BI273+BJ287*BJ273+BK287*BK273+BL287*BL273+BM287*BM273+BN287*BN273+BO287*BO273+BP287*BP273+BQ287*BQ273+BR287*BR273+BS287*BS273+BT287*BT273+BU287*BU273+BV287*BV273+BW287*BW273+BX287*BX273+BY287*BY273+BZ287*BZ273+CA287*CA273+CB287*CB273+CC287*CC273+CD287*CD273+CE287*CE273+CF287*CF273+CG287*CG273+CH287*CH273+CI287*CI273+CJ287*CJ273+CK287*CK273+CL287*CL273+CM287*CM273+CN287*CN273+CO287*CO273+CP287*CP273+CQ287*CQ273+CR287*CR273+CS287*CS273+CT287*CT273+CU287*CU273</f>
        <v>0</v>
      </c>
      <c r="CY273" s="2838">
        <f>E288*E273+F288*F273+G288*G273+H288*H273+I288*I273+J288*J273+K288*K273+L288*L273+M288*M273+N288*N273+O288*O273+P288*P273+Q288*Q273+R288*R273+S288*S273+T288*T273+U288*U273+V288*V273+W288*W273+X288*X273+Y288*Y273+Z288*Z273+AA288*AA273+AB288*AB273+AC288*AC273+AD288*AD273+AE288*AE273+AF288*AF273+AG288*AG273+AH288*AH273+AI288*AI273+AJ288*AJ273+AK288*AK273+AL288*AL273+AM288*AM273+AN288*AN273+AO288*AO273+AP288*AP273+AQ288*AQ273+AR288*AR273+AS288*AS273+AT288*AT273+AU288*AU273+AV288*AV273+AW288*AW273+AX288*AX273+AY288*AY273+AZ288*AZ273+BA288*BA273+BB288*BB273+BC288*BC273+BD288*BD273+BE288*BE273+BF288*BF273+BG288*BG273+BH288*BH273+BI288*BI273+BJ288*BJ273+BK288*BK273+BL288*BL273+BM288*BM273+BN288*BN273+BO288*BO273+BP288*BP273+BQ288*BQ273+BR288*BR273+BS288*BS273+BT288*BT273+BU288*BU273+BV288*BV273+BW288*BW273+BX288*BX273+BY288*BY273+BZ288*BZ273+CA288*CA273+CB288*CB273+CC288*CC273+CD288*CD273+CE288*CE273+CF288*CF273+CG288*CG273+CH288*CH273+CI288*CI273+CJ288*CJ273+CK288*CK273+CL288*CL273+CM288*CM273+CN288*CN273+CO288*CO273+CP288*CP273+CQ288*CQ273+CR288*CR273+CS288*CS273+CT288*CT273+CU288*CU273</f>
        <v>0</v>
      </c>
      <c r="CZ273" s="2839">
        <f>E289*E273+F289*F273+G289*G273+H289*H273+I289*I273+J289*J273+K289*K273+L289*L273+M289*M273+N289*N273+O289*O273+P289*P273+Q289*Q273+R289*R273+S289*S273+T289*T273+U289*U273+V289*V273+W289*W273+X289*X273+Y289*Y273+Z289*Z273+AA289*AA273+AB289*AB273+AC289*AC273+AD289*AD273+AE289*AE273+AF289*AF273+AG289*AG273+AH289*AH273+AI289*AI273+AJ289*AJ273+AK289*AK273+AL289*AL273+AM289*AM273+AN289*AN273+AO289*AO273+AP289*AP273+AQ289*AQ273+AR289*AR273+AS289*AS273+AT289*AT273+AU289*AU273+AV289*AV273+AW289*AW273+AX289*AX273+AY289*AY273+AZ289*AZ273+BA289*BA273+BB289*BB273+BC289*BC273+BD289*BD273+BE289*BE273+BF289*BF273+BG289*BG273+BH289*BH273+BI289*BI273+BJ289*BJ273+BK289*BK273+BL289*BL273+BM289*BM273+BN289*BN273+BO289*BO273+BP289*BP273+BQ289*BQ273+BR289*BR273+BS289*BS273+BT289*BT273+BU289*BU273+BV289*BV273+BW289*BW273+BX289*BX273+BY289*BY273+BZ289*BZ273+CA289*CA273+CB289*CB273+CC289*CC273+CD289*CD273+CE289*CE273+CF289*CF273+CG289*CG273+CH289*CH273+CI289*CI273+CJ289*CJ273+CK289*CK273+CL289*CL273+CM289*CM273+CN289*CN273+CO289*CO273+CP289*CP273+CQ289*CQ273+CR289*CR273+CS289*CS273+CT289*CT273+CU289*CU273</f>
        <v>0</v>
      </c>
      <c r="DA273" s="2840">
        <f>E290*E273+F290*F273+G290*G273+H290*H273+I290*I273+J290*J273+K290*K273+L290*L273+M290*M273+N290*N273+O290*O273+P290*P273+Q290*Q273+R290*R273+S290*S273+T290*T273+U290*U273+V290*V273+W290*W273+X290*X273+Y290*Y273+Z290*Z273+AA290*AA273+AB290*AB273+AC290*AC273+AD290*AD273+AE290*AE273+AF290*AF273+AG290*AG273+AH290*AH273+AI290*AI273+AJ290*AJ273+AK290*AK273+AL290*AL273+AM290*AM273+AN290*AN273+AO290*AO273+AP290*AP273+AQ290*AQ273+AR290*AR273+AS290*AS273+AT290*AT273+AU290*AU273+AV290*AV273+AW290*AW273+AX290*AX273+AY290*AY273+AZ290*AZ273+BA290*BA273+BB290*BB273+BC290*BC273+BD290*BD273+BE290*BE273+BF290*BF273+BG290*BG273+BH290*BH273+BI290*BI273+BJ290*BJ273+BK290*BK273+BL290*BL273+BM290*BM273+BN290*BN273+BO290*BO273+BP290*BP273+BQ290*BQ273+BR290*BR273+BS290*BS273+BT290*BT273+BU290*BU273+BV290*BV273+BW290*BW273+BX290*BX273+BY290*BY273+BZ290*BZ273+CA290*CA273+CB290*CB273+CC290*CC273+CD290*CD273+CE290*CE273+CF290*CF273+CG290*CG273+CH290*CH273+CI290*CI273+CJ290*CJ273+CK290*CK273+CL290*CL273+CM290*CM273+CN290*CN273+CO290*CO273+CP290*CP273+CQ290*CQ273+CR290*CR273+CS290*CS273+CT290*CT273+CU290*CU273</f>
        <v>0</v>
      </c>
      <c r="DB273" s="2840">
        <f>E291*E273+F291*F273+G291*G273+H291*H273+I291*I273+J291*J273+K291*K273+L291*L273+M291*M273+N291*N273+O291*O273+P291*P273+Q291*Q273+R291*R273+S291*S273+T291*T273+U291*U273+V291*V273+W291*W273+X291*X273+Y291*Y273+Z291*Z273+AA291*AA273+AB291*AB273+AC291*AC273+AD291*AD273+AE291*AE273+AF291*AF273+AG291*AG273+AH291*AH273+AI291*AI273+AJ291*AJ273+AK291*AK273+AL291*AL273+AM291*AM273+AN291*AN273+AO291*AO273+AP291*AP273+AQ291*AQ273+AR291*AR273+AS291*AS273+AT291*AT273+AU291*AU273+AV291*AV273+AW291*AW273+AX291*AX273+AY291*AY273+AZ291*AZ273+BA291*BA273+BB291*BB273+BC291*BC273+BD291*BD273+BE291*BE273+BF291*BF273+BG291*BG273+BH291*BH273+BI291*BI273+BJ291*BJ273+BK291*BK273+BL291*BL273+BM291*BM273+BN291*BN273+BO291*BO273+BP291*BP273+BQ291*BQ273+BR291*BR273+BS291*BS273+BT291*BT273+BU291*BU273+BV291*BV273+BW291*BW273+BX291*BX273+BY291*BY273+BZ291*BZ273+CA291*CA273+CB291*CB273+CC291*CC273+CD291*CD273+CE291*CE273+CF291*CF273+CG291*CG273+CH291*CH273+CI291*CI273+CJ291*CJ273+CK291*CK273+CL291*CL273+CM291*CM273+CN291*CN273+CO291*CO273+CP291*CP273+CQ291*CQ273+CR291*CR273+CS291*CS273+CT291*CT273+CU291*CU273</f>
        <v>0</v>
      </c>
      <c r="DC273" s="2840">
        <f>E292*E273+F292*F273+G292*G273+H292*H273+I292*I273+J292*J273+K292*K273+L292*L273+M292*M273+N292*N273+O292*O273+P292*P273+Q292*Q273+R292*R273+S292*S273+T292*T273+U292*U273+V292*V273+W292*W273+X292*X273+Y292*Y273+Z292*Z273+AA292*AA273+AB292*AB273+AC292*AC273+AD292*AD273+AE292*AE273+AF292*AF273+AG292*AG273+AH292*AH273+AI292*AI273+AJ292*AJ273+AK292*AK273+AL292*AL273+AM292*AM273+AN292*AN273+AO292*AO273+AP292*AP273+AQ292*AQ273+AR292*AR273+AS292*AS273+AT292*AT273+AU292*AU273+AV292*AV273+AW292*AW273+AX292*AX273+AY292*AY273+AZ292*AZ273+BA292*BA273+BB292*BB273+BC292*BC273+BD292*BD273+BE292*BE273+BF292*BF273+BG292*BG273+BH292*BH273+BI292*BI273+BJ292*BJ273+BK292*BK273+BL292*BL273+BM292*BM273+BN292*BN273+BO292*BO273+BP292*BP273+BQ292*BQ273+BR292*BR273+BS292*BS273+BT292*BT273+BU292*BU273+BV292*BV273+BW292*BW273+BX292*BX273+BY292*BY273+BZ292*BZ273+CA292*CA273+CB292*CB273+CC292*CC273+CD292*CD273+CE292*CE273+CF292*CF273+CG292*CG273+CH292*CH273+CI292*CI273+CJ292*CJ273+CK292*CK273+CL292*CL273+CM292*CM273+CN292*CN273+CO292*CO273+CP292*CP273+CQ292*CQ273+CR292*CR273+CS292*CS273+CT292*CT273+CU292*CU273</f>
        <v>0</v>
      </c>
      <c r="DD273" s="2840">
        <f>E293*E273+F293*F273+G293*G273+H293*H273+I293*I273+J293*J273+K293*K273+L293*L273+M293*M273+N293*N273+O293*O273+P293*P273+Q293*Q273+R293*R273+S293*S273+T293*T273+U293*U273+V293*V273+W293*W273+X293*X273+Y293*Y273+Z293*Z273+AA293*AA273+AB293*AB273+AC293*AC273+AD293*AD273+AE293*AE273+AF293*AF273+AG293*AG273+AH293*AH273+AI293*AI273+AJ293*AJ273+AK293*AK273+AL293*AL273+AM293*AM273+AN293*AN273+AO293*AO273+AP293*AP273+AQ293*AQ273+AR293*AR273+AS293*AS273+AT293*AT273+AU293*AU273+AV293*AV273+AW293*AW273+AX293*AX273+AY293*AY273+AZ293*AZ273+BA293*BA273+BB293*BB273+BC293*BC273+BD293*BD273+BE293*BE273+BF293*BF273+BG293*BG273+BH293*BH273+BI293*BI273+BJ293*BJ273+BK293*BK273+BL293*BL273+BM293*BM273+BN293*BN273+BO293*BO273+BP293*BP273+BQ293*BQ273+BR293*BR273+BS293*BS273+BT293*BT273+BU293*BU273+BV293*BV273+BW293*BW273+BX293*BX273+BY293*BY273+BZ293*BZ273+CA293*CA273+CB293*CB273+CC293*CC273+CD293*CD273+CE293*CE273+CF293*CF273+CG293*CG273+CH293*CH273+CI293*CI273+CJ293*CJ273+CK293*CK273+CL293*CL273+CM293*CM273+CN293*CN273+CO293*CO273+CP293*CP273+CQ293*CQ273+CR293*CR273+CS293*CS273+CT293*CT273+CU293*CU273</f>
        <v>0</v>
      </c>
      <c r="DE273" s="2840">
        <f>E294*E273+F294*F273+G294*G273+H294*H273+I294*I273+J294*J273+K294*K273+L294*L273+M294*M273+N294*N273+O294*O273+P294*P273+Q294*Q273+R294*R273+S294*S273+T294*T273+U294*U273+V294*V273+W294*W273+X294*X273+Y294*Y273+Z294*Z273+AA294*AA273+AB294*AB273+AC294*AC273+AD294*AD273+AE294*AE273+AF294*AF273+AG294*AG273+AH294*AH273+AI294*AI273+AJ294*AJ273+AK294*AK273+AL294*AL273+AM294*AM273+AN294*AN273+AO294*AO273+AP294*AP273+AQ294*AQ273+AR294*AR273+AS294*AS273+AT294*AT273+AU294*AU273+AV294*AV273+AW294*AW273+AX294*AX273+AY294*AY273+AZ294*AZ273+BA294*BA273+BB294*BB273+BC294*BC273+BD294*BD273+BE294*BE273+BF294*BF273+BG294*BG273+BH294*BH273+BI294*BI273+BJ294*BJ273+BK294*BK273+BL294*BL273+BM294*BM273+BN294*BN273+BO294*BO273+BP294*BP273+BQ294*BQ273+BR294*BR273+BS294*BS273+BT294*BT273+BU294*BU273+BV294*BV273+BW294*BW273+BX294*BX273+BY294*BY273+BZ294*BZ273+CA294*CA273+CB294*CB273+CC294*CC273+CD294*CD273+CE294*CE273+CF294*CF273+CG294*CG273+CH294*CH273+CI294*CI273+CJ294*CJ273+CK294*CK273+CL294*CL273+CM294*CM273+CN294*CN273+CO294*CO273+CP294*CP273+CQ294*CQ273+CR294*CR273+CS294*CS273+CT294*CT273+CU294*CU273</f>
        <v>0</v>
      </c>
      <c r="DF273" s="2840">
        <f>E295*E273+F295*F273+G295*G273+H295*H273+I295*I273+J295*J273+K295*K273+L295*L273+M295*M273+N295*N273+O295*O273+P295*P273+Q295*Q273+R295*R273+S295*S273+T295*T273+U295*U273+V295*V273+W295*W273+X295*X273+Y295*Y273+Z295*Z273+AA295*AA273+AB295*AB273+AC295*AC273+AD295*AD273+AE295*AE273+AF295*AF273+AG295*AG273+AH295*AH273+AI295*AI273+AJ295*AJ273+AK295*AK273+AL295*AL273+AM295*AM273+AN295*AN273+AO295*AO273+AP295*AP273+AQ295*AQ273+AR295*AR273+AS295*AS273+AT295*AT273+AU295*AU273+AV295*AV273+AW295*AW273+AX295*AX273+AY295*AY273+AZ295*AZ273+BA295*BA273+BB295*BB273+BC295*BC273+BD295*BD273+BE295*BE273+BF295*BF273+BG295*BG273+BH295*BH273+BI295*BI273+BJ295*BJ273+BK295*BK273+BL295*BL273+BM295*BM273+BN295*BN273+BO295*BO273+BP295*BP273+BQ295*BQ273+BR295*BR273+BS295*BS273+BT295*BT273+BU295*BU273+BV295*BV273+BW295*BW273+BX295*BX273+BY295*BY273+BZ295*BZ273+CA295*CA273+CB295*CB273+CC295*CC273+CD295*CD273+CE295*CE273+CF295*CF273+CG295*CG273+CH295*CH273+CI295*CI273+CJ295*CJ273+CK295*CK273+CL295*CL273+CM295*CM273+CN295*CN273+CO295*CO273+CP295*CP273+CQ295*CQ273+CR295*CR273+CS295*CS273+CT295*CT273+CU295*CU273</f>
        <v>0</v>
      </c>
      <c r="DG273" s="2840">
        <f>E296*E273+F296*F273+G296*G273+H296*H273+I296*I273+J296*J273+K296*K273+L296*L273+M296*M273+N296*N273+O296*O273+P296*P273+Q296*Q273+R296*R273+S296*S273+T296*T273+U296*U273+V296*V273+W296*W273+X296*X273+Y296*Y273+Z296*Z273+AA296*AA273+AB296*AB273+AC296*AC273+AD296*AD273+AE296*AE273+AF296*AF273+AG296*AG273+AH296*AH273+AI296*AI273+AJ296*AJ273+AK296*AK273+AL296*AL273+AM296*AM273+AN296*AN273+AO296*AO273+AP296*AP273+AQ296*AQ273+AR296*AR273+AS296*AS273+AT296*AT273+AU296*AU273+AV296*AV273+AW296*AW273+AX296*AX273+AY296*AY273+AZ296*AZ273+BA296*BA273+BB296*BB273+BC296*BC273+BD296*BD273+BE296*BE273+BF296*BF273+BG296*BG273+BH296*BH273+BI296*BI273+BJ296*BJ273+BK296*BK273+BL296*BL273+BM296*BM273+BN296*BN273+BO296*BO273+BP296*BP273+BQ296*BQ273+BR296*BR273+BS296*BS273+BT296*BT273+BU296*BU273+BV296*BV273+BW296*BW273+BX296*BX273+BY296*BY273+BZ296*BZ273+CA296*CA273+CB296*CB273+CC296*CC273+CD296*CD273+CE296*CE273+CF296*CF273+CG296*CG273+CH296*CH273+CI296*CI273+CJ296*CJ273+CK296*CK273+CL296*CL273+CM296*CM273+CN296*CN273+CO296*CO273+CP296*CP273+CQ296*CQ273+CR296*CR273+CS296*CS273+CT296*CT273+CU296*CU273</f>
        <v>0</v>
      </c>
      <c r="DH273" s="2840">
        <f>E297*E273+F297*F273+G297*G273+H297*H273+I297*I273+J297*J273+K297*K273+L297*L273+M297*M273+N297*N273+O297*O273+P297*P273+Q297*Q273+R297*R273+S297*S273+T297*T273+U297*U273+V297*V273+W297*W273+X297*X273+Y297*Y273+Z297*Z273+AA297*AA273+AB297*AB273+AC297*AC273+AD297*AD273+AE297*AE273+AF297*AF273+AG297*AG273+AH297*AH273+AI297*AI273+AJ297*AJ273+AK297*AK273+AL297*AL273+AM297*AM273+AN297*AN273+AO297*AO273+AP297*AP273+AQ297*AQ273+AR297*AR273+AS297*AS273+AT297*AT273+AU297*AU273+AV297*AV273+AW297*AW273+AX297*AX273+AY297*AY273+AZ297*AZ273+BA297*BA273+BB297*BB273+BC297*BC273+BD297*BD273+BE297*BE273+BF297*BF273+BG297*BG273+BH297*BH273+BI297*BI273+BJ297*BJ273+BK297*BK273+BL297*BL273+BM297*BM273+BN297*BN273+BO297*BO273+BP297*BP273+BQ297*BQ273+BR297*BR273+BS297*BS273+BT297*BT273+BU297*BU273+BV297*BV273+BW297*BW273+BX297*BX273+BY297*BY273+BZ297*BZ273+CA297*CA273+CB297*CB273+CC297*CC273+CD297*CD273+CE297*CE273+CF297*CF273+CG297*CG273+CH297*CH273+CI297*CI273+CJ297*CJ273+CK297*CK273+CL297*CL273+CM297*CM273+CN297*CN273+CO297*CO273+CP297*CP273+CQ297*CQ273+CR297*CR273+CS297*CS273+CT297*CT273+CU297*CU273</f>
        <v>0</v>
      </c>
      <c r="DI273" s="2840">
        <f>E298*E273+F298*F273+G298*G273+H298*H273+I298*I273+J298*J273+K298*K273+L298*L273+M298*M273+N298*N273+O298*O273+P298*P273+Q298*Q273+R298*R273+S298*S273+T298*T273+U298*U273+V298*V273+W298*W273+X298*X273+Y298*Y273+Z298*Z273+AA298*AA273+AB298*AB273+AC298*AC273+AD298*AD273+AE298*AE273+AF298*AF273+AG298*AG273+AH298*AH273+AI298*AI273+AJ298*AJ273+AK298*AK273+AL298*AL273+AM298*AM273+AN298*AN273+AO298*AO273+AP298*AP273+AQ298*AQ273+AR298*AR273+AS298*AS273+AT298*AT273+AU298*AU273+AV298*AV273+AW298*AW273+AX298*AX273+AY298*AY273+AZ298*AZ273+BA298*BA273+BB298*BB273+BC298*BC273+BD298*BD273+BE298*BE273+BF298*BF273+BG298*BG273+BH298*BH273+BI298*BI273+BJ298*BJ273+BK298*BK273+BL298*BL273+BM298*BM273+BN298*BN273+BO298*BO273+BP298*BP273+BQ298*BQ273+BR298*BR273+BS298*BS273+BT298*BT273+BU298*BU273+BV298*BV273+BW298*BW273+BX298*BX273+BY298*BY273+BZ298*BZ273+CA298*CA273+CB298*CB273+CC298*CC273+CD298*CD273+CE298*CE273+CF298*CF273+CG298*CG273+CH298*CH273+CI298*CI273+CJ298*CJ273+CK298*CK273+CL298*CL273+CM298*CM273+CN298*CN273+CO298*CO273+CP298*CP273+CQ298*CQ273+CR298*CR273+CS298*CS273+CT298*CT273+CU298*CU273</f>
        <v>0</v>
      </c>
    </row>
    <row r="274" spans="2:113" ht="18" x14ac:dyDescent="0.25">
      <c r="B274" s="2503">
        <v>121</v>
      </c>
      <c r="C274" s="2427" t="s">
        <v>4648</v>
      </c>
      <c r="D274" s="1282" t="s">
        <v>3628</v>
      </c>
      <c r="E274" s="3119">
        <f>0</f>
        <v>0</v>
      </c>
      <c r="F274" s="3119">
        <f>0</f>
        <v>0</v>
      </c>
      <c r="G274" s="3119">
        <f>0</f>
        <v>0</v>
      </c>
      <c r="H274" s="3119">
        <f>0</f>
        <v>0</v>
      </c>
      <c r="I274" s="3119">
        <f>0</f>
        <v>0</v>
      </c>
      <c r="J274" s="3148">
        <f>0</f>
        <v>0</v>
      </c>
      <c r="K274" s="3119">
        <f>0</f>
        <v>0</v>
      </c>
      <c r="L274" s="3119">
        <f>0</f>
        <v>0</v>
      </c>
      <c r="M274" s="3119">
        <f>0</f>
        <v>0</v>
      </c>
      <c r="N274" s="3119">
        <f>0</f>
        <v>0</v>
      </c>
      <c r="O274" s="3119">
        <f>0</f>
        <v>0</v>
      </c>
      <c r="P274" s="3119">
        <f>0</f>
        <v>0</v>
      </c>
      <c r="Q274" s="3119">
        <f>0</f>
        <v>0</v>
      </c>
      <c r="R274" s="3159">
        <f>0</f>
        <v>0</v>
      </c>
      <c r="S274" s="3119">
        <f>0</f>
        <v>0</v>
      </c>
      <c r="T274" s="3119">
        <f>0</f>
        <v>0</v>
      </c>
      <c r="U274" s="3119">
        <f>0</f>
        <v>0</v>
      </c>
      <c r="V274" s="3119">
        <f>0</f>
        <v>0</v>
      </c>
      <c r="W274" s="3119">
        <f>0</f>
        <v>0</v>
      </c>
      <c r="X274" s="3119">
        <f>0</f>
        <v>0</v>
      </c>
      <c r="Y274" s="3119">
        <f>0</f>
        <v>0</v>
      </c>
      <c r="Z274" s="3119">
        <f>0</f>
        <v>0</v>
      </c>
      <c r="AA274" s="3119">
        <f>0</f>
        <v>0</v>
      </c>
      <c r="AB274" s="3119">
        <f>0</f>
        <v>0</v>
      </c>
      <c r="AC274" s="3119">
        <f>0</f>
        <v>0</v>
      </c>
      <c r="AD274" s="3119">
        <f>0</f>
        <v>0</v>
      </c>
      <c r="AE274" s="3119">
        <f>0</f>
        <v>0</v>
      </c>
      <c r="AF274" s="3119">
        <f>0</f>
        <v>0</v>
      </c>
      <c r="AG274" s="3119">
        <f>0</f>
        <v>0</v>
      </c>
      <c r="AH274" s="3119">
        <f>0</f>
        <v>0</v>
      </c>
      <c r="AI274" s="3119">
        <f>0</f>
        <v>0</v>
      </c>
      <c r="AJ274" s="3148">
        <f>0</f>
        <v>0</v>
      </c>
      <c r="AK274" s="3119">
        <f>0</f>
        <v>0</v>
      </c>
      <c r="AL274" s="3119">
        <f>0</f>
        <v>0</v>
      </c>
      <c r="AM274" s="3119">
        <f>0</f>
        <v>0</v>
      </c>
      <c r="AN274" s="3119">
        <f>0</f>
        <v>0</v>
      </c>
      <c r="AO274" s="3119">
        <f>0</f>
        <v>0</v>
      </c>
      <c r="AP274" s="3148">
        <f>0</f>
        <v>0</v>
      </c>
      <c r="AQ274" s="3119">
        <f>0</f>
        <v>0</v>
      </c>
      <c r="AR274" s="3119">
        <f>0</f>
        <v>0</v>
      </c>
      <c r="AS274" s="3119">
        <f>0</f>
        <v>0</v>
      </c>
      <c r="AT274" s="3119">
        <f>0</f>
        <v>0</v>
      </c>
      <c r="AU274" s="3119">
        <f>1</f>
        <v>1</v>
      </c>
      <c r="AV274" s="3119">
        <f>0</f>
        <v>0</v>
      </c>
      <c r="AW274" s="3119">
        <f>0</f>
        <v>0</v>
      </c>
      <c r="AX274" s="3119">
        <f>0</f>
        <v>0</v>
      </c>
      <c r="AY274" s="3119">
        <f>0</f>
        <v>0</v>
      </c>
      <c r="AZ274" s="3119">
        <f>0</f>
        <v>0</v>
      </c>
      <c r="BA274" s="3119">
        <f>0</f>
        <v>0</v>
      </c>
      <c r="BB274" s="3119">
        <f>0</f>
        <v>0</v>
      </c>
      <c r="BC274" s="3119">
        <f>0</f>
        <v>0</v>
      </c>
      <c r="BD274" s="3119">
        <f>0</f>
        <v>0</v>
      </c>
      <c r="BE274" s="3159">
        <f>0</f>
        <v>0</v>
      </c>
      <c r="BF274" s="3159">
        <f>0</f>
        <v>0</v>
      </c>
      <c r="BG274" s="3159">
        <f>0</f>
        <v>0</v>
      </c>
      <c r="BH274" s="3159">
        <f>0</f>
        <v>0</v>
      </c>
      <c r="BI274" s="3159">
        <f>0</f>
        <v>0</v>
      </c>
      <c r="BJ274" s="3159">
        <f>0</f>
        <v>0</v>
      </c>
      <c r="BK274" s="3159">
        <f>0</f>
        <v>0</v>
      </c>
      <c r="BL274" s="3159">
        <f>0</f>
        <v>0</v>
      </c>
      <c r="BM274" s="3159">
        <f>0</f>
        <v>0</v>
      </c>
      <c r="BN274" s="3159">
        <f>0</f>
        <v>0</v>
      </c>
      <c r="BO274" s="3159">
        <f>0</f>
        <v>0</v>
      </c>
      <c r="BP274" s="3159">
        <f>0</f>
        <v>0</v>
      </c>
      <c r="BQ274" s="3159">
        <f>0</f>
        <v>0</v>
      </c>
      <c r="BR274" s="3159">
        <f>0</f>
        <v>0</v>
      </c>
      <c r="BS274" s="3159">
        <f>0</f>
        <v>0</v>
      </c>
      <c r="BT274" s="3159">
        <f>0</f>
        <v>0</v>
      </c>
      <c r="BU274" s="3159">
        <f>0</f>
        <v>0</v>
      </c>
      <c r="BV274" s="3159">
        <f>0</f>
        <v>0</v>
      </c>
      <c r="BW274" s="3159">
        <f>0</f>
        <v>0</v>
      </c>
      <c r="BX274" s="3159">
        <f>0</f>
        <v>0</v>
      </c>
      <c r="BY274" s="3159">
        <f>0</f>
        <v>0</v>
      </c>
      <c r="BZ274" s="3204">
        <f>0</f>
        <v>0</v>
      </c>
      <c r="CA274" s="3204">
        <f>0</f>
        <v>0</v>
      </c>
      <c r="CB274" s="3204">
        <f>0</f>
        <v>0</v>
      </c>
      <c r="CC274" s="3204">
        <f>0</f>
        <v>0</v>
      </c>
      <c r="CD274" s="3159">
        <f>0</f>
        <v>0</v>
      </c>
      <c r="CE274" s="3159">
        <f>0</f>
        <v>0</v>
      </c>
      <c r="CF274" s="3159">
        <f>0</f>
        <v>0</v>
      </c>
      <c r="CG274" s="3159">
        <f>0</f>
        <v>0</v>
      </c>
      <c r="CH274" s="3159">
        <f>0</f>
        <v>0</v>
      </c>
      <c r="CI274" s="3159">
        <f>0</f>
        <v>0</v>
      </c>
      <c r="CJ274" s="3159">
        <f>0</f>
        <v>0</v>
      </c>
      <c r="CK274" s="3159">
        <f>0</f>
        <v>0</v>
      </c>
      <c r="CL274" s="3159">
        <f>0</f>
        <v>0</v>
      </c>
      <c r="CM274" s="3159">
        <f>0</f>
        <v>0</v>
      </c>
      <c r="CN274" s="3159">
        <f>-Δ_atm</f>
        <v>-1</v>
      </c>
      <c r="CO274" s="3159">
        <f>0</f>
        <v>0</v>
      </c>
      <c r="CP274" s="3159">
        <f>0</f>
        <v>0</v>
      </c>
      <c r="CQ274" s="3159">
        <f>0</f>
        <v>0</v>
      </c>
      <c r="CR274" s="3159">
        <f>0</f>
        <v>0</v>
      </c>
      <c r="CS274" s="3159">
        <f>0</f>
        <v>0</v>
      </c>
      <c r="CT274" s="3159">
        <f>0</f>
        <v>0</v>
      </c>
      <c r="CU274" s="3159">
        <f>0</f>
        <v>0</v>
      </c>
      <c r="CV274" s="3226">
        <f>k_transfer_GCO2_sur</f>
        <v>85.864791591722664</v>
      </c>
      <c r="CX274" s="2838">
        <f>E287*E274+F287*F274+G287*G274+H287*H274+I287*I274+J287*J274+K287*K274+L287*L274+M287*M274+N287*N274+O287*O274+P287*P274+Q287*Q274+R287*R274+S287*S274+T287*T274+U287*U274+V287*V274+W287*W274+X287*X274+Y287*Y274+Z287*Z274+AA287*AA274+AB287*AB274+AC287*AC274+AD287*AD274+AE287*AE274+AF287*AF274+AG287*AG274+AH287*AH274+AI287*AI274+AJ287*AJ274+AK287*AK274+AL287*AL274+AM287*AM274+AN287*AN274+AO287*AO274+AP287*AP274+AQ287*AQ274+AR287*AR274+AS287*AS274+AT287*AT274+AU287*AU274+AV287*AV274+AW287*AW274+AX287*AX274+AY287*AY274+AZ287*AZ274+BA287*BA274+BB287*BB274+BC287*BC274+BD287*BD274+BE287*BE274+BF287*BF274+BG287*BG274+BH287*BH274+BI287*BI274+BJ287*BJ274+BK287*BK274+BL287*BL274+BM287*BM274+BN287*BN274+BO287*BO274+BP287*BP274+BQ287*BQ274+BR287*BR274+BS287*BS274+BT287*BT274+BU287*BU274+BV287*BV274+BW287*BW274+BX287*BX274+BY287*BY274+BZ287*BZ274+CA287*CA274+CB287*CB274+CC287*CC274+CD287*CD274+CE287*CE274+CF287*CF274+CG287*CG274+CH287*CH274+CI287*CI274+CJ287*CJ274+CK287*CK274+CL287*CL274+CM287*CM274+CN287*CN274+CO287*CO274+CP287*CP274+CQ287*CQ274+CR287*CR274+CS287*CS274+CT287*CT274+CU287*CU274</f>
        <v>0</v>
      </c>
      <c r="CY274" s="2838">
        <f>E288*E274+F288*F274+G288*G274+H288*H274+I288*I274+J288*J274+K288*K274+L288*L274+M288*M274+N288*N274+O288*O274+P288*P274+Q288*Q274+R288*R274+S288*S274+T288*T274+U288*U274+V288*V274+W288*W274+X288*X274+Y288*Y274+Z288*Z274+AA288*AA274+AB288*AB274+AC288*AC274+AD288*AD274+AE288*AE274+AF288*AF274+AG288*AG274+AH288*AH274+AI288*AI274+AJ288*AJ274+AK288*AK274+AL288*AL274+AM288*AM274+AN288*AN274+AO288*AO274+AP288*AP274+AQ288*AQ274+AR288*AR274+AS288*AS274+AT288*AT274+AU288*AU274+AV288*AV274+AW288*AW274+AX288*AX274+AY288*AY274+AZ288*AZ274+BA288*BA274+BB288*BB274+BC288*BC274+BD288*BD274+BE288*BE274+BF288*BF274+BG288*BG274+BH288*BH274+BI288*BI274+BJ288*BJ274+BK288*BK274+BL288*BL274+BM288*BM274+BN288*BN274+BO288*BO274+BP288*BP274+BQ288*BQ274+BR288*BR274+BS288*BS274+BT288*BT274+BU288*BU274+BV288*BV274+BW288*BW274+BX288*BX274+BY288*BY274+BZ288*BZ274+CA288*CA274+CB288*CB274+CC288*CC274+CD288*CD274+CE288*CE274+CF288*CF274+CG288*CG274+CH288*CH274+CI288*CI274+CJ288*CJ274+CK288*CK274+CL288*CL274+CM288*CM274+CN288*CN274+CO288*CO274+CP288*CP274+CQ288*CQ274+CR288*CR274+CS288*CS274+CT288*CT274+CU288*CU274</f>
        <v>0</v>
      </c>
      <c r="CZ274" s="2839">
        <f>E289*E274+F289*F274+G289*G274+H289*H274+I289*I274+J289*J274+K289*K274+L289*L274+M289*M274+N289*N274+O289*O274+P289*P274+Q289*Q274+R289*R274+S289*S274+T289*T274+U289*U274+V289*V274+W289*W274+X289*X274+Y289*Y274+Z289*Z274+AA289*AA274+AB289*AB274+AC289*AC274+AD289*AD274+AE289*AE274+AF289*AF274+AG289*AG274+AH289*AH274+AI289*AI274+AJ289*AJ274+AK289*AK274+AL289*AL274+AM289*AM274+AN289*AN274+AO289*AO274+AP289*AP274+AQ289*AQ274+AR289*AR274+AS289*AS274+AT289*AT274+AU289*AU274+AV289*AV274+AW289*AW274+AX289*AX274+AY289*AY274+AZ289*AZ274+BA289*BA274+BB289*BB274+BC289*BC274+BD289*BD274+BE289*BE274+BF289*BF274+BG289*BG274+BH289*BH274+BI289*BI274+BJ289*BJ274+BK289*BK274+BL289*BL274+BM289*BM274+BN289*BN274+BO289*BO274+BP289*BP274+BQ289*BQ274+BR289*BR274+BS289*BS274+BT289*BT274+BU289*BU274+BV289*BV274+BW289*BW274+BX289*BX274+BY289*BY274+BZ289*BZ274+CA289*CA274+CB289*CB274+CC289*CC274+CD289*CD274+CE289*CE274+CF289*CF274+CG289*CG274+CH289*CH274+CI289*CI274+CJ289*CJ274+CK289*CK274+CL289*CL274+CM289*CM274+CN289*CN274+CO289*CO274+CP289*CP274+CQ289*CQ274+CR289*CR274+CS289*CS274+CT289*CT274+CU289*CU274</f>
        <v>0</v>
      </c>
      <c r="DA274" s="2840">
        <f>E290*E274+F290*F274+G290*G274+H290*H274+I290*I274+J290*J274+K290*K274+L290*L274+M290*M274+N290*N274+O290*O274+P290*P274+Q290*Q274+R290*R274+S290*S274+T290*T274+U290*U274+V290*V274+W290*W274+X290*X274+Y290*Y274+Z290*Z274+AA290*AA274+AB290*AB274+AC290*AC274+AD290*AD274+AE290*AE274+AF290*AF274+AG290*AG274+AH290*AH274+AI290*AI274+AJ290*AJ274+AK290*AK274+AL290*AL274+AM290*AM274+AN290*AN274+AO290*AO274+AP290*AP274+AQ290*AQ274+AR290*AR274+AS290*AS274+AT290*AT274+AU290*AU274+AV290*AV274+AW290*AW274+AX290*AX274+AY290*AY274+AZ290*AZ274+BA290*BA274+BB290*BB274+BC290*BC274+BD290*BD274+BE290*BE274+BF290*BF274+BG290*BG274+BH290*BH274+BI290*BI274+BJ290*BJ274+BK290*BK274+BL290*BL274+BM290*BM274+BN290*BN274+BO290*BO274+BP290*BP274+BQ290*BQ274+BR290*BR274+BS290*BS274+BT290*BT274+BU290*BU274+BV290*BV274+BW290*BW274+BX290*BX274+BY290*BY274+BZ290*BZ274+CA290*CA274+CB290*CB274+CC290*CC274+CD290*CD274+CE290*CE274+CF290*CF274+CG290*CG274+CH290*CH274+CI290*CI274+CJ290*CJ274+CK290*CK274+CL290*CL274+CM290*CM274+CN290*CN274+CO290*CO274+CP290*CP274+CQ290*CQ274+CR290*CR274+CS290*CS274+CT290*CT274+CU290*CU274</f>
        <v>0</v>
      </c>
      <c r="DB274" s="2840">
        <f>E291*E274+F291*F274+G291*G274+H291*H274+I291*I274+J291*J274+K291*K274+L291*L274+M291*M274+N291*N274+O291*O274+P291*P274+Q291*Q274+R291*R274+S291*S274+T291*T274+U291*U274+V291*V274+W291*W274+X291*X274+Y291*Y274+Z291*Z274+AA291*AA274+AB291*AB274+AC291*AC274+AD291*AD274+AE291*AE274+AF291*AF274+AG291*AG274+AH291*AH274+AI291*AI274+AJ291*AJ274+AK291*AK274+AL291*AL274+AM291*AM274+AN291*AN274+AO291*AO274+AP291*AP274+AQ291*AQ274+AR291*AR274+AS291*AS274+AT291*AT274+AU291*AU274+AV291*AV274+AW291*AW274+AX291*AX274+AY291*AY274+AZ291*AZ274+BA291*BA274+BB291*BB274+BC291*BC274+BD291*BD274+BE291*BE274+BF291*BF274+BG291*BG274+BH291*BH274+BI291*BI274+BJ291*BJ274+BK291*BK274+BL291*BL274+BM291*BM274+BN291*BN274+BO291*BO274+BP291*BP274+BQ291*BQ274+BR291*BR274+BS291*BS274+BT291*BT274+BU291*BU274+BV291*BV274+BW291*BW274+BX291*BX274+BY291*BY274+BZ291*BZ274+CA291*CA274+CB291*CB274+CC291*CC274+CD291*CD274+CE291*CE274+CF291*CF274+CG291*CG274+CH291*CH274+CI291*CI274+CJ291*CJ274+CK291*CK274+CL291*CL274+CM291*CM274+CN291*CN274+CO291*CO274+CP291*CP274+CQ291*CQ274+CR291*CR274+CS291*CS274+CT291*CT274+CU291*CU274</f>
        <v>0</v>
      </c>
      <c r="DC274" s="2840">
        <f>E292*E274+F292*F274+G292*G274+H292*H274+I292*I274+J292*J274+K292*K274+L292*L274+M292*M274+N292*N274+O292*O274+P292*P274+Q292*Q274+R292*R274+S292*S274+T292*T274+U292*U274+V292*V274+W292*W274+X292*X274+Y292*Y274+Z292*Z274+AA292*AA274+AB292*AB274+AC292*AC274+AD292*AD274+AE292*AE274+AF292*AF274+AG292*AG274+AH292*AH274+AI292*AI274+AJ292*AJ274+AK292*AK274+AL292*AL274+AM292*AM274+AN292*AN274+AO292*AO274+AP292*AP274+AQ292*AQ274+AR292*AR274+AS292*AS274+AT292*AT274+AU292*AU274+AV292*AV274+AW292*AW274+AX292*AX274+AY292*AY274+AZ292*AZ274+BA292*BA274+BB292*BB274+BC292*BC274+BD292*BD274+BE292*BE274+BF292*BF274+BG292*BG274+BH292*BH274+BI292*BI274+BJ292*BJ274+BK292*BK274+BL292*BL274+BM292*BM274+BN292*BN274+BO292*BO274+BP292*BP274+BQ292*BQ274+BR292*BR274+BS292*BS274+BT292*BT274+BU292*BU274+BV292*BV274+BW292*BW274+BX292*BX274+BY292*BY274+BZ292*BZ274+CA292*CA274+CB292*CB274+CC292*CC274+CD292*CD274+CE292*CE274+CF292*CF274+CG292*CG274+CH292*CH274+CI292*CI274+CJ292*CJ274+CK292*CK274+CL292*CL274+CM292*CM274+CN292*CN274+CO292*CO274+CP292*CP274+CQ292*CQ274+CR292*CR274+CS292*CS274+CT292*CT274+CU292*CU274</f>
        <v>0</v>
      </c>
      <c r="DD274" s="2840">
        <f>E293*E274+F293*F274+G293*G274+H293*H274+I293*I274+J293*J274+K293*K274+L293*L274+M293*M274+N293*N274+O293*O274+P293*P274+Q293*Q274+R293*R274+S293*S274+T293*T274+U293*U274+V293*V274+W293*W274+X293*X274+Y293*Y274+Z293*Z274+AA293*AA274+AB293*AB274+AC293*AC274+AD293*AD274+AE293*AE274+AF293*AF274+AG293*AG274+AH293*AH274+AI293*AI274+AJ293*AJ274+AK293*AK274+AL293*AL274+AM293*AM274+AN293*AN274+AO293*AO274+AP293*AP274+AQ293*AQ274+AR293*AR274+AS293*AS274+AT293*AT274+AU293*AU274+AV293*AV274+AW293*AW274+AX293*AX274+AY293*AY274+AZ293*AZ274+BA293*BA274+BB293*BB274+BC293*BC274+BD293*BD274+BE293*BE274+BF293*BF274+BG293*BG274+BH293*BH274+BI293*BI274+BJ293*BJ274+BK293*BK274+BL293*BL274+BM293*BM274+BN293*BN274+BO293*BO274+BP293*BP274+BQ293*BQ274+BR293*BR274+BS293*BS274+BT293*BT274+BU293*BU274+BV293*BV274+BW293*BW274+BX293*BX274+BY293*BY274+BZ293*BZ274+CA293*CA274+CB293*CB274+CC293*CC274+CD293*CD274+CE293*CE274+CF293*CF274+CG293*CG274+CH293*CH274+CI293*CI274+CJ293*CJ274+CK293*CK274+CL293*CL274+CM293*CM274+CN293*CN274+CO293*CO274+CP293*CP274+CQ293*CQ274+CR293*CR274+CS293*CS274+CT293*CT274+CU293*CU274</f>
        <v>0</v>
      </c>
      <c r="DE274" s="2840">
        <f>E294*E274+F294*F274+G294*G274+H294*H274+I294*I274+J294*J274+K294*K274+L294*L274+M294*M274+N294*N274+O294*O274+P294*P274+Q294*Q274+R294*R274+S294*S274+T294*T274+U294*U274+V294*V274+W294*W274+X294*X274+Y294*Y274+Z294*Z274+AA294*AA274+AB294*AB274+AC294*AC274+AD294*AD274+AE294*AE274+AF294*AF274+AG294*AG274+AH294*AH274+AI294*AI274+AJ294*AJ274+AK294*AK274+AL294*AL274+AM294*AM274+AN294*AN274+AO294*AO274+AP294*AP274+AQ294*AQ274+AR294*AR274+AS294*AS274+AT294*AT274+AU294*AU274+AV294*AV274+AW294*AW274+AX294*AX274+AY294*AY274+AZ294*AZ274+BA294*BA274+BB294*BB274+BC294*BC274+BD294*BD274+BE294*BE274+BF294*BF274+BG294*BG274+BH294*BH274+BI294*BI274+BJ294*BJ274+BK294*BK274+BL294*BL274+BM294*BM274+BN294*BN274+BO294*BO274+BP294*BP274+BQ294*BQ274+BR294*BR274+BS294*BS274+BT294*BT274+BU294*BU274+BV294*BV274+BW294*BW274+BX294*BX274+BY294*BY274+BZ294*BZ274+CA294*CA274+CB294*CB274+CC294*CC274+CD294*CD274+CE294*CE274+CF294*CF274+CG294*CG274+CH294*CH274+CI294*CI274+CJ294*CJ274+CK294*CK274+CL294*CL274+CM294*CM274+CN294*CN274+CO294*CO274+CP294*CP274+CQ294*CQ274+CR294*CR274+CS294*CS274+CT294*CT274+CU294*CU274</f>
        <v>0</v>
      </c>
      <c r="DF274" s="2840">
        <f>E295*E274+F295*F274+G295*G274+H295*H274+I295*I274+J295*J274+K295*K274+L295*L274+M295*M274+N295*N274+O295*O274+P295*P274+Q295*Q274+R295*R274+S295*S274+T295*T274+U295*U274+V295*V274+W295*W274+X295*X274+Y295*Y274+Z295*Z274+AA295*AA274+AB295*AB274+AC295*AC274+AD295*AD274+AE295*AE274+AF295*AF274+AG295*AG274+AH295*AH274+AI295*AI274+AJ295*AJ274+AK295*AK274+AL295*AL274+AM295*AM274+AN295*AN274+AO295*AO274+AP295*AP274+AQ295*AQ274+AR295*AR274+AS295*AS274+AT295*AT274+AU295*AU274+AV295*AV274+AW295*AW274+AX295*AX274+AY295*AY274+AZ295*AZ274+BA295*BA274+BB295*BB274+BC295*BC274+BD295*BD274+BE295*BE274+BF295*BF274+BG295*BG274+BH295*BH274+BI295*BI274+BJ295*BJ274+BK295*BK274+BL295*BL274+BM295*BM274+BN295*BN274+BO295*BO274+BP295*BP274+BQ295*BQ274+BR295*BR274+BS295*BS274+BT295*BT274+BU295*BU274+BV295*BV274+BW295*BW274+BX295*BX274+BY295*BY274+BZ295*BZ274+CA295*CA274+CB295*CB274+CC295*CC274+CD295*CD274+CE295*CE274+CF295*CF274+CG295*CG274+CH295*CH274+CI295*CI274+CJ295*CJ274+CK295*CK274+CL295*CL274+CM295*CM274+CN295*CN274+CO295*CO274+CP295*CP274+CQ295*CQ274+CR295*CR274+CS295*CS274+CT295*CT274+CU295*CU274</f>
        <v>0</v>
      </c>
      <c r="DG274" s="2840">
        <f>E296*E274+F296*F274+G296*G274+H296*H274+I296*I274+J296*J274+K296*K274+L296*L274+M296*M274+N296*N274+O296*O274+P296*P274+Q296*Q274+R296*R274+S296*S274+T296*T274+U296*U274+V296*V274+W296*W274+X296*X274+Y296*Y274+Z296*Z274+AA296*AA274+AB296*AB274+AC296*AC274+AD296*AD274+AE296*AE274+AF296*AF274+AG296*AG274+AH296*AH274+AI296*AI274+AJ296*AJ274+AK296*AK274+AL296*AL274+AM296*AM274+AN296*AN274+AO296*AO274+AP296*AP274+AQ296*AQ274+AR296*AR274+AS296*AS274+AT296*AT274+AU296*AU274+AV296*AV274+AW296*AW274+AX296*AX274+AY296*AY274+AZ296*AZ274+BA296*BA274+BB296*BB274+BC296*BC274+BD296*BD274+BE296*BE274+BF296*BF274+BG296*BG274+BH296*BH274+BI296*BI274+BJ296*BJ274+BK296*BK274+BL296*BL274+BM296*BM274+BN296*BN274+BO296*BO274+BP296*BP274+BQ296*BQ274+BR296*BR274+BS296*BS274+BT296*BT274+BU296*BU274+BV296*BV274+BW296*BW274+BX296*BX274+BY296*BY274+BZ296*BZ274+CA296*CA274+CB296*CB274+CC296*CC274+CD296*CD274+CE296*CE274+CF296*CF274+CG296*CG274+CH296*CH274+CI296*CI274+CJ296*CJ274+CK296*CK274+CL296*CL274+CM296*CM274+CN296*CN274+CO296*CO274+CP296*CP274+CQ296*CQ274+CR296*CR274+CS296*CS274+CT296*CT274+CU296*CU274</f>
        <v>0</v>
      </c>
      <c r="DH274" s="2840">
        <f>E297*E274+F297*F274+G297*G274+H297*H274+I297*I274+J297*J274+K297*K274+L297*L274+M297*M274+N297*N274+O297*O274+P297*P274+Q297*Q274+R297*R274+S297*S274+T297*T274+U297*U274+V297*V274+W297*W274+X297*X274+Y297*Y274+Z297*Z274+AA297*AA274+AB297*AB274+AC297*AC274+AD297*AD274+AE297*AE274+AF297*AF274+AG297*AG274+AH297*AH274+AI297*AI274+AJ297*AJ274+AK297*AK274+AL297*AL274+AM297*AM274+AN297*AN274+AO297*AO274+AP297*AP274+AQ297*AQ274+AR297*AR274+AS297*AS274+AT297*AT274+AU297*AU274+AV297*AV274+AW297*AW274+AX297*AX274+AY297*AY274+AZ297*AZ274+BA297*BA274+BB297*BB274+BC297*BC274+BD297*BD274+BE297*BE274+BF297*BF274+BG297*BG274+BH297*BH274+BI297*BI274+BJ297*BJ274+BK297*BK274+BL297*BL274+BM297*BM274+BN297*BN274+BO297*BO274+BP297*BP274+BQ297*BQ274+BR297*BR274+BS297*BS274+BT297*BT274+BU297*BU274+BV297*BV274+BW297*BW274+BX297*BX274+BY297*BY274+BZ297*BZ274+CA297*CA274+CB297*CB274+CC297*CC274+CD297*CD274+CE297*CE274+CF297*CF274+CG297*CG274+CH297*CH274+CI297*CI274+CJ297*CJ274+CK297*CK274+CL297*CL274+CM297*CM274+CN297*CN274+CO297*CO274+CP297*CP274+CQ297*CQ274+CR297*CR274+CS297*CS274+CT297*CT274+CU297*CU274</f>
        <v>0</v>
      </c>
      <c r="DI274" s="2840">
        <f>E298*E274+F298*F274+G298*G274+H298*H274+I298*I274+J298*J274+K298*K274+L298*L274+M298*M274+N298*N274+O298*O274+P298*P274+Q298*Q274+R298*R274+S298*S274+T298*T274+U298*U274+V298*V274+W298*W274+X298*X274+Y298*Y274+Z298*Z274+AA298*AA274+AB298*AB274+AC298*AC274+AD298*AD274+AE298*AE274+AF298*AF274+AG298*AG274+AH298*AH274+AI298*AI274+AJ298*AJ274+AK298*AK274+AL298*AL274+AM298*AM274+AN298*AN274+AO298*AO274+AP298*AP274+AQ298*AQ274+AR298*AR274+AS298*AS274+AT298*AT274+AU298*AU274+AV298*AV274+AW298*AW274+AX298*AX274+AY298*AY274+AZ298*AZ274+BA298*BA274+BB298*BB274+BC298*BC274+BD298*BD274+BE298*BE274+BF298*BF274+BG298*BG274+BH298*BH274+BI298*BI274+BJ298*BJ274+BK298*BK274+BL298*BL274+BM298*BM274+BN298*BN274+BO298*BO274+BP298*BP274+BQ298*BQ274+BR298*BR274+BS298*BS274+BT298*BT274+BU298*BU274+BV298*BV274+BW298*BW274+BX298*BX274+BY298*BY274+BZ298*BZ274+CA298*CA274+CB298*CB274+CC298*CC274+CD298*CD274+CE298*CE274+CF298*CF274+CG298*CG274+CH298*CH274+CI298*CI274+CJ298*CJ274+CK298*CK274+CL298*CL274+CM298*CM274+CN298*CN274+CO298*CO274+CP298*CP274+CQ298*CQ274+CR298*CR274+CS298*CS274+CT298*CT274+CU298*CU274</f>
        <v>0</v>
      </c>
    </row>
    <row r="275" spans="2:113" ht="18" x14ac:dyDescent="0.25">
      <c r="B275" s="2503">
        <v>122</v>
      </c>
      <c r="C275" s="2427" t="s">
        <v>5131</v>
      </c>
      <c r="D275" s="1282" t="s">
        <v>3631</v>
      </c>
      <c r="E275" s="3119">
        <f>0</f>
        <v>0</v>
      </c>
      <c r="F275" s="3119">
        <f>0</f>
        <v>0</v>
      </c>
      <c r="G275" s="3119">
        <f>0</f>
        <v>0</v>
      </c>
      <c r="H275" s="3119">
        <f>0</f>
        <v>0</v>
      </c>
      <c r="I275" s="3119">
        <f>0</f>
        <v>0</v>
      </c>
      <c r="J275" s="3148">
        <f>0</f>
        <v>0</v>
      </c>
      <c r="K275" s="3119">
        <f>0</f>
        <v>0</v>
      </c>
      <c r="L275" s="3119">
        <f>0</f>
        <v>0</v>
      </c>
      <c r="M275" s="3119">
        <f>0</f>
        <v>0</v>
      </c>
      <c r="N275" s="3119">
        <f>0</f>
        <v>0</v>
      </c>
      <c r="O275" s="3119">
        <f>0</f>
        <v>0</v>
      </c>
      <c r="P275" s="3119">
        <f>0</f>
        <v>0</v>
      </c>
      <c r="Q275" s="3119">
        <f>0</f>
        <v>0</v>
      </c>
      <c r="R275" s="3159">
        <f>0</f>
        <v>0</v>
      </c>
      <c r="S275" s="3119">
        <f>0</f>
        <v>0</v>
      </c>
      <c r="T275" s="3119">
        <f>0</f>
        <v>0</v>
      </c>
      <c r="U275" s="3119">
        <f>0</f>
        <v>0</v>
      </c>
      <c r="V275" s="3119">
        <f>0</f>
        <v>0</v>
      </c>
      <c r="W275" s="3119">
        <f>0</f>
        <v>0</v>
      </c>
      <c r="X275" s="3119">
        <f>0</f>
        <v>0</v>
      </c>
      <c r="Y275" s="3119">
        <f>0</f>
        <v>0</v>
      </c>
      <c r="Z275" s="3119">
        <f>0</f>
        <v>0</v>
      </c>
      <c r="AA275" s="3119">
        <f>0</f>
        <v>0</v>
      </c>
      <c r="AB275" s="3119">
        <f>0</f>
        <v>0</v>
      </c>
      <c r="AC275" s="3119">
        <f>0</f>
        <v>0</v>
      </c>
      <c r="AD275" s="3119">
        <f>0</f>
        <v>0</v>
      </c>
      <c r="AE275" s="3119">
        <f>0</f>
        <v>0</v>
      </c>
      <c r="AF275" s="3119">
        <f>0</f>
        <v>0</v>
      </c>
      <c r="AG275" s="3119">
        <f>0</f>
        <v>0</v>
      </c>
      <c r="AH275" s="3119">
        <f>0</f>
        <v>0</v>
      </c>
      <c r="AI275" s="3119">
        <f>0</f>
        <v>0</v>
      </c>
      <c r="AJ275" s="3148">
        <f>0</f>
        <v>0</v>
      </c>
      <c r="AK275" s="3119">
        <f>0</f>
        <v>0</v>
      </c>
      <c r="AL275" s="3119">
        <f>0</f>
        <v>0</v>
      </c>
      <c r="AM275" s="3119">
        <f>0</f>
        <v>0</v>
      </c>
      <c r="AN275" s="3119">
        <f>0</f>
        <v>0</v>
      </c>
      <c r="AO275" s="3119">
        <f>0</f>
        <v>0</v>
      </c>
      <c r="AP275" s="3148">
        <f>0</f>
        <v>0</v>
      </c>
      <c r="AQ275" s="3119">
        <f>0</f>
        <v>0</v>
      </c>
      <c r="AR275" s="3119">
        <f>0</f>
        <v>0</v>
      </c>
      <c r="AS275" s="3119">
        <f>1</f>
        <v>1</v>
      </c>
      <c r="AT275" s="3119">
        <f>0</f>
        <v>0</v>
      </c>
      <c r="AU275" s="3119">
        <f>0</f>
        <v>0</v>
      </c>
      <c r="AV275" s="3119">
        <f>0</f>
        <v>0</v>
      </c>
      <c r="AW275" s="3119">
        <f>0</f>
        <v>0</v>
      </c>
      <c r="AX275" s="3119">
        <f>0</f>
        <v>0</v>
      </c>
      <c r="AY275" s="3119">
        <f>0</f>
        <v>0</v>
      </c>
      <c r="AZ275" s="3119">
        <f>0</f>
        <v>0</v>
      </c>
      <c r="BA275" s="3119">
        <f>0</f>
        <v>0</v>
      </c>
      <c r="BB275" s="3119">
        <f>0</f>
        <v>0</v>
      </c>
      <c r="BC275" s="3119">
        <f>0</f>
        <v>0</v>
      </c>
      <c r="BD275" s="3119">
        <f>0</f>
        <v>0</v>
      </c>
      <c r="BE275" s="3159">
        <f>0</f>
        <v>0</v>
      </c>
      <c r="BF275" s="3159">
        <f>0</f>
        <v>0</v>
      </c>
      <c r="BG275" s="3159">
        <f>0</f>
        <v>0</v>
      </c>
      <c r="BH275" s="3159">
        <f>0</f>
        <v>0</v>
      </c>
      <c r="BI275" s="3159">
        <f>0</f>
        <v>0</v>
      </c>
      <c r="BJ275" s="3159">
        <f>0</f>
        <v>0</v>
      </c>
      <c r="BK275" s="3159">
        <f>0</f>
        <v>0</v>
      </c>
      <c r="BL275" s="3159">
        <f>0</f>
        <v>0</v>
      </c>
      <c r="BM275" s="3159">
        <f>0</f>
        <v>0</v>
      </c>
      <c r="BN275" s="3159">
        <f>0</f>
        <v>0</v>
      </c>
      <c r="BO275" s="3159">
        <f>0</f>
        <v>0</v>
      </c>
      <c r="BP275" s="3159">
        <f>0</f>
        <v>0</v>
      </c>
      <c r="BQ275" s="3159">
        <f>0</f>
        <v>0</v>
      </c>
      <c r="BR275" s="3159">
        <f>0</f>
        <v>0</v>
      </c>
      <c r="BS275" s="3159">
        <f>0</f>
        <v>0</v>
      </c>
      <c r="BT275" s="3159">
        <f>0</f>
        <v>0</v>
      </c>
      <c r="BU275" s="3159">
        <f>0</f>
        <v>0</v>
      </c>
      <c r="BV275" s="3159">
        <f>0</f>
        <v>0</v>
      </c>
      <c r="BW275" s="3159">
        <f>0</f>
        <v>0</v>
      </c>
      <c r="BX275" s="3159">
        <f>0</f>
        <v>0</v>
      </c>
      <c r="BY275" s="3159">
        <f>0</f>
        <v>0</v>
      </c>
      <c r="BZ275" s="3204">
        <f>0</f>
        <v>0</v>
      </c>
      <c r="CA275" s="3204">
        <f>0</f>
        <v>0</v>
      </c>
      <c r="CB275" s="3204">
        <f>0</f>
        <v>0</v>
      </c>
      <c r="CC275" s="3204">
        <f>0</f>
        <v>0</v>
      </c>
      <c r="CD275" s="3159">
        <f>0</f>
        <v>0</v>
      </c>
      <c r="CE275" s="3159">
        <f>0</f>
        <v>0</v>
      </c>
      <c r="CF275" s="3159">
        <f>0</f>
        <v>0</v>
      </c>
      <c r="CG275" s="3159">
        <f>0</f>
        <v>0</v>
      </c>
      <c r="CH275" s="3159">
        <f>0</f>
        <v>0</v>
      </c>
      <c r="CI275" s="3159">
        <f>0</f>
        <v>0</v>
      </c>
      <c r="CJ275" s="3159">
        <f>0</f>
        <v>0</v>
      </c>
      <c r="CK275" s="3159">
        <f>0</f>
        <v>0</v>
      </c>
      <c r="CL275" s="3159">
        <f>0</f>
        <v>0</v>
      </c>
      <c r="CM275" s="3159">
        <f>0</f>
        <v>0</v>
      </c>
      <c r="CN275" s="3159">
        <f>0</f>
        <v>0</v>
      </c>
      <c r="CO275" s="3159">
        <f>-Δ_atm</f>
        <v>-1</v>
      </c>
      <c r="CP275" s="3159">
        <f>0</f>
        <v>0</v>
      </c>
      <c r="CQ275" s="3159">
        <f>0</f>
        <v>0</v>
      </c>
      <c r="CR275" s="3159">
        <f>0</f>
        <v>0</v>
      </c>
      <c r="CS275" s="3159">
        <f>0</f>
        <v>0</v>
      </c>
      <c r="CT275" s="3159">
        <f>0</f>
        <v>0</v>
      </c>
      <c r="CU275" s="3159">
        <f>0</f>
        <v>0</v>
      </c>
      <c r="CV275" s="3226">
        <f>k_LaGCH4_sur*(S_GCH4_sur_sat-S_CH4)</f>
        <v>-2.5329999999999998E-2</v>
      </c>
      <c r="CX275" s="2838">
        <f>E287*E275+F287*F275+G287*G275+H287*H275+I287*I275+J287*J275+K287*K275+L287*L275+M287*M275+N287*N275+O287*O275+P287*P275+Q287*Q275+R287*R275+S287*S275+T287*T275+U287*U275+V287*V275+W287*W275+X287*X275+Y287*Y275+Z287*Z275+AA287*AA275+AB287*AB275+AC287*AC275+AD287*AD275+AE287*AE275+AF287*AF275+AG287*AG275+AH287*AH275+AI287*AI275+AJ287*AJ275+AK287*AK275+AL287*AL275+AM287*AM275+AN287*AN275+AO287*AO275+AP287*AP275+AQ287*AQ275+AR287*AR275+AS287*AS275+AT287*AT275+AU287*AU275+AV287*AV275+AW287*AW275+AX287*AX275+AY287*AY275+AZ287*AZ275+BA287*BA275+BB287*BB275+BC287*BC275+BD287*BD275+BE287*BE275+BF287*BF275+BG287*BG275+BH287*BH275+BI287*BI275+BJ287*BJ275+BK287*BK275+BL287*BL275+BM287*BM275+BN287*BN275+BO287*BO275+BP287*BP275+BQ287*BQ275+BR287*BR275+BS287*BS275+BT287*BT275+BU287*BU275+BV287*BV275+BW287*BW275+BX287*BX275+BY287*BY275+BZ287*BZ275+CA287*CA275+CB287*CB275+CC287*CC275+CD287*CD275+CE287*CE275+CF287*CF275+CG287*CG275+CH287*CH275+CI287*CI275+CJ287*CJ275+CK287*CK275+CL287*CL275+CM287*CM275+CN287*CN275+CO287*CO275+CP287*CP275+CQ287*CQ275+CR287*CR275+CS287*CS275+CT287*CT275+CU287*CU275</f>
        <v>0</v>
      </c>
      <c r="CY275" s="2838">
        <f>E288*E275+F288*F275+G288*G275+H288*H275+I288*I275+J288*J275+K288*K275+L288*L275+M288*M275+N288*N275+O288*O275+P288*P275+Q288*Q275+R288*R275+S288*S275+T288*T275+U288*U275+V288*V275+W288*W275+X288*X275+Y288*Y275+Z288*Z275+AA288*AA275+AB288*AB275+AC288*AC275+AD288*AD275+AE288*AE275+AF288*AF275+AG288*AG275+AH288*AH275+AI288*AI275+AJ288*AJ275+AK288*AK275+AL288*AL275+AM288*AM275+AN288*AN275+AO288*AO275+AP288*AP275+AQ288*AQ275+AR288*AR275+AS288*AS275+AT288*AT275+AU288*AU275+AV288*AV275+AW288*AW275+AX288*AX275+AY288*AY275+AZ288*AZ275+BA288*BA275+BB288*BB275+BC288*BC275+BD288*BD275+BE288*BE275+BF288*BF275+BG288*BG275+BH288*BH275+BI288*BI275+BJ288*BJ275+BK288*BK275+BL288*BL275+BM288*BM275+BN288*BN275+BO288*BO275+BP288*BP275+BQ288*BQ275+BR288*BR275+BS288*BS275+BT288*BT275+BU288*BU275+BV288*BV275+BW288*BW275+BX288*BX275+BY288*BY275+BZ288*BZ275+CA288*CA275+CB288*CB275+CC288*CC275+CD288*CD275+CE288*CE275+CF288*CF275+CG288*CG275+CH288*CH275+CI288*CI275+CJ288*CJ275+CK288*CK275+CL288*CL275+CM288*CM275+CN288*CN275+CO288*CO275+CP288*CP275+CQ288*CQ275+CR288*CR275+CS288*CS275+CT288*CT275+CU288*CU275</f>
        <v>0</v>
      </c>
      <c r="CZ275" s="2839">
        <f>E289*E275+F289*F275+G289*G275+H289*H275+I289*I275+J289*J275+K289*K275+L289*L275+M289*M275+N289*N275+O289*O275+P289*P275+Q289*Q275+R289*R275+S289*S275+T289*T275+U289*U275+V289*V275+W289*W275+X289*X275+Y289*Y275+Z289*Z275+AA289*AA275+AB289*AB275+AC289*AC275+AD289*AD275+AE289*AE275+AF289*AF275+AG289*AG275+AH289*AH275+AI289*AI275+AJ289*AJ275+AK289*AK275+AL289*AL275+AM289*AM275+AN289*AN275+AO289*AO275+AP289*AP275+AQ289*AQ275+AR289*AR275+AS289*AS275+AT289*AT275+AU289*AU275+AV289*AV275+AW289*AW275+AX289*AX275+AY289*AY275+AZ289*AZ275+BA289*BA275+BB289*BB275+BC289*BC275+BD289*BD275+BE289*BE275+BF289*BF275+BG289*BG275+BH289*BH275+BI289*BI275+BJ289*BJ275+BK289*BK275+BL289*BL275+BM289*BM275+BN289*BN275+BO289*BO275+BP289*BP275+BQ289*BQ275+BR289*BR275+BS289*BS275+BT289*BT275+BU289*BU275+BV289*BV275+BW289*BW275+BX289*BX275+BY289*BY275+BZ289*BZ275+CA289*CA275+CB289*CB275+CC289*CC275+CD289*CD275+CE289*CE275+CF289*CF275+CG289*CG275+CH289*CH275+CI289*CI275+CJ289*CJ275+CK289*CK275+CL289*CL275+CM289*CM275+CN289*CN275+CO289*CO275+CP289*CP275+CQ289*CQ275+CR289*CR275+CS289*CS275+CT289*CT275+CU289*CU275</f>
        <v>0</v>
      </c>
      <c r="DA275" s="2840">
        <f>E290*E275+F290*F275+G290*G275+H290*H275+I290*I275+J290*J275+K290*K275+L290*L275+M290*M275+N290*N275+O290*O275+P290*P275+Q290*Q275+R290*R275+S290*S275+T290*T275+U290*U275+V290*V275+W290*W275+X290*X275+Y290*Y275+Z290*Z275+AA290*AA275+AB290*AB275+AC290*AC275+AD290*AD275+AE290*AE275+AF290*AF275+AG290*AG275+AH290*AH275+AI290*AI275+AJ290*AJ275+AK290*AK275+AL290*AL275+AM290*AM275+AN290*AN275+AO290*AO275+AP290*AP275+AQ290*AQ275+AR290*AR275+AS290*AS275+AT290*AT275+AU290*AU275+AV290*AV275+AW290*AW275+AX290*AX275+AY290*AY275+AZ290*AZ275+BA290*BA275+BB290*BB275+BC290*BC275+BD290*BD275+BE290*BE275+BF290*BF275+BG290*BG275+BH290*BH275+BI290*BI275+BJ290*BJ275+BK290*BK275+BL290*BL275+BM290*BM275+BN290*BN275+BO290*BO275+BP290*BP275+BQ290*BQ275+BR290*BR275+BS290*BS275+BT290*BT275+BU290*BU275+BV290*BV275+BW290*BW275+BX290*BX275+BY290*BY275+BZ290*BZ275+CA290*CA275+CB290*CB275+CC290*CC275+CD290*CD275+CE290*CE275+CF290*CF275+CG290*CG275+CH290*CH275+CI290*CI275+CJ290*CJ275+CK290*CK275+CL290*CL275+CM290*CM275+CN290*CN275+CO290*CO275+CP290*CP275+CQ290*CQ275+CR290*CR275+CS290*CS275+CT290*CT275+CU290*CU275</f>
        <v>0</v>
      </c>
      <c r="DB275" s="2840">
        <f>E291*E275+F291*F275+G291*G275+H291*H275+I291*I275+J291*J275+K291*K275+L291*L275+M291*M275+N291*N275+O291*O275+P291*P275+Q291*Q275+R291*R275+S291*S275+T291*T275+U291*U275+V291*V275+W291*W275+X291*X275+Y291*Y275+Z291*Z275+AA291*AA275+AB291*AB275+AC291*AC275+AD291*AD275+AE291*AE275+AF291*AF275+AG291*AG275+AH291*AH275+AI291*AI275+AJ291*AJ275+AK291*AK275+AL291*AL275+AM291*AM275+AN291*AN275+AO291*AO275+AP291*AP275+AQ291*AQ275+AR291*AR275+AS291*AS275+AT291*AT275+AU291*AU275+AV291*AV275+AW291*AW275+AX291*AX275+AY291*AY275+AZ291*AZ275+BA291*BA275+BB291*BB275+BC291*BC275+BD291*BD275+BE291*BE275+BF291*BF275+BG291*BG275+BH291*BH275+BI291*BI275+BJ291*BJ275+BK291*BK275+BL291*BL275+BM291*BM275+BN291*BN275+BO291*BO275+BP291*BP275+BQ291*BQ275+BR291*BR275+BS291*BS275+BT291*BT275+BU291*BU275+BV291*BV275+BW291*BW275+BX291*BX275+BY291*BY275+BZ291*BZ275+CA291*CA275+CB291*CB275+CC291*CC275+CD291*CD275+CE291*CE275+CF291*CF275+CG291*CG275+CH291*CH275+CI291*CI275+CJ291*CJ275+CK291*CK275+CL291*CL275+CM291*CM275+CN291*CN275+CO291*CO275+CP291*CP275+CQ291*CQ275+CR291*CR275+CS291*CS275+CT291*CT275+CU291*CU275</f>
        <v>0</v>
      </c>
      <c r="DC275" s="2840">
        <f>E292*E275+F292*F275+G292*G275+H292*H275+I292*I275+J292*J275+K292*K275+L292*L275+M292*M275+N292*N275+O292*O275+P292*P275+Q292*Q275+R292*R275+S292*S275+T292*T275+U292*U275+V292*V275+W292*W275+X292*X275+Y292*Y275+Z292*Z275+AA292*AA275+AB292*AB275+AC292*AC275+AD292*AD275+AE292*AE275+AF292*AF275+AG292*AG275+AH292*AH275+AI292*AI275+AJ292*AJ275+AK292*AK275+AL292*AL275+AM292*AM275+AN292*AN275+AO292*AO275+AP292*AP275+AQ292*AQ275+AR292*AR275+AS292*AS275+AT292*AT275+AU292*AU275+AV292*AV275+AW292*AW275+AX292*AX275+AY292*AY275+AZ292*AZ275+BA292*BA275+BB292*BB275+BC292*BC275+BD292*BD275+BE292*BE275+BF292*BF275+BG292*BG275+BH292*BH275+BI292*BI275+BJ292*BJ275+BK292*BK275+BL292*BL275+BM292*BM275+BN292*BN275+BO292*BO275+BP292*BP275+BQ292*BQ275+BR292*BR275+BS292*BS275+BT292*BT275+BU292*BU275+BV292*BV275+BW292*BW275+BX292*BX275+BY292*BY275+BZ292*BZ275+CA292*CA275+CB292*CB275+CC292*CC275+CD292*CD275+CE292*CE275+CF292*CF275+CG292*CG275+CH292*CH275+CI292*CI275+CJ292*CJ275+CK292*CK275+CL292*CL275+CM292*CM275+CN292*CN275+CO292*CO275+CP292*CP275+CQ292*CQ275+CR292*CR275+CS292*CS275+CT292*CT275+CU292*CU275</f>
        <v>0</v>
      </c>
      <c r="DD275" s="2840">
        <f>E293*E275+F293*F275+G293*G275+H293*H275+I293*I275+J293*J275+K293*K275+L293*L275+M293*M275+N293*N275+O293*O275+P293*P275+Q293*Q275+R293*R275+S293*S275+T293*T275+U293*U275+V293*V275+W293*W275+X293*X275+Y293*Y275+Z293*Z275+AA293*AA275+AB293*AB275+AC293*AC275+AD293*AD275+AE293*AE275+AF293*AF275+AG293*AG275+AH293*AH275+AI293*AI275+AJ293*AJ275+AK293*AK275+AL293*AL275+AM293*AM275+AN293*AN275+AO293*AO275+AP293*AP275+AQ293*AQ275+AR293*AR275+AS293*AS275+AT293*AT275+AU293*AU275+AV293*AV275+AW293*AW275+AX293*AX275+AY293*AY275+AZ293*AZ275+BA293*BA275+BB293*BB275+BC293*BC275+BD293*BD275+BE293*BE275+BF293*BF275+BG293*BG275+BH293*BH275+BI293*BI275+BJ293*BJ275+BK293*BK275+BL293*BL275+BM293*BM275+BN293*BN275+BO293*BO275+BP293*BP275+BQ293*BQ275+BR293*BR275+BS293*BS275+BT293*BT275+BU293*BU275+BV293*BV275+BW293*BW275+BX293*BX275+BY293*BY275+BZ293*BZ275+CA293*CA275+CB293*CB275+CC293*CC275+CD293*CD275+CE293*CE275+CF293*CF275+CG293*CG275+CH293*CH275+CI293*CI275+CJ293*CJ275+CK293*CK275+CL293*CL275+CM293*CM275+CN293*CN275+CO293*CO275+CP293*CP275+CQ293*CQ275+CR293*CR275+CS293*CS275+CT293*CT275+CU293*CU275</f>
        <v>0</v>
      </c>
      <c r="DE275" s="2840">
        <f>E294*E275+F294*F275+G294*G275+H294*H275+I294*I275+J294*J275+K294*K275+L294*L275+M294*M275+N294*N275+O294*O275+P294*P275+Q294*Q275+R294*R275+S294*S275+T294*T275+U294*U275+V294*V275+W294*W275+X294*X275+Y294*Y275+Z294*Z275+AA294*AA275+AB294*AB275+AC294*AC275+AD294*AD275+AE294*AE275+AF294*AF275+AG294*AG275+AH294*AH275+AI294*AI275+AJ294*AJ275+AK294*AK275+AL294*AL275+AM294*AM275+AN294*AN275+AO294*AO275+AP294*AP275+AQ294*AQ275+AR294*AR275+AS294*AS275+AT294*AT275+AU294*AU275+AV294*AV275+AW294*AW275+AX294*AX275+AY294*AY275+AZ294*AZ275+BA294*BA275+BB294*BB275+BC294*BC275+BD294*BD275+BE294*BE275+BF294*BF275+BG294*BG275+BH294*BH275+BI294*BI275+BJ294*BJ275+BK294*BK275+BL294*BL275+BM294*BM275+BN294*BN275+BO294*BO275+BP294*BP275+BQ294*BQ275+BR294*BR275+BS294*BS275+BT294*BT275+BU294*BU275+BV294*BV275+BW294*BW275+BX294*BX275+BY294*BY275+BZ294*BZ275+CA294*CA275+CB294*CB275+CC294*CC275+CD294*CD275+CE294*CE275+CF294*CF275+CG294*CG275+CH294*CH275+CI294*CI275+CJ294*CJ275+CK294*CK275+CL294*CL275+CM294*CM275+CN294*CN275+CO294*CO275+CP294*CP275+CQ294*CQ275+CR294*CR275+CS294*CS275+CT294*CT275+CU294*CU275</f>
        <v>0</v>
      </c>
      <c r="DF275" s="2840">
        <f>E295*E275+F295*F275+G295*G275+H295*H275+I295*I275+J295*J275+K295*K275+L295*L275+M295*M275+N295*N275+O295*O275+P295*P275+Q295*Q275+R295*R275+S295*S275+T295*T275+U295*U275+V295*V275+W295*W275+X295*X275+Y295*Y275+Z295*Z275+AA295*AA275+AB295*AB275+AC295*AC275+AD295*AD275+AE295*AE275+AF295*AF275+AG295*AG275+AH295*AH275+AI295*AI275+AJ295*AJ275+AK295*AK275+AL295*AL275+AM295*AM275+AN295*AN275+AO295*AO275+AP295*AP275+AQ295*AQ275+AR295*AR275+AS295*AS275+AT295*AT275+AU295*AU275+AV295*AV275+AW295*AW275+AX295*AX275+AY295*AY275+AZ295*AZ275+BA295*BA275+BB295*BB275+BC295*BC275+BD295*BD275+BE295*BE275+BF295*BF275+BG295*BG275+BH295*BH275+BI295*BI275+BJ295*BJ275+BK295*BK275+BL295*BL275+BM295*BM275+BN295*BN275+BO295*BO275+BP295*BP275+BQ295*BQ275+BR295*BR275+BS295*BS275+BT295*BT275+BU295*BU275+BV295*BV275+BW295*BW275+BX295*BX275+BY295*BY275+BZ295*BZ275+CA295*CA275+CB295*CB275+CC295*CC275+CD295*CD275+CE295*CE275+CF295*CF275+CG295*CG275+CH295*CH275+CI295*CI275+CJ295*CJ275+CK295*CK275+CL295*CL275+CM295*CM275+CN295*CN275+CO295*CO275+CP295*CP275+CQ295*CQ275+CR295*CR275+CS295*CS275+CT295*CT275+CU295*CU275</f>
        <v>0</v>
      </c>
      <c r="DG275" s="2840">
        <f>E296*E275+F296*F275+G296*G275+H296*H275+I296*I275+J296*J275+K296*K275+L296*L275+M296*M275+N296*N275+O296*O275+P296*P275+Q296*Q275+R296*R275+S296*S275+T296*T275+U296*U275+V296*V275+W296*W275+X296*X275+Y296*Y275+Z296*Z275+AA296*AA275+AB296*AB275+AC296*AC275+AD296*AD275+AE296*AE275+AF296*AF275+AG296*AG275+AH296*AH275+AI296*AI275+AJ296*AJ275+AK296*AK275+AL296*AL275+AM296*AM275+AN296*AN275+AO296*AO275+AP296*AP275+AQ296*AQ275+AR296*AR275+AS296*AS275+AT296*AT275+AU296*AU275+AV296*AV275+AW296*AW275+AX296*AX275+AY296*AY275+AZ296*AZ275+BA296*BA275+BB296*BB275+BC296*BC275+BD296*BD275+BE296*BE275+BF296*BF275+BG296*BG275+BH296*BH275+BI296*BI275+BJ296*BJ275+BK296*BK275+BL296*BL275+BM296*BM275+BN296*BN275+BO296*BO275+BP296*BP275+BQ296*BQ275+BR296*BR275+BS296*BS275+BT296*BT275+BU296*BU275+BV296*BV275+BW296*BW275+BX296*BX275+BY296*BY275+BZ296*BZ275+CA296*CA275+CB296*CB275+CC296*CC275+CD296*CD275+CE296*CE275+CF296*CF275+CG296*CG275+CH296*CH275+CI296*CI275+CJ296*CJ275+CK296*CK275+CL296*CL275+CM296*CM275+CN296*CN275+CO296*CO275+CP296*CP275+CQ296*CQ275+CR296*CR275+CS296*CS275+CT296*CT275+CU296*CU275</f>
        <v>0</v>
      </c>
      <c r="DH275" s="2840">
        <f>E297*E275+F297*F275+G297*G275+H297*H275+I297*I275+J297*J275+K297*K275+L297*L275+M297*M275+N297*N275+O297*O275+P297*P275+Q297*Q275+R297*R275+S297*S275+T297*T275+U297*U275+V297*V275+W297*W275+X297*X275+Y297*Y275+Z297*Z275+AA297*AA275+AB297*AB275+AC297*AC275+AD297*AD275+AE297*AE275+AF297*AF275+AG297*AG275+AH297*AH275+AI297*AI275+AJ297*AJ275+AK297*AK275+AL297*AL275+AM297*AM275+AN297*AN275+AO297*AO275+AP297*AP275+AQ297*AQ275+AR297*AR275+AS297*AS275+AT297*AT275+AU297*AU275+AV297*AV275+AW297*AW275+AX297*AX275+AY297*AY275+AZ297*AZ275+BA297*BA275+BB297*BB275+BC297*BC275+BD297*BD275+BE297*BE275+BF297*BF275+BG297*BG275+BH297*BH275+BI297*BI275+BJ297*BJ275+BK297*BK275+BL297*BL275+BM297*BM275+BN297*BN275+BO297*BO275+BP297*BP275+BQ297*BQ275+BR297*BR275+BS297*BS275+BT297*BT275+BU297*BU275+BV297*BV275+BW297*BW275+BX297*BX275+BY297*BY275+BZ297*BZ275+CA297*CA275+CB297*CB275+CC297*CC275+CD297*CD275+CE297*CE275+CF297*CF275+CG297*CG275+CH297*CH275+CI297*CI275+CJ297*CJ275+CK297*CK275+CL297*CL275+CM297*CM275+CN297*CN275+CO297*CO275+CP297*CP275+CQ297*CQ275+CR297*CR275+CS297*CS275+CT297*CT275+CU297*CU275</f>
        <v>0</v>
      </c>
      <c r="DI275" s="2840">
        <f>E298*E275+F298*F275+G298*G275+H298*H275+I298*I275+J298*J275+K298*K275+L298*L275+M298*M275+N298*N275+O298*O275+P298*P275+Q298*Q275+R298*R275+S298*S275+T298*T275+U298*U275+V298*V275+W298*W275+X298*X275+Y298*Y275+Z298*Z275+AA298*AA275+AB298*AB275+AC298*AC275+AD298*AD275+AE298*AE275+AF298*AF275+AG298*AG275+AH298*AH275+AI298*AI275+AJ298*AJ275+AK298*AK275+AL298*AL275+AM298*AM275+AN298*AN275+AO298*AO275+AP298*AP275+AQ298*AQ275+AR298*AR275+AS298*AS275+AT298*AT275+AU298*AU275+AV298*AV275+AW298*AW275+AX298*AX275+AY298*AY275+AZ298*AZ275+BA298*BA275+BB298*BB275+BC298*BC275+BD298*BD275+BE298*BE275+BF298*BF275+BG298*BG275+BH298*BH275+BI298*BI275+BJ298*BJ275+BK298*BK275+BL298*BL275+BM298*BM275+BN298*BN275+BO298*BO275+BP298*BP275+BQ298*BQ275+BR298*BR275+BS298*BS275+BT298*BT275+BU298*BU275+BV298*BV275+BW298*BW275+BX298*BX275+BY298*BY275+BZ298*BZ275+CA298*CA275+CB298*CB275+CC298*CC275+CD298*CD275+CE298*CE275+CF298*CF275+CG298*CG275+CH298*CH275+CI298*CI275+CJ298*CJ275+CK298*CK275+CL298*CL275+CM298*CM275+CN298*CN275+CO298*CO275+CP298*CP275+CQ298*CQ275+CR298*CR275+CS298*CS275+CT298*CT275+CU298*CU275</f>
        <v>0</v>
      </c>
    </row>
    <row r="276" spans="2:113" ht="18" x14ac:dyDescent="0.25">
      <c r="B276" s="2503">
        <v>123</v>
      </c>
      <c r="C276" s="2427" t="s">
        <v>5167</v>
      </c>
      <c r="D276" s="1282" t="s">
        <v>3633</v>
      </c>
      <c r="E276" s="3119">
        <f>0</f>
        <v>0</v>
      </c>
      <c r="F276" s="3119">
        <f>0</f>
        <v>0</v>
      </c>
      <c r="G276" s="3119">
        <f>0</f>
        <v>0</v>
      </c>
      <c r="H276" s="3119">
        <f>0</f>
        <v>0</v>
      </c>
      <c r="I276" s="3119">
        <f>0</f>
        <v>0</v>
      </c>
      <c r="J276" s="3148">
        <f>0</f>
        <v>0</v>
      </c>
      <c r="K276" s="3119">
        <f>0</f>
        <v>0</v>
      </c>
      <c r="L276" s="3119">
        <f>0</f>
        <v>0</v>
      </c>
      <c r="M276" s="3119">
        <f>0</f>
        <v>0</v>
      </c>
      <c r="N276" s="3119">
        <f>0</f>
        <v>0</v>
      </c>
      <c r="O276" s="3119">
        <f>0</f>
        <v>0</v>
      </c>
      <c r="P276" s="3119">
        <f>0</f>
        <v>0</v>
      </c>
      <c r="Q276" s="3119">
        <f>0</f>
        <v>0</v>
      </c>
      <c r="R276" s="3159">
        <f>0</f>
        <v>0</v>
      </c>
      <c r="S276" s="3119">
        <f>0</f>
        <v>0</v>
      </c>
      <c r="T276" s="3119">
        <f>0</f>
        <v>0</v>
      </c>
      <c r="U276" s="3119">
        <f>0</f>
        <v>0</v>
      </c>
      <c r="V276" s="3119">
        <f>0</f>
        <v>0</v>
      </c>
      <c r="W276" s="3119">
        <f>0</f>
        <v>0</v>
      </c>
      <c r="X276" s="3119">
        <f>0</f>
        <v>0</v>
      </c>
      <c r="Y276" s="3119">
        <f>0</f>
        <v>0</v>
      </c>
      <c r="Z276" s="3119">
        <f>0</f>
        <v>0</v>
      </c>
      <c r="AA276" s="3119">
        <f>0</f>
        <v>0</v>
      </c>
      <c r="AB276" s="3119">
        <f>0</f>
        <v>0</v>
      </c>
      <c r="AC276" s="3119">
        <f>0</f>
        <v>0</v>
      </c>
      <c r="AD276" s="3119">
        <f>0</f>
        <v>0</v>
      </c>
      <c r="AE276" s="3119">
        <f>0</f>
        <v>0</v>
      </c>
      <c r="AF276" s="3119">
        <f>0</f>
        <v>0</v>
      </c>
      <c r="AG276" s="3119">
        <f>0</f>
        <v>0</v>
      </c>
      <c r="AH276" s="3119">
        <f>0</f>
        <v>0</v>
      </c>
      <c r="AI276" s="3119">
        <f>0</f>
        <v>0</v>
      </c>
      <c r="AJ276" s="3148">
        <f>0</f>
        <v>0</v>
      </c>
      <c r="AK276" s="3119">
        <f>0</f>
        <v>0</v>
      </c>
      <c r="AL276" s="3119">
        <f>0</f>
        <v>0</v>
      </c>
      <c r="AM276" s="3119">
        <f>0</f>
        <v>0</v>
      </c>
      <c r="AN276" s="3119">
        <f>0</f>
        <v>0</v>
      </c>
      <c r="AO276" s="3119">
        <f>0</f>
        <v>0</v>
      </c>
      <c r="AP276" s="3148">
        <f>0</f>
        <v>0</v>
      </c>
      <c r="AQ276" s="3119">
        <f>0</f>
        <v>0</v>
      </c>
      <c r="AR276" s="3119">
        <f>0</f>
        <v>0</v>
      </c>
      <c r="AS276" s="3119">
        <f>0</f>
        <v>0</v>
      </c>
      <c r="AT276" s="3119">
        <f>1</f>
        <v>1</v>
      </c>
      <c r="AU276" s="3119">
        <f>0</f>
        <v>0</v>
      </c>
      <c r="AV276" s="3119">
        <f>0</f>
        <v>0</v>
      </c>
      <c r="AW276" s="3119">
        <f>0</f>
        <v>0</v>
      </c>
      <c r="AX276" s="3119">
        <f>0</f>
        <v>0</v>
      </c>
      <c r="AY276" s="3119">
        <f>0</f>
        <v>0</v>
      </c>
      <c r="AZ276" s="3119">
        <f>0</f>
        <v>0</v>
      </c>
      <c r="BA276" s="3119">
        <f>0</f>
        <v>0</v>
      </c>
      <c r="BB276" s="3119">
        <f>0</f>
        <v>0</v>
      </c>
      <c r="BC276" s="3119">
        <f>0</f>
        <v>0</v>
      </c>
      <c r="BD276" s="3119">
        <f>0</f>
        <v>0</v>
      </c>
      <c r="BE276" s="3159">
        <f>0</f>
        <v>0</v>
      </c>
      <c r="BF276" s="3159">
        <f>0</f>
        <v>0</v>
      </c>
      <c r="BG276" s="3159">
        <f>0</f>
        <v>0</v>
      </c>
      <c r="BH276" s="3159">
        <f>0</f>
        <v>0</v>
      </c>
      <c r="BI276" s="3159">
        <f>0</f>
        <v>0</v>
      </c>
      <c r="BJ276" s="3159">
        <f>0</f>
        <v>0</v>
      </c>
      <c r="BK276" s="3159">
        <f>0</f>
        <v>0</v>
      </c>
      <c r="BL276" s="3159">
        <f>0</f>
        <v>0</v>
      </c>
      <c r="BM276" s="3159">
        <f>0</f>
        <v>0</v>
      </c>
      <c r="BN276" s="3159">
        <f>0</f>
        <v>0</v>
      </c>
      <c r="BO276" s="3159">
        <f>0</f>
        <v>0</v>
      </c>
      <c r="BP276" s="3159">
        <f>0</f>
        <v>0</v>
      </c>
      <c r="BQ276" s="3159">
        <f>0</f>
        <v>0</v>
      </c>
      <c r="BR276" s="3159">
        <f>0</f>
        <v>0</v>
      </c>
      <c r="BS276" s="3159">
        <f>0</f>
        <v>0</v>
      </c>
      <c r="BT276" s="3159">
        <f>0</f>
        <v>0</v>
      </c>
      <c r="BU276" s="3159">
        <f>0</f>
        <v>0</v>
      </c>
      <c r="BV276" s="3159">
        <f>0</f>
        <v>0</v>
      </c>
      <c r="BW276" s="3159">
        <f>0</f>
        <v>0</v>
      </c>
      <c r="BX276" s="3159">
        <f>0</f>
        <v>0</v>
      </c>
      <c r="BY276" s="3159">
        <f>0</f>
        <v>0</v>
      </c>
      <c r="BZ276" s="3204">
        <f>0</f>
        <v>0</v>
      </c>
      <c r="CA276" s="3204">
        <f>0</f>
        <v>0</v>
      </c>
      <c r="CB276" s="3204">
        <f>0</f>
        <v>0</v>
      </c>
      <c r="CC276" s="3204">
        <f>0</f>
        <v>0</v>
      </c>
      <c r="CD276" s="3159">
        <f>0</f>
        <v>0</v>
      </c>
      <c r="CE276" s="3159">
        <f>0</f>
        <v>0</v>
      </c>
      <c r="CF276" s="3159">
        <f>0</f>
        <v>0</v>
      </c>
      <c r="CG276" s="3159">
        <f>0</f>
        <v>0</v>
      </c>
      <c r="CH276" s="3159">
        <f>0</f>
        <v>0</v>
      </c>
      <c r="CI276" s="3159">
        <f>0</f>
        <v>0</v>
      </c>
      <c r="CJ276" s="3159">
        <f>0</f>
        <v>0</v>
      </c>
      <c r="CK276" s="3159">
        <f>0</f>
        <v>0</v>
      </c>
      <c r="CL276" s="3159">
        <f>0</f>
        <v>0</v>
      </c>
      <c r="CM276" s="3159">
        <f>0</f>
        <v>0</v>
      </c>
      <c r="CN276" s="3159">
        <f>0</f>
        <v>0</v>
      </c>
      <c r="CO276" s="3159">
        <f>0</f>
        <v>0</v>
      </c>
      <c r="CP276" s="3159">
        <f>-Δ_atm</f>
        <v>-1</v>
      </c>
      <c r="CQ276" s="3159">
        <f>0</f>
        <v>0</v>
      </c>
      <c r="CR276" s="3159">
        <f>0</f>
        <v>0</v>
      </c>
      <c r="CS276" s="3159">
        <f>0</f>
        <v>0</v>
      </c>
      <c r="CT276" s="3159">
        <f>0</f>
        <v>0</v>
      </c>
      <c r="CU276" s="3159">
        <f>0</f>
        <v>0</v>
      </c>
      <c r="CV276" s="3226">
        <f>k_LaGH2_sur*(S_GH2_sur_sat-S_H2)</f>
        <v>-4.4020000000000004E-2</v>
      </c>
      <c r="CX276" s="2838">
        <f>E287*E276+F287*F276+G287*G276+H287*H276+I287*I276+J287*J276+K287*K276+L287*L276+M287*M276+N287*N276+O287*O276+P287*P276+Q287*Q276+R287*R276+S287*S276+T287*T276+U287*U276+V287*V276+W287*W276+X287*X276+Y287*Y276+Z287*Z276+AA287*AA276+AB287*AB276+AC287*AC276+AD287*AD276+AE287*AE276+AF287*AF276+AG287*AG276+AH287*AH276+AI287*AI276+AJ287*AJ276+AK287*AK276+AL287*AL276+AM287*AM276+AN287*AN276+AO287*AO276+AP287*AP276+AQ287*AQ276+AR287*AR276+AS287*AS276+AT287*AT276+AU287*AU276+AV287*AV276+AW287*AW276+AX287*AX276+AY287*AY276+AZ287*AZ276+BA287*BA276+BB287*BB276+BC287*BC276+BD287*BD276+BE287*BE276+BF287*BF276+BG287*BG276+BH287*BH276+BI287*BI276+BJ287*BJ276+BK287*BK276+BL287*BL276+BM287*BM276+BN287*BN276+BO287*BO276+BP287*BP276+BQ287*BQ276+BR287*BR276+BS287*BS276+BT287*BT276+BU287*BU276+BV287*BV276+BW287*BW276+BX287*BX276+BY287*BY276+BZ287*BZ276+CA287*CA276+CB287*CB276+CC287*CC276+CD287*CD276+CE287*CE276+CF287*CF276+CG287*CG276+CH287*CH276+CI287*CI276+CJ287*CJ276+CK287*CK276+CL287*CL276+CM287*CM276+CN287*CN276+CO287*CO276+CP287*CP276+CQ287*CQ276+CR287*CR276+CS287*CS276+CT287*CT276+CU287*CU276</f>
        <v>0</v>
      </c>
      <c r="CY276" s="2838">
        <f>E288*E276+F288*F276+G288*G276+H288*H276+I288*I276+J288*J276+K288*K276+L288*L276+M288*M276+N288*N276+O288*O276+P288*P276+Q288*Q276+R288*R276+S288*S276+T288*T276+U288*U276+V288*V276+W288*W276+X288*X276+Y288*Y276+Z288*Z276+AA288*AA276+AB288*AB276+AC288*AC276+AD288*AD276+AE288*AE276+AF288*AF276+AG288*AG276+AH288*AH276+AI288*AI276+AJ288*AJ276+AK288*AK276+AL288*AL276+AM288*AM276+AN288*AN276+AO288*AO276+AP288*AP276+AQ288*AQ276+AR288*AR276+AS288*AS276+AT288*AT276+AU288*AU276+AV288*AV276+AW288*AW276+AX288*AX276+AY288*AY276+AZ288*AZ276+BA288*BA276+BB288*BB276+BC288*BC276+BD288*BD276+BE288*BE276+BF288*BF276+BG288*BG276+BH288*BH276+BI288*BI276+BJ288*BJ276+BK288*BK276+BL288*BL276+BM288*BM276+BN288*BN276+BO288*BO276+BP288*BP276+BQ288*BQ276+BR288*BR276+BS288*BS276+BT288*BT276+BU288*BU276+BV288*BV276+BW288*BW276+BX288*BX276+BY288*BY276+BZ288*BZ276+CA288*CA276+CB288*CB276+CC288*CC276+CD288*CD276+CE288*CE276+CF288*CF276+CG288*CG276+CH288*CH276+CI288*CI276+CJ288*CJ276+CK288*CK276+CL288*CL276+CM288*CM276+CN288*CN276+CO288*CO276+CP288*CP276+CQ288*CQ276+CR288*CR276+CS288*CS276+CT288*CT276+CU288*CU276</f>
        <v>0</v>
      </c>
      <c r="CZ276" s="2839">
        <f>E289*E276+F289*F276+G289*G276+H289*H276+I289*I276+J289*J276+K289*K276+L289*L276+M289*M276+N289*N276+O289*O276+P289*P276+Q289*Q276+R289*R276+S289*S276+T289*T276+U289*U276+V289*V276+W289*W276+X289*X276+Y289*Y276+Z289*Z276+AA289*AA276+AB289*AB276+AC289*AC276+AD289*AD276+AE289*AE276+AF289*AF276+AG289*AG276+AH289*AH276+AI289*AI276+AJ289*AJ276+AK289*AK276+AL289*AL276+AM289*AM276+AN289*AN276+AO289*AO276+AP289*AP276+AQ289*AQ276+AR289*AR276+AS289*AS276+AT289*AT276+AU289*AU276+AV289*AV276+AW289*AW276+AX289*AX276+AY289*AY276+AZ289*AZ276+BA289*BA276+BB289*BB276+BC289*BC276+BD289*BD276+BE289*BE276+BF289*BF276+BG289*BG276+BH289*BH276+BI289*BI276+BJ289*BJ276+BK289*BK276+BL289*BL276+BM289*BM276+BN289*BN276+BO289*BO276+BP289*BP276+BQ289*BQ276+BR289*BR276+BS289*BS276+BT289*BT276+BU289*BU276+BV289*BV276+BW289*BW276+BX289*BX276+BY289*BY276+BZ289*BZ276+CA289*CA276+CB289*CB276+CC289*CC276+CD289*CD276+CE289*CE276+CF289*CF276+CG289*CG276+CH289*CH276+CI289*CI276+CJ289*CJ276+CK289*CK276+CL289*CL276+CM289*CM276+CN289*CN276+CO289*CO276+CP289*CP276+CQ289*CQ276+CR289*CR276+CS289*CS276+CT289*CT276+CU289*CU276</f>
        <v>0</v>
      </c>
      <c r="DA276" s="2840">
        <f>E290*E276+F290*F276+G290*G276+H290*H276+I290*I276+J290*J276+K290*K276+L290*L276+M290*M276+N290*N276+O290*O276+P290*P276+Q290*Q276+R290*R276+S290*S276+T290*T276+U290*U276+V290*V276+W290*W276+X290*X276+Y290*Y276+Z290*Z276+AA290*AA276+AB290*AB276+AC290*AC276+AD290*AD276+AE290*AE276+AF290*AF276+AG290*AG276+AH290*AH276+AI290*AI276+AJ290*AJ276+AK290*AK276+AL290*AL276+AM290*AM276+AN290*AN276+AO290*AO276+AP290*AP276+AQ290*AQ276+AR290*AR276+AS290*AS276+AT290*AT276+AU290*AU276+AV290*AV276+AW290*AW276+AX290*AX276+AY290*AY276+AZ290*AZ276+BA290*BA276+BB290*BB276+BC290*BC276+BD290*BD276+BE290*BE276+BF290*BF276+BG290*BG276+BH290*BH276+BI290*BI276+BJ290*BJ276+BK290*BK276+BL290*BL276+BM290*BM276+BN290*BN276+BO290*BO276+BP290*BP276+BQ290*BQ276+BR290*BR276+BS290*BS276+BT290*BT276+BU290*BU276+BV290*BV276+BW290*BW276+BX290*BX276+BY290*BY276+BZ290*BZ276+CA290*CA276+CB290*CB276+CC290*CC276+CD290*CD276+CE290*CE276+CF290*CF276+CG290*CG276+CH290*CH276+CI290*CI276+CJ290*CJ276+CK290*CK276+CL290*CL276+CM290*CM276+CN290*CN276+CO290*CO276+CP290*CP276+CQ290*CQ276+CR290*CR276+CS290*CS276+CT290*CT276+CU290*CU276</f>
        <v>0</v>
      </c>
      <c r="DB276" s="2840">
        <f>E291*E276+F291*F276+G291*G276+H291*H276+I291*I276+J291*J276+K291*K276+L291*L276+M291*M276+N291*N276+O291*O276+P291*P276+Q291*Q276+R291*R276+S291*S276+T291*T276+U291*U276+V291*V276+W291*W276+X291*X276+Y291*Y276+Z291*Z276+AA291*AA276+AB291*AB276+AC291*AC276+AD291*AD276+AE291*AE276+AF291*AF276+AG291*AG276+AH291*AH276+AI291*AI276+AJ291*AJ276+AK291*AK276+AL291*AL276+AM291*AM276+AN291*AN276+AO291*AO276+AP291*AP276+AQ291*AQ276+AR291*AR276+AS291*AS276+AT291*AT276+AU291*AU276+AV291*AV276+AW291*AW276+AX291*AX276+AY291*AY276+AZ291*AZ276+BA291*BA276+BB291*BB276+BC291*BC276+BD291*BD276+BE291*BE276+BF291*BF276+BG291*BG276+BH291*BH276+BI291*BI276+BJ291*BJ276+BK291*BK276+BL291*BL276+BM291*BM276+BN291*BN276+BO291*BO276+BP291*BP276+BQ291*BQ276+BR291*BR276+BS291*BS276+BT291*BT276+BU291*BU276+BV291*BV276+BW291*BW276+BX291*BX276+BY291*BY276+BZ291*BZ276+CA291*CA276+CB291*CB276+CC291*CC276+CD291*CD276+CE291*CE276+CF291*CF276+CG291*CG276+CH291*CH276+CI291*CI276+CJ291*CJ276+CK291*CK276+CL291*CL276+CM291*CM276+CN291*CN276+CO291*CO276+CP291*CP276+CQ291*CQ276+CR291*CR276+CS291*CS276+CT291*CT276+CU291*CU276</f>
        <v>0</v>
      </c>
      <c r="DC276" s="2840">
        <f>E292*E276+F292*F276+G292*G276+H292*H276+I292*I276+J292*J276+K292*K276+L292*L276+M292*M276+N292*N276+O292*O276+P292*P276+Q292*Q276+R292*R276+S292*S276+T292*T276+U292*U276+V292*V276+W292*W276+X292*X276+Y292*Y276+Z292*Z276+AA292*AA276+AB292*AB276+AC292*AC276+AD292*AD276+AE292*AE276+AF292*AF276+AG292*AG276+AH292*AH276+AI292*AI276+AJ292*AJ276+AK292*AK276+AL292*AL276+AM292*AM276+AN292*AN276+AO292*AO276+AP292*AP276+AQ292*AQ276+AR292*AR276+AS292*AS276+AT292*AT276+AU292*AU276+AV292*AV276+AW292*AW276+AX292*AX276+AY292*AY276+AZ292*AZ276+BA292*BA276+BB292*BB276+BC292*BC276+BD292*BD276+BE292*BE276+BF292*BF276+BG292*BG276+BH292*BH276+BI292*BI276+BJ292*BJ276+BK292*BK276+BL292*BL276+BM292*BM276+BN292*BN276+BO292*BO276+BP292*BP276+BQ292*BQ276+BR292*BR276+BS292*BS276+BT292*BT276+BU292*BU276+BV292*BV276+BW292*BW276+BX292*BX276+BY292*BY276+BZ292*BZ276+CA292*CA276+CB292*CB276+CC292*CC276+CD292*CD276+CE292*CE276+CF292*CF276+CG292*CG276+CH292*CH276+CI292*CI276+CJ292*CJ276+CK292*CK276+CL292*CL276+CM292*CM276+CN292*CN276+CO292*CO276+CP292*CP276+CQ292*CQ276+CR292*CR276+CS292*CS276+CT292*CT276+CU292*CU276</f>
        <v>0</v>
      </c>
      <c r="DD276" s="2840">
        <f>E293*E276+F293*F276+G293*G276+H293*H276+I293*I276+J293*J276+K293*K276+L293*L276+M293*M276+N293*N276+O293*O276+P293*P276+Q293*Q276+R293*R276+S293*S276+T293*T276+U293*U276+V293*V276+W293*W276+X293*X276+Y293*Y276+Z293*Z276+AA293*AA276+AB293*AB276+AC293*AC276+AD293*AD276+AE293*AE276+AF293*AF276+AG293*AG276+AH293*AH276+AI293*AI276+AJ293*AJ276+AK293*AK276+AL293*AL276+AM293*AM276+AN293*AN276+AO293*AO276+AP293*AP276+AQ293*AQ276+AR293*AR276+AS293*AS276+AT293*AT276+AU293*AU276+AV293*AV276+AW293*AW276+AX293*AX276+AY293*AY276+AZ293*AZ276+BA293*BA276+BB293*BB276+BC293*BC276+BD293*BD276+BE293*BE276+BF293*BF276+BG293*BG276+BH293*BH276+BI293*BI276+BJ293*BJ276+BK293*BK276+BL293*BL276+BM293*BM276+BN293*BN276+BO293*BO276+BP293*BP276+BQ293*BQ276+BR293*BR276+BS293*BS276+BT293*BT276+BU293*BU276+BV293*BV276+BW293*BW276+BX293*BX276+BY293*BY276+BZ293*BZ276+CA293*CA276+CB293*CB276+CC293*CC276+CD293*CD276+CE293*CE276+CF293*CF276+CG293*CG276+CH293*CH276+CI293*CI276+CJ293*CJ276+CK293*CK276+CL293*CL276+CM293*CM276+CN293*CN276+CO293*CO276+CP293*CP276+CQ293*CQ276+CR293*CR276+CS293*CS276+CT293*CT276+CU293*CU276</f>
        <v>0</v>
      </c>
      <c r="DE276" s="2840">
        <f>E294*E276+F294*F276+G294*G276+H294*H276+I294*I276+J294*J276+K294*K276+L294*L276+M294*M276+N294*N276+O294*O276+P294*P276+Q294*Q276+R294*R276+S294*S276+T294*T276+U294*U276+V294*V276+W294*W276+X294*X276+Y294*Y276+Z294*Z276+AA294*AA276+AB294*AB276+AC294*AC276+AD294*AD276+AE294*AE276+AF294*AF276+AG294*AG276+AH294*AH276+AI294*AI276+AJ294*AJ276+AK294*AK276+AL294*AL276+AM294*AM276+AN294*AN276+AO294*AO276+AP294*AP276+AQ294*AQ276+AR294*AR276+AS294*AS276+AT294*AT276+AU294*AU276+AV294*AV276+AW294*AW276+AX294*AX276+AY294*AY276+AZ294*AZ276+BA294*BA276+BB294*BB276+BC294*BC276+BD294*BD276+BE294*BE276+BF294*BF276+BG294*BG276+BH294*BH276+BI294*BI276+BJ294*BJ276+BK294*BK276+BL294*BL276+BM294*BM276+BN294*BN276+BO294*BO276+BP294*BP276+BQ294*BQ276+BR294*BR276+BS294*BS276+BT294*BT276+BU294*BU276+BV294*BV276+BW294*BW276+BX294*BX276+BY294*BY276+BZ294*BZ276+CA294*CA276+CB294*CB276+CC294*CC276+CD294*CD276+CE294*CE276+CF294*CF276+CG294*CG276+CH294*CH276+CI294*CI276+CJ294*CJ276+CK294*CK276+CL294*CL276+CM294*CM276+CN294*CN276+CO294*CO276+CP294*CP276+CQ294*CQ276+CR294*CR276+CS294*CS276+CT294*CT276+CU294*CU276</f>
        <v>0</v>
      </c>
      <c r="DF276" s="2840">
        <f>E295*E276+F295*F276+G295*G276+H295*H276+I295*I276+J295*J276+K295*K276+L295*L276+M295*M276+N295*N276+O295*O276+P295*P276+Q295*Q276+R295*R276+S295*S276+T295*T276+U295*U276+V295*V276+W295*W276+X295*X276+Y295*Y276+Z295*Z276+AA295*AA276+AB295*AB276+AC295*AC276+AD295*AD276+AE295*AE276+AF295*AF276+AG295*AG276+AH295*AH276+AI295*AI276+AJ295*AJ276+AK295*AK276+AL295*AL276+AM295*AM276+AN295*AN276+AO295*AO276+AP295*AP276+AQ295*AQ276+AR295*AR276+AS295*AS276+AT295*AT276+AU295*AU276+AV295*AV276+AW295*AW276+AX295*AX276+AY295*AY276+AZ295*AZ276+BA295*BA276+BB295*BB276+BC295*BC276+BD295*BD276+BE295*BE276+BF295*BF276+BG295*BG276+BH295*BH276+BI295*BI276+BJ295*BJ276+BK295*BK276+BL295*BL276+BM295*BM276+BN295*BN276+BO295*BO276+BP295*BP276+BQ295*BQ276+BR295*BR276+BS295*BS276+BT295*BT276+BU295*BU276+BV295*BV276+BW295*BW276+BX295*BX276+BY295*BY276+BZ295*BZ276+CA295*CA276+CB295*CB276+CC295*CC276+CD295*CD276+CE295*CE276+CF295*CF276+CG295*CG276+CH295*CH276+CI295*CI276+CJ295*CJ276+CK295*CK276+CL295*CL276+CM295*CM276+CN295*CN276+CO295*CO276+CP295*CP276+CQ295*CQ276+CR295*CR276+CS295*CS276+CT295*CT276+CU295*CU276</f>
        <v>0</v>
      </c>
      <c r="DG276" s="2840">
        <f>E296*E276+F296*F276+G296*G276+H296*H276+I296*I276+J296*J276+K296*K276+L296*L276+M296*M276+N296*N276+O296*O276+P296*P276+Q296*Q276+R296*R276+S296*S276+T296*T276+U296*U276+V296*V276+W296*W276+X296*X276+Y296*Y276+Z296*Z276+AA296*AA276+AB296*AB276+AC296*AC276+AD296*AD276+AE296*AE276+AF296*AF276+AG296*AG276+AH296*AH276+AI296*AI276+AJ296*AJ276+AK296*AK276+AL296*AL276+AM296*AM276+AN296*AN276+AO296*AO276+AP296*AP276+AQ296*AQ276+AR296*AR276+AS296*AS276+AT296*AT276+AU296*AU276+AV296*AV276+AW296*AW276+AX296*AX276+AY296*AY276+AZ296*AZ276+BA296*BA276+BB296*BB276+BC296*BC276+BD296*BD276+BE296*BE276+BF296*BF276+BG296*BG276+BH296*BH276+BI296*BI276+BJ296*BJ276+BK296*BK276+BL296*BL276+BM296*BM276+BN296*BN276+BO296*BO276+BP296*BP276+BQ296*BQ276+BR296*BR276+BS296*BS276+BT296*BT276+BU296*BU276+BV296*BV276+BW296*BW276+BX296*BX276+BY296*BY276+BZ296*BZ276+CA296*CA276+CB296*CB276+CC296*CC276+CD296*CD276+CE296*CE276+CF296*CF276+CG296*CG276+CH296*CH276+CI296*CI276+CJ296*CJ276+CK296*CK276+CL296*CL276+CM296*CM276+CN296*CN276+CO296*CO276+CP296*CP276+CQ296*CQ276+CR296*CR276+CS296*CS276+CT296*CT276+CU296*CU276</f>
        <v>0</v>
      </c>
      <c r="DH276" s="2840">
        <f>E297*E276+F297*F276+G297*G276+H297*H276+I297*I276+J297*J276+K297*K276+L297*L276+M297*M276+N297*N276+O297*O276+P297*P276+Q297*Q276+R297*R276+S297*S276+T297*T276+U297*U276+V297*V276+W297*W276+X297*X276+Y297*Y276+Z297*Z276+AA297*AA276+AB297*AB276+AC297*AC276+AD297*AD276+AE297*AE276+AF297*AF276+AG297*AG276+AH297*AH276+AI297*AI276+AJ297*AJ276+AK297*AK276+AL297*AL276+AM297*AM276+AN297*AN276+AO297*AO276+AP297*AP276+AQ297*AQ276+AR297*AR276+AS297*AS276+AT297*AT276+AU297*AU276+AV297*AV276+AW297*AW276+AX297*AX276+AY297*AY276+AZ297*AZ276+BA297*BA276+BB297*BB276+BC297*BC276+BD297*BD276+BE297*BE276+BF297*BF276+BG297*BG276+BH297*BH276+BI297*BI276+BJ297*BJ276+BK297*BK276+BL297*BL276+BM297*BM276+BN297*BN276+BO297*BO276+BP297*BP276+BQ297*BQ276+BR297*BR276+BS297*BS276+BT297*BT276+BU297*BU276+BV297*BV276+BW297*BW276+BX297*BX276+BY297*BY276+BZ297*BZ276+CA297*CA276+CB297*CB276+CC297*CC276+CD297*CD276+CE297*CE276+CF297*CF276+CG297*CG276+CH297*CH276+CI297*CI276+CJ297*CJ276+CK297*CK276+CL297*CL276+CM297*CM276+CN297*CN276+CO297*CO276+CP297*CP276+CQ297*CQ276+CR297*CR276+CS297*CS276+CT297*CT276+CU297*CU276</f>
        <v>0</v>
      </c>
      <c r="DI276" s="2840">
        <f>E298*E276+F298*F276+G298*G276+H298*H276+I298*I276+J298*J276+K298*K276+L298*L276+M298*M276+N298*N276+O298*O276+P298*P276+Q298*Q276+R298*R276+S298*S276+T298*T276+U298*U276+V298*V276+W298*W276+X298*X276+Y298*Y276+Z298*Z276+AA298*AA276+AB298*AB276+AC298*AC276+AD298*AD276+AE298*AE276+AF298*AF276+AG298*AG276+AH298*AH276+AI298*AI276+AJ298*AJ276+AK298*AK276+AL298*AL276+AM298*AM276+AN298*AN276+AO298*AO276+AP298*AP276+AQ298*AQ276+AR298*AR276+AS298*AS276+AT298*AT276+AU298*AU276+AV298*AV276+AW298*AW276+AX298*AX276+AY298*AY276+AZ298*AZ276+BA298*BA276+BB298*BB276+BC298*BC276+BD298*BD276+BE298*BE276+BF298*BF276+BG298*BG276+BH298*BH276+BI298*BI276+BJ298*BJ276+BK298*BK276+BL298*BL276+BM298*BM276+BN298*BN276+BO298*BO276+BP298*BP276+BQ298*BQ276+BR298*BR276+BS298*BS276+BT298*BT276+BU298*BU276+BV298*BV276+BW298*BW276+BX298*BX276+BY298*BY276+BZ298*BZ276+CA298*CA276+CB298*CB276+CC298*CC276+CD298*CD276+CE298*CE276+CF298*CF276+CG298*CG276+CH298*CH276+CI298*CI276+CJ298*CJ276+CK298*CK276+CL298*CL276+CM298*CM276+CN298*CN276+CO298*CO276+CP298*CP276+CQ298*CQ276+CR298*CR276+CS298*CS276+CT298*CT276+CU298*CU276</f>
        <v>0</v>
      </c>
    </row>
    <row r="277" spans="2:113" ht="18" x14ac:dyDescent="0.25">
      <c r="B277" s="2503">
        <v>124</v>
      </c>
      <c r="C277" s="2427" t="s">
        <v>5265</v>
      </c>
      <c r="D277" s="1282" t="s">
        <v>3636</v>
      </c>
      <c r="E277" s="3119">
        <f>0</f>
        <v>0</v>
      </c>
      <c r="F277" s="3119">
        <f>0</f>
        <v>0</v>
      </c>
      <c r="G277" s="3119">
        <f>0</f>
        <v>0</v>
      </c>
      <c r="H277" s="3119">
        <f>0</f>
        <v>0</v>
      </c>
      <c r="I277" s="3119">
        <f>0</f>
        <v>0</v>
      </c>
      <c r="J277" s="3148">
        <f>0</f>
        <v>0</v>
      </c>
      <c r="K277" s="3119">
        <f>0</f>
        <v>0</v>
      </c>
      <c r="L277" s="3119">
        <f>0</f>
        <v>0</v>
      </c>
      <c r="M277" s="3119">
        <f>0</f>
        <v>0</v>
      </c>
      <c r="N277" s="3119">
        <f>0</f>
        <v>0</v>
      </c>
      <c r="O277" s="3119">
        <f>0</f>
        <v>0</v>
      </c>
      <c r="P277" s="3119">
        <f>0</f>
        <v>0</v>
      </c>
      <c r="Q277" s="3119">
        <f>0</f>
        <v>0</v>
      </c>
      <c r="R277" s="3159">
        <f>0</f>
        <v>0</v>
      </c>
      <c r="S277" s="3119">
        <f>0</f>
        <v>0</v>
      </c>
      <c r="T277" s="3119">
        <f>0</f>
        <v>0</v>
      </c>
      <c r="U277" s="3119">
        <f>0</f>
        <v>0</v>
      </c>
      <c r="V277" s="3119">
        <f>0</f>
        <v>0</v>
      </c>
      <c r="W277" s="3119">
        <f>0</f>
        <v>0</v>
      </c>
      <c r="X277" s="3119">
        <f>0</f>
        <v>0</v>
      </c>
      <c r="Y277" s="3119">
        <f>0</f>
        <v>0</v>
      </c>
      <c r="Z277" s="3119">
        <f>0</f>
        <v>0</v>
      </c>
      <c r="AA277" s="3119">
        <f>0</f>
        <v>0</v>
      </c>
      <c r="AB277" s="3119">
        <f>0</f>
        <v>0</v>
      </c>
      <c r="AC277" s="3119">
        <f>0</f>
        <v>0</v>
      </c>
      <c r="AD277" s="3119">
        <f>0</f>
        <v>0</v>
      </c>
      <c r="AE277" s="3119">
        <f>0</f>
        <v>0</v>
      </c>
      <c r="AF277" s="3119">
        <f>0</f>
        <v>0</v>
      </c>
      <c r="AG277" s="3119">
        <f>0</f>
        <v>0</v>
      </c>
      <c r="AH277" s="3119">
        <f>0</f>
        <v>0</v>
      </c>
      <c r="AI277" s="3119">
        <f>0</f>
        <v>0</v>
      </c>
      <c r="AJ277" s="3148">
        <f>0</f>
        <v>0</v>
      </c>
      <c r="AK277" s="3119">
        <f>0</f>
        <v>0</v>
      </c>
      <c r="AL277" s="3119">
        <f>0</f>
        <v>0</v>
      </c>
      <c r="AM277" s="3119">
        <f>0</f>
        <v>0</v>
      </c>
      <c r="AN277" s="3119">
        <f>0</f>
        <v>0</v>
      </c>
      <c r="AO277" s="3119">
        <f>0</f>
        <v>0</v>
      </c>
      <c r="AP277" s="3148">
        <f>0</f>
        <v>0</v>
      </c>
      <c r="AQ277" s="3119">
        <f>0</f>
        <v>0</v>
      </c>
      <c r="AR277" s="3119">
        <f>1</f>
        <v>1</v>
      </c>
      <c r="AS277" s="3119">
        <f>0</f>
        <v>0</v>
      </c>
      <c r="AT277" s="3119">
        <f>0</f>
        <v>0</v>
      </c>
      <c r="AU277" s="3119">
        <f>0</f>
        <v>0</v>
      </c>
      <c r="AV277" s="3119">
        <f>0</f>
        <v>0</v>
      </c>
      <c r="AW277" s="3119">
        <f>0</f>
        <v>0</v>
      </c>
      <c r="AX277" s="3119">
        <f>0</f>
        <v>0</v>
      </c>
      <c r="AY277" s="3119">
        <f>0</f>
        <v>0</v>
      </c>
      <c r="AZ277" s="3119">
        <f>0</f>
        <v>0</v>
      </c>
      <c r="BA277" s="3119">
        <f>0</f>
        <v>0</v>
      </c>
      <c r="BB277" s="3119">
        <f>0</f>
        <v>0</v>
      </c>
      <c r="BC277" s="3119">
        <f>0</f>
        <v>0</v>
      </c>
      <c r="BD277" s="3119">
        <f>0</f>
        <v>0</v>
      </c>
      <c r="BE277" s="3159">
        <f>0</f>
        <v>0</v>
      </c>
      <c r="BF277" s="3159">
        <f>0</f>
        <v>0</v>
      </c>
      <c r="BG277" s="3159">
        <f>0</f>
        <v>0</v>
      </c>
      <c r="BH277" s="3159">
        <f>0</f>
        <v>0</v>
      </c>
      <c r="BI277" s="3159">
        <f>0</f>
        <v>0</v>
      </c>
      <c r="BJ277" s="3159">
        <f>0</f>
        <v>0</v>
      </c>
      <c r="BK277" s="3159">
        <f>0</f>
        <v>0</v>
      </c>
      <c r="BL277" s="3159">
        <f>0</f>
        <v>0</v>
      </c>
      <c r="BM277" s="3159">
        <f>0</f>
        <v>0</v>
      </c>
      <c r="BN277" s="3159">
        <f>0</f>
        <v>0</v>
      </c>
      <c r="BO277" s="3159">
        <f>0</f>
        <v>0</v>
      </c>
      <c r="BP277" s="3159">
        <f>0</f>
        <v>0</v>
      </c>
      <c r="BQ277" s="3159">
        <f>0</f>
        <v>0</v>
      </c>
      <c r="BR277" s="3159">
        <f>0</f>
        <v>0</v>
      </c>
      <c r="BS277" s="3159">
        <f>0</f>
        <v>0</v>
      </c>
      <c r="BT277" s="3159">
        <f>0</f>
        <v>0</v>
      </c>
      <c r="BU277" s="3159">
        <f>0</f>
        <v>0</v>
      </c>
      <c r="BV277" s="3159">
        <f>0</f>
        <v>0</v>
      </c>
      <c r="BW277" s="3159">
        <f>0</f>
        <v>0</v>
      </c>
      <c r="BX277" s="3159">
        <f>0</f>
        <v>0</v>
      </c>
      <c r="BY277" s="3159">
        <f>0</f>
        <v>0</v>
      </c>
      <c r="BZ277" s="3204">
        <f>0</f>
        <v>0</v>
      </c>
      <c r="CA277" s="3204">
        <f>0</f>
        <v>0</v>
      </c>
      <c r="CB277" s="3204">
        <f>0</f>
        <v>0</v>
      </c>
      <c r="CC277" s="3204">
        <f>0</f>
        <v>0</v>
      </c>
      <c r="CD277" s="3159">
        <f>0</f>
        <v>0</v>
      </c>
      <c r="CE277" s="3159">
        <f>0</f>
        <v>0</v>
      </c>
      <c r="CF277" s="3159">
        <f>0</f>
        <v>0</v>
      </c>
      <c r="CG277" s="3159">
        <f>0</f>
        <v>0</v>
      </c>
      <c r="CH277" s="3159">
        <f>0</f>
        <v>0</v>
      </c>
      <c r="CI277" s="3159">
        <f>0</f>
        <v>0</v>
      </c>
      <c r="CJ277" s="3159">
        <f>0</f>
        <v>0</v>
      </c>
      <c r="CK277" s="3159">
        <f>0</f>
        <v>0</v>
      </c>
      <c r="CL277" s="3159">
        <f>0</f>
        <v>0</v>
      </c>
      <c r="CM277" s="3159">
        <f>0</f>
        <v>0</v>
      </c>
      <c r="CN277" s="3159">
        <f>0</f>
        <v>0</v>
      </c>
      <c r="CO277" s="3159">
        <f>0</f>
        <v>0</v>
      </c>
      <c r="CP277" s="3159">
        <f>0</f>
        <v>0</v>
      </c>
      <c r="CQ277" s="3159">
        <f>-Δ_atm</f>
        <v>-1</v>
      </c>
      <c r="CR277" s="3159">
        <f>0</f>
        <v>0</v>
      </c>
      <c r="CS277" s="3159">
        <f>0</f>
        <v>0</v>
      </c>
      <c r="CT277" s="3159">
        <f>0</f>
        <v>0</v>
      </c>
      <c r="CU277" s="3159">
        <f>0</f>
        <v>0</v>
      </c>
      <c r="CV277" s="3226">
        <f>k_LaGO2_sur*(S_GO2_sur_sat-S_O2)</f>
        <v>24</v>
      </c>
      <c r="CX277" s="2838">
        <f>E287*E277+F287*F277+G287*G277+H287*H277+I287*I277+J287*J277+K287*K277+L287*L277+M287*M277+N287*N277+O287*O277+P287*P277+Q287*Q277+R287*R277+S287*S277+T287*T277+U287*U277+V287*V277+W287*W277+X287*X277+Y287*Y277+Z287*Z277+AA287*AA277+AB287*AB277+AC287*AC277+AD287*AD277+AE287*AE277+AF287*AF277+AG287*AG277+AH287*AH277+AI287*AI277+AJ287*AJ277+AK287*AK277+AL287*AL277+AM287*AM277+AN287*AN277+AO287*AO277+AP287*AP277+AQ287*AQ277+AR287*AR277+AS287*AS277+AT287*AT277+AU287*AU277+AV287*AV277+AW287*AW277+AX287*AX277+AY287*AY277+AZ287*AZ277+BA287*BA277+BB287*BB277+BC287*BC277+BD287*BD277+BE287*BE277+BF287*BF277+BG287*BG277+BH287*BH277+BI287*BI277+BJ287*BJ277+BK287*BK277+BL287*BL277+BM287*BM277+BN287*BN277+BO287*BO277+BP287*BP277+BQ287*BQ277+BR287*BR277+BS287*BS277+BT287*BT277+BU287*BU277+BV287*BV277+BW287*BW277+BX287*BX277+BY287*BY277+BZ287*BZ277+CA287*CA277+CB287*CB277+CC287*CC277+CD287*CD277+CE287*CE277+CF287*CF277+CG287*CG277+CH287*CH277+CI287*CI277+CJ287*CJ277+CK287*CK277+CL287*CL277+CM287*CM277+CN287*CN277+CO287*CO277+CP287*CP277+CQ287*CQ277+CR287*CR277+CS287*CS277+CT287*CT277+CU287*CU277</f>
        <v>0</v>
      </c>
      <c r="CY277" s="2838">
        <f>E288*E277+F288*F277+G288*G277+H288*H277+I288*I277+J288*J277+K288*K277+L288*L277+M288*M277+N288*N277+O288*O277+P288*P277+Q288*Q277+R288*R277+S288*S277+T288*T277+U288*U277+V288*V277+W288*W277+X288*X277+Y288*Y277+Z288*Z277+AA288*AA277+AB288*AB277+AC288*AC277+AD288*AD277+AE288*AE277+AF288*AF277+AG288*AG277+AH288*AH277+AI288*AI277+AJ288*AJ277+AK288*AK277+AL288*AL277+AM288*AM277+AN288*AN277+AO288*AO277+AP288*AP277+AQ288*AQ277+AR288*AR277+AS288*AS277+AT288*AT277+AU288*AU277+AV288*AV277+AW288*AW277+AX288*AX277+AY288*AY277+AZ288*AZ277+BA288*BA277+BB288*BB277+BC288*BC277+BD288*BD277+BE288*BE277+BF288*BF277+BG288*BG277+BH288*BH277+BI288*BI277+BJ288*BJ277+BK288*BK277+BL288*BL277+BM288*BM277+BN288*BN277+BO288*BO277+BP288*BP277+BQ288*BQ277+BR288*BR277+BS288*BS277+BT288*BT277+BU288*BU277+BV288*BV277+BW288*BW277+BX288*BX277+BY288*BY277+BZ288*BZ277+CA288*CA277+CB288*CB277+CC288*CC277+CD288*CD277+CE288*CE277+CF288*CF277+CG288*CG277+CH288*CH277+CI288*CI277+CJ288*CJ277+CK288*CK277+CL288*CL277+CM288*CM277+CN288*CN277+CO288*CO277+CP288*CP277+CQ288*CQ277+CR288*CR277+CS288*CS277+CT288*CT277+CU288*CU277</f>
        <v>0</v>
      </c>
      <c r="CZ277" s="2839">
        <f>E289*E277+F289*F277+G289*G277+H289*H277+I289*I277+J289*J277+K289*K277+L289*L277+M289*M277+N289*N277+O289*O277+P289*P277+Q289*Q277+R289*R277+S289*S277+T289*T277+U289*U277+V289*V277+W289*W277+X289*X277+Y289*Y277+Z289*Z277+AA289*AA277+AB289*AB277+AC289*AC277+AD289*AD277+AE289*AE277+AF289*AF277+AG289*AG277+AH289*AH277+AI289*AI277+AJ289*AJ277+AK289*AK277+AL289*AL277+AM289*AM277+AN289*AN277+AO289*AO277+AP289*AP277+AQ289*AQ277+AR289*AR277+AS289*AS277+AT289*AT277+AU289*AU277+AV289*AV277+AW289*AW277+AX289*AX277+AY289*AY277+AZ289*AZ277+BA289*BA277+BB289*BB277+BC289*BC277+BD289*BD277+BE289*BE277+BF289*BF277+BG289*BG277+BH289*BH277+BI289*BI277+BJ289*BJ277+BK289*BK277+BL289*BL277+BM289*BM277+BN289*BN277+BO289*BO277+BP289*BP277+BQ289*BQ277+BR289*BR277+BS289*BS277+BT289*BT277+BU289*BU277+BV289*BV277+BW289*BW277+BX289*BX277+BY289*BY277+BZ289*BZ277+CA289*CA277+CB289*CB277+CC289*CC277+CD289*CD277+CE289*CE277+CF289*CF277+CG289*CG277+CH289*CH277+CI289*CI277+CJ289*CJ277+CK289*CK277+CL289*CL277+CM289*CM277+CN289*CN277+CO289*CO277+CP289*CP277+CQ289*CQ277+CR289*CR277+CS289*CS277+CT289*CT277+CU289*CU277</f>
        <v>0</v>
      </c>
      <c r="DA277" s="2840">
        <f>E290*E277+F290*F277+G290*G277+H290*H277+I290*I277+J290*J277+K290*K277+L290*L277+M290*M277+N290*N277+O290*O277+P290*P277+Q290*Q277+R290*R277+S290*S277+T290*T277+U290*U277+V290*V277+W290*W277+X290*X277+Y290*Y277+Z290*Z277+AA290*AA277+AB290*AB277+AC290*AC277+AD290*AD277+AE290*AE277+AF290*AF277+AG290*AG277+AH290*AH277+AI290*AI277+AJ290*AJ277+AK290*AK277+AL290*AL277+AM290*AM277+AN290*AN277+AO290*AO277+AP290*AP277+AQ290*AQ277+AR290*AR277+AS290*AS277+AT290*AT277+AU290*AU277+AV290*AV277+AW290*AW277+AX290*AX277+AY290*AY277+AZ290*AZ277+BA290*BA277+BB290*BB277+BC290*BC277+BD290*BD277+BE290*BE277+BF290*BF277+BG290*BG277+BH290*BH277+BI290*BI277+BJ290*BJ277+BK290*BK277+BL290*BL277+BM290*BM277+BN290*BN277+BO290*BO277+BP290*BP277+BQ290*BQ277+BR290*BR277+BS290*BS277+BT290*BT277+BU290*BU277+BV290*BV277+BW290*BW277+BX290*BX277+BY290*BY277+BZ290*BZ277+CA290*CA277+CB290*CB277+CC290*CC277+CD290*CD277+CE290*CE277+CF290*CF277+CG290*CG277+CH290*CH277+CI290*CI277+CJ290*CJ277+CK290*CK277+CL290*CL277+CM290*CM277+CN290*CN277+CO290*CO277+CP290*CP277+CQ290*CQ277+CR290*CR277+CS290*CS277+CT290*CT277+CU290*CU277</f>
        <v>0</v>
      </c>
      <c r="DB277" s="2840">
        <f>E291*E277+F291*F277+G291*G277+H291*H277+I291*I277+J291*J277+K291*K277+L291*L277+M291*M277+N291*N277+O291*O277+P291*P277+Q291*Q277+R291*R277+S291*S277+T291*T277+U291*U277+V291*V277+W291*W277+X291*X277+Y291*Y277+Z291*Z277+AA291*AA277+AB291*AB277+AC291*AC277+AD291*AD277+AE291*AE277+AF291*AF277+AG291*AG277+AH291*AH277+AI291*AI277+AJ291*AJ277+AK291*AK277+AL291*AL277+AM291*AM277+AN291*AN277+AO291*AO277+AP291*AP277+AQ291*AQ277+AR291*AR277+AS291*AS277+AT291*AT277+AU291*AU277+AV291*AV277+AW291*AW277+AX291*AX277+AY291*AY277+AZ291*AZ277+BA291*BA277+BB291*BB277+BC291*BC277+BD291*BD277+BE291*BE277+BF291*BF277+BG291*BG277+BH291*BH277+BI291*BI277+BJ291*BJ277+BK291*BK277+BL291*BL277+BM291*BM277+BN291*BN277+BO291*BO277+BP291*BP277+BQ291*BQ277+BR291*BR277+BS291*BS277+BT291*BT277+BU291*BU277+BV291*BV277+BW291*BW277+BX291*BX277+BY291*BY277+BZ291*BZ277+CA291*CA277+CB291*CB277+CC291*CC277+CD291*CD277+CE291*CE277+CF291*CF277+CG291*CG277+CH291*CH277+CI291*CI277+CJ291*CJ277+CK291*CK277+CL291*CL277+CM291*CM277+CN291*CN277+CO291*CO277+CP291*CP277+CQ291*CQ277+CR291*CR277+CS291*CS277+CT291*CT277+CU291*CU277</f>
        <v>0</v>
      </c>
      <c r="DC277" s="2840">
        <f>E292*E277+F292*F277+G292*G277+H292*H277+I292*I277+J292*J277+K292*K277+L292*L277+M292*M277+N292*N277+O292*O277+P292*P277+Q292*Q277+R292*R277+S292*S277+T292*T277+U292*U277+V292*V277+W292*W277+X292*X277+Y292*Y277+Z292*Z277+AA292*AA277+AB292*AB277+AC292*AC277+AD292*AD277+AE292*AE277+AF292*AF277+AG292*AG277+AH292*AH277+AI292*AI277+AJ292*AJ277+AK292*AK277+AL292*AL277+AM292*AM277+AN292*AN277+AO292*AO277+AP292*AP277+AQ292*AQ277+AR292*AR277+AS292*AS277+AT292*AT277+AU292*AU277+AV292*AV277+AW292*AW277+AX292*AX277+AY292*AY277+AZ292*AZ277+BA292*BA277+BB292*BB277+BC292*BC277+BD292*BD277+BE292*BE277+BF292*BF277+BG292*BG277+BH292*BH277+BI292*BI277+BJ292*BJ277+BK292*BK277+BL292*BL277+BM292*BM277+BN292*BN277+BO292*BO277+BP292*BP277+BQ292*BQ277+BR292*BR277+BS292*BS277+BT292*BT277+BU292*BU277+BV292*BV277+BW292*BW277+BX292*BX277+BY292*BY277+BZ292*BZ277+CA292*CA277+CB292*CB277+CC292*CC277+CD292*CD277+CE292*CE277+CF292*CF277+CG292*CG277+CH292*CH277+CI292*CI277+CJ292*CJ277+CK292*CK277+CL292*CL277+CM292*CM277+CN292*CN277+CO292*CO277+CP292*CP277+CQ292*CQ277+CR292*CR277+CS292*CS277+CT292*CT277+CU292*CU277</f>
        <v>0</v>
      </c>
      <c r="DD277" s="2840">
        <f>E293*E277+F293*F277+G293*G277+H293*H277+I293*I277+J293*J277+K293*K277+L293*L277+M293*M277+N293*N277+O293*O277+P293*P277+Q293*Q277+R293*R277+S293*S277+T293*T277+U293*U277+V293*V277+W293*W277+X293*X277+Y293*Y277+Z293*Z277+AA293*AA277+AB293*AB277+AC293*AC277+AD293*AD277+AE293*AE277+AF293*AF277+AG293*AG277+AH293*AH277+AI293*AI277+AJ293*AJ277+AK293*AK277+AL293*AL277+AM293*AM277+AN293*AN277+AO293*AO277+AP293*AP277+AQ293*AQ277+AR293*AR277+AS293*AS277+AT293*AT277+AU293*AU277+AV293*AV277+AW293*AW277+AX293*AX277+AY293*AY277+AZ293*AZ277+BA293*BA277+BB293*BB277+BC293*BC277+BD293*BD277+BE293*BE277+BF293*BF277+BG293*BG277+BH293*BH277+BI293*BI277+BJ293*BJ277+BK293*BK277+BL293*BL277+BM293*BM277+BN293*BN277+BO293*BO277+BP293*BP277+BQ293*BQ277+BR293*BR277+BS293*BS277+BT293*BT277+BU293*BU277+BV293*BV277+BW293*BW277+BX293*BX277+BY293*BY277+BZ293*BZ277+CA293*CA277+CB293*CB277+CC293*CC277+CD293*CD277+CE293*CE277+CF293*CF277+CG293*CG277+CH293*CH277+CI293*CI277+CJ293*CJ277+CK293*CK277+CL293*CL277+CM293*CM277+CN293*CN277+CO293*CO277+CP293*CP277+CQ293*CQ277+CR293*CR277+CS293*CS277+CT293*CT277+CU293*CU277</f>
        <v>0</v>
      </c>
      <c r="DE277" s="2840">
        <f>E294*E277+F294*F277+G294*G277+H294*H277+I294*I277+J294*J277+K294*K277+L294*L277+M294*M277+N294*N277+O294*O277+P294*P277+Q294*Q277+R294*R277+S294*S277+T294*T277+U294*U277+V294*V277+W294*W277+X294*X277+Y294*Y277+Z294*Z277+AA294*AA277+AB294*AB277+AC294*AC277+AD294*AD277+AE294*AE277+AF294*AF277+AG294*AG277+AH294*AH277+AI294*AI277+AJ294*AJ277+AK294*AK277+AL294*AL277+AM294*AM277+AN294*AN277+AO294*AO277+AP294*AP277+AQ294*AQ277+AR294*AR277+AS294*AS277+AT294*AT277+AU294*AU277+AV294*AV277+AW294*AW277+AX294*AX277+AY294*AY277+AZ294*AZ277+BA294*BA277+BB294*BB277+BC294*BC277+BD294*BD277+BE294*BE277+BF294*BF277+BG294*BG277+BH294*BH277+BI294*BI277+BJ294*BJ277+BK294*BK277+BL294*BL277+BM294*BM277+BN294*BN277+BO294*BO277+BP294*BP277+BQ294*BQ277+BR294*BR277+BS294*BS277+BT294*BT277+BU294*BU277+BV294*BV277+BW294*BW277+BX294*BX277+BY294*BY277+BZ294*BZ277+CA294*CA277+CB294*CB277+CC294*CC277+CD294*CD277+CE294*CE277+CF294*CF277+CG294*CG277+CH294*CH277+CI294*CI277+CJ294*CJ277+CK294*CK277+CL294*CL277+CM294*CM277+CN294*CN277+CO294*CO277+CP294*CP277+CQ294*CQ277+CR294*CR277+CS294*CS277+CT294*CT277+CU294*CU277</f>
        <v>0</v>
      </c>
      <c r="DF277" s="2840">
        <f>E295*E277+F295*F277+G295*G277+H295*H277+I295*I277+J295*J277+K295*K277+L295*L277+M295*M277+N295*N277+O295*O277+P295*P277+Q295*Q277+R295*R277+S295*S277+T295*T277+U295*U277+V295*V277+W295*W277+X295*X277+Y295*Y277+Z295*Z277+AA295*AA277+AB295*AB277+AC295*AC277+AD295*AD277+AE295*AE277+AF295*AF277+AG295*AG277+AH295*AH277+AI295*AI277+AJ295*AJ277+AK295*AK277+AL295*AL277+AM295*AM277+AN295*AN277+AO295*AO277+AP295*AP277+AQ295*AQ277+AR295*AR277+AS295*AS277+AT295*AT277+AU295*AU277+AV295*AV277+AW295*AW277+AX295*AX277+AY295*AY277+AZ295*AZ277+BA295*BA277+BB295*BB277+BC295*BC277+BD295*BD277+BE295*BE277+BF295*BF277+BG295*BG277+BH295*BH277+BI295*BI277+BJ295*BJ277+BK295*BK277+BL295*BL277+BM295*BM277+BN295*BN277+BO295*BO277+BP295*BP277+BQ295*BQ277+BR295*BR277+BS295*BS277+BT295*BT277+BU295*BU277+BV295*BV277+BW295*BW277+BX295*BX277+BY295*BY277+BZ295*BZ277+CA295*CA277+CB295*CB277+CC295*CC277+CD295*CD277+CE295*CE277+CF295*CF277+CG295*CG277+CH295*CH277+CI295*CI277+CJ295*CJ277+CK295*CK277+CL295*CL277+CM295*CM277+CN295*CN277+CO295*CO277+CP295*CP277+CQ295*CQ277+CR295*CR277+CS295*CS277+CT295*CT277+CU295*CU277</f>
        <v>0</v>
      </c>
      <c r="DG277" s="2840">
        <f>E296*E277+F296*F277+G296*G277+H296*H277+I296*I277+J296*J277+K296*K277+L296*L277+M296*M277+N296*N277+O296*O277+P296*P277+Q296*Q277+R296*R277+S296*S277+T296*T277+U296*U277+V296*V277+W296*W277+X296*X277+Y296*Y277+Z296*Z277+AA296*AA277+AB296*AB277+AC296*AC277+AD296*AD277+AE296*AE277+AF296*AF277+AG296*AG277+AH296*AH277+AI296*AI277+AJ296*AJ277+AK296*AK277+AL296*AL277+AM296*AM277+AN296*AN277+AO296*AO277+AP296*AP277+AQ296*AQ277+AR296*AR277+AS296*AS277+AT296*AT277+AU296*AU277+AV296*AV277+AW296*AW277+AX296*AX277+AY296*AY277+AZ296*AZ277+BA296*BA277+BB296*BB277+BC296*BC277+BD296*BD277+BE296*BE277+BF296*BF277+BG296*BG277+BH296*BH277+BI296*BI277+BJ296*BJ277+BK296*BK277+BL296*BL277+BM296*BM277+BN296*BN277+BO296*BO277+BP296*BP277+BQ296*BQ277+BR296*BR277+BS296*BS277+BT296*BT277+BU296*BU277+BV296*BV277+BW296*BW277+BX296*BX277+BY296*BY277+BZ296*BZ277+CA296*CA277+CB296*CB277+CC296*CC277+CD296*CD277+CE296*CE277+CF296*CF277+CG296*CG277+CH296*CH277+CI296*CI277+CJ296*CJ277+CK296*CK277+CL296*CL277+CM296*CM277+CN296*CN277+CO296*CO277+CP296*CP277+CQ296*CQ277+CR296*CR277+CS296*CS277+CT296*CT277+CU296*CU277</f>
        <v>0</v>
      </c>
      <c r="DH277" s="2840">
        <f>E297*E277+F297*F277+G297*G277+H297*H277+I297*I277+J297*J277+K297*K277+L297*L277+M297*M277+N297*N277+O297*O277+P297*P277+Q297*Q277+R297*R277+S297*S277+T297*T277+U297*U277+V297*V277+W297*W277+X297*X277+Y297*Y277+Z297*Z277+AA297*AA277+AB297*AB277+AC297*AC277+AD297*AD277+AE297*AE277+AF297*AF277+AG297*AG277+AH297*AH277+AI297*AI277+AJ297*AJ277+AK297*AK277+AL297*AL277+AM297*AM277+AN297*AN277+AO297*AO277+AP297*AP277+AQ297*AQ277+AR297*AR277+AS297*AS277+AT297*AT277+AU297*AU277+AV297*AV277+AW297*AW277+AX297*AX277+AY297*AY277+AZ297*AZ277+BA297*BA277+BB297*BB277+BC297*BC277+BD297*BD277+BE297*BE277+BF297*BF277+BG297*BG277+BH297*BH277+BI297*BI277+BJ297*BJ277+BK297*BK277+BL297*BL277+BM297*BM277+BN297*BN277+BO297*BO277+BP297*BP277+BQ297*BQ277+BR297*BR277+BS297*BS277+BT297*BT277+BU297*BU277+BV297*BV277+BW297*BW277+BX297*BX277+BY297*BY277+BZ297*BZ277+CA297*CA277+CB297*CB277+CC297*CC277+CD297*CD277+CE297*CE277+CF297*CF277+CG297*CG277+CH297*CH277+CI297*CI277+CJ297*CJ277+CK297*CK277+CL297*CL277+CM297*CM277+CN297*CN277+CO297*CO277+CP297*CP277+CQ297*CQ277+CR297*CR277+CS297*CS277+CT297*CT277+CU297*CU277</f>
        <v>0</v>
      </c>
      <c r="DI277" s="2840">
        <f>E298*E277+F298*F277+G298*G277+H298*H277+I298*I277+J298*J277+K298*K277+L298*L277+M298*M277+N298*N277+O298*O277+P298*P277+Q298*Q277+R298*R277+S298*S277+T298*T277+U298*U277+V298*V277+W298*W277+X298*X277+Y298*Y277+Z298*Z277+AA298*AA277+AB298*AB277+AC298*AC277+AD298*AD277+AE298*AE277+AF298*AF277+AG298*AG277+AH298*AH277+AI298*AI277+AJ298*AJ277+AK298*AK277+AL298*AL277+AM298*AM277+AN298*AN277+AO298*AO277+AP298*AP277+AQ298*AQ277+AR298*AR277+AS298*AS277+AT298*AT277+AU298*AU277+AV298*AV277+AW298*AW277+AX298*AX277+AY298*AY277+AZ298*AZ277+BA298*BA277+BB298*BB277+BC298*BC277+BD298*BD277+BE298*BE277+BF298*BF277+BG298*BG277+BH298*BH277+BI298*BI277+BJ298*BJ277+BK298*BK277+BL298*BL277+BM298*BM277+BN298*BN277+BO298*BO277+BP298*BP277+BQ298*BQ277+BR298*BR277+BS298*BS277+BT298*BT277+BU298*BU277+BV298*BV277+BW298*BW277+BX298*BX277+BY298*BY277+BZ298*BZ277+CA298*CA277+CB298*CB277+CC298*CC277+CD298*CD277+CE298*CE277+CF298*CF277+CG298*CG277+CH298*CH277+CI298*CI277+CJ298*CJ277+CK298*CK277+CL298*CL277+CM298*CM277+CN298*CN277+CO298*CO277+CP298*CP277+CQ298*CQ277+CR298*CR277+CS298*CS277+CT298*CT277+CU298*CU277</f>
        <v>0</v>
      </c>
    </row>
    <row r="278" spans="2:113" ht="18" x14ac:dyDescent="0.25">
      <c r="B278" s="2503">
        <v>125</v>
      </c>
      <c r="C278" s="2427" t="s">
        <v>5266</v>
      </c>
      <c r="D278" s="1282" t="s">
        <v>3639</v>
      </c>
      <c r="E278" s="3119">
        <f>0</f>
        <v>0</v>
      </c>
      <c r="F278" s="3119">
        <f>0</f>
        <v>0</v>
      </c>
      <c r="G278" s="3119">
        <f>0</f>
        <v>0</v>
      </c>
      <c r="H278" s="3119">
        <f>0</f>
        <v>0</v>
      </c>
      <c r="I278" s="3119">
        <f>0</f>
        <v>0</v>
      </c>
      <c r="J278" s="3148">
        <f>0</f>
        <v>0</v>
      </c>
      <c r="K278" s="3119">
        <f>0</f>
        <v>0</v>
      </c>
      <c r="L278" s="3119">
        <f>0</f>
        <v>0</v>
      </c>
      <c r="M278" s="3119">
        <f>0</f>
        <v>0</v>
      </c>
      <c r="N278" s="3119">
        <f>0</f>
        <v>0</v>
      </c>
      <c r="O278" s="3119">
        <f>0</f>
        <v>0</v>
      </c>
      <c r="P278" s="3119">
        <f>0</f>
        <v>0</v>
      </c>
      <c r="Q278" s="3119">
        <f>0</f>
        <v>0</v>
      </c>
      <c r="R278" s="3159">
        <f>0</f>
        <v>0</v>
      </c>
      <c r="S278" s="3119">
        <f>0</f>
        <v>0</v>
      </c>
      <c r="T278" s="3119">
        <f>0</f>
        <v>0</v>
      </c>
      <c r="U278" s="3119">
        <f>0</f>
        <v>0</v>
      </c>
      <c r="V278" s="3119">
        <f>0</f>
        <v>0</v>
      </c>
      <c r="W278" s="3119">
        <f>0</f>
        <v>0</v>
      </c>
      <c r="X278" s="3119">
        <f>0</f>
        <v>0</v>
      </c>
      <c r="Y278" s="3119">
        <f>0</f>
        <v>0</v>
      </c>
      <c r="Z278" s="3119">
        <f>0</f>
        <v>0</v>
      </c>
      <c r="AA278" s="3119">
        <f>0</f>
        <v>0</v>
      </c>
      <c r="AB278" s="3119">
        <f>0</f>
        <v>0</v>
      </c>
      <c r="AC278" s="3119">
        <f>0</f>
        <v>0</v>
      </c>
      <c r="AD278" s="3119">
        <f>1</f>
        <v>1</v>
      </c>
      <c r="AE278" s="3119">
        <f>0</f>
        <v>0</v>
      </c>
      <c r="AF278" s="3119">
        <f>0</f>
        <v>0</v>
      </c>
      <c r="AG278" s="3119">
        <f>0</f>
        <v>0</v>
      </c>
      <c r="AH278" s="3119">
        <f>0</f>
        <v>0</v>
      </c>
      <c r="AI278" s="3119">
        <f>0</f>
        <v>0</v>
      </c>
      <c r="AJ278" s="3148">
        <f>0</f>
        <v>0</v>
      </c>
      <c r="AK278" s="3119">
        <f>0</f>
        <v>0</v>
      </c>
      <c r="AL278" s="3119">
        <f>0</f>
        <v>0</v>
      </c>
      <c r="AM278" s="3119">
        <f>0</f>
        <v>0</v>
      </c>
      <c r="AN278" s="3119">
        <f>0</f>
        <v>0</v>
      </c>
      <c r="AO278" s="3119">
        <f>0</f>
        <v>0</v>
      </c>
      <c r="AP278" s="3148">
        <f>0</f>
        <v>0</v>
      </c>
      <c r="AQ278" s="3119">
        <f>0</f>
        <v>0</v>
      </c>
      <c r="AR278" s="3119">
        <f>0</f>
        <v>0</v>
      </c>
      <c r="AS278" s="3119">
        <f>0</f>
        <v>0</v>
      </c>
      <c r="AT278" s="3119">
        <f>0</f>
        <v>0</v>
      </c>
      <c r="AU278" s="3119">
        <f>0</f>
        <v>0</v>
      </c>
      <c r="AV278" s="3119">
        <f>0</f>
        <v>0</v>
      </c>
      <c r="AW278" s="3119">
        <f>0</f>
        <v>0</v>
      </c>
      <c r="AX278" s="3119">
        <f>0</f>
        <v>0</v>
      </c>
      <c r="AY278" s="3119">
        <f>0</f>
        <v>0</v>
      </c>
      <c r="AZ278" s="3119">
        <f>0</f>
        <v>0</v>
      </c>
      <c r="BA278" s="3119">
        <f>0</f>
        <v>0</v>
      </c>
      <c r="BB278" s="3119">
        <f>0</f>
        <v>0</v>
      </c>
      <c r="BC278" s="3119">
        <f>0</f>
        <v>0</v>
      </c>
      <c r="BD278" s="3119">
        <f>0</f>
        <v>0</v>
      </c>
      <c r="BE278" s="3159">
        <f>0</f>
        <v>0</v>
      </c>
      <c r="BF278" s="3159">
        <f>0</f>
        <v>0</v>
      </c>
      <c r="BG278" s="3159">
        <f>0</f>
        <v>0</v>
      </c>
      <c r="BH278" s="3159">
        <f>0</f>
        <v>0</v>
      </c>
      <c r="BI278" s="3159">
        <f>0</f>
        <v>0</v>
      </c>
      <c r="BJ278" s="3159">
        <f>0</f>
        <v>0</v>
      </c>
      <c r="BK278" s="3159">
        <f>0</f>
        <v>0</v>
      </c>
      <c r="BL278" s="3159">
        <f>0</f>
        <v>0</v>
      </c>
      <c r="BM278" s="3159">
        <f>0</f>
        <v>0</v>
      </c>
      <c r="BN278" s="3159">
        <f>0</f>
        <v>0</v>
      </c>
      <c r="BO278" s="3159">
        <f>0</f>
        <v>0</v>
      </c>
      <c r="BP278" s="3159">
        <f>0</f>
        <v>0</v>
      </c>
      <c r="BQ278" s="3159">
        <f>0</f>
        <v>0</v>
      </c>
      <c r="BR278" s="3159">
        <f>0</f>
        <v>0</v>
      </c>
      <c r="BS278" s="3159">
        <f>0</f>
        <v>0</v>
      </c>
      <c r="BT278" s="3159">
        <f>0</f>
        <v>0</v>
      </c>
      <c r="BU278" s="3159">
        <f>0</f>
        <v>0</v>
      </c>
      <c r="BV278" s="3159">
        <f>0</f>
        <v>0</v>
      </c>
      <c r="BW278" s="3159">
        <f>0</f>
        <v>0</v>
      </c>
      <c r="BX278" s="3159">
        <f>0</f>
        <v>0</v>
      </c>
      <c r="BY278" s="3159">
        <f>0</f>
        <v>0</v>
      </c>
      <c r="BZ278" s="3204">
        <f>0</f>
        <v>0</v>
      </c>
      <c r="CA278" s="3204">
        <f>0</f>
        <v>0</v>
      </c>
      <c r="CB278" s="3204">
        <f>0</f>
        <v>0</v>
      </c>
      <c r="CC278" s="3204">
        <f>0</f>
        <v>0</v>
      </c>
      <c r="CD278" s="3159">
        <f>0</f>
        <v>0</v>
      </c>
      <c r="CE278" s="3159">
        <f>0</f>
        <v>0</v>
      </c>
      <c r="CF278" s="3159">
        <f>0</f>
        <v>0</v>
      </c>
      <c r="CG278" s="3159">
        <f>0</f>
        <v>0</v>
      </c>
      <c r="CH278" s="3159">
        <f>0</f>
        <v>0</v>
      </c>
      <c r="CI278" s="3159">
        <f>0</f>
        <v>0</v>
      </c>
      <c r="CJ278" s="3159">
        <f>0</f>
        <v>0</v>
      </c>
      <c r="CK278" s="3159">
        <f>0</f>
        <v>0</v>
      </c>
      <c r="CL278" s="3159">
        <f>0</f>
        <v>0</v>
      </c>
      <c r="CM278" s="3159">
        <f>0</f>
        <v>0</v>
      </c>
      <c r="CN278" s="3159">
        <f>0</f>
        <v>0</v>
      </c>
      <c r="CO278" s="3159">
        <f>0</f>
        <v>0</v>
      </c>
      <c r="CP278" s="3159">
        <f>0</f>
        <v>0</v>
      </c>
      <c r="CQ278" s="3159">
        <f>0</f>
        <v>0</v>
      </c>
      <c r="CR278" s="3159">
        <f>-Δ_atm</f>
        <v>-1</v>
      </c>
      <c r="CS278" s="3159">
        <f>0</f>
        <v>0</v>
      </c>
      <c r="CT278" s="3159">
        <f>0</f>
        <v>0</v>
      </c>
      <c r="CU278" s="3159">
        <f>0</f>
        <v>0</v>
      </c>
      <c r="CV278" s="3226">
        <f>k_transfer_GNH3_sur</f>
        <v>0</v>
      </c>
      <c r="CX278" s="2838">
        <f>E287*E278+F287*F278+G287*G278+H287*H278+I287*I278+J287*J278+K287*K278+L287*L278+M287*M278+N287*N278+O287*O278+P287*P278+Q287*Q278+R287*R278+S287*S278+T287*T278+U287*U278+V287*V278+W287*W278+X287*X278+Y287*Y278+Z287*Z278+AA287*AA278+AB287*AB278+AC287*AC278+AD287*AD278+AE287*AE278+AF287*AF278+AG287*AG278+AH287*AH278+AI287*AI278+AJ287*AJ278+AK287*AK278+AL287*AL278+AM287*AM278+AN287*AN278+AO287*AO278+AP287*AP278+AQ287*AQ278+AR287*AR278+AS287*AS278+AT287*AT278+AU287*AU278+AV287*AV278+AW287*AW278+AX287*AX278+AY287*AY278+AZ287*AZ278+BA287*BA278+BB287*BB278+BC287*BC278+BD287*BD278+BE287*BE278+BF287*BF278+BG287*BG278+BH287*BH278+BI287*BI278+BJ287*BJ278+BK287*BK278+BL287*BL278+BM287*BM278+BN287*BN278+BO287*BO278+BP287*BP278+BQ287*BQ278+BR287*BR278+BS287*BS278+BT287*BT278+BU287*BU278+BV287*BV278+BW287*BW278+BX287*BX278+BY287*BY278+BZ287*BZ278+CA287*CA278+CB287*CB278+CC287*CC278+CD287*CD278+CE287*CE278+CF287*CF278+CG287*CG278+CH287*CH278+CI287*CI278+CJ287*CJ278+CK287*CK278+CL287*CL278+CM287*CM278+CN287*CN278+CO287*CO278+CP287*CP278+CQ287*CQ278+CR287*CR278+CS287*CS278+CT287*CT278+CU287*CU278</f>
        <v>0</v>
      </c>
      <c r="CY278" s="2838">
        <f>E288*E278+F288*F278+G288*G278+H288*H278+I288*I278+J288*J278+K288*K278+L288*L278+M288*M278+N288*N278+O288*O278+P288*P278+Q288*Q278+R288*R278+S288*S278+T288*T278+U288*U278+V288*V278+W288*W278+X288*X278+Y288*Y278+Z288*Z278+AA288*AA278+AB288*AB278+AC288*AC278+AD288*AD278+AE288*AE278+AF288*AF278+AG288*AG278+AH288*AH278+AI288*AI278+AJ288*AJ278+AK288*AK278+AL288*AL278+AM288*AM278+AN288*AN278+AO288*AO278+AP288*AP278+AQ288*AQ278+AR288*AR278+AS288*AS278+AT288*AT278+AU288*AU278+AV288*AV278+AW288*AW278+AX288*AX278+AY288*AY278+AZ288*AZ278+BA288*BA278+BB288*BB278+BC288*BC278+BD288*BD278+BE288*BE278+BF288*BF278+BG288*BG278+BH288*BH278+BI288*BI278+BJ288*BJ278+BK288*BK278+BL288*BL278+BM288*BM278+BN288*BN278+BO288*BO278+BP288*BP278+BQ288*BQ278+BR288*BR278+BS288*BS278+BT288*BT278+BU288*BU278+BV288*BV278+BW288*BW278+BX288*BX278+BY288*BY278+BZ288*BZ278+CA288*CA278+CB288*CB278+CC288*CC278+CD288*CD278+CE288*CE278+CF288*CF278+CG288*CG278+CH288*CH278+CI288*CI278+CJ288*CJ278+CK288*CK278+CL288*CL278+CM288*CM278+CN288*CN278+CO288*CO278+CP288*CP278+CQ288*CQ278+CR288*CR278+CS288*CS278+CT288*CT278+CU288*CU278</f>
        <v>0</v>
      </c>
      <c r="CZ278" s="2839">
        <f>E289*E278+F289*F278+G289*G278+H289*H278+I289*I278+J289*J278+K289*K278+L289*L278+M289*M278+N289*N278+O289*O278+P289*P278+Q289*Q278+R289*R278+S289*S278+T289*T278+U289*U278+V289*V278+W289*W278+X289*X278+Y289*Y278+Z289*Z278+AA289*AA278+AB289*AB278+AC289*AC278+AD289*AD278+AE289*AE278+AF289*AF278+AG289*AG278+AH289*AH278+AI289*AI278+AJ289*AJ278+AK289*AK278+AL289*AL278+AM289*AM278+AN289*AN278+AO289*AO278+AP289*AP278+AQ289*AQ278+AR289*AR278+AS289*AS278+AT289*AT278+AU289*AU278+AV289*AV278+AW289*AW278+AX289*AX278+AY289*AY278+AZ289*AZ278+BA289*BA278+BB289*BB278+BC289*BC278+BD289*BD278+BE289*BE278+BF289*BF278+BG289*BG278+BH289*BH278+BI289*BI278+BJ289*BJ278+BK289*BK278+BL289*BL278+BM289*BM278+BN289*BN278+BO289*BO278+BP289*BP278+BQ289*BQ278+BR289*BR278+BS289*BS278+BT289*BT278+BU289*BU278+BV289*BV278+BW289*BW278+BX289*BX278+BY289*BY278+BZ289*BZ278+CA289*CA278+CB289*CB278+CC289*CC278+CD289*CD278+CE289*CE278+CF289*CF278+CG289*CG278+CH289*CH278+CI289*CI278+CJ289*CJ278+CK289*CK278+CL289*CL278+CM289*CM278+CN289*CN278+CO289*CO278+CP289*CP278+CQ289*CQ278+CR289*CR278+CS289*CS278+CT289*CT278+CU289*CU278</f>
        <v>0</v>
      </c>
      <c r="DA278" s="2840">
        <f>E290*E278+F290*F278+G290*G278+H290*H278+I290*I278+J290*J278+K290*K278+L290*L278+M290*M278+N290*N278+O290*O278+P290*P278+Q290*Q278+R290*R278+S290*S278+T290*T278+U290*U278+V290*V278+W290*W278+X290*X278+Y290*Y278+Z290*Z278+AA290*AA278+AB290*AB278+AC290*AC278+AD290*AD278+AE290*AE278+AF290*AF278+AG290*AG278+AH290*AH278+AI290*AI278+AJ290*AJ278+AK290*AK278+AL290*AL278+AM290*AM278+AN290*AN278+AO290*AO278+AP290*AP278+AQ290*AQ278+AR290*AR278+AS290*AS278+AT290*AT278+AU290*AU278+AV290*AV278+AW290*AW278+AX290*AX278+AY290*AY278+AZ290*AZ278+BA290*BA278+BB290*BB278+BC290*BC278+BD290*BD278+BE290*BE278+BF290*BF278+BG290*BG278+BH290*BH278+BI290*BI278+BJ290*BJ278+BK290*BK278+BL290*BL278+BM290*BM278+BN290*BN278+BO290*BO278+BP290*BP278+BQ290*BQ278+BR290*BR278+BS290*BS278+BT290*BT278+BU290*BU278+BV290*BV278+BW290*BW278+BX290*BX278+BY290*BY278+BZ290*BZ278+CA290*CA278+CB290*CB278+CC290*CC278+CD290*CD278+CE290*CE278+CF290*CF278+CG290*CG278+CH290*CH278+CI290*CI278+CJ290*CJ278+CK290*CK278+CL290*CL278+CM290*CM278+CN290*CN278+CO290*CO278+CP290*CP278+CQ290*CQ278+CR290*CR278+CS290*CS278+CT290*CT278+CU290*CU278</f>
        <v>0</v>
      </c>
      <c r="DB278" s="2840">
        <f>E291*E278+F291*F278+G291*G278+H291*H278+I291*I278+J291*J278+K291*K278+L291*L278+M291*M278+N291*N278+O291*O278+P291*P278+Q291*Q278+R291*R278+S291*S278+T291*T278+U291*U278+V291*V278+W291*W278+X291*X278+Y291*Y278+Z291*Z278+AA291*AA278+AB291*AB278+AC291*AC278+AD291*AD278+AE291*AE278+AF291*AF278+AG291*AG278+AH291*AH278+AI291*AI278+AJ291*AJ278+AK291*AK278+AL291*AL278+AM291*AM278+AN291*AN278+AO291*AO278+AP291*AP278+AQ291*AQ278+AR291*AR278+AS291*AS278+AT291*AT278+AU291*AU278+AV291*AV278+AW291*AW278+AX291*AX278+AY291*AY278+AZ291*AZ278+BA291*BA278+BB291*BB278+BC291*BC278+BD291*BD278+BE291*BE278+BF291*BF278+BG291*BG278+BH291*BH278+BI291*BI278+BJ291*BJ278+BK291*BK278+BL291*BL278+BM291*BM278+BN291*BN278+BO291*BO278+BP291*BP278+BQ291*BQ278+BR291*BR278+BS291*BS278+BT291*BT278+BU291*BU278+BV291*BV278+BW291*BW278+BX291*BX278+BY291*BY278+BZ291*BZ278+CA291*CA278+CB291*CB278+CC291*CC278+CD291*CD278+CE291*CE278+CF291*CF278+CG291*CG278+CH291*CH278+CI291*CI278+CJ291*CJ278+CK291*CK278+CL291*CL278+CM291*CM278+CN291*CN278+CO291*CO278+CP291*CP278+CQ291*CQ278+CR291*CR278+CS291*CS278+CT291*CT278+CU291*CU278</f>
        <v>0</v>
      </c>
      <c r="DC278" s="2840">
        <f>E292*E278+F292*F278+G292*G278+H292*H278+I292*I278+J292*J278+K292*K278+L292*L278+M292*M278+N292*N278+O292*O278+P292*P278+Q292*Q278+R292*R278+S292*S278+T292*T278+U292*U278+V292*V278+W292*W278+X292*X278+Y292*Y278+Z292*Z278+AA292*AA278+AB292*AB278+AC292*AC278+AD292*AD278+AE292*AE278+AF292*AF278+AG292*AG278+AH292*AH278+AI292*AI278+AJ292*AJ278+AK292*AK278+AL292*AL278+AM292*AM278+AN292*AN278+AO292*AO278+AP292*AP278+AQ292*AQ278+AR292*AR278+AS292*AS278+AT292*AT278+AU292*AU278+AV292*AV278+AW292*AW278+AX292*AX278+AY292*AY278+AZ292*AZ278+BA292*BA278+BB292*BB278+BC292*BC278+BD292*BD278+BE292*BE278+BF292*BF278+BG292*BG278+BH292*BH278+BI292*BI278+BJ292*BJ278+BK292*BK278+BL292*BL278+BM292*BM278+BN292*BN278+BO292*BO278+BP292*BP278+BQ292*BQ278+BR292*BR278+BS292*BS278+BT292*BT278+BU292*BU278+BV292*BV278+BW292*BW278+BX292*BX278+BY292*BY278+BZ292*BZ278+CA292*CA278+CB292*CB278+CC292*CC278+CD292*CD278+CE292*CE278+CF292*CF278+CG292*CG278+CH292*CH278+CI292*CI278+CJ292*CJ278+CK292*CK278+CL292*CL278+CM292*CM278+CN292*CN278+CO292*CO278+CP292*CP278+CQ292*CQ278+CR292*CR278+CS292*CS278+CT292*CT278+CU292*CU278</f>
        <v>0</v>
      </c>
      <c r="DD278" s="2840">
        <f>E293*E278+F293*F278+G293*G278+H293*H278+I293*I278+J293*J278+K293*K278+L293*L278+M293*M278+N293*N278+O293*O278+P293*P278+Q293*Q278+R293*R278+S293*S278+T293*T278+U293*U278+V293*V278+W293*W278+X293*X278+Y293*Y278+Z293*Z278+AA293*AA278+AB293*AB278+AC293*AC278+AD293*AD278+AE293*AE278+AF293*AF278+AG293*AG278+AH293*AH278+AI293*AI278+AJ293*AJ278+AK293*AK278+AL293*AL278+AM293*AM278+AN293*AN278+AO293*AO278+AP293*AP278+AQ293*AQ278+AR293*AR278+AS293*AS278+AT293*AT278+AU293*AU278+AV293*AV278+AW293*AW278+AX293*AX278+AY293*AY278+AZ293*AZ278+BA293*BA278+BB293*BB278+BC293*BC278+BD293*BD278+BE293*BE278+BF293*BF278+BG293*BG278+BH293*BH278+BI293*BI278+BJ293*BJ278+BK293*BK278+BL293*BL278+BM293*BM278+BN293*BN278+BO293*BO278+BP293*BP278+BQ293*BQ278+BR293*BR278+BS293*BS278+BT293*BT278+BU293*BU278+BV293*BV278+BW293*BW278+BX293*BX278+BY293*BY278+BZ293*BZ278+CA293*CA278+CB293*CB278+CC293*CC278+CD293*CD278+CE293*CE278+CF293*CF278+CG293*CG278+CH293*CH278+CI293*CI278+CJ293*CJ278+CK293*CK278+CL293*CL278+CM293*CM278+CN293*CN278+CO293*CO278+CP293*CP278+CQ293*CQ278+CR293*CR278+CS293*CS278+CT293*CT278+CU293*CU278</f>
        <v>0</v>
      </c>
      <c r="DE278" s="2840">
        <f>E294*E278+F294*F278+G294*G278+H294*H278+I294*I278+J294*J278+K294*K278+L294*L278+M294*M278+N294*N278+O294*O278+P294*P278+Q294*Q278+R294*R278+S294*S278+T294*T278+U294*U278+V294*V278+W294*W278+X294*X278+Y294*Y278+Z294*Z278+AA294*AA278+AB294*AB278+AC294*AC278+AD294*AD278+AE294*AE278+AF294*AF278+AG294*AG278+AH294*AH278+AI294*AI278+AJ294*AJ278+AK294*AK278+AL294*AL278+AM294*AM278+AN294*AN278+AO294*AO278+AP294*AP278+AQ294*AQ278+AR294*AR278+AS294*AS278+AT294*AT278+AU294*AU278+AV294*AV278+AW294*AW278+AX294*AX278+AY294*AY278+AZ294*AZ278+BA294*BA278+BB294*BB278+BC294*BC278+BD294*BD278+BE294*BE278+BF294*BF278+BG294*BG278+BH294*BH278+BI294*BI278+BJ294*BJ278+BK294*BK278+BL294*BL278+BM294*BM278+BN294*BN278+BO294*BO278+BP294*BP278+BQ294*BQ278+BR294*BR278+BS294*BS278+BT294*BT278+BU294*BU278+BV294*BV278+BW294*BW278+BX294*BX278+BY294*BY278+BZ294*BZ278+CA294*CA278+CB294*CB278+CC294*CC278+CD294*CD278+CE294*CE278+CF294*CF278+CG294*CG278+CH294*CH278+CI294*CI278+CJ294*CJ278+CK294*CK278+CL294*CL278+CM294*CM278+CN294*CN278+CO294*CO278+CP294*CP278+CQ294*CQ278+CR294*CR278+CS294*CS278+CT294*CT278+CU294*CU278</f>
        <v>0</v>
      </c>
      <c r="DF278" s="2840">
        <f>E295*E278+F295*F278+G295*G278+H295*H278+I295*I278+J295*J278+K295*K278+L295*L278+M295*M278+N295*N278+O295*O278+P295*P278+Q295*Q278+R295*R278+S295*S278+T295*T278+U295*U278+V295*V278+W295*W278+X295*X278+Y295*Y278+Z295*Z278+AA295*AA278+AB295*AB278+AC295*AC278+AD295*AD278+AE295*AE278+AF295*AF278+AG295*AG278+AH295*AH278+AI295*AI278+AJ295*AJ278+AK295*AK278+AL295*AL278+AM295*AM278+AN295*AN278+AO295*AO278+AP295*AP278+AQ295*AQ278+AR295*AR278+AS295*AS278+AT295*AT278+AU295*AU278+AV295*AV278+AW295*AW278+AX295*AX278+AY295*AY278+AZ295*AZ278+BA295*BA278+BB295*BB278+BC295*BC278+BD295*BD278+BE295*BE278+BF295*BF278+BG295*BG278+BH295*BH278+BI295*BI278+BJ295*BJ278+BK295*BK278+BL295*BL278+BM295*BM278+BN295*BN278+BO295*BO278+BP295*BP278+BQ295*BQ278+BR295*BR278+BS295*BS278+BT295*BT278+BU295*BU278+BV295*BV278+BW295*BW278+BX295*BX278+BY295*BY278+BZ295*BZ278+CA295*CA278+CB295*CB278+CC295*CC278+CD295*CD278+CE295*CE278+CF295*CF278+CG295*CG278+CH295*CH278+CI295*CI278+CJ295*CJ278+CK295*CK278+CL295*CL278+CM295*CM278+CN295*CN278+CO295*CO278+CP295*CP278+CQ295*CQ278+CR295*CR278+CS295*CS278+CT295*CT278+CU295*CU278</f>
        <v>0</v>
      </c>
      <c r="DG278" s="2840">
        <f>E296*E278+F296*F278+G296*G278+H296*H278+I296*I278+J296*J278+K296*K278+L296*L278+M296*M278+N296*N278+O296*O278+P296*P278+Q296*Q278+R296*R278+S296*S278+T296*T278+U296*U278+V296*V278+W296*W278+X296*X278+Y296*Y278+Z296*Z278+AA296*AA278+AB296*AB278+AC296*AC278+AD296*AD278+AE296*AE278+AF296*AF278+AG296*AG278+AH296*AH278+AI296*AI278+AJ296*AJ278+AK296*AK278+AL296*AL278+AM296*AM278+AN296*AN278+AO296*AO278+AP296*AP278+AQ296*AQ278+AR296*AR278+AS296*AS278+AT296*AT278+AU296*AU278+AV296*AV278+AW296*AW278+AX296*AX278+AY296*AY278+AZ296*AZ278+BA296*BA278+BB296*BB278+BC296*BC278+BD296*BD278+BE296*BE278+BF296*BF278+BG296*BG278+BH296*BH278+BI296*BI278+BJ296*BJ278+BK296*BK278+BL296*BL278+BM296*BM278+BN296*BN278+BO296*BO278+BP296*BP278+BQ296*BQ278+BR296*BR278+BS296*BS278+BT296*BT278+BU296*BU278+BV296*BV278+BW296*BW278+BX296*BX278+BY296*BY278+BZ296*BZ278+CA296*CA278+CB296*CB278+CC296*CC278+CD296*CD278+CE296*CE278+CF296*CF278+CG296*CG278+CH296*CH278+CI296*CI278+CJ296*CJ278+CK296*CK278+CL296*CL278+CM296*CM278+CN296*CN278+CO296*CO278+CP296*CP278+CQ296*CQ278+CR296*CR278+CS296*CS278+CT296*CT278+CU296*CU278</f>
        <v>0</v>
      </c>
      <c r="DH278" s="2840">
        <f>E297*E278+F297*F278+G297*G278+H297*H278+I297*I278+J297*J278+K297*K278+L297*L278+M297*M278+N297*N278+O297*O278+P297*P278+Q297*Q278+R297*R278+S297*S278+T297*T278+U297*U278+V297*V278+W297*W278+X297*X278+Y297*Y278+Z297*Z278+AA297*AA278+AB297*AB278+AC297*AC278+AD297*AD278+AE297*AE278+AF297*AF278+AG297*AG278+AH297*AH278+AI297*AI278+AJ297*AJ278+AK297*AK278+AL297*AL278+AM297*AM278+AN297*AN278+AO297*AO278+AP297*AP278+AQ297*AQ278+AR297*AR278+AS297*AS278+AT297*AT278+AU297*AU278+AV297*AV278+AW297*AW278+AX297*AX278+AY297*AY278+AZ297*AZ278+BA297*BA278+BB297*BB278+BC297*BC278+BD297*BD278+BE297*BE278+BF297*BF278+BG297*BG278+BH297*BH278+BI297*BI278+BJ297*BJ278+BK297*BK278+BL297*BL278+BM297*BM278+BN297*BN278+BO297*BO278+BP297*BP278+BQ297*BQ278+BR297*BR278+BS297*BS278+BT297*BT278+BU297*BU278+BV297*BV278+BW297*BW278+BX297*BX278+BY297*BY278+BZ297*BZ278+CA297*CA278+CB297*CB278+CC297*CC278+CD297*CD278+CE297*CE278+CF297*CF278+CG297*CG278+CH297*CH278+CI297*CI278+CJ297*CJ278+CK297*CK278+CL297*CL278+CM297*CM278+CN297*CN278+CO297*CO278+CP297*CP278+CQ297*CQ278+CR297*CR278+CS297*CS278+CT297*CT278+CU297*CU278</f>
        <v>0</v>
      </c>
      <c r="DI278" s="2840">
        <f>E298*E278+F298*F278+G298*G278+H298*H278+I298*I278+J298*J278+K298*K278+L298*L278+M298*M278+N298*N278+O298*O278+P298*P278+Q298*Q278+R298*R278+S298*S278+T298*T278+U298*U278+V298*V278+W298*W278+X298*X278+Y298*Y278+Z298*Z278+AA298*AA278+AB298*AB278+AC298*AC278+AD298*AD278+AE298*AE278+AF298*AF278+AG298*AG278+AH298*AH278+AI298*AI278+AJ298*AJ278+AK298*AK278+AL298*AL278+AM298*AM278+AN298*AN278+AO298*AO278+AP298*AP278+AQ298*AQ278+AR298*AR278+AS298*AS278+AT298*AT278+AU298*AU278+AV298*AV278+AW298*AW278+AX298*AX278+AY298*AY278+AZ298*AZ278+BA298*BA278+BB298*BB278+BC298*BC278+BD298*BD278+BE298*BE278+BF298*BF278+BG298*BG278+BH298*BH278+BI298*BI278+BJ298*BJ278+BK298*BK278+BL298*BL278+BM298*BM278+BN298*BN278+BO298*BO278+BP298*BP278+BQ298*BQ278+BR298*BR278+BS298*BS278+BT298*BT278+BU298*BU278+BV298*BV278+BW298*BW278+BX298*BX278+BY298*BY278+BZ298*BZ278+CA298*CA278+CB298*CB278+CC298*CC278+CD298*CD278+CE298*CE278+CF298*CF278+CG298*CG278+CH298*CH278+CI298*CI278+CJ298*CJ278+CK298*CK278+CL298*CL278+CM298*CM278+CN298*CN278+CO298*CO278+CP298*CP278+CQ298*CQ278+CR298*CR278+CS298*CS278+CT298*CT278+CU298*CU278</f>
        <v>0</v>
      </c>
    </row>
    <row r="279" spans="2:113" ht="18" x14ac:dyDescent="0.25">
      <c r="B279" s="2503">
        <v>126</v>
      </c>
      <c r="C279" s="2427" t="s">
        <v>5267</v>
      </c>
      <c r="D279" s="1282" t="s">
        <v>3642</v>
      </c>
      <c r="E279" s="3119">
        <f>0</f>
        <v>0</v>
      </c>
      <c r="F279" s="3119">
        <f>0</f>
        <v>0</v>
      </c>
      <c r="G279" s="3119">
        <f>0</f>
        <v>0</v>
      </c>
      <c r="H279" s="3119">
        <f>0</f>
        <v>0</v>
      </c>
      <c r="I279" s="3119">
        <f>0</f>
        <v>0</v>
      </c>
      <c r="J279" s="3148">
        <f>0</f>
        <v>0</v>
      </c>
      <c r="K279" s="3119">
        <f>0</f>
        <v>0</v>
      </c>
      <c r="L279" s="3119">
        <f>0</f>
        <v>0</v>
      </c>
      <c r="M279" s="3119">
        <f>0</f>
        <v>0</v>
      </c>
      <c r="N279" s="3119">
        <f>0</f>
        <v>0</v>
      </c>
      <c r="O279" s="3119">
        <f>0</f>
        <v>0</v>
      </c>
      <c r="P279" s="3119">
        <f>0</f>
        <v>0</v>
      </c>
      <c r="Q279" s="3119">
        <f>0</f>
        <v>0</v>
      </c>
      <c r="R279" s="3159">
        <f>0</f>
        <v>0</v>
      </c>
      <c r="S279" s="3119">
        <f>0</f>
        <v>0</v>
      </c>
      <c r="T279" s="3119">
        <f>0</f>
        <v>0</v>
      </c>
      <c r="U279" s="3119">
        <f>0</f>
        <v>0</v>
      </c>
      <c r="V279" s="3119">
        <f>0</f>
        <v>0</v>
      </c>
      <c r="W279" s="3119">
        <f>0</f>
        <v>0</v>
      </c>
      <c r="X279" s="3119">
        <f>0</f>
        <v>0</v>
      </c>
      <c r="Y279" s="3119">
        <f>0</f>
        <v>0</v>
      </c>
      <c r="Z279" s="3119">
        <f>0</f>
        <v>0</v>
      </c>
      <c r="AA279" s="3119">
        <f>0</f>
        <v>0</v>
      </c>
      <c r="AB279" s="3119">
        <f>0</f>
        <v>0</v>
      </c>
      <c r="AC279" s="3119">
        <f>0</f>
        <v>0</v>
      </c>
      <c r="AD279" s="3119">
        <f>0</f>
        <v>0</v>
      </c>
      <c r="AE279" s="3119">
        <f>0</f>
        <v>0</v>
      </c>
      <c r="AF279" s="3119">
        <f>0</f>
        <v>0</v>
      </c>
      <c r="AG279" s="3119">
        <f>1</f>
        <v>1</v>
      </c>
      <c r="AH279" s="3119">
        <f>0</f>
        <v>0</v>
      </c>
      <c r="AI279" s="3119">
        <f>0</f>
        <v>0</v>
      </c>
      <c r="AJ279" s="3148">
        <f>0</f>
        <v>0</v>
      </c>
      <c r="AK279" s="3119">
        <f>0</f>
        <v>0</v>
      </c>
      <c r="AL279" s="3119">
        <f>0</f>
        <v>0</v>
      </c>
      <c r="AM279" s="3119">
        <f>0</f>
        <v>0</v>
      </c>
      <c r="AN279" s="3119">
        <f>0</f>
        <v>0</v>
      </c>
      <c r="AO279" s="3119">
        <f>0</f>
        <v>0</v>
      </c>
      <c r="AP279" s="3148">
        <f>0</f>
        <v>0</v>
      </c>
      <c r="AQ279" s="3119">
        <f>0</f>
        <v>0</v>
      </c>
      <c r="AR279" s="3119">
        <f>0</f>
        <v>0</v>
      </c>
      <c r="AS279" s="3119">
        <f>0</f>
        <v>0</v>
      </c>
      <c r="AT279" s="3119">
        <f>0</f>
        <v>0</v>
      </c>
      <c r="AU279" s="3119">
        <f>0</f>
        <v>0</v>
      </c>
      <c r="AV279" s="3119">
        <f>0</f>
        <v>0</v>
      </c>
      <c r="AW279" s="3119">
        <f>0</f>
        <v>0</v>
      </c>
      <c r="AX279" s="3119">
        <f>0</f>
        <v>0</v>
      </c>
      <c r="AY279" s="3119">
        <f>0</f>
        <v>0</v>
      </c>
      <c r="AZ279" s="3119">
        <f>0</f>
        <v>0</v>
      </c>
      <c r="BA279" s="3119">
        <f>0</f>
        <v>0</v>
      </c>
      <c r="BB279" s="3119">
        <f>0</f>
        <v>0</v>
      </c>
      <c r="BC279" s="3119">
        <f>0</f>
        <v>0</v>
      </c>
      <c r="BD279" s="3119">
        <f>0</f>
        <v>0</v>
      </c>
      <c r="BE279" s="3159">
        <f>0</f>
        <v>0</v>
      </c>
      <c r="BF279" s="3159">
        <f>0</f>
        <v>0</v>
      </c>
      <c r="BG279" s="3159">
        <f>0</f>
        <v>0</v>
      </c>
      <c r="BH279" s="3159">
        <f>0</f>
        <v>0</v>
      </c>
      <c r="BI279" s="3159">
        <f>0</f>
        <v>0</v>
      </c>
      <c r="BJ279" s="3159">
        <f>0</f>
        <v>0</v>
      </c>
      <c r="BK279" s="3159">
        <f>0</f>
        <v>0</v>
      </c>
      <c r="BL279" s="3159">
        <f>0</f>
        <v>0</v>
      </c>
      <c r="BM279" s="3159">
        <f>0</f>
        <v>0</v>
      </c>
      <c r="BN279" s="3159">
        <f>0</f>
        <v>0</v>
      </c>
      <c r="BO279" s="3159">
        <f>0</f>
        <v>0</v>
      </c>
      <c r="BP279" s="3159">
        <f>0</f>
        <v>0</v>
      </c>
      <c r="BQ279" s="3159">
        <f>0</f>
        <v>0</v>
      </c>
      <c r="BR279" s="3159">
        <f>0</f>
        <v>0</v>
      </c>
      <c r="BS279" s="3159">
        <f>0</f>
        <v>0</v>
      </c>
      <c r="BT279" s="3159">
        <f>0</f>
        <v>0</v>
      </c>
      <c r="BU279" s="3159">
        <f>0</f>
        <v>0</v>
      </c>
      <c r="BV279" s="3159">
        <f>0</f>
        <v>0</v>
      </c>
      <c r="BW279" s="3159">
        <f>0</f>
        <v>0</v>
      </c>
      <c r="BX279" s="3159">
        <f>0</f>
        <v>0</v>
      </c>
      <c r="BY279" s="3159">
        <f>0</f>
        <v>0</v>
      </c>
      <c r="BZ279" s="3204">
        <f>0</f>
        <v>0</v>
      </c>
      <c r="CA279" s="3204">
        <f>0</f>
        <v>0</v>
      </c>
      <c r="CB279" s="3204">
        <f>0</f>
        <v>0</v>
      </c>
      <c r="CC279" s="3204">
        <f>0</f>
        <v>0</v>
      </c>
      <c r="CD279" s="3159">
        <f>0</f>
        <v>0</v>
      </c>
      <c r="CE279" s="3159">
        <f>0</f>
        <v>0</v>
      </c>
      <c r="CF279" s="3159">
        <f>0</f>
        <v>0</v>
      </c>
      <c r="CG279" s="3159">
        <f>0</f>
        <v>0</v>
      </c>
      <c r="CH279" s="3159">
        <f>0</f>
        <v>0</v>
      </c>
      <c r="CI279" s="3159">
        <f>0</f>
        <v>0</v>
      </c>
      <c r="CJ279" s="3159">
        <f>0</f>
        <v>0</v>
      </c>
      <c r="CK279" s="3159">
        <f>0</f>
        <v>0</v>
      </c>
      <c r="CL279" s="3159">
        <f>0</f>
        <v>0</v>
      </c>
      <c r="CM279" s="3159">
        <f>0</f>
        <v>0</v>
      </c>
      <c r="CN279" s="3159">
        <f>0</f>
        <v>0</v>
      </c>
      <c r="CO279" s="3159">
        <f>0</f>
        <v>0</v>
      </c>
      <c r="CP279" s="3159">
        <f>0</f>
        <v>0</v>
      </c>
      <c r="CQ279" s="3159">
        <f>0</f>
        <v>0</v>
      </c>
      <c r="CR279" s="3159">
        <f>0</f>
        <v>0</v>
      </c>
      <c r="CS279" s="3159">
        <f>-Δ_atm</f>
        <v>-1</v>
      </c>
      <c r="CT279" s="3159">
        <f>0</f>
        <v>0</v>
      </c>
      <c r="CU279" s="3159">
        <f>0</f>
        <v>0</v>
      </c>
      <c r="CV279" s="3226">
        <f>k_LaGN2_sur*(S_GN2_sur_sat-S_N2)</f>
        <v>-8.19</v>
      </c>
      <c r="CX279" s="2838">
        <f>E287*E279+F287*F279+G287*G279+H287*H279+I287*I279+J287*J279+K287*K279+L287*L279+M287*M279+N287*N279+O287*O279+P287*P279+Q287*Q279+R287*R279+S287*S279+T287*T279+U287*U279+V287*V279+W287*W279+X287*X279+Y287*Y279+Z287*Z279+AA287*AA279+AB287*AB279+AC287*AC279+AD287*AD279+AE287*AE279+AF287*AF279+AG287*AG279+AH287*AH279+AI287*AI279+AJ287*AJ279+AK287*AK279+AL287*AL279+AM287*AM279+AN287*AN279+AO287*AO279+AP287*AP279+AQ287*AQ279+AR287*AR279+AS287*AS279+AT287*AT279+AU287*AU279+AV287*AV279+AW287*AW279+AX287*AX279+AY287*AY279+AZ287*AZ279+BA287*BA279+BB287*BB279+BC287*BC279+BD287*BD279+BE287*BE279+BF287*BF279+BG287*BG279+BH287*BH279+BI287*BI279+BJ287*BJ279+BK287*BK279+BL287*BL279+BM287*BM279+BN287*BN279+BO287*BO279+BP287*BP279+BQ287*BQ279+BR287*BR279+BS287*BS279+BT287*BT279+BU287*BU279+BV287*BV279+BW287*BW279+BX287*BX279+BY287*BY279+BZ287*BZ279+CA287*CA279+CB287*CB279+CC287*CC279+CD287*CD279+CE287*CE279+CF287*CF279+CG287*CG279+CH287*CH279+CI287*CI279+CJ287*CJ279+CK287*CK279+CL287*CL279+CM287*CM279+CN287*CN279+CO287*CO279+CP287*CP279+CQ287*CQ279+CR287*CR279+CS287*CS279+CT287*CT279+CU287*CU279</f>
        <v>0</v>
      </c>
      <c r="CY279" s="2838">
        <f>E288*E279+F288*F279+G288*G279+H288*H279+I288*I279+J288*J279+K288*K279+L288*L279+M288*M279+N288*N279+O288*O279+P288*P279+Q288*Q279+R288*R279+S288*S279+T288*T279+U288*U279+V288*V279+W288*W279+X288*X279+Y288*Y279+Z288*Z279+AA288*AA279+AB288*AB279+AC288*AC279+AD288*AD279+AE288*AE279+AF288*AF279+AG288*AG279+AH288*AH279+AI288*AI279+AJ288*AJ279+AK288*AK279+AL288*AL279+AM288*AM279+AN288*AN279+AO288*AO279+AP288*AP279+AQ288*AQ279+AR288*AR279+AS288*AS279+AT288*AT279+AU288*AU279+AV288*AV279+AW288*AW279+AX288*AX279+AY288*AY279+AZ288*AZ279+BA288*BA279+BB288*BB279+BC288*BC279+BD288*BD279+BE288*BE279+BF288*BF279+BG288*BG279+BH288*BH279+BI288*BI279+BJ288*BJ279+BK288*BK279+BL288*BL279+BM288*BM279+BN288*BN279+BO288*BO279+BP288*BP279+BQ288*BQ279+BR288*BR279+BS288*BS279+BT288*BT279+BU288*BU279+BV288*BV279+BW288*BW279+BX288*BX279+BY288*BY279+BZ288*BZ279+CA288*CA279+CB288*CB279+CC288*CC279+CD288*CD279+CE288*CE279+CF288*CF279+CG288*CG279+CH288*CH279+CI288*CI279+CJ288*CJ279+CK288*CK279+CL288*CL279+CM288*CM279+CN288*CN279+CO288*CO279+CP288*CP279+CQ288*CQ279+CR288*CR279+CS288*CS279+CT288*CT279+CU288*CU279</f>
        <v>0</v>
      </c>
      <c r="CZ279" s="2839">
        <f>E289*E279+F289*F279+G289*G279+H289*H279+I289*I279+J289*J279+K289*K279+L289*L279+M289*M279+N289*N279+O289*O279+P289*P279+Q289*Q279+R289*R279+S289*S279+T289*T279+U289*U279+V289*V279+W289*W279+X289*X279+Y289*Y279+Z289*Z279+AA289*AA279+AB289*AB279+AC289*AC279+AD289*AD279+AE289*AE279+AF289*AF279+AG289*AG279+AH289*AH279+AI289*AI279+AJ289*AJ279+AK289*AK279+AL289*AL279+AM289*AM279+AN289*AN279+AO289*AO279+AP289*AP279+AQ289*AQ279+AR289*AR279+AS289*AS279+AT289*AT279+AU289*AU279+AV289*AV279+AW289*AW279+AX289*AX279+AY289*AY279+AZ289*AZ279+BA289*BA279+BB289*BB279+BC289*BC279+BD289*BD279+BE289*BE279+BF289*BF279+BG289*BG279+BH289*BH279+BI289*BI279+BJ289*BJ279+BK289*BK279+BL289*BL279+BM289*BM279+BN289*BN279+BO289*BO279+BP289*BP279+BQ289*BQ279+BR289*BR279+BS289*BS279+BT289*BT279+BU289*BU279+BV289*BV279+BW289*BW279+BX289*BX279+BY289*BY279+BZ289*BZ279+CA289*CA279+CB289*CB279+CC289*CC279+CD289*CD279+CE289*CE279+CF289*CF279+CG289*CG279+CH289*CH279+CI289*CI279+CJ289*CJ279+CK289*CK279+CL289*CL279+CM289*CM279+CN289*CN279+CO289*CO279+CP289*CP279+CQ289*CQ279+CR289*CR279+CS289*CS279+CT289*CT279+CU289*CU279</f>
        <v>0</v>
      </c>
      <c r="DA279" s="2840">
        <f>E290*E279+F290*F279+G290*G279+H290*H279+I290*I279+J290*J279+K290*K279+L290*L279+M290*M279+N290*N279+O290*O279+P290*P279+Q290*Q279+R290*R279+S290*S279+T290*T279+U290*U279+V290*V279+W290*W279+X290*X279+Y290*Y279+Z290*Z279+AA290*AA279+AB290*AB279+AC290*AC279+AD290*AD279+AE290*AE279+AF290*AF279+AG290*AG279+AH290*AH279+AI290*AI279+AJ290*AJ279+AK290*AK279+AL290*AL279+AM290*AM279+AN290*AN279+AO290*AO279+AP290*AP279+AQ290*AQ279+AR290*AR279+AS290*AS279+AT290*AT279+AU290*AU279+AV290*AV279+AW290*AW279+AX290*AX279+AY290*AY279+AZ290*AZ279+BA290*BA279+BB290*BB279+BC290*BC279+BD290*BD279+BE290*BE279+BF290*BF279+BG290*BG279+BH290*BH279+BI290*BI279+BJ290*BJ279+BK290*BK279+BL290*BL279+BM290*BM279+BN290*BN279+BO290*BO279+BP290*BP279+BQ290*BQ279+BR290*BR279+BS290*BS279+BT290*BT279+BU290*BU279+BV290*BV279+BW290*BW279+BX290*BX279+BY290*BY279+BZ290*BZ279+CA290*CA279+CB290*CB279+CC290*CC279+CD290*CD279+CE290*CE279+CF290*CF279+CG290*CG279+CH290*CH279+CI290*CI279+CJ290*CJ279+CK290*CK279+CL290*CL279+CM290*CM279+CN290*CN279+CO290*CO279+CP290*CP279+CQ290*CQ279+CR290*CR279+CS290*CS279+CT290*CT279+CU290*CU279</f>
        <v>0</v>
      </c>
      <c r="DB279" s="2840">
        <f>E291*E279+F291*F279+G291*G279+H291*H279+I291*I279+J291*J279+K291*K279+L291*L279+M291*M279+N291*N279+O291*O279+P291*P279+Q291*Q279+R291*R279+S291*S279+T291*T279+U291*U279+V291*V279+W291*W279+X291*X279+Y291*Y279+Z291*Z279+AA291*AA279+AB291*AB279+AC291*AC279+AD291*AD279+AE291*AE279+AF291*AF279+AG291*AG279+AH291*AH279+AI291*AI279+AJ291*AJ279+AK291*AK279+AL291*AL279+AM291*AM279+AN291*AN279+AO291*AO279+AP291*AP279+AQ291*AQ279+AR291*AR279+AS291*AS279+AT291*AT279+AU291*AU279+AV291*AV279+AW291*AW279+AX291*AX279+AY291*AY279+AZ291*AZ279+BA291*BA279+BB291*BB279+BC291*BC279+BD291*BD279+BE291*BE279+BF291*BF279+BG291*BG279+BH291*BH279+BI291*BI279+BJ291*BJ279+BK291*BK279+BL291*BL279+BM291*BM279+BN291*BN279+BO291*BO279+BP291*BP279+BQ291*BQ279+BR291*BR279+BS291*BS279+BT291*BT279+BU291*BU279+BV291*BV279+BW291*BW279+BX291*BX279+BY291*BY279+BZ291*BZ279+CA291*CA279+CB291*CB279+CC291*CC279+CD291*CD279+CE291*CE279+CF291*CF279+CG291*CG279+CH291*CH279+CI291*CI279+CJ291*CJ279+CK291*CK279+CL291*CL279+CM291*CM279+CN291*CN279+CO291*CO279+CP291*CP279+CQ291*CQ279+CR291*CR279+CS291*CS279+CT291*CT279+CU291*CU279</f>
        <v>0</v>
      </c>
      <c r="DC279" s="2840">
        <f>E292*E279+F292*F279+G292*G279+H292*H279+I292*I279+J292*J279+K292*K279+L292*L279+M292*M279+N292*N279+O292*O279+P292*P279+Q292*Q279+R292*R279+S292*S279+T292*T279+U292*U279+V292*V279+W292*W279+X292*X279+Y292*Y279+Z292*Z279+AA292*AA279+AB292*AB279+AC292*AC279+AD292*AD279+AE292*AE279+AF292*AF279+AG292*AG279+AH292*AH279+AI292*AI279+AJ292*AJ279+AK292*AK279+AL292*AL279+AM292*AM279+AN292*AN279+AO292*AO279+AP292*AP279+AQ292*AQ279+AR292*AR279+AS292*AS279+AT292*AT279+AU292*AU279+AV292*AV279+AW292*AW279+AX292*AX279+AY292*AY279+AZ292*AZ279+BA292*BA279+BB292*BB279+BC292*BC279+BD292*BD279+BE292*BE279+BF292*BF279+BG292*BG279+BH292*BH279+BI292*BI279+BJ292*BJ279+BK292*BK279+BL292*BL279+BM292*BM279+BN292*BN279+BO292*BO279+BP292*BP279+BQ292*BQ279+BR292*BR279+BS292*BS279+BT292*BT279+BU292*BU279+BV292*BV279+BW292*BW279+BX292*BX279+BY292*BY279+BZ292*BZ279+CA292*CA279+CB292*CB279+CC292*CC279+CD292*CD279+CE292*CE279+CF292*CF279+CG292*CG279+CH292*CH279+CI292*CI279+CJ292*CJ279+CK292*CK279+CL292*CL279+CM292*CM279+CN292*CN279+CO292*CO279+CP292*CP279+CQ292*CQ279+CR292*CR279+CS292*CS279+CT292*CT279+CU292*CU279</f>
        <v>0</v>
      </c>
      <c r="DD279" s="2840">
        <f>E293*E279+F293*F279+G293*G279+H293*H279+I293*I279+J293*J279+K293*K279+L293*L279+M293*M279+N293*N279+O293*O279+P293*P279+Q293*Q279+R293*R279+S293*S279+T293*T279+U293*U279+V293*V279+W293*W279+X293*X279+Y293*Y279+Z293*Z279+AA293*AA279+AB293*AB279+AC293*AC279+AD293*AD279+AE293*AE279+AF293*AF279+AG293*AG279+AH293*AH279+AI293*AI279+AJ293*AJ279+AK293*AK279+AL293*AL279+AM293*AM279+AN293*AN279+AO293*AO279+AP293*AP279+AQ293*AQ279+AR293*AR279+AS293*AS279+AT293*AT279+AU293*AU279+AV293*AV279+AW293*AW279+AX293*AX279+AY293*AY279+AZ293*AZ279+BA293*BA279+BB293*BB279+BC293*BC279+BD293*BD279+BE293*BE279+BF293*BF279+BG293*BG279+BH293*BH279+BI293*BI279+BJ293*BJ279+BK293*BK279+BL293*BL279+BM293*BM279+BN293*BN279+BO293*BO279+BP293*BP279+BQ293*BQ279+BR293*BR279+BS293*BS279+BT293*BT279+BU293*BU279+BV293*BV279+BW293*BW279+BX293*BX279+BY293*BY279+BZ293*BZ279+CA293*CA279+CB293*CB279+CC293*CC279+CD293*CD279+CE293*CE279+CF293*CF279+CG293*CG279+CH293*CH279+CI293*CI279+CJ293*CJ279+CK293*CK279+CL293*CL279+CM293*CM279+CN293*CN279+CO293*CO279+CP293*CP279+CQ293*CQ279+CR293*CR279+CS293*CS279+CT293*CT279+CU293*CU279</f>
        <v>0</v>
      </c>
      <c r="DE279" s="2840">
        <f>E294*E279+F294*F279+G294*G279+H294*H279+I294*I279+J294*J279+K294*K279+L294*L279+M294*M279+N294*N279+O294*O279+P294*P279+Q294*Q279+R294*R279+S294*S279+T294*T279+U294*U279+V294*V279+W294*W279+X294*X279+Y294*Y279+Z294*Z279+AA294*AA279+AB294*AB279+AC294*AC279+AD294*AD279+AE294*AE279+AF294*AF279+AG294*AG279+AH294*AH279+AI294*AI279+AJ294*AJ279+AK294*AK279+AL294*AL279+AM294*AM279+AN294*AN279+AO294*AO279+AP294*AP279+AQ294*AQ279+AR294*AR279+AS294*AS279+AT294*AT279+AU294*AU279+AV294*AV279+AW294*AW279+AX294*AX279+AY294*AY279+AZ294*AZ279+BA294*BA279+BB294*BB279+BC294*BC279+BD294*BD279+BE294*BE279+BF294*BF279+BG294*BG279+BH294*BH279+BI294*BI279+BJ294*BJ279+BK294*BK279+BL294*BL279+BM294*BM279+BN294*BN279+BO294*BO279+BP294*BP279+BQ294*BQ279+BR294*BR279+BS294*BS279+BT294*BT279+BU294*BU279+BV294*BV279+BW294*BW279+BX294*BX279+BY294*BY279+BZ294*BZ279+CA294*CA279+CB294*CB279+CC294*CC279+CD294*CD279+CE294*CE279+CF294*CF279+CG294*CG279+CH294*CH279+CI294*CI279+CJ294*CJ279+CK294*CK279+CL294*CL279+CM294*CM279+CN294*CN279+CO294*CO279+CP294*CP279+CQ294*CQ279+CR294*CR279+CS294*CS279+CT294*CT279+CU294*CU279</f>
        <v>0</v>
      </c>
      <c r="DF279" s="2840">
        <f>E295*E279+F295*F279+G295*G279+H295*H279+I295*I279+J295*J279+K295*K279+L295*L279+M295*M279+N295*N279+O295*O279+P295*P279+Q295*Q279+R295*R279+S295*S279+T295*T279+U295*U279+V295*V279+W295*W279+X295*X279+Y295*Y279+Z295*Z279+AA295*AA279+AB295*AB279+AC295*AC279+AD295*AD279+AE295*AE279+AF295*AF279+AG295*AG279+AH295*AH279+AI295*AI279+AJ295*AJ279+AK295*AK279+AL295*AL279+AM295*AM279+AN295*AN279+AO295*AO279+AP295*AP279+AQ295*AQ279+AR295*AR279+AS295*AS279+AT295*AT279+AU295*AU279+AV295*AV279+AW295*AW279+AX295*AX279+AY295*AY279+AZ295*AZ279+BA295*BA279+BB295*BB279+BC295*BC279+BD295*BD279+BE295*BE279+BF295*BF279+BG295*BG279+BH295*BH279+BI295*BI279+BJ295*BJ279+BK295*BK279+BL295*BL279+BM295*BM279+BN295*BN279+BO295*BO279+BP295*BP279+BQ295*BQ279+BR295*BR279+BS295*BS279+BT295*BT279+BU295*BU279+BV295*BV279+BW295*BW279+BX295*BX279+BY295*BY279+BZ295*BZ279+CA295*CA279+CB295*CB279+CC295*CC279+CD295*CD279+CE295*CE279+CF295*CF279+CG295*CG279+CH295*CH279+CI295*CI279+CJ295*CJ279+CK295*CK279+CL295*CL279+CM295*CM279+CN295*CN279+CO295*CO279+CP295*CP279+CQ295*CQ279+CR295*CR279+CS295*CS279+CT295*CT279+CU295*CU279</f>
        <v>0</v>
      </c>
      <c r="DG279" s="2840">
        <f>E296*E279+F296*F279+G296*G279+H296*H279+I296*I279+J296*J279+K296*K279+L296*L279+M296*M279+N296*N279+O296*O279+P296*P279+Q296*Q279+R296*R279+S296*S279+T296*T279+U296*U279+V296*V279+W296*W279+X296*X279+Y296*Y279+Z296*Z279+AA296*AA279+AB296*AB279+AC296*AC279+AD296*AD279+AE296*AE279+AF296*AF279+AG296*AG279+AH296*AH279+AI296*AI279+AJ296*AJ279+AK296*AK279+AL296*AL279+AM296*AM279+AN296*AN279+AO296*AO279+AP296*AP279+AQ296*AQ279+AR296*AR279+AS296*AS279+AT296*AT279+AU296*AU279+AV296*AV279+AW296*AW279+AX296*AX279+AY296*AY279+AZ296*AZ279+BA296*BA279+BB296*BB279+BC296*BC279+BD296*BD279+BE296*BE279+BF296*BF279+BG296*BG279+BH296*BH279+BI296*BI279+BJ296*BJ279+BK296*BK279+BL296*BL279+BM296*BM279+BN296*BN279+BO296*BO279+BP296*BP279+BQ296*BQ279+BR296*BR279+BS296*BS279+BT296*BT279+BU296*BU279+BV296*BV279+BW296*BW279+BX296*BX279+BY296*BY279+BZ296*BZ279+CA296*CA279+CB296*CB279+CC296*CC279+CD296*CD279+CE296*CE279+CF296*CF279+CG296*CG279+CH296*CH279+CI296*CI279+CJ296*CJ279+CK296*CK279+CL296*CL279+CM296*CM279+CN296*CN279+CO296*CO279+CP296*CP279+CQ296*CQ279+CR296*CR279+CS296*CS279+CT296*CT279+CU296*CU279</f>
        <v>0</v>
      </c>
      <c r="DH279" s="2840">
        <f>E297*E279+F297*F279+G297*G279+H297*H279+I297*I279+J297*J279+K297*K279+L297*L279+M297*M279+N297*N279+O297*O279+P297*P279+Q297*Q279+R297*R279+S297*S279+T297*T279+U297*U279+V297*V279+W297*W279+X297*X279+Y297*Y279+Z297*Z279+AA297*AA279+AB297*AB279+AC297*AC279+AD297*AD279+AE297*AE279+AF297*AF279+AG297*AG279+AH297*AH279+AI297*AI279+AJ297*AJ279+AK297*AK279+AL297*AL279+AM297*AM279+AN297*AN279+AO297*AO279+AP297*AP279+AQ297*AQ279+AR297*AR279+AS297*AS279+AT297*AT279+AU297*AU279+AV297*AV279+AW297*AW279+AX297*AX279+AY297*AY279+AZ297*AZ279+BA297*BA279+BB297*BB279+BC297*BC279+BD297*BD279+BE297*BE279+BF297*BF279+BG297*BG279+BH297*BH279+BI297*BI279+BJ297*BJ279+BK297*BK279+BL297*BL279+BM297*BM279+BN297*BN279+BO297*BO279+BP297*BP279+BQ297*BQ279+BR297*BR279+BS297*BS279+BT297*BT279+BU297*BU279+BV297*BV279+BW297*BW279+BX297*BX279+BY297*BY279+BZ297*BZ279+CA297*CA279+CB297*CB279+CC297*CC279+CD297*CD279+CE297*CE279+CF297*CF279+CG297*CG279+CH297*CH279+CI297*CI279+CJ297*CJ279+CK297*CK279+CL297*CL279+CM297*CM279+CN297*CN279+CO297*CO279+CP297*CP279+CQ297*CQ279+CR297*CR279+CS297*CS279+CT297*CT279+CU297*CU279</f>
        <v>0</v>
      </c>
      <c r="DI279" s="2840">
        <f>E298*E279+F298*F279+G298*G279+H298*H279+I298*I279+J298*J279+K298*K279+L298*L279+M298*M279+N298*N279+O298*O279+P298*P279+Q298*Q279+R298*R279+S298*S279+T298*T279+U298*U279+V298*V279+W298*W279+X298*X279+Y298*Y279+Z298*Z279+AA298*AA279+AB298*AB279+AC298*AC279+AD298*AD279+AE298*AE279+AF298*AF279+AG298*AG279+AH298*AH279+AI298*AI279+AJ298*AJ279+AK298*AK279+AL298*AL279+AM298*AM279+AN298*AN279+AO298*AO279+AP298*AP279+AQ298*AQ279+AR298*AR279+AS298*AS279+AT298*AT279+AU298*AU279+AV298*AV279+AW298*AW279+AX298*AX279+AY298*AY279+AZ298*AZ279+BA298*BA279+BB298*BB279+BC298*BC279+BD298*BD279+BE298*BE279+BF298*BF279+BG298*BG279+BH298*BH279+BI298*BI279+BJ298*BJ279+BK298*BK279+BL298*BL279+BM298*BM279+BN298*BN279+BO298*BO279+BP298*BP279+BQ298*BQ279+BR298*BR279+BS298*BS279+BT298*BT279+BU298*BU279+BV298*BV279+BW298*BW279+BX298*BX279+BY298*BY279+BZ298*BZ279+CA298*CA279+CB298*CB279+CC298*CC279+CD298*CD279+CE298*CE279+CF298*CF279+CG298*CG279+CH298*CH279+CI298*CI279+CJ298*CJ279+CK298*CK279+CL298*CL279+CM298*CM279+CN298*CN279+CO298*CO279+CP298*CP279+CQ298*CQ279+CR298*CR279+CS298*CS279+CT298*CT279+CU298*CU279</f>
        <v>0</v>
      </c>
    </row>
    <row r="280" spans="2:113" ht="18" x14ac:dyDescent="0.25">
      <c r="B280" s="2503">
        <v>127</v>
      </c>
      <c r="C280" s="2427" t="s">
        <v>5268</v>
      </c>
      <c r="D280" s="1282" t="s">
        <v>3297</v>
      </c>
      <c r="E280" s="3119">
        <f>0</f>
        <v>0</v>
      </c>
      <c r="F280" s="3119">
        <f>0</f>
        <v>0</v>
      </c>
      <c r="G280" s="3119">
        <f>0</f>
        <v>0</v>
      </c>
      <c r="H280" s="3119">
        <f>0</f>
        <v>0</v>
      </c>
      <c r="I280" s="3119">
        <f>0</f>
        <v>0</v>
      </c>
      <c r="J280" s="3148">
        <f>0</f>
        <v>0</v>
      </c>
      <c r="K280" s="3119">
        <f>0</f>
        <v>0</v>
      </c>
      <c r="L280" s="3119">
        <f>0</f>
        <v>0</v>
      </c>
      <c r="M280" s="3119">
        <f>0</f>
        <v>0</v>
      </c>
      <c r="N280" s="3119">
        <f>0</f>
        <v>0</v>
      </c>
      <c r="O280" s="3119">
        <f>0</f>
        <v>0</v>
      </c>
      <c r="P280" s="3119">
        <f>0</f>
        <v>0</v>
      </c>
      <c r="Q280" s="3119">
        <f>0</f>
        <v>0</v>
      </c>
      <c r="R280" s="3159">
        <f>0</f>
        <v>0</v>
      </c>
      <c r="S280" s="3119">
        <f>0</f>
        <v>0</v>
      </c>
      <c r="T280" s="3119">
        <f>0</f>
        <v>0</v>
      </c>
      <c r="U280" s="3119">
        <f>0</f>
        <v>0</v>
      </c>
      <c r="V280" s="3119">
        <f>0</f>
        <v>0</v>
      </c>
      <c r="W280" s="3119">
        <f>0</f>
        <v>0</v>
      </c>
      <c r="X280" s="3119">
        <f>0</f>
        <v>0</v>
      </c>
      <c r="Y280" s="3119">
        <f>0</f>
        <v>0</v>
      </c>
      <c r="Z280" s="3119">
        <f>0</f>
        <v>0</v>
      </c>
      <c r="AA280" s="3119">
        <f>0</f>
        <v>0</v>
      </c>
      <c r="AB280" s="3119">
        <f>0</f>
        <v>0</v>
      </c>
      <c r="AC280" s="3119">
        <f>0</f>
        <v>0</v>
      </c>
      <c r="AD280" s="3119">
        <f>0</f>
        <v>0</v>
      </c>
      <c r="AE280" s="3119">
        <f>0</f>
        <v>0</v>
      </c>
      <c r="AF280" s="3119">
        <f>0</f>
        <v>0</v>
      </c>
      <c r="AG280" s="3119">
        <f>0</f>
        <v>0</v>
      </c>
      <c r="AH280" s="3119">
        <f>0</f>
        <v>0</v>
      </c>
      <c r="AI280" s="3119">
        <f>0</f>
        <v>0</v>
      </c>
      <c r="AJ280" s="3148">
        <f>0</f>
        <v>0</v>
      </c>
      <c r="AK280" s="3119">
        <f>0</f>
        <v>0</v>
      </c>
      <c r="AL280" s="3119">
        <f>0</f>
        <v>0</v>
      </c>
      <c r="AM280" s="3119">
        <f>0</f>
        <v>0</v>
      </c>
      <c r="AN280" s="3119">
        <f>0</f>
        <v>0</v>
      </c>
      <c r="AO280" s="3119">
        <f>0</f>
        <v>0</v>
      </c>
      <c r="AP280" s="3148">
        <f>0</f>
        <v>0</v>
      </c>
      <c r="AQ280" s="3119">
        <f>0</f>
        <v>0</v>
      </c>
      <c r="AR280" s="3119">
        <f>0</f>
        <v>0</v>
      </c>
      <c r="AS280" s="3119">
        <f>0</f>
        <v>0</v>
      </c>
      <c r="AT280" s="3119">
        <f>0</f>
        <v>0</v>
      </c>
      <c r="AU280" s="3119">
        <f>0</f>
        <v>0</v>
      </c>
      <c r="AV280" s="3119">
        <f>0</f>
        <v>0</v>
      </c>
      <c r="AW280" s="3119">
        <f>0</f>
        <v>0</v>
      </c>
      <c r="AX280" s="3119">
        <f>0</f>
        <v>0</v>
      </c>
      <c r="AY280" s="3119">
        <f>0</f>
        <v>0</v>
      </c>
      <c r="AZ280" s="3119">
        <f>0</f>
        <v>0</v>
      </c>
      <c r="BA280" s="3119">
        <f>0</f>
        <v>0</v>
      </c>
      <c r="BB280" s="3119">
        <f>1</f>
        <v>1</v>
      </c>
      <c r="BC280" s="3119">
        <f>0</f>
        <v>0</v>
      </c>
      <c r="BD280" s="3119">
        <f>0</f>
        <v>0</v>
      </c>
      <c r="BE280" s="3159">
        <f>0</f>
        <v>0</v>
      </c>
      <c r="BF280" s="3159">
        <f>0</f>
        <v>0</v>
      </c>
      <c r="BG280" s="3159">
        <f>0</f>
        <v>0</v>
      </c>
      <c r="BH280" s="3159">
        <f>0</f>
        <v>0</v>
      </c>
      <c r="BI280" s="3159">
        <f>0</f>
        <v>0</v>
      </c>
      <c r="BJ280" s="3159">
        <f>0</f>
        <v>0</v>
      </c>
      <c r="BK280" s="3159">
        <f>0</f>
        <v>0</v>
      </c>
      <c r="BL280" s="3159">
        <f>0</f>
        <v>0</v>
      </c>
      <c r="BM280" s="3159">
        <f>0</f>
        <v>0</v>
      </c>
      <c r="BN280" s="3159">
        <f>0</f>
        <v>0</v>
      </c>
      <c r="BO280" s="3159">
        <f>0</f>
        <v>0</v>
      </c>
      <c r="BP280" s="3159">
        <f>0</f>
        <v>0</v>
      </c>
      <c r="BQ280" s="3159">
        <f>0</f>
        <v>0</v>
      </c>
      <c r="BR280" s="3159">
        <f>0</f>
        <v>0</v>
      </c>
      <c r="BS280" s="3159">
        <f>0</f>
        <v>0</v>
      </c>
      <c r="BT280" s="3159">
        <f>0</f>
        <v>0</v>
      </c>
      <c r="BU280" s="3159">
        <f>0</f>
        <v>0</v>
      </c>
      <c r="BV280" s="3159">
        <f>0</f>
        <v>0</v>
      </c>
      <c r="BW280" s="3159">
        <f>0</f>
        <v>0</v>
      </c>
      <c r="BX280" s="3159">
        <f>0</f>
        <v>0</v>
      </c>
      <c r="BY280" s="3159">
        <f>0</f>
        <v>0</v>
      </c>
      <c r="BZ280" s="3204">
        <f>0</f>
        <v>0</v>
      </c>
      <c r="CA280" s="3204">
        <f>0</f>
        <v>0</v>
      </c>
      <c r="CB280" s="3204">
        <f>0</f>
        <v>0</v>
      </c>
      <c r="CC280" s="3204">
        <f>0</f>
        <v>0</v>
      </c>
      <c r="CD280" s="3159">
        <f>0</f>
        <v>0</v>
      </c>
      <c r="CE280" s="3159">
        <f>0</f>
        <v>0</v>
      </c>
      <c r="CF280" s="3159">
        <f>0</f>
        <v>0</v>
      </c>
      <c r="CG280" s="3159">
        <f>0</f>
        <v>0</v>
      </c>
      <c r="CH280" s="3159">
        <f>0</f>
        <v>0</v>
      </c>
      <c r="CI280" s="3159">
        <f>0</f>
        <v>0</v>
      </c>
      <c r="CJ280" s="3159">
        <f>0</f>
        <v>0</v>
      </c>
      <c r="CK280" s="3159">
        <f>0</f>
        <v>0</v>
      </c>
      <c r="CL280" s="3159">
        <f>0</f>
        <v>0</v>
      </c>
      <c r="CM280" s="3159">
        <f>0</f>
        <v>0</v>
      </c>
      <c r="CN280" s="3159">
        <f>0</f>
        <v>0</v>
      </c>
      <c r="CO280" s="3159">
        <f>0</f>
        <v>0</v>
      </c>
      <c r="CP280" s="3159">
        <f>0</f>
        <v>0</v>
      </c>
      <c r="CQ280" s="3159">
        <f>0</f>
        <v>0</v>
      </c>
      <c r="CR280" s="3159">
        <f>0</f>
        <v>0</v>
      </c>
      <c r="CS280" s="3159">
        <f>0</f>
        <v>0</v>
      </c>
      <c r="CT280" s="3159">
        <f>-Δ_atm</f>
        <v>-1</v>
      </c>
      <c r="CU280" s="3159">
        <f>0</f>
        <v>0</v>
      </c>
      <c r="CV280" s="3226">
        <f>k_transfer_GH2S_sur</f>
        <v>8592.4931369141996</v>
      </c>
      <c r="CX280" s="2838">
        <f>E287*E280+F287*F280+G287*G280+H287*H280+I287*I280+J287*J280+K287*K280+L287*L280+M287*M280+N287*N280+O287*O280+P287*P280+Q287*Q280+R287*R280+S287*S280+T287*T280+U287*U280+V287*V280+W287*W280+X287*X280+Y287*Y280+Z287*Z280+AA287*AA280+AB287*AB280+AC287*AC280+AD287*AD280+AE287*AE280+AF287*AF280+AG287*AG280+AH287*AH280+AI287*AI280+AJ287*AJ280+AK287*AK280+AL287*AL280+AM287*AM280+AN287*AN280+AO287*AO280+AP287*AP280+AQ287*AQ280+AR287*AR280+AS287*AS280+AT287*AT280+AU287*AU280+AV287*AV280+AW287*AW280+AX287*AX280+AY287*AY280+AZ287*AZ280+BA287*BA280+BB287*BB280+BC287*BC280+BD287*BD280+BE287*BE280+BF287*BF280+BG287*BG280+BH287*BH280+BI287*BI280+BJ287*BJ280+BK287*BK280+BL287*BL280+BM287*BM280+BN287*BN280+BO287*BO280+BP287*BP280+BQ287*BQ280+BR287*BR280+BS287*BS280+BT287*BT280+BU287*BU280+BV287*BV280+BW287*BW280+BX287*BX280+BY287*BY280+BZ287*BZ280+CA287*CA280+CB287*CB280+CC287*CC280+CD287*CD280+CE287*CE280+CF287*CF280+CG287*CG280+CH287*CH280+CI287*CI280+CJ287*CJ280+CK287*CK280+CL287*CL280+CM287*CM280+CN287*CN280+CO287*CO280+CP287*CP280+CQ287*CQ280+CR287*CR280+CS287*CS280+CT287*CT280+CU287*CU280</f>
        <v>0</v>
      </c>
      <c r="CY280" s="2838">
        <f>E288*E280+F288*F280+G288*G280+H288*H280+I288*I280+J288*J280+K288*K280+L288*L280+M288*M280+N288*N280+O288*O280+P288*P280+Q288*Q280+R288*R280+S288*S280+T288*T280+U288*U280+V288*V280+W288*W280+X288*X280+Y288*Y280+Z288*Z280+AA288*AA280+AB288*AB280+AC288*AC280+AD288*AD280+AE288*AE280+AF288*AF280+AG288*AG280+AH288*AH280+AI288*AI280+AJ288*AJ280+AK288*AK280+AL288*AL280+AM288*AM280+AN288*AN280+AO288*AO280+AP288*AP280+AQ288*AQ280+AR288*AR280+AS288*AS280+AT288*AT280+AU288*AU280+AV288*AV280+AW288*AW280+AX288*AX280+AY288*AY280+AZ288*AZ280+BA288*BA280+BB288*BB280+BC288*BC280+BD288*BD280+BE288*BE280+BF288*BF280+BG288*BG280+BH288*BH280+BI288*BI280+BJ288*BJ280+BK288*BK280+BL288*BL280+BM288*BM280+BN288*BN280+BO288*BO280+BP288*BP280+BQ288*BQ280+BR288*BR280+BS288*BS280+BT288*BT280+BU288*BU280+BV288*BV280+BW288*BW280+BX288*BX280+BY288*BY280+BZ288*BZ280+CA288*CA280+CB288*CB280+CC288*CC280+CD288*CD280+CE288*CE280+CF288*CF280+CG288*CG280+CH288*CH280+CI288*CI280+CJ288*CJ280+CK288*CK280+CL288*CL280+CM288*CM280+CN288*CN280+CO288*CO280+CP288*CP280+CQ288*CQ280+CR288*CR280+CS288*CS280+CT288*CT280+CU288*CU280</f>
        <v>0</v>
      </c>
      <c r="CZ280" s="2839">
        <f>E289*E280+F289*F280+G289*G280+H289*H280+I289*I280+J289*J280+K289*K280+L289*L280+M289*M280+N289*N280+O289*O280+P289*P280+Q289*Q280+R289*R280+S289*S280+T289*T280+U289*U280+V289*V280+W289*W280+X289*X280+Y289*Y280+Z289*Z280+AA289*AA280+AB289*AB280+AC289*AC280+AD289*AD280+AE289*AE280+AF289*AF280+AG289*AG280+AH289*AH280+AI289*AI280+AJ289*AJ280+AK289*AK280+AL289*AL280+AM289*AM280+AN289*AN280+AO289*AO280+AP289*AP280+AQ289*AQ280+AR289*AR280+AS289*AS280+AT289*AT280+AU289*AU280+AV289*AV280+AW289*AW280+AX289*AX280+AY289*AY280+AZ289*AZ280+BA289*BA280+BB289*BB280+BC289*BC280+BD289*BD280+BE289*BE280+BF289*BF280+BG289*BG280+BH289*BH280+BI289*BI280+BJ289*BJ280+BK289*BK280+BL289*BL280+BM289*BM280+BN289*BN280+BO289*BO280+BP289*BP280+BQ289*BQ280+BR289*BR280+BS289*BS280+BT289*BT280+BU289*BU280+BV289*BV280+BW289*BW280+BX289*BX280+BY289*BY280+BZ289*BZ280+CA289*CA280+CB289*CB280+CC289*CC280+CD289*CD280+CE289*CE280+CF289*CF280+CG289*CG280+CH289*CH280+CI289*CI280+CJ289*CJ280+CK289*CK280+CL289*CL280+CM289*CM280+CN289*CN280+CO289*CO280+CP289*CP280+CQ289*CQ280+CR289*CR280+CS289*CS280+CT289*CT280+CU289*CU280</f>
        <v>0</v>
      </c>
      <c r="DA280" s="2840">
        <f>E290*E280+F290*F280+G290*G280+H290*H280+I290*I280+J290*J280+K290*K280+L290*L280+M290*M280+N290*N280+O290*O280+P290*P280+Q290*Q280+R290*R280+S290*S280+T290*T280+U290*U280+V290*V280+W290*W280+X290*X280+Y290*Y280+Z290*Z280+AA290*AA280+AB290*AB280+AC290*AC280+AD290*AD280+AE290*AE280+AF290*AF280+AG290*AG280+AH290*AH280+AI290*AI280+AJ290*AJ280+AK290*AK280+AL290*AL280+AM290*AM280+AN290*AN280+AO290*AO280+AP290*AP280+AQ290*AQ280+AR290*AR280+AS290*AS280+AT290*AT280+AU290*AU280+AV290*AV280+AW290*AW280+AX290*AX280+AY290*AY280+AZ290*AZ280+BA290*BA280+BB290*BB280+BC290*BC280+BD290*BD280+BE290*BE280+BF290*BF280+BG290*BG280+BH290*BH280+BI290*BI280+BJ290*BJ280+BK290*BK280+BL290*BL280+BM290*BM280+BN290*BN280+BO290*BO280+BP290*BP280+BQ290*BQ280+BR290*BR280+BS290*BS280+BT290*BT280+BU290*BU280+BV290*BV280+BW290*BW280+BX290*BX280+BY290*BY280+BZ290*BZ280+CA290*CA280+CB290*CB280+CC290*CC280+CD290*CD280+CE290*CE280+CF290*CF280+CG290*CG280+CH290*CH280+CI290*CI280+CJ290*CJ280+CK290*CK280+CL290*CL280+CM290*CM280+CN290*CN280+CO290*CO280+CP290*CP280+CQ290*CQ280+CR290*CR280+CS290*CS280+CT290*CT280+CU290*CU280</f>
        <v>0</v>
      </c>
      <c r="DB280" s="2840">
        <f>E291*E280+F291*F280+G291*G280+H291*H280+I291*I280+J291*J280+K291*K280+L291*L280+M291*M280+N291*N280+O291*O280+P291*P280+Q291*Q280+R291*R280+S291*S280+T291*T280+U291*U280+V291*V280+W291*W280+X291*X280+Y291*Y280+Z291*Z280+AA291*AA280+AB291*AB280+AC291*AC280+AD291*AD280+AE291*AE280+AF291*AF280+AG291*AG280+AH291*AH280+AI291*AI280+AJ291*AJ280+AK291*AK280+AL291*AL280+AM291*AM280+AN291*AN280+AO291*AO280+AP291*AP280+AQ291*AQ280+AR291*AR280+AS291*AS280+AT291*AT280+AU291*AU280+AV291*AV280+AW291*AW280+AX291*AX280+AY291*AY280+AZ291*AZ280+BA291*BA280+BB291*BB280+BC291*BC280+BD291*BD280+BE291*BE280+BF291*BF280+BG291*BG280+BH291*BH280+BI291*BI280+BJ291*BJ280+BK291*BK280+BL291*BL280+BM291*BM280+BN291*BN280+BO291*BO280+BP291*BP280+BQ291*BQ280+BR291*BR280+BS291*BS280+BT291*BT280+BU291*BU280+BV291*BV280+BW291*BW280+BX291*BX280+BY291*BY280+BZ291*BZ280+CA291*CA280+CB291*CB280+CC291*CC280+CD291*CD280+CE291*CE280+CF291*CF280+CG291*CG280+CH291*CH280+CI291*CI280+CJ291*CJ280+CK291*CK280+CL291*CL280+CM291*CM280+CN291*CN280+CO291*CO280+CP291*CP280+CQ291*CQ280+CR291*CR280+CS291*CS280+CT291*CT280+CU291*CU280</f>
        <v>0</v>
      </c>
      <c r="DC280" s="2840">
        <f>E292*E280+F292*F280+G292*G280+H292*H280+I292*I280+J292*J280+K292*K280+L292*L280+M292*M280+N292*N280+O292*O280+P292*P280+Q292*Q280+R292*R280+S292*S280+T292*T280+U292*U280+V292*V280+W292*W280+X292*X280+Y292*Y280+Z292*Z280+AA292*AA280+AB292*AB280+AC292*AC280+AD292*AD280+AE292*AE280+AF292*AF280+AG292*AG280+AH292*AH280+AI292*AI280+AJ292*AJ280+AK292*AK280+AL292*AL280+AM292*AM280+AN292*AN280+AO292*AO280+AP292*AP280+AQ292*AQ280+AR292*AR280+AS292*AS280+AT292*AT280+AU292*AU280+AV292*AV280+AW292*AW280+AX292*AX280+AY292*AY280+AZ292*AZ280+BA292*BA280+BB292*BB280+BC292*BC280+BD292*BD280+BE292*BE280+BF292*BF280+BG292*BG280+BH292*BH280+BI292*BI280+BJ292*BJ280+BK292*BK280+BL292*BL280+BM292*BM280+BN292*BN280+BO292*BO280+BP292*BP280+BQ292*BQ280+BR292*BR280+BS292*BS280+BT292*BT280+BU292*BU280+BV292*BV280+BW292*BW280+BX292*BX280+BY292*BY280+BZ292*BZ280+CA292*CA280+CB292*CB280+CC292*CC280+CD292*CD280+CE292*CE280+CF292*CF280+CG292*CG280+CH292*CH280+CI292*CI280+CJ292*CJ280+CK292*CK280+CL292*CL280+CM292*CM280+CN292*CN280+CO292*CO280+CP292*CP280+CQ292*CQ280+CR292*CR280+CS292*CS280+CT292*CT280+CU292*CU280</f>
        <v>0</v>
      </c>
      <c r="DD280" s="2840">
        <f>E293*E280+F293*F280+G293*G280+H293*H280+I293*I280+J293*J280+K293*K280+L293*L280+M293*M280+N293*N280+O293*O280+P293*P280+Q293*Q280+R293*R280+S293*S280+T293*T280+U293*U280+V293*V280+W293*W280+X293*X280+Y293*Y280+Z293*Z280+AA293*AA280+AB293*AB280+AC293*AC280+AD293*AD280+AE293*AE280+AF293*AF280+AG293*AG280+AH293*AH280+AI293*AI280+AJ293*AJ280+AK293*AK280+AL293*AL280+AM293*AM280+AN293*AN280+AO293*AO280+AP293*AP280+AQ293*AQ280+AR293*AR280+AS293*AS280+AT293*AT280+AU293*AU280+AV293*AV280+AW293*AW280+AX293*AX280+AY293*AY280+AZ293*AZ280+BA293*BA280+BB293*BB280+BC293*BC280+BD293*BD280+BE293*BE280+BF293*BF280+BG293*BG280+BH293*BH280+BI293*BI280+BJ293*BJ280+BK293*BK280+BL293*BL280+BM293*BM280+BN293*BN280+BO293*BO280+BP293*BP280+BQ293*BQ280+BR293*BR280+BS293*BS280+BT293*BT280+BU293*BU280+BV293*BV280+BW293*BW280+BX293*BX280+BY293*BY280+BZ293*BZ280+CA293*CA280+CB293*CB280+CC293*CC280+CD293*CD280+CE293*CE280+CF293*CF280+CG293*CG280+CH293*CH280+CI293*CI280+CJ293*CJ280+CK293*CK280+CL293*CL280+CM293*CM280+CN293*CN280+CO293*CO280+CP293*CP280+CQ293*CQ280+CR293*CR280+CS293*CS280+CT293*CT280+CU293*CU280</f>
        <v>0</v>
      </c>
      <c r="DE280" s="2840">
        <f>E294*E280+F294*F280+G294*G280+H294*H280+I294*I280+J294*J280+K294*K280+L294*L280+M294*M280+N294*N280+O294*O280+P294*P280+Q294*Q280+R294*R280+S294*S280+T294*T280+U294*U280+V294*V280+W294*W280+X294*X280+Y294*Y280+Z294*Z280+AA294*AA280+AB294*AB280+AC294*AC280+AD294*AD280+AE294*AE280+AF294*AF280+AG294*AG280+AH294*AH280+AI294*AI280+AJ294*AJ280+AK294*AK280+AL294*AL280+AM294*AM280+AN294*AN280+AO294*AO280+AP294*AP280+AQ294*AQ280+AR294*AR280+AS294*AS280+AT294*AT280+AU294*AU280+AV294*AV280+AW294*AW280+AX294*AX280+AY294*AY280+AZ294*AZ280+BA294*BA280+BB294*BB280+BC294*BC280+BD294*BD280+BE294*BE280+BF294*BF280+BG294*BG280+BH294*BH280+BI294*BI280+BJ294*BJ280+BK294*BK280+BL294*BL280+BM294*BM280+BN294*BN280+BO294*BO280+BP294*BP280+BQ294*BQ280+BR294*BR280+BS294*BS280+BT294*BT280+BU294*BU280+BV294*BV280+BW294*BW280+BX294*BX280+BY294*BY280+BZ294*BZ280+CA294*CA280+CB294*CB280+CC294*CC280+CD294*CD280+CE294*CE280+CF294*CF280+CG294*CG280+CH294*CH280+CI294*CI280+CJ294*CJ280+CK294*CK280+CL294*CL280+CM294*CM280+CN294*CN280+CO294*CO280+CP294*CP280+CQ294*CQ280+CR294*CR280+CS294*CS280+CT294*CT280+CU294*CU280</f>
        <v>0</v>
      </c>
      <c r="DF280" s="2840">
        <f>E295*E280+F295*F280+G295*G280+H295*H280+I295*I280+J295*J280+K295*K280+L295*L280+M295*M280+N295*N280+O295*O280+P295*P280+Q295*Q280+R295*R280+S295*S280+T295*T280+U295*U280+V295*V280+W295*W280+X295*X280+Y295*Y280+Z295*Z280+AA295*AA280+AB295*AB280+AC295*AC280+AD295*AD280+AE295*AE280+AF295*AF280+AG295*AG280+AH295*AH280+AI295*AI280+AJ295*AJ280+AK295*AK280+AL295*AL280+AM295*AM280+AN295*AN280+AO295*AO280+AP295*AP280+AQ295*AQ280+AR295*AR280+AS295*AS280+AT295*AT280+AU295*AU280+AV295*AV280+AW295*AW280+AX295*AX280+AY295*AY280+AZ295*AZ280+BA295*BA280+BB295*BB280+BC295*BC280+BD295*BD280+BE295*BE280+BF295*BF280+BG295*BG280+BH295*BH280+BI295*BI280+BJ295*BJ280+BK295*BK280+BL295*BL280+BM295*BM280+BN295*BN280+BO295*BO280+BP295*BP280+BQ295*BQ280+BR295*BR280+BS295*BS280+BT295*BT280+BU295*BU280+BV295*BV280+BW295*BW280+BX295*BX280+BY295*BY280+BZ295*BZ280+CA295*CA280+CB295*CB280+CC295*CC280+CD295*CD280+CE295*CE280+CF295*CF280+CG295*CG280+CH295*CH280+CI295*CI280+CJ295*CJ280+CK295*CK280+CL295*CL280+CM295*CM280+CN295*CN280+CO295*CO280+CP295*CP280+CQ295*CQ280+CR295*CR280+CS295*CS280+CT295*CT280+CU295*CU280</f>
        <v>0</v>
      </c>
      <c r="DG280" s="2840">
        <f>E296*E280+F296*F280+G296*G280+H296*H280+I296*I280+J296*J280+K296*K280+L296*L280+M296*M280+N296*N280+O296*O280+P296*P280+Q296*Q280+R296*R280+S296*S280+T296*T280+U296*U280+V296*V280+W296*W280+X296*X280+Y296*Y280+Z296*Z280+AA296*AA280+AB296*AB280+AC296*AC280+AD296*AD280+AE296*AE280+AF296*AF280+AG296*AG280+AH296*AH280+AI296*AI280+AJ296*AJ280+AK296*AK280+AL296*AL280+AM296*AM280+AN296*AN280+AO296*AO280+AP296*AP280+AQ296*AQ280+AR296*AR280+AS296*AS280+AT296*AT280+AU296*AU280+AV296*AV280+AW296*AW280+AX296*AX280+AY296*AY280+AZ296*AZ280+BA296*BA280+BB296*BB280+BC296*BC280+BD296*BD280+BE296*BE280+BF296*BF280+BG296*BG280+BH296*BH280+BI296*BI280+BJ296*BJ280+BK296*BK280+BL296*BL280+BM296*BM280+BN296*BN280+BO296*BO280+BP296*BP280+BQ296*BQ280+BR296*BR280+BS296*BS280+BT296*BT280+BU296*BU280+BV296*BV280+BW296*BW280+BX296*BX280+BY296*BY280+BZ296*BZ280+CA296*CA280+CB296*CB280+CC296*CC280+CD296*CD280+CE296*CE280+CF296*CF280+CG296*CG280+CH296*CH280+CI296*CI280+CJ296*CJ280+CK296*CK280+CL296*CL280+CM296*CM280+CN296*CN280+CO296*CO280+CP296*CP280+CQ296*CQ280+CR296*CR280+CS296*CS280+CT296*CT280+CU296*CU280</f>
        <v>0</v>
      </c>
      <c r="DH280" s="2840">
        <f>E297*E280+F297*F280+G297*G280+H297*H280+I297*I280+J297*J280+K297*K280+L297*L280+M297*M280+N297*N280+O297*O280+P297*P280+Q297*Q280+R297*R280+S297*S280+T297*T280+U297*U280+V297*V280+W297*W280+X297*X280+Y297*Y280+Z297*Z280+AA297*AA280+AB297*AB280+AC297*AC280+AD297*AD280+AE297*AE280+AF297*AF280+AG297*AG280+AH297*AH280+AI297*AI280+AJ297*AJ280+AK297*AK280+AL297*AL280+AM297*AM280+AN297*AN280+AO297*AO280+AP297*AP280+AQ297*AQ280+AR297*AR280+AS297*AS280+AT297*AT280+AU297*AU280+AV297*AV280+AW297*AW280+AX297*AX280+AY297*AY280+AZ297*AZ280+BA297*BA280+BB297*BB280+BC297*BC280+BD297*BD280+BE297*BE280+BF297*BF280+BG297*BG280+BH297*BH280+BI297*BI280+BJ297*BJ280+BK297*BK280+BL297*BL280+BM297*BM280+BN297*BN280+BO297*BO280+BP297*BP280+BQ297*BQ280+BR297*BR280+BS297*BS280+BT297*BT280+BU297*BU280+BV297*BV280+BW297*BW280+BX297*BX280+BY297*BY280+BZ297*BZ280+CA297*CA280+CB297*CB280+CC297*CC280+CD297*CD280+CE297*CE280+CF297*CF280+CG297*CG280+CH297*CH280+CI297*CI280+CJ297*CJ280+CK297*CK280+CL297*CL280+CM297*CM280+CN297*CN280+CO297*CO280+CP297*CP280+CQ297*CQ280+CR297*CR280+CS297*CS280+CT297*CT280+CU297*CU280</f>
        <v>0</v>
      </c>
      <c r="DI280" s="2840">
        <f>E298*E280+F298*F280+G298*G280+H298*H280+I298*I280+J298*J280+K298*K280+L298*L280+M298*M280+N298*N280+O298*O280+P298*P280+Q298*Q280+R298*R280+S298*S280+T298*T280+U298*U280+V298*V280+W298*W280+X298*X280+Y298*Y280+Z298*Z280+AA298*AA280+AB298*AB280+AC298*AC280+AD298*AD280+AE298*AE280+AF298*AF280+AG298*AG280+AH298*AH280+AI298*AI280+AJ298*AJ280+AK298*AK280+AL298*AL280+AM298*AM280+AN298*AN280+AO298*AO280+AP298*AP280+AQ298*AQ280+AR298*AR280+AS298*AS280+AT298*AT280+AU298*AU280+AV298*AV280+AW298*AW280+AX298*AX280+AY298*AY280+AZ298*AZ280+BA298*BA280+BB298*BB280+BC298*BC280+BD298*BD280+BE298*BE280+BF298*BF280+BG298*BG280+BH298*BH280+BI298*BI280+BJ298*BJ280+BK298*BK280+BL298*BL280+BM298*BM280+BN298*BN280+BO298*BO280+BP298*BP280+BQ298*BQ280+BR298*BR280+BS298*BS280+BT298*BT280+BU298*BU280+BV298*BV280+BW298*BW280+BX298*BX280+BY298*BY280+BZ298*BZ280+CA298*CA280+CB298*CB280+CC298*CC280+CD298*CD280+CE298*CE280+CF298*CF280+CG298*CG280+CH298*CH280+CI298*CI280+CJ298*CJ280+CK298*CK280+CL298*CL280+CM298*CM280+CN298*CN280+CO298*CO280+CP298*CP280+CQ298*CQ280+CR298*CR280+CS298*CS280+CT298*CT280+CU298*CU280</f>
        <v>0</v>
      </c>
    </row>
    <row r="281" spans="2:113" ht="18" x14ac:dyDescent="0.25">
      <c r="B281" s="2525">
        <v>128</v>
      </c>
      <c r="C281" s="2481" t="s">
        <v>5530</v>
      </c>
      <c r="D281" s="2482" t="s">
        <v>3298</v>
      </c>
      <c r="E281" s="3136">
        <f>0</f>
        <v>0</v>
      </c>
      <c r="F281" s="3136">
        <f>0</f>
        <v>0</v>
      </c>
      <c r="G281" s="3136">
        <f>0</f>
        <v>0</v>
      </c>
      <c r="H281" s="3136">
        <f>0</f>
        <v>0</v>
      </c>
      <c r="I281" s="3136">
        <f>0</f>
        <v>0</v>
      </c>
      <c r="J281" s="3149">
        <f>0</f>
        <v>0</v>
      </c>
      <c r="K281" s="3136">
        <f>0</f>
        <v>0</v>
      </c>
      <c r="L281" s="3136">
        <f>0</f>
        <v>0</v>
      </c>
      <c r="M281" s="3136">
        <f>0</f>
        <v>0</v>
      </c>
      <c r="N281" s="3136">
        <f>0</f>
        <v>0</v>
      </c>
      <c r="O281" s="3136">
        <f>0</f>
        <v>0</v>
      </c>
      <c r="P281" s="3136">
        <f>0</f>
        <v>0</v>
      </c>
      <c r="Q281" s="3136">
        <f>0</f>
        <v>0</v>
      </c>
      <c r="R281" s="3160">
        <f>0</f>
        <v>0</v>
      </c>
      <c r="S281" s="3136">
        <f>0</f>
        <v>0</v>
      </c>
      <c r="T281" s="3136">
        <f>0</f>
        <v>0</v>
      </c>
      <c r="U281" s="3136">
        <f>0</f>
        <v>0</v>
      </c>
      <c r="V281" s="3136">
        <f>0</f>
        <v>0</v>
      </c>
      <c r="W281" s="3136">
        <f>0</f>
        <v>0</v>
      </c>
      <c r="X281" s="3136">
        <f>0</f>
        <v>0</v>
      </c>
      <c r="Y281" s="3136">
        <f>0</f>
        <v>0</v>
      </c>
      <c r="Z281" s="3136">
        <f>0</f>
        <v>0</v>
      </c>
      <c r="AA281" s="3136">
        <f>0</f>
        <v>0</v>
      </c>
      <c r="AB281" s="3136">
        <f>0</f>
        <v>0</v>
      </c>
      <c r="AC281" s="3136">
        <f>0</f>
        <v>0</v>
      </c>
      <c r="AD281" s="3136">
        <f>0</f>
        <v>0</v>
      </c>
      <c r="AE281" s="3136">
        <f>0</f>
        <v>0</v>
      </c>
      <c r="AF281" s="3136">
        <f>0</f>
        <v>0</v>
      </c>
      <c r="AG281" s="3136">
        <f>0</f>
        <v>0</v>
      </c>
      <c r="AH281" s="3136">
        <f>0</f>
        <v>0</v>
      </c>
      <c r="AI281" s="3136">
        <f>0</f>
        <v>0</v>
      </c>
      <c r="AJ281" s="3149">
        <f>0</f>
        <v>0</v>
      </c>
      <c r="AK281" s="3136">
        <f>0</f>
        <v>0</v>
      </c>
      <c r="AL281" s="3136">
        <f>0</f>
        <v>0</v>
      </c>
      <c r="AM281" s="3136">
        <f>0</f>
        <v>0</v>
      </c>
      <c r="AN281" s="3136">
        <f>0</f>
        <v>0</v>
      </c>
      <c r="AO281" s="3136">
        <f>0</f>
        <v>0</v>
      </c>
      <c r="AP281" s="3149">
        <f>0</f>
        <v>0</v>
      </c>
      <c r="AQ281" s="3136">
        <f>0</f>
        <v>0</v>
      </c>
      <c r="AR281" s="3136">
        <f>0</f>
        <v>0</v>
      </c>
      <c r="AS281" s="3136">
        <f>0</f>
        <v>0</v>
      </c>
      <c r="AT281" s="3136">
        <f>0</f>
        <v>0</v>
      </c>
      <c r="AU281" s="3136">
        <f>0</f>
        <v>0</v>
      </c>
      <c r="AV281" s="3136">
        <f>0</f>
        <v>0</v>
      </c>
      <c r="AW281" s="3136">
        <f>0</f>
        <v>0</v>
      </c>
      <c r="AX281" s="3136">
        <f>0</f>
        <v>0</v>
      </c>
      <c r="AY281" s="3136">
        <f>0</f>
        <v>0</v>
      </c>
      <c r="AZ281" s="3136">
        <f>0</f>
        <v>0</v>
      </c>
      <c r="BA281" s="3136">
        <f>0</f>
        <v>0</v>
      </c>
      <c r="BB281" s="3136">
        <f>0</f>
        <v>0</v>
      </c>
      <c r="BC281" s="3136">
        <f>0</f>
        <v>0</v>
      </c>
      <c r="BD281" s="3136">
        <f>0</f>
        <v>0</v>
      </c>
      <c r="BE281" s="3160">
        <f>0</f>
        <v>0</v>
      </c>
      <c r="BF281" s="3160">
        <f>0</f>
        <v>0</v>
      </c>
      <c r="BG281" s="3160">
        <f>0</f>
        <v>0</v>
      </c>
      <c r="BH281" s="3160">
        <f>0</f>
        <v>0</v>
      </c>
      <c r="BI281" s="3160">
        <f>0</f>
        <v>0</v>
      </c>
      <c r="BJ281" s="3160">
        <f>0</f>
        <v>0</v>
      </c>
      <c r="BK281" s="3160">
        <f>0</f>
        <v>0</v>
      </c>
      <c r="BL281" s="3160">
        <f>0</f>
        <v>0</v>
      </c>
      <c r="BM281" s="3160">
        <f>0</f>
        <v>0</v>
      </c>
      <c r="BN281" s="3160">
        <f>0</f>
        <v>0</v>
      </c>
      <c r="BO281" s="3160">
        <f>0</f>
        <v>0</v>
      </c>
      <c r="BP281" s="3160">
        <f>0</f>
        <v>0</v>
      </c>
      <c r="BQ281" s="3160">
        <f>0</f>
        <v>0</v>
      </c>
      <c r="BR281" s="3160">
        <f>0</f>
        <v>0</v>
      </c>
      <c r="BS281" s="3160">
        <f>0</f>
        <v>0</v>
      </c>
      <c r="BT281" s="3160">
        <f>0</f>
        <v>0</v>
      </c>
      <c r="BU281" s="3160">
        <f>0</f>
        <v>0</v>
      </c>
      <c r="BV281" s="3160">
        <f>0</f>
        <v>0</v>
      </c>
      <c r="BW281" s="3160">
        <f>0</f>
        <v>0</v>
      </c>
      <c r="BX281" s="3160">
        <f>0</f>
        <v>0</v>
      </c>
      <c r="BY281" s="3160">
        <f>0</f>
        <v>0</v>
      </c>
      <c r="BZ281" s="3212">
        <f>0</f>
        <v>0</v>
      </c>
      <c r="CA281" s="3212">
        <f>0</f>
        <v>0</v>
      </c>
      <c r="CB281" s="3212">
        <f>0</f>
        <v>0</v>
      </c>
      <c r="CC281" s="3212">
        <f>0</f>
        <v>0</v>
      </c>
      <c r="CD281" s="3160">
        <f>0</f>
        <v>0</v>
      </c>
      <c r="CE281" s="3160">
        <f>0</f>
        <v>0</v>
      </c>
      <c r="CF281" s="3160">
        <f>0</f>
        <v>0</v>
      </c>
      <c r="CG281" s="3160">
        <f>0</f>
        <v>0</v>
      </c>
      <c r="CH281" s="3160">
        <f>0</f>
        <v>0</v>
      </c>
      <c r="CI281" s="3160">
        <f>0</f>
        <v>0</v>
      </c>
      <c r="CJ281" s="3160">
        <f>0</f>
        <v>0</v>
      </c>
      <c r="CK281" s="3160">
        <f>0</f>
        <v>0</v>
      </c>
      <c r="CL281" s="3160">
        <f>0</f>
        <v>0</v>
      </c>
      <c r="CM281" s="3160">
        <f>0</f>
        <v>0</v>
      </c>
      <c r="CN281" s="3160">
        <f>0</f>
        <v>0</v>
      </c>
      <c r="CO281" s="3160">
        <f>0</f>
        <v>0</v>
      </c>
      <c r="CP281" s="3160">
        <f>0</f>
        <v>0</v>
      </c>
      <c r="CQ281" s="3160">
        <f>0</f>
        <v>0</v>
      </c>
      <c r="CR281" s="3160">
        <f>0</f>
        <v>0</v>
      </c>
      <c r="CS281" s="3160">
        <f>0</f>
        <v>0</v>
      </c>
      <c r="CT281" s="3160">
        <f>0</f>
        <v>0</v>
      </c>
      <c r="CU281" s="3160">
        <f>1</f>
        <v>1</v>
      </c>
      <c r="CV281" s="3239">
        <f>q_MM_PROD*X_BIO*((1-S_MM_index)/(K_scaling+1-S_MM_index))*M_satTKNB_KTKNB*M_inhSNO2_KNO2_OHO*M_inhSNO3_KNO3_OHO*M_inhSO2_KO2_OHO</f>
        <v>2.3175166524324515</v>
      </c>
      <c r="CX281" s="2838">
        <f>E287*E281+F287*F281+G287*G281+H287*H281+I287*I281+J287*J281+K287*K281+L287*L281+M287*M281+N287*N281+O287*O281+P287*P281+Q287*Q281+R287*R281+S287*S281+T287*T281+U287*U281+V287*V281+W287*W281+X287*X281+Y287*Y281+Z287*Z281+AA287*AA281+AB287*AB281+AC287*AC281+AD287*AD281+AE287*AE281+AF287*AF281+AG287*AG281+AH287*AH281+AI287*AI281+AJ287*AJ281+AK287*AK281+AL287*AL281+AM287*AM281+AN287*AN281+AO287*AO281+AP287*AP281+AQ287*AQ281+AR287*AR281+AS287*AS281+AT287*AT281+AU287*AU281+AV287*AV281+AW287*AW281+AX287*AX281+AY287*AY281+AZ287*AZ281+BA287*BA281+BB287*BB281+BC287*BC281+BD287*BD281+BE287*BE281+BF287*BF281+BG287*BG281+BH287*BH281+BI287*BI281+BJ287*BJ281+BK287*BK281+BL287*BL281+BM287*BM281+BN287*BN281+BO287*BO281+BP287*BP281+BQ287*BQ281+BR287*BR281+BS287*BS281+BT287*BT281+BU287*BU281+BV287*BV281+BW287*BW281+BX287*BX281+BY287*BY281+BZ287*BZ281+CA287*CA281+CB287*CB281+CC287*CC281+CD287*CD281+CE287*CE281+CF287*CF281+CG287*CG281+CH287*CH281+CI287*CI281+CJ287*CJ281+CK287*CK281+CL287*CL281+CM287*CM281+CN287*CN281+CO287*CO281+CP287*CP281+CQ287*CQ281+CR287*CR281+CS287*CS281+CT287*CT281+CU287*CU281</f>
        <v>0</v>
      </c>
      <c r="CY281" s="2838">
        <f>E288*E281+F288*F281+G288*G281+H288*H281+I288*I281+J288*J281+K288*K281+L288*L281+M288*M281+N288*N281+O288*O281+P288*P281+Q288*Q281+R288*R281+S288*S281+T288*T281+U288*U281+V288*V281+W288*W281+X288*X281+Y288*Y281+Z288*Z281+AA288*AA281+AB288*AB281+AC288*AC281+AD288*AD281+AE288*AE281+AF288*AF281+AG288*AG281+AH288*AH281+AI288*AI281+AJ288*AJ281+AK288*AK281+AL288*AL281+AM288*AM281+AN288*AN281+AO288*AO281+AP288*AP281+AQ288*AQ281+AR288*AR281+AS288*AS281+AT288*AT281+AU288*AU281+AV288*AV281+AW288*AW281+AX288*AX281+AY288*AY281+AZ288*AZ281+BA288*BA281+BB288*BB281+BC288*BC281+BD288*BD281+BE288*BE281+BF288*BF281+BG288*BG281+BH288*BH281+BI288*BI281+BJ288*BJ281+BK288*BK281+BL288*BL281+BM288*BM281+BN288*BN281+BO288*BO281+BP288*BP281+BQ288*BQ281+BR288*BR281+BS288*BS281+BT288*BT281+BU288*BU281+BV288*BV281+BW288*BW281+BX288*BX281+BY288*BY281+BZ288*BZ281+CA288*CA281+CB288*CB281+CC288*CC281+CD288*CD281+CE288*CE281+CF288*CF281+CG288*CG281+CH288*CH281+CI288*CI281+CJ288*CJ281+CK288*CK281+CL288*CL281+CM288*CM281+CN288*CN281+CO288*CO281+CP288*CP281+CQ288*CQ281+CR288*CR281+CS288*CS281+CT288*CT281+CU288*CU281</f>
        <v>0</v>
      </c>
      <c r="CZ281" s="2839">
        <f>E289*E281+F289*F281+G289*G281+H289*H281+I289*I281+J289*J281+K289*K281+L289*L281+M289*M281+N289*N281+O289*O281+P289*P281+Q289*Q281+R289*R281+S289*S281+T289*T281+U289*U281+V289*V281+W289*W281+X289*X281+Y289*Y281+Z289*Z281+AA289*AA281+AB289*AB281+AC289*AC281+AD289*AD281+AE289*AE281+AF289*AF281+AG289*AG281+AH289*AH281+AI289*AI281+AJ289*AJ281+AK289*AK281+AL289*AL281+AM289*AM281+AN289*AN281+AO289*AO281+AP289*AP281+AQ289*AQ281+AR289*AR281+AS289*AS281+AT289*AT281+AU289*AU281+AV289*AV281+AW289*AW281+AX289*AX281+AY289*AY281+AZ289*AZ281+BA289*BA281+BB289*BB281+BC289*BC281+BD289*BD281+BE289*BE281+BF289*BF281+BG289*BG281+BH289*BH281+BI289*BI281+BJ289*BJ281+BK289*BK281+BL289*BL281+BM289*BM281+BN289*BN281+BO289*BO281+BP289*BP281+BQ289*BQ281+BR289*BR281+BS289*BS281+BT289*BT281+BU289*BU281+BV289*BV281+BW289*BW281+BX289*BX281+BY289*BY281+BZ289*BZ281+CA289*CA281+CB289*CB281+CC289*CC281+CD289*CD281+CE289*CE281+CF289*CF281+CG289*CG281+CH289*CH281+CI289*CI281+CJ289*CJ281+CK289*CK281+CL289*CL281+CM289*CM281+CN289*CN281+CO289*CO281+CP289*CP281+CQ289*CQ281+CR289*CR281+CS289*CS281+CT289*CT281+CU289*CU281</f>
        <v>0</v>
      </c>
      <c r="DA281" s="2840">
        <f>E290*E281+F290*F281+G290*G281+H290*H281+I290*I281+J290*J281+K290*K281+L290*L281+M290*M281+N290*N281+O290*O281+P290*P281+Q290*Q281+R290*R281+S290*S281+T290*T281+U290*U281+V290*V281+W290*W281+X290*X281+Y290*Y281+Z290*Z281+AA290*AA281+AB290*AB281+AC290*AC281+AD290*AD281+AE290*AE281+AF290*AF281+AG290*AG281+AH290*AH281+AI290*AI281+AJ290*AJ281+AK290*AK281+AL290*AL281+AM290*AM281+AN290*AN281+AO290*AO281+AP290*AP281+AQ290*AQ281+AR290*AR281+AS290*AS281+AT290*AT281+AU290*AU281+AV290*AV281+AW290*AW281+AX290*AX281+AY290*AY281+AZ290*AZ281+BA290*BA281+BB290*BB281+BC290*BC281+BD290*BD281+BE290*BE281+BF290*BF281+BG290*BG281+BH290*BH281+BI290*BI281+BJ290*BJ281+BK290*BK281+BL290*BL281+BM290*BM281+BN290*BN281+BO290*BO281+BP290*BP281+BQ290*BQ281+BR290*BR281+BS290*BS281+BT290*BT281+BU290*BU281+BV290*BV281+BW290*BW281+BX290*BX281+BY290*BY281+BZ290*BZ281+CA290*CA281+CB290*CB281+CC290*CC281+CD290*CD281+CE290*CE281+CF290*CF281+CG290*CG281+CH290*CH281+CI290*CI281+CJ290*CJ281+CK290*CK281+CL290*CL281+CM290*CM281+CN290*CN281+CO290*CO281+CP290*CP281+CQ290*CQ281+CR290*CR281+CS290*CS281+CT290*CT281+CU290*CU281</f>
        <v>0</v>
      </c>
      <c r="DB281" s="2840">
        <f>E291*E281+F291*F281+G291*G281+H291*H281+I291*I281+J291*J281+K291*K281+L291*L281+M291*M281+N291*N281+O291*O281+P291*P281+Q291*Q281+R291*R281+S291*S281+T291*T281+U291*U281+V291*V281+W291*W281+X291*X281+Y291*Y281+Z291*Z281+AA291*AA281+AB291*AB281+AC291*AC281+AD291*AD281+AE291*AE281+AF291*AF281+AG291*AG281+AH291*AH281+AI291*AI281+AJ291*AJ281+AK291*AK281+AL291*AL281+AM291*AM281+AN291*AN281+AO291*AO281+AP291*AP281+AQ291*AQ281+AR291*AR281+AS291*AS281+AT291*AT281+AU291*AU281+AV291*AV281+AW291*AW281+AX291*AX281+AY291*AY281+AZ291*AZ281+BA291*BA281+BB291*BB281+BC291*BC281+BD291*BD281+BE291*BE281+BF291*BF281+BG291*BG281+BH291*BH281+BI291*BI281+BJ291*BJ281+BK291*BK281+BL291*BL281+BM291*BM281+BN291*BN281+BO291*BO281+BP291*BP281+BQ291*BQ281+BR291*BR281+BS291*BS281+BT291*BT281+BU291*BU281+BV291*BV281+BW291*BW281+BX291*BX281+BY291*BY281+BZ291*BZ281+CA291*CA281+CB291*CB281+CC291*CC281+CD291*CD281+CE291*CE281+CF291*CF281+CG291*CG281+CH291*CH281+CI291*CI281+CJ291*CJ281+CK291*CK281+CL291*CL281+CM291*CM281+CN291*CN281+CO291*CO281+CP291*CP281+CQ291*CQ281+CR291*CR281+CS291*CS281+CT291*CT281+CU291*CU281</f>
        <v>0</v>
      </c>
      <c r="DC281" s="2840">
        <f>E292*E281+F292*F281+G292*G281+H292*H281+I292*I281+J292*J281+K292*K281+L292*L281+M292*M281+N292*N281+O292*O281+P292*P281+Q292*Q281+R292*R281+S292*S281+T292*T281+U292*U281+V292*V281+W292*W281+X292*X281+Y292*Y281+Z292*Z281+AA292*AA281+AB292*AB281+AC292*AC281+AD292*AD281+AE292*AE281+AF292*AF281+AG292*AG281+AH292*AH281+AI292*AI281+AJ292*AJ281+AK292*AK281+AL292*AL281+AM292*AM281+AN292*AN281+AO292*AO281+AP292*AP281+AQ292*AQ281+AR292*AR281+AS292*AS281+AT292*AT281+AU292*AU281+AV292*AV281+AW292*AW281+AX292*AX281+AY292*AY281+AZ292*AZ281+BA292*BA281+BB292*BB281+BC292*BC281+BD292*BD281+BE292*BE281+BF292*BF281+BG292*BG281+BH292*BH281+BI292*BI281+BJ292*BJ281+BK292*BK281+BL292*BL281+BM292*BM281+BN292*BN281+BO292*BO281+BP292*BP281+BQ292*BQ281+BR292*BR281+BS292*BS281+BT292*BT281+BU292*BU281+BV292*BV281+BW292*BW281+BX292*BX281+BY292*BY281+BZ292*BZ281+CA292*CA281+CB292*CB281+CC292*CC281+CD292*CD281+CE292*CE281+CF292*CF281+CG292*CG281+CH292*CH281+CI292*CI281+CJ292*CJ281+CK292*CK281+CL292*CL281+CM292*CM281+CN292*CN281+CO292*CO281+CP292*CP281+CQ292*CQ281+CR292*CR281+CS292*CS281+CT292*CT281+CU292*CU281</f>
        <v>0</v>
      </c>
      <c r="DD281" s="2840">
        <f>E293*E281+F293*F281+G293*G281+H293*H281+I293*I281+J293*J281+K293*K281+L293*L281+M293*M281+N293*N281+O293*O281+P293*P281+Q293*Q281+R293*R281+S293*S281+T293*T281+U293*U281+V293*V281+W293*W281+X293*X281+Y293*Y281+Z293*Z281+AA293*AA281+AB293*AB281+AC293*AC281+AD293*AD281+AE293*AE281+AF293*AF281+AG293*AG281+AH293*AH281+AI293*AI281+AJ293*AJ281+AK293*AK281+AL293*AL281+AM293*AM281+AN293*AN281+AO293*AO281+AP293*AP281+AQ293*AQ281+AR293*AR281+AS293*AS281+AT293*AT281+AU293*AU281+AV293*AV281+AW293*AW281+AX293*AX281+AY293*AY281+AZ293*AZ281+BA293*BA281+BB293*BB281+BC293*BC281+BD293*BD281+BE293*BE281+BF293*BF281+BG293*BG281+BH293*BH281+BI293*BI281+BJ293*BJ281+BK293*BK281+BL293*BL281+BM293*BM281+BN293*BN281+BO293*BO281+BP293*BP281+BQ293*BQ281+BR293*BR281+BS293*BS281+BT293*BT281+BU293*BU281+BV293*BV281+BW293*BW281+BX293*BX281+BY293*BY281+BZ293*BZ281+CA293*CA281+CB293*CB281+CC293*CC281+CD293*CD281+CE293*CE281+CF293*CF281+CG293*CG281+CH293*CH281+CI293*CI281+CJ293*CJ281+CK293*CK281+CL293*CL281+CM293*CM281+CN293*CN281+CO293*CO281+CP293*CP281+CQ293*CQ281+CR293*CR281+CS293*CS281+CT293*CT281+CU293*CU281</f>
        <v>0</v>
      </c>
      <c r="DE281" s="2840">
        <f>E294*E281+F294*F281+G294*G281+H294*H281+I294*I281+J294*J281+K294*K281+L294*L281+M294*M281+N294*N281+O294*O281+P294*P281+Q294*Q281+R294*R281+S294*S281+T294*T281+U294*U281+V294*V281+W294*W281+X294*X281+Y294*Y281+Z294*Z281+AA294*AA281+AB294*AB281+AC294*AC281+AD294*AD281+AE294*AE281+AF294*AF281+AG294*AG281+AH294*AH281+AI294*AI281+AJ294*AJ281+AK294*AK281+AL294*AL281+AM294*AM281+AN294*AN281+AO294*AO281+AP294*AP281+AQ294*AQ281+AR294*AR281+AS294*AS281+AT294*AT281+AU294*AU281+AV294*AV281+AW294*AW281+AX294*AX281+AY294*AY281+AZ294*AZ281+BA294*BA281+BB294*BB281+BC294*BC281+BD294*BD281+BE294*BE281+BF294*BF281+BG294*BG281+BH294*BH281+BI294*BI281+BJ294*BJ281+BK294*BK281+BL294*BL281+BM294*BM281+BN294*BN281+BO294*BO281+BP294*BP281+BQ294*BQ281+BR294*BR281+BS294*BS281+BT294*BT281+BU294*BU281+BV294*BV281+BW294*BW281+BX294*BX281+BY294*BY281+BZ294*BZ281+CA294*CA281+CB294*CB281+CC294*CC281+CD294*CD281+CE294*CE281+CF294*CF281+CG294*CG281+CH294*CH281+CI294*CI281+CJ294*CJ281+CK294*CK281+CL294*CL281+CM294*CM281+CN294*CN281+CO294*CO281+CP294*CP281+CQ294*CQ281+CR294*CR281+CS294*CS281+CT294*CT281+CU294*CU281</f>
        <v>0</v>
      </c>
      <c r="DF281" s="2840">
        <f>E295*E281+F295*F281+G295*G281+H295*H281+I295*I281+J295*J281+K295*K281+L295*L281+M295*M281+N295*N281+O295*O281+P295*P281+Q295*Q281+R295*R281+S295*S281+T295*T281+U295*U281+V295*V281+W295*W281+X295*X281+Y295*Y281+Z295*Z281+AA295*AA281+AB295*AB281+AC295*AC281+AD295*AD281+AE295*AE281+AF295*AF281+AG295*AG281+AH295*AH281+AI295*AI281+AJ295*AJ281+AK295*AK281+AL295*AL281+AM295*AM281+AN295*AN281+AO295*AO281+AP295*AP281+AQ295*AQ281+AR295*AR281+AS295*AS281+AT295*AT281+AU295*AU281+AV295*AV281+AW295*AW281+AX295*AX281+AY295*AY281+AZ295*AZ281+BA295*BA281+BB295*BB281+BC295*BC281+BD295*BD281+BE295*BE281+BF295*BF281+BG295*BG281+BH295*BH281+BI295*BI281+BJ295*BJ281+BK295*BK281+BL295*BL281+BM295*BM281+BN295*BN281+BO295*BO281+BP295*BP281+BQ295*BQ281+BR295*BR281+BS295*BS281+BT295*BT281+BU295*BU281+BV295*BV281+BW295*BW281+BX295*BX281+BY295*BY281+BZ295*BZ281+CA295*CA281+CB295*CB281+CC295*CC281+CD295*CD281+CE295*CE281+CF295*CF281+CG295*CG281+CH295*CH281+CI295*CI281+CJ295*CJ281+CK295*CK281+CL295*CL281+CM295*CM281+CN295*CN281+CO295*CO281+CP295*CP281+CQ295*CQ281+CR295*CR281+CS295*CS281+CT295*CT281+CU295*CU281</f>
        <v>0</v>
      </c>
      <c r="DG281" s="2840">
        <f>E296*E281+F296*F281+G296*G281+H296*H281+I296*I281+J296*J281+K296*K281+L296*L281+M296*M281+N296*N281+O296*O281+P296*P281+Q296*Q281+R296*R281+S296*S281+T296*T281+U296*U281+V296*V281+W296*W281+X296*X281+Y296*Y281+Z296*Z281+AA296*AA281+AB296*AB281+AC296*AC281+AD296*AD281+AE296*AE281+AF296*AF281+AG296*AG281+AH296*AH281+AI296*AI281+AJ296*AJ281+AK296*AK281+AL296*AL281+AM296*AM281+AN296*AN281+AO296*AO281+AP296*AP281+AQ296*AQ281+AR296*AR281+AS296*AS281+AT296*AT281+AU296*AU281+AV296*AV281+AW296*AW281+AX296*AX281+AY296*AY281+AZ296*AZ281+BA296*BA281+BB296*BB281+BC296*BC281+BD296*BD281+BE296*BE281+BF296*BF281+BG296*BG281+BH296*BH281+BI296*BI281+BJ296*BJ281+BK296*BK281+BL296*BL281+BM296*BM281+BN296*BN281+BO296*BO281+BP296*BP281+BQ296*BQ281+BR296*BR281+BS296*BS281+BT296*BT281+BU296*BU281+BV296*BV281+BW296*BW281+BX296*BX281+BY296*BY281+BZ296*BZ281+CA296*CA281+CB296*CB281+CC296*CC281+CD296*CD281+CE296*CE281+CF296*CF281+CG296*CG281+CH296*CH281+CI296*CI281+CJ296*CJ281+CK296*CK281+CL296*CL281+CM296*CM281+CN296*CN281+CO296*CO281+CP296*CP281+CQ296*CQ281+CR296*CR281+CS296*CS281+CT296*CT281+CU296*CU281</f>
        <v>0</v>
      </c>
      <c r="DH281" s="2840">
        <f>E297*E281+F297*F281+G297*G281+H297*H281+I297*I281+J297*J281+K297*K281+L297*L281+M297*M281+N297*N281+O297*O281+P297*P281+Q297*Q281+R297*R281+S297*S281+T297*T281+U297*U281+V297*V281+W297*W281+X297*X281+Y297*Y281+Z297*Z281+AA297*AA281+AB297*AB281+AC297*AC281+AD297*AD281+AE297*AE281+AF297*AF281+AG297*AG281+AH297*AH281+AI297*AI281+AJ297*AJ281+AK297*AK281+AL297*AL281+AM297*AM281+AN297*AN281+AO297*AO281+AP297*AP281+AQ297*AQ281+AR297*AR281+AS297*AS281+AT297*AT281+AU297*AU281+AV297*AV281+AW297*AW281+AX297*AX281+AY297*AY281+AZ297*AZ281+BA297*BA281+BB297*BB281+BC297*BC281+BD297*BD281+BE297*BE281+BF297*BF281+BG297*BG281+BH297*BH281+BI297*BI281+BJ297*BJ281+BK297*BK281+BL297*BL281+BM297*BM281+BN297*BN281+BO297*BO281+BP297*BP281+BQ297*BQ281+BR297*BR281+BS297*BS281+BT297*BT281+BU297*BU281+BV297*BV281+BW297*BW281+BX297*BX281+BY297*BY281+BZ297*BZ281+CA297*CA281+CB297*CB281+CC297*CC281+CD297*CD281+CE297*CE281+CF297*CF281+CG297*CG281+CH297*CH281+CI297*CI281+CJ297*CJ281+CK297*CK281+CL297*CL281+CM297*CM281+CN297*CN281+CO297*CO281+CP297*CP281+CQ297*CQ281+CR297*CR281+CS297*CS281+CT297*CT281+CU297*CU281</f>
        <v>0</v>
      </c>
      <c r="DI281" s="2840">
        <f>E298*E281+F298*F281+G298*G281+H298*H281+I298*I281+J298*J281+K298*K281+L298*L281+M298*M281+N298*N281+O298*O281+P298*P281+Q298*Q281+R298*R281+S298*S281+T298*T281+U298*U281+V298*V281+W298*W281+X298*X281+Y298*Y281+Z298*Z281+AA298*AA281+AB298*AB281+AC298*AC281+AD298*AD281+AE298*AE281+AF298*AF281+AG298*AG281+AH298*AH281+AI298*AI281+AJ298*AJ281+AK298*AK281+AL298*AL281+AM298*AM281+AN298*AN281+AO298*AO281+AP298*AP281+AQ298*AQ281+AR298*AR281+AS298*AS281+AT298*AT281+AU298*AU281+AV298*AV281+AW298*AW281+AX298*AX281+AY298*AY281+AZ298*AZ281+BA298*BA281+BB298*BB281+BC298*BC281+BD298*BD281+BE298*BE281+BF298*BF281+BG298*BG281+BH298*BH281+BI298*BI281+BJ298*BJ281+BK298*BK281+BL298*BL281+BM298*BM281+BN298*BN281+BO298*BO281+BP298*BP281+BQ298*BQ281+BR298*BR281+BS298*BS281+BT298*BT281+BU298*BU281+BV298*BV281+BW298*BW281+BX298*BX281+BY298*BY281+BZ298*BZ281+CA298*CA281+CB298*CB281+CC298*CC281+CD298*CD281+CE298*CE281+CF298*CF281+CG298*CG281+CH298*CH281+CI298*CI281+CJ298*CJ281+CK298*CK281+CL298*CL281+CM298*CM281+CN298*CN281+CO298*CO281+CP298*CP281+CQ298*CQ281+CR298*CR281+CS298*CS281+CT298*CT281+CU298*CU281</f>
        <v>0</v>
      </c>
    </row>
    <row r="282" spans="2:113" ht="18" x14ac:dyDescent="0.25">
      <c r="B282" s="2525">
        <v>129</v>
      </c>
      <c r="C282" s="2481" t="s">
        <v>5531</v>
      </c>
      <c r="D282" s="2482" t="s">
        <v>3299</v>
      </c>
      <c r="E282" s="3136">
        <f>0</f>
        <v>0</v>
      </c>
      <c r="F282" s="3136">
        <f>0</f>
        <v>0</v>
      </c>
      <c r="G282" s="3136">
        <f>0</f>
        <v>0</v>
      </c>
      <c r="H282" s="3136">
        <f>0</f>
        <v>0</v>
      </c>
      <c r="I282" s="3136">
        <f>0</f>
        <v>0</v>
      </c>
      <c r="J282" s="3149">
        <f>0</f>
        <v>0</v>
      </c>
      <c r="K282" s="3136">
        <f>0</f>
        <v>0</v>
      </c>
      <c r="L282" s="3136">
        <f>0</f>
        <v>0</v>
      </c>
      <c r="M282" s="3136">
        <f>0</f>
        <v>0</v>
      </c>
      <c r="N282" s="3136">
        <f>0</f>
        <v>0</v>
      </c>
      <c r="O282" s="3136">
        <f>0</f>
        <v>0</v>
      </c>
      <c r="P282" s="3136">
        <f>0</f>
        <v>0</v>
      </c>
      <c r="Q282" s="3136">
        <f>0</f>
        <v>0</v>
      </c>
      <c r="R282" s="3160">
        <f>0</f>
        <v>0</v>
      </c>
      <c r="S282" s="3136">
        <f>0</f>
        <v>0</v>
      </c>
      <c r="T282" s="3136">
        <f>0</f>
        <v>0</v>
      </c>
      <c r="U282" s="3136">
        <f>0</f>
        <v>0</v>
      </c>
      <c r="V282" s="3136">
        <f>0</f>
        <v>0</v>
      </c>
      <c r="W282" s="3136">
        <f>0</f>
        <v>0</v>
      </c>
      <c r="X282" s="3136">
        <f>0</f>
        <v>0</v>
      </c>
      <c r="Y282" s="3136">
        <f>0</f>
        <v>0</v>
      </c>
      <c r="Z282" s="3136">
        <f>0</f>
        <v>0</v>
      </c>
      <c r="AA282" s="3136">
        <f>0</f>
        <v>0</v>
      </c>
      <c r="AB282" s="3136">
        <f>0</f>
        <v>0</v>
      </c>
      <c r="AC282" s="3136">
        <f>0</f>
        <v>0</v>
      </c>
      <c r="AD282" s="3136">
        <f>0</f>
        <v>0</v>
      </c>
      <c r="AE282" s="3136">
        <f>0</f>
        <v>0</v>
      </c>
      <c r="AF282" s="3136">
        <f>0</f>
        <v>0</v>
      </c>
      <c r="AG282" s="3136">
        <f>0</f>
        <v>0</v>
      </c>
      <c r="AH282" s="3136">
        <f>0</f>
        <v>0</v>
      </c>
      <c r="AI282" s="3136">
        <f>0</f>
        <v>0</v>
      </c>
      <c r="AJ282" s="3149">
        <f>0</f>
        <v>0</v>
      </c>
      <c r="AK282" s="3136">
        <f>0</f>
        <v>0</v>
      </c>
      <c r="AL282" s="3136">
        <f>0</f>
        <v>0</v>
      </c>
      <c r="AM282" s="3136">
        <f>0</f>
        <v>0</v>
      </c>
      <c r="AN282" s="3136">
        <f>0</f>
        <v>0</v>
      </c>
      <c r="AO282" s="3136">
        <f>0</f>
        <v>0</v>
      </c>
      <c r="AP282" s="3149">
        <f>0</f>
        <v>0</v>
      </c>
      <c r="AQ282" s="3136">
        <f>0</f>
        <v>0</v>
      </c>
      <c r="AR282" s="3136">
        <f>0</f>
        <v>0</v>
      </c>
      <c r="AS282" s="3136">
        <f>0</f>
        <v>0</v>
      </c>
      <c r="AT282" s="3136">
        <f>0</f>
        <v>0</v>
      </c>
      <c r="AU282" s="3136">
        <f>0</f>
        <v>0</v>
      </c>
      <c r="AV282" s="3136">
        <f>0</f>
        <v>0</v>
      </c>
      <c r="AW282" s="3136">
        <f>0</f>
        <v>0</v>
      </c>
      <c r="AX282" s="3136">
        <f>0</f>
        <v>0</v>
      </c>
      <c r="AY282" s="3136">
        <f>0</f>
        <v>0</v>
      </c>
      <c r="AZ282" s="3136">
        <f>0</f>
        <v>0</v>
      </c>
      <c r="BA282" s="3136">
        <f>0</f>
        <v>0</v>
      </c>
      <c r="BB282" s="3136">
        <f>0</f>
        <v>0</v>
      </c>
      <c r="BC282" s="3136">
        <f>0</f>
        <v>0</v>
      </c>
      <c r="BD282" s="3136">
        <f>0</f>
        <v>0</v>
      </c>
      <c r="BE282" s="3160">
        <f>0</f>
        <v>0</v>
      </c>
      <c r="BF282" s="3160">
        <f>0</f>
        <v>0</v>
      </c>
      <c r="BG282" s="3160">
        <f>0</f>
        <v>0</v>
      </c>
      <c r="BH282" s="3160">
        <f>0</f>
        <v>0</v>
      </c>
      <c r="BI282" s="3160">
        <f>0</f>
        <v>0</v>
      </c>
      <c r="BJ282" s="3160">
        <f>0</f>
        <v>0</v>
      </c>
      <c r="BK282" s="3160">
        <f>0</f>
        <v>0</v>
      </c>
      <c r="BL282" s="3160">
        <f>0</f>
        <v>0</v>
      </c>
      <c r="BM282" s="3160">
        <f>0</f>
        <v>0</v>
      </c>
      <c r="BN282" s="3160">
        <f>0</f>
        <v>0</v>
      </c>
      <c r="BO282" s="3160">
        <f>0</f>
        <v>0</v>
      </c>
      <c r="BP282" s="3160">
        <f>0</f>
        <v>0</v>
      </c>
      <c r="BQ282" s="3160">
        <f>0</f>
        <v>0</v>
      </c>
      <c r="BR282" s="3160">
        <f>0</f>
        <v>0</v>
      </c>
      <c r="BS282" s="3160">
        <f>0</f>
        <v>0</v>
      </c>
      <c r="BT282" s="3160">
        <f>0</f>
        <v>0</v>
      </c>
      <c r="BU282" s="3160">
        <f>0</f>
        <v>0</v>
      </c>
      <c r="BV282" s="3160">
        <f>0</f>
        <v>0</v>
      </c>
      <c r="BW282" s="3160">
        <f>0</f>
        <v>0</v>
      </c>
      <c r="BX282" s="3160">
        <f>0</f>
        <v>0</v>
      </c>
      <c r="BY282" s="3160">
        <f>0</f>
        <v>0</v>
      </c>
      <c r="BZ282" s="3212">
        <f>0</f>
        <v>0</v>
      </c>
      <c r="CA282" s="3212">
        <f>0</f>
        <v>0</v>
      </c>
      <c r="CB282" s="3212">
        <f>0</f>
        <v>0</v>
      </c>
      <c r="CC282" s="3212">
        <f>0</f>
        <v>0</v>
      </c>
      <c r="CD282" s="3160">
        <f>0</f>
        <v>0</v>
      </c>
      <c r="CE282" s="3160">
        <f>0</f>
        <v>0</v>
      </c>
      <c r="CF282" s="3160">
        <f>0</f>
        <v>0</v>
      </c>
      <c r="CG282" s="3160">
        <f>0</f>
        <v>0</v>
      </c>
      <c r="CH282" s="3160">
        <f>0</f>
        <v>0</v>
      </c>
      <c r="CI282" s="3160">
        <f>0</f>
        <v>0</v>
      </c>
      <c r="CJ282" s="3160">
        <f>0</f>
        <v>0</v>
      </c>
      <c r="CK282" s="3160">
        <f>0</f>
        <v>0</v>
      </c>
      <c r="CL282" s="3160">
        <f>0</f>
        <v>0</v>
      </c>
      <c r="CM282" s="3160">
        <f>0</f>
        <v>0</v>
      </c>
      <c r="CN282" s="3160">
        <f>0</f>
        <v>0</v>
      </c>
      <c r="CO282" s="3160">
        <f>0</f>
        <v>0</v>
      </c>
      <c r="CP282" s="3160">
        <f>0</f>
        <v>0</v>
      </c>
      <c r="CQ282" s="3160">
        <f>0</f>
        <v>0</v>
      </c>
      <c r="CR282" s="3160">
        <f>0</f>
        <v>0</v>
      </c>
      <c r="CS282" s="3160">
        <f>0</f>
        <v>0</v>
      </c>
      <c r="CT282" s="3160">
        <f>0</f>
        <v>0</v>
      </c>
      <c r="CU282" s="3160">
        <f>-1</f>
        <v>-1</v>
      </c>
      <c r="CV282" s="3239">
        <f>q_MM_DEGR*X_AMETO*(K_scaling/(K_scaling+1-S_MM_index))*L_oginhORP_MM</f>
        <v>9.1779064904836999E-19</v>
      </c>
      <c r="CX282" s="2838">
        <f>E287*E282+F287*F282+G287*G282+H287*H282+I287*I282+J287*J282+K287*K282+L287*L282+M287*M282+N287*N282+O287*O282+P287*P282+Q287*Q282+R287*R282+S287*S282+T287*T282+U287*U282+V287*V282+W287*W282+X287*X282+Y287*Y282+Z287*Z282+AA287*AA282+AB287*AB282+AC287*AC282+AD287*AD282+AE287*AE282+AF287*AF282+AG287*AG282+AH287*AH282+AI287*AI282+AJ287*AJ282+AK287*AK282+AL287*AL282+AM287*AM282+AN287*AN282+AO287*AO282+AP287*AP282+AQ287*AQ282+AR287*AR282+AS287*AS282+AT287*AT282+AU287*AU282+AV287*AV282+AW287*AW282+AX287*AX282+AY287*AY282+AZ287*AZ282+BA287*BA282+BB287*BB282+BC287*BC282+BD287*BD282+BE287*BE282+BF287*BF282+BG287*BG282+BH287*BH282+BI287*BI282+BJ287*BJ282+BK287*BK282+BL287*BL282+BM287*BM282+BN287*BN282+BO287*BO282+BP287*BP282+BQ287*BQ282+BR287*BR282+BS287*BS282+BT287*BT282+BU287*BU282+BV287*BV282+BW287*BW282+BX287*BX282+BY287*BY282+BZ287*BZ282+CA287*CA282+CB287*CB282+CC287*CC282+CD287*CD282+CE287*CE282+CF287*CF282+CG287*CG282+CH287*CH282+CI287*CI282+CJ287*CJ282+CK287*CK282+CL287*CL282+CM287*CM282+CN287*CN282+CO287*CO282+CP287*CP282+CQ287*CQ282+CR287*CR282+CS287*CS282+CT287*CT282+CU287*CU282</f>
        <v>0</v>
      </c>
      <c r="CY282" s="2838">
        <f>E288*E282+F288*F282+G288*G282+H288*H282+I288*I282+J288*J282+K288*K282+L288*L282+M288*M282+N288*N282+O288*O282+P288*P282+Q288*Q282+R288*R282+S288*S282+T288*T282+U288*U282+V288*V282+W288*W282+X288*X282+Y288*Y282+Z288*Z282+AA288*AA282+AB288*AB282+AC288*AC282+AD288*AD282+AE288*AE282+AF288*AF282+AG288*AG282+AH288*AH282+AI288*AI282+AJ288*AJ282+AK288*AK282+AL288*AL282+AM288*AM282+AN288*AN282+AO288*AO282+AP288*AP282+AQ288*AQ282+AR288*AR282+AS288*AS282+AT288*AT282+AU288*AU282+AV288*AV282+AW288*AW282+AX288*AX282+AY288*AY282+AZ288*AZ282+BA288*BA282+BB288*BB282+BC288*BC282+BD288*BD282+BE288*BE282+BF288*BF282+BG288*BG282+BH288*BH282+BI288*BI282+BJ288*BJ282+BK288*BK282+BL288*BL282+BM288*BM282+BN288*BN282+BO288*BO282+BP288*BP282+BQ288*BQ282+BR288*BR282+BS288*BS282+BT288*BT282+BU288*BU282+BV288*BV282+BW288*BW282+BX288*BX282+BY288*BY282+BZ288*BZ282+CA288*CA282+CB288*CB282+CC288*CC282+CD288*CD282+CE288*CE282+CF288*CF282+CG288*CG282+CH288*CH282+CI288*CI282+CJ288*CJ282+CK288*CK282+CL288*CL282+CM288*CM282+CN288*CN282+CO288*CO282+CP288*CP282+CQ288*CQ282+CR288*CR282+CS288*CS282+CT288*CT282+CU288*CU282</f>
        <v>0</v>
      </c>
      <c r="CZ282" s="2839">
        <f>E289*E282+F289*F282+G289*G282+H289*H282+I289*I282+J289*J282+K289*K282+L289*L282+M289*M282+N289*N282+O289*O282+P289*P282+Q289*Q282+R289*R282+S289*S282+T289*T282+U289*U282+V289*V282+W289*W282+X289*X282+Y289*Y282+Z289*Z282+AA289*AA282+AB289*AB282+AC289*AC282+AD289*AD282+AE289*AE282+AF289*AF282+AG289*AG282+AH289*AH282+AI289*AI282+AJ289*AJ282+AK289*AK282+AL289*AL282+AM289*AM282+AN289*AN282+AO289*AO282+AP289*AP282+AQ289*AQ282+AR289*AR282+AS289*AS282+AT289*AT282+AU289*AU282+AV289*AV282+AW289*AW282+AX289*AX282+AY289*AY282+AZ289*AZ282+BA289*BA282+BB289*BB282+BC289*BC282+BD289*BD282+BE289*BE282+BF289*BF282+BG289*BG282+BH289*BH282+BI289*BI282+BJ289*BJ282+BK289*BK282+BL289*BL282+BM289*BM282+BN289*BN282+BO289*BO282+BP289*BP282+BQ289*BQ282+BR289*BR282+BS289*BS282+BT289*BT282+BU289*BU282+BV289*BV282+BW289*BW282+BX289*BX282+BY289*BY282+BZ289*BZ282+CA289*CA282+CB289*CB282+CC289*CC282+CD289*CD282+CE289*CE282+CF289*CF282+CG289*CG282+CH289*CH282+CI289*CI282+CJ289*CJ282+CK289*CK282+CL289*CL282+CM289*CM282+CN289*CN282+CO289*CO282+CP289*CP282+CQ289*CQ282+CR289*CR282+CS289*CS282+CT289*CT282+CU289*CU282</f>
        <v>0</v>
      </c>
      <c r="DA282" s="2840">
        <f>E290*E282+F290*F282+G290*G282+H290*H282+I290*I282+J290*J282+K290*K282+L290*L282+M290*M282+N290*N282+O290*O282+P290*P282+Q290*Q282+R290*R282+S290*S282+T290*T282+U290*U282+V290*V282+W290*W282+X290*X282+Y290*Y282+Z290*Z282+AA290*AA282+AB290*AB282+AC290*AC282+AD290*AD282+AE290*AE282+AF290*AF282+AG290*AG282+AH290*AH282+AI290*AI282+AJ290*AJ282+AK290*AK282+AL290*AL282+AM290*AM282+AN290*AN282+AO290*AO282+AP290*AP282+AQ290*AQ282+AR290*AR282+AS290*AS282+AT290*AT282+AU290*AU282+AV290*AV282+AW290*AW282+AX290*AX282+AY290*AY282+AZ290*AZ282+BA290*BA282+BB290*BB282+BC290*BC282+BD290*BD282+BE290*BE282+BF290*BF282+BG290*BG282+BH290*BH282+BI290*BI282+BJ290*BJ282+BK290*BK282+BL290*BL282+BM290*BM282+BN290*BN282+BO290*BO282+BP290*BP282+BQ290*BQ282+BR290*BR282+BS290*BS282+BT290*BT282+BU290*BU282+BV290*BV282+BW290*BW282+BX290*BX282+BY290*BY282+BZ290*BZ282+CA290*CA282+CB290*CB282+CC290*CC282+CD290*CD282+CE290*CE282+CF290*CF282+CG290*CG282+CH290*CH282+CI290*CI282+CJ290*CJ282+CK290*CK282+CL290*CL282+CM290*CM282+CN290*CN282+CO290*CO282+CP290*CP282+CQ290*CQ282+CR290*CR282+CS290*CS282+CT290*CT282+CU290*CU282</f>
        <v>0</v>
      </c>
      <c r="DB282" s="2840">
        <f>E291*E282+F291*F282+G291*G282+H291*H282+I291*I282+J291*J282+K291*K282+L291*L282+M291*M282+N291*N282+O291*O282+P291*P282+Q291*Q282+R291*R282+S291*S282+T291*T282+U291*U282+V291*V282+W291*W282+X291*X282+Y291*Y282+Z291*Z282+AA291*AA282+AB291*AB282+AC291*AC282+AD291*AD282+AE291*AE282+AF291*AF282+AG291*AG282+AH291*AH282+AI291*AI282+AJ291*AJ282+AK291*AK282+AL291*AL282+AM291*AM282+AN291*AN282+AO291*AO282+AP291*AP282+AQ291*AQ282+AR291*AR282+AS291*AS282+AT291*AT282+AU291*AU282+AV291*AV282+AW291*AW282+AX291*AX282+AY291*AY282+AZ291*AZ282+BA291*BA282+BB291*BB282+BC291*BC282+BD291*BD282+BE291*BE282+BF291*BF282+BG291*BG282+BH291*BH282+BI291*BI282+BJ291*BJ282+BK291*BK282+BL291*BL282+BM291*BM282+BN291*BN282+BO291*BO282+BP291*BP282+BQ291*BQ282+BR291*BR282+BS291*BS282+BT291*BT282+BU291*BU282+BV291*BV282+BW291*BW282+BX291*BX282+BY291*BY282+BZ291*BZ282+CA291*CA282+CB291*CB282+CC291*CC282+CD291*CD282+CE291*CE282+CF291*CF282+CG291*CG282+CH291*CH282+CI291*CI282+CJ291*CJ282+CK291*CK282+CL291*CL282+CM291*CM282+CN291*CN282+CO291*CO282+CP291*CP282+CQ291*CQ282+CR291*CR282+CS291*CS282+CT291*CT282+CU291*CU282</f>
        <v>0</v>
      </c>
      <c r="DC282" s="2840">
        <f>E292*E282+F292*F282+G292*G282+H292*H282+I292*I282+J292*J282+K292*K282+L292*L282+M292*M282+N292*N282+O292*O282+P292*P282+Q292*Q282+R292*R282+S292*S282+T292*T282+U292*U282+V292*V282+W292*W282+X292*X282+Y292*Y282+Z292*Z282+AA292*AA282+AB292*AB282+AC292*AC282+AD292*AD282+AE292*AE282+AF292*AF282+AG292*AG282+AH292*AH282+AI292*AI282+AJ292*AJ282+AK292*AK282+AL292*AL282+AM292*AM282+AN292*AN282+AO292*AO282+AP292*AP282+AQ292*AQ282+AR292*AR282+AS292*AS282+AT292*AT282+AU292*AU282+AV292*AV282+AW292*AW282+AX292*AX282+AY292*AY282+AZ292*AZ282+BA292*BA282+BB292*BB282+BC292*BC282+BD292*BD282+BE292*BE282+BF292*BF282+BG292*BG282+BH292*BH282+BI292*BI282+BJ292*BJ282+BK292*BK282+BL292*BL282+BM292*BM282+BN292*BN282+BO292*BO282+BP292*BP282+BQ292*BQ282+BR292*BR282+BS292*BS282+BT292*BT282+BU292*BU282+BV292*BV282+BW292*BW282+BX292*BX282+BY292*BY282+BZ292*BZ282+CA292*CA282+CB292*CB282+CC292*CC282+CD292*CD282+CE292*CE282+CF292*CF282+CG292*CG282+CH292*CH282+CI292*CI282+CJ292*CJ282+CK292*CK282+CL292*CL282+CM292*CM282+CN292*CN282+CO292*CO282+CP292*CP282+CQ292*CQ282+CR292*CR282+CS292*CS282+CT292*CT282+CU292*CU282</f>
        <v>0</v>
      </c>
      <c r="DD282" s="2840">
        <f>E293*E282+F293*F282+G293*G282+H293*H282+I293*I282+J293*J282+K293*K282+L293*L282+M293*M282+N293*N282+O293*O282+P293*P282+Q293*Q282+R293*R282+S293*S282+T293*T282+U293*U282+V293*V282+W293*W282+X293*X282+Y293*Y282+Z293*Z282+AA293*AA282+AB293*AB282+AC293*AC282+AD293*AD282+AE293*AE282+AF293*AF282+AG293*AG282+AH293*AH282+AI293*AI282+AJ293*AJ282+AK293*AK282+AL293*AL282+AM293*AM282+AN293*AN282+AO293*AO282+AP293*AP282+AQ293*AQ282+AR293*AR282+AS293*AS282+AT293*AT282+AU293*AU282+AV293*AV282+AW293*AW282+AX293*AX282+AY293*AY282+AZ293*AZ282+BA293*BA282+BB293*BB282+BC293*BC282+BD293*BD282+BE293*BE282+BF293*BF282+BG293*BG282+BH293*BH282+BI293*BI282+BJ293*BJ282+BK293*BK282+BL293*BL282+BM293*BM282+BN293*BN282+BO293*BO282+BP293*BP282+BQ293*BQ282+BR293*BR282+BS293*BS282+BT293*BT282+BU293*BU282+BV293*BV282+BW293*BW282+BX293*BX282+BY293*BY282+BZ293*BZ282+CA293*CA282+CB293*CB282+CC293*CC282+CD293*CD282+CE293*CE282+CF293*CF282+CG293*CG282+CH293*CH282+CI293*CI282+CJ293*CJ282+CK293*CK282+CL293*CL282+CM293*CM282+CN293*CN282+CO293*CO282+CP293*CP282+CQ293*CQ282+CR293*CR282+CS293*CS282+CT293*CT282+CU293*CU282</f>
        <v>0</v>
      </c>
      <c r="DE282" s="2840">
        <f>E294*E282+F294*F282+G294*G282+H294*H282+I294*I282+J294*J282+K294*K282+L294*L282+M294*M282+N294*N282+O294*O282+P294*P282+Q294*Q282+R294*R282+S294*S282+T294*T282+U294*U282+V294*V282+W294*W282+X294*X282+Y294*Y282+Z294*Z282+AA294*AA282+AB294*AB282+AC294*AC282+AD294*AD282+AE294*AE282+AF294*AF282+AG294*AG282+AH294*AH282+AI294*AI282+AJ294*AJ282+AK294*AK282+AL294*AL282+AM294*AM282+AN294*AN282+AO294*AO282+AP294*AP282+AQ294*AQ282+AR294*AR282+AS294*AS282+AT294*AT282+AU294*AU282+AV294*AV282+AW294*AW282+AX294*AX282+AY294*AY282+AZ294*AZ282+BA294*BA282+BB294*BB282+BC294*BC282+BD294*BD282+BE294*BE282+BF294*BF282+BG294*BG282+BH294*BH282+BI294*BI282+BJ294*BJ282+BK294*BK282+BL294*BL282+BM294*BM282+BN294*BN282+BO294*BO282+BP294*BP282+BQ294*BQ282+BR294*BR282+BS294*BS282+BT294*BT282+BU294*BU282+BV294*BV282+BW294*BW282+BX294*BX282+BY294*BY282+BZ294*BZ282+CA294*CA282+CB294*CB282+CC294*CC282+CD294*CD282+CE294*CE282+CF294*CF282+CG294*CG282+CH294*CH282+CI294*CI282+CJ294*CJ282+CK294*CK282+CL294*CL282+CM294*CM282+CN294*CN282+CO294*CO282+CP294*CP282+CQ294*CQ282+CR294*CR282+CS294*CS282+CT294*CT282+CU294*CU282</f>
        <v>0</v>
      </c>
      <c r="DF282" s="2840">
        <f>E295*E282+F295*F282+G295*G282+H295*H282+I295*I282+J295*J282+K295*K282+L295*L282+M295*M282+N295*N282+O295*O282+P295*P282+Q295*Q282+R295*R282+S295*S282+T295*T282+U295*U282+V295*V282+W295*W282+X295*X282+Y295*Y282+Z295*Z282+AA295*AA282+AB295*AB282+AC295*AC282+AD295*AD282+AE295*AE282+AF295*AF282+AG295*AG282+AH295*AH282+AI295*AI282+AJ295*AJ282+AK295*AK282+AL295*AL282+AM295*AM282+AN295*AN282+AO295*AO282+AP295*AP282+AQ295*AQ282+AR295*AR282+AS295*AS282+AT295*AT282+AU295*AU282+AV295*AV282+AW295*AW282+AX295*AX282+AY295*AY282+AZ295*AZ282+BA295*BA282+BB295*BB282+BC295*BC282+BD295*BD282+BE295*BE282+BF295*BF282+BG295*BG282+BH295*BH282+BI295*BI282+BJ295*BJ282+BK295*BK282+BL295*BL282+BM295*BM282+BN295*BN282+BO295*BO282+BP295*BP282+BQ295*BQ282+BR295*BR282+BS295*BS282+BT295*BT282+BU295*BU282+BV295*BV282+BW295*BW282+BX295*BX282+BY295*BY282+BZ295*BZ282+CA295*CA282+CB295*CB282+CC295*CC282+CD295*CD282+CE295*CE282+CF295*CF282+CG295*CG282+CH295*CH282+CI295*CI282+CJ295*CJ282+CK295*CK282+CL295*CL282+CM295*CM282+CN295*CN282+CO295*CO282+CP295*CP282+CQ295*CQ282+CR295*CR282+CS295*CS282+CT295*CT282+CU295*CU282</f>
        <v>0</v>
      </c>
      <c r="DG282" s="2840">
        <f>E296*E282+F296*F282+G296*G282+H296*H282+I296*I282+J296*J282+K296*K282+L296*L282+M296*M282+N296*N282+O296*O282+P296*P282+Q296*Q282+R296*R282+S296*S282+T296*T282+U296*U282+V296*V282+W296*W282+X296*X282+Y296*Y282+Z296*Z282+AA296*AA282+AB296*AB282+AC296*AC282+AD296*AD282+AE296*AE282+AF296*AF282+AG296*AG282+AH296*AH282+AI296*AI282+AJ296*AJ282+AK296*AK282+AL296*AL282+AM296*AM282+AN296*AN282+AO296*AO282+AP296*AP282+AQ296*AQ282+AR296*AR282+AS296*AS282+AT296*AT282+AU296*AU282+AV296*AV282+AW296*AW282+AX296*AX282+AY296*AY282+AZ296*AZ282+BA296*BA282+BB296*BB282+BC296*BC282+BD296*BD282+BE296*BE282+BF296*BF282+BG296*BG282+BH296*BH282+BI296*BI282+BJ296*BJ282+BK296*BK282+BL296*BL282+BM296*BM282+BN296*BN282+BO296*BO282+BP296*BP282+BQ296*BQ282+BR296*BR282+BS296*BS282+BT296*BT282+BU296*BU282+BV296*BV282+BW296*BW282+BX296*BX282+BY296*BY282+BZ296*BZ282+CA296*CA282+CB296*CB282+CC296*CC282+CD296*CD282+CE296*CE282+CF296*CF282+CG296*CG282+CH296*CH282+CI296*CI282+CJ296*CJ282+CK296*CK282+CL296*CL282+CM296*CM282+CN296*CN282+CO296*CO282+CP296*CP282+CQ296*CQ282+CR296*CR282+CS296*CS282+CT296*CT282+CU296*CU282</f>
        <v>0</v>
      </c>
      <c r="DH282" s="2840">
        <f>E297*E282+F297*F282+G297*G282+H297*H282+I297*I282+J297*J282+K297*K282+L297*L282+M297*M282+N297*N282+O297*O282+P297*P282+Q297*Q282+R297*R282+S297*S282+T297*T282+U297*U282+V297*V282+W297*W282+X297*X282+Y297*Y282+Z297*Z282+AA297*AA282+AB297*AB282+AC297*AC282+AD297*AD282+AE297*AE282+AF297*AF282+AG297*AG282+AH297*AH282+AI297*AI282+AJ297*AJ282+AK297*AK282+AL297*AL282+AM297*AM282+AN297*AN282+AO297*AO282+AP297*AP282+AQ297*AQ282+AR297*AR282+AS297*AS282+AT297*AT282+AU297*AU282+AV297*AV282+AW297*AW282+AX297*AX282+AY297*AY282+AZ297*AZ282+BA297*BA282+BB297*BB282+BC297*BC282+BD297*BD282+BE297*BE282+BF297*BF282+BG297*BG282+BH297*BH282+BI297*BI282+BJ297*BJ282+BK297*BK282+BL297*BL282+BM297*BM282+BN297*BN282+BO297*BO282+BP297*BP282+BQ297*BQ282+BR297*BR282+BS297*BS282+BT297*BT282+BU297*BU282+BV297*BV282+BW297*BW282+BX297*BX282+BY297*BY282+BZ297*BZ282+CA297*CA282+CB297*CB282+CC297*CC282+CD297*CD282+CE297*CE282+CF297*CF282+CG297*CG282+CH297*CH282+CI297*CI282+CJ297*CJ282+CK297*CK282+CL297*CL282+CM297*CM282+CN297*CN282+CO297*CO282+CP297*CP282+CQ297*CQ282+CR297*CR282+CS297*CS282+CT297*CT282+CU297*CU282</f>
        <v>0</v>
      </c>
      <c r="DI282" s="2840">
        <f>E298*E282+F298*F282+G298*G282+H298*H282+I298*I282+J298*J282+K298*K282+L298*L282+M298*M282+N298*N282+O298*O282+P298*P282+Q298*Q282+R298*R282+S298*S282+T298*T282+U298*U282+V298*V282+W298*W282+X298*X282+Y298*Y282+Z298*Z282+AA298*AA282+AB298*AB282+AC298*AC282+AD298*AD282+AE298*AE282+AF298*AF282+AG298*AG282+AH298*AH282+AI298*AI282+AJ298*AJ282+AK298*AK282+AL298*AL282+AM298*AM282+AN298*AN282+AO298*AO282+AP298*AP282+AQ298*AQ282+AR298*AR282+AS298*AS282+AT298*AT282+AU298*AU282+AV298*AV282+AW298*AW282+AX298*AX282+AY298*AY282+AZ298*AZ282+BA298*BA282+BB298*BB282+BC298*BC282+BD298*BD282+BE298*BE282+BF298*BF282+BG298*BG282+BH298*BH282+BI298*BI282+BJ298*BJ282+BK298*BK282+BL298*BL282+BM298*BM282+BN298*BN282+BO298*BO282+BP298*BP282+BQ298*BQ282+BR298*BR282+BS298*BS282+BT298*BT282+BU298*BU282+BV298*BV282+BW298*BW282+BX298*BX282+BY298*BY282+BZ298*BZ282+CA298*CA282+CB298*CB282+CC298*CC282+CD298*CD282+CE298*CE282+CF298*CF282+CG298*CG282+CH298*CH282+CI298*CI282+CJ298*CJ282+CK298*CK282+CL298*CL282+CM298*CM282+CN298*CN282+CO298*CO282+CP298*CP282+CQ298*CQ282+CR298*CR282+CS298*CS282+CT298*CT282+CU298*CU282</f>
        <v>0</v>
      </c>
    </row>
    <row r="283" spans="2:113" ht="18.75" thickBot="1" x14ac:dyDescent="0.3">
      <c r="B283" s="1151">
        <v>130</v>
      </c>
      <c r="C283" s="2527" t="s">
        <v>5941</v>
      </c>
      <c r="D283" s="2528" t="s">
        <v>3300</v>
      </c>
      <c r="E283" s="3137">
        <f>0</f>
        <v>0</v>
      </c>
      <c r="F283" s="3137">
        <f>0</f>
        <v>0</v>
      </c>
      <c r="G283" s="3137">
        <f>0</f>
        <v>0</v>
      </c>
      <c r="H283" s="3137">
        <f>0</f>
        <v>0</v>
      </c>
      <c r="I283" s="3137">
        <f>0</f>
        <v>0</v>
      </c>
      <c r="J283" s="3137">
        <f>0</f>
        <v>0</v>
      </c>
      <c r="K283" s="3137">
        <f>0</f>
        <v>0</v>
      </c>
      <c r="L283" s="3137">
        <f>0</f>
        <v>0</v>
      </c>
      <c r="M283" s="3137">
        <f>0</f>
        <v>0</v>
      </c>
      <c r="N283" s="3137">
        <f>0</f>
        <v>0</v>
      </c>
      <c r="O283" s="3137">
        <f>0</f>
        <v>0</v>
      </c>
      <c r="P283" s="3137">
        <f>0</f>
        <v>0</v>
      </c>
      <c r="Q283" s="3137">
        <f>0</f>
        <v>0</v>
      </c>
      <c r="R283" s="3161">
        <f>0</f>
        <v>0</v>
      </c>
      <c r="S283" s="3137">
        <f>0</f>
        <v>0</v>
      </c>
      <c r="T283" s="3137">
        <f>0</f>
        <v>0</v>
      </c>
      <c r="U283" s="3137">
        <f>0</f>
        <v>0</v>
      </c>
      <c r="V283" s="3137">
        <f>0</f>
        <v>0</v>
      </c>
      <c r="W283" s="3137">
        <f>0</f>
        <v>0</v>
      </c>
      <c r="X283" s="3137">
        <f>0</f>
        <v>0</v>
      </c>
      <c r="Y283" s="3137">
        <f>0</f>
        <v>0</v>
      </c>
      <c r="Z283" s="3137">
        <f>0</f>
        <v>0</v>
      </c>
      <c r="AA283" s="3137">
        <f>0</f>
        <v>0</v>
      </c>
      <c r="AB283" s="3137">
        <f>0</f>
        <v>0</v>
      </c>
      <c r="AC283" s="3137">
        <f>0</f>
        <v>0</v>
      </c>
      <c r="AD283" s="3137">
        <f>0</f>
        <v>0</v>
      </c>
      <c r="AE283" s="3137">
        <f>0</f>
        <v>0</v>
      </c>
      <c r="AF283" s="3137">
        <f>0</f>
        <v>0</v>
      </c>
      <c r="AG283" s="3137">
        <f>0</f>
        <v>0</v>
      </c>
      <c r="AH283" s="3137">
        <f>0</f>
        <v>0</v>
      </c>
      <c r="AI283" s="3137">
        <f>0</f>
        <v>0</v>
      </c>
      <c r="AJ283" s="3137">
        <f>0</f>
        <v>0</v>
      </c>
      <c r="AK283" s="3137">
        <f>0</f>
        <v>0</v>
      </c>
      <c r="AL283" s="3137">
        <f>0</f>
        <v>0</v>
      </c>
      <c r="AM283" s="3137">
        <f>0</f>
        <v>0</v>
      </c>
      <c r="AN283" s="3137">
        <f>0</f>
        <v>0</v>
      </c>
      <c r="AO283" s="3137">
        <f>0</f>
        <v>0</v>
      </c>
      <c r="AP283" s="3137">
        <f>0</f>
        <v>0</v>
      </c>
      <c r="AQ283" s="3137">
        <f>0</f>
        <v>0</v>
      </c>
      <c r="AR283" s="3137">
        <f>0</f>
        <v>0</v>
      </c>
      <c r="AS283" s="3137">
        <f>0</f>
        <v>0</v>
      </c>
      <c r="AT283" s="3137">
        <f>0</f>
        <v>0</v>
      </c>
      <c r="AU283" s="3137">
        <f>0</f>
        <v>0</v>
      </c>
      <c r="AV283" s="3137">
        <f>0</f>
        <v>0</v>
      </c>
      <c r="AW283" s="3137">
        <f>0</f>
        <v>0</v>
      </c>
      <c r="AX283" s="3137">
        <f>0</f>
        <v>0</v>
      </c>
      <c r="AY283" s="3137">
        <f>0</f>
        <v>0</v>
      </c>
      <c r="AZ283" s="3137">
        <f>0</f>
        <v>0</v>
      </c>
      <c r="BA283" s="3137">
        <f>0</f>
        <v>0</v>
      </c>
      <c r="BB283" s="3137">
        <f>0</f>
        <v>0</v>
      </c>
      <c r="BC283" s="3137">
        <f>0</f>
        <v>0</v>
      </c>
      <c r="BD283" s="3137">
        <f>0</f>
        <v>0</v>
      </c>
      <c r="BE283" s="3161">
        <f>0</f>
        <v>0</v>
      </c>
      <c r="BF283" s="3161">
        <f>0</f>
        <v>0</v>
      </c>
      <c r="BG283" s="3161">
        <f>0</f>
        <v>0</v>
      </c>
      <c r="BH283" s="3161">
        <f>0</f>
        <v>0</v>
      </c>
      <c r="BI283" s="3161">
        <f>0</f>
        <v>0</v>
      </c>
      <c r="BJ283" s="3161">
        <f>0</f>
        <v>0</v>
      </c>
      <c r="BK283" s="3161">
        <f>0</f>
        <v>0</v>
      </c>
      <c r="BL283" s="3161">
        <f>0</f>
        <v>0</v>
      </c>
      <c r="BM283" s="3161">
        <f>0</f>
        <v>0</v>
      </c>
      <c r="BN283" s="3161">
        <f>0</f>
        <v>0</v>
      </c>
      <c r="BO283" s="3161">
        <f>0</f>
        <v>0</v>
      </c>
      <c r="BP283" s="3161">
        <f>0</f>
        <v>0</v>
      </c>
      <c r="BQ283" s="3161">
        <f>0</f>
        <v>0</v>
      </c>
      <c r="BR283" s="3161">
        <f>0</f>
        <v>0</v>
      </c>
      <c r="BS283" s="3161">
        <f>0</f>
        <v>0</v>
      </c>
      <c r="BT283" s="3161">
        <f>0</f>
        <v>0</v>
      </c>
      <c r="BU283" s="3161">
        <f>0</f>
        <v>0</v>
      </c>
      <c r="BV283" s="3161">
        <f>0</f>
        <v>0</v>
      </c>
      <c r="BW283" s="3161">
        <f>0</f>
        <v>0</v>
      </c>
      <c r="BX283" s="3161">
        <f>0</f>
        <v>0</v>
      </c>
      <c r="BY283" s="3161">
        <f>0</f>
        <v>0</v>
      </c>
      <c r="BZ283" s="3161">
        <f>0</f>
        <v>0</v>
      </c>
      <c r="CA283" s="3161">
        <f>0</f>
        <v>0</v>
      </c>
      <c r="CB283" s="3161">
        <f>0</f>
        <v>0</v>
      </c>
      <c r="CC283" s="3161">
        <f>0</f>
        <v>0</v>
      </c>
      <c r="CD283" s="3161">
        <f>0</f>
        <v>0</v>
      </c>
      <c r="CE283" s="3161">
        <f>0</f>
        <v>0</v>
      </c>
      <c r="CF283" s="3161">
        <f>0</f>
        <v>0</v>
      </c>
      <c r="CG283" s="3161">
        <f>0</f>
        <v>0</v>
      </c>
      <c r="CH283" s="3161">
        <f>0</f>
        <v>0</v>
      </c>
      <c r="CI283" s="3161">
        <f>0</f>
        <v>0</v>
      </c>
      <c r="CJ283" s="3161">
        <f>0</f>
        <v>0</v>
      </c>
      <c r="CK283" s="3161">
        <f>0</f>
        <v>0</v>
      </c>
      <c r="CL283" s="3161">
        <f>0</f>
        <v>0</v>
      </c>
      <c r="CM283" s="3161">
        <f>0</f>
        <v>0</v>
      </c>
      <c r="CN283" s="3161">
        <f>0</f>
        <v>0</v>
      </c>
      <c r="CO283" s="3161">
        <f>0</f>
        <v>0</v>
      </c>
      <c r="CP283" s="3161">
        <f>0</f>
        <v>0</v>
      </c>
      <c r="CQ283" s="3161">
        <f>0</f>
        <v>0</v>
      </c>
      <c r="CR283" s="3161">
        <f>0</f>
        <v>0</v>
      </c>
      <c r="CS283" s="3161">
        <f>0</f>
        <v>0</v>
      </c>
      <c r="CT283" s="3161">
        <f>0</f>
        <v>0</v>
      </c>
      <c r="CU283" s="3161">
        <f>-1</f>
        <v>-1</v>
      </c>
      <c r="CV283" s="3240">
        <f>k_transfer_MM*S_MM_index*r_ategas_transfer</f>
        <v>459.30089326133987</v>
      </c>
      <c r="CX283" s="2838">
        <f>E287*E283+F287*F283+G287*G283+H287*H283+I287*I283+J287*J283+K287*K283+L287*L283+M287*M283+N287*N283+O287*O283+P287*P283+Q287*Q283+R287*R283+S287*S283+T287*T283+U287*U283+V287*V283+W287*W283+X287*X283+Y287*Y283+Z287*Z283+AA287*AA283+AB287*AB283+AC287*AC283+AD287*AD283+AE287*AE283+AF287*AF283+AG287*AG283+AH287*AH283+AI287*AI283+AJ287*AJ283+AK287*AK283+AL287*AL283+AM287*AM283+AN287*AN283+AO287*AO283+AP287*AP283+AQ287*AQ283+AR287*AR283+AS287*AS283+AT287*AT283+AU287*AU283+AV287*AV283+AW287*AW283+AX287*AX283+AY287*AY283+AZ287*AZ283+BA287*BA283+BB287*BB283+BC287*BC283+BD287*BD283+BE287*BE283+BF287*BF283+BG287*BG283+BH287*BH283+BI287*BI283+BJ287*BJ283+BK287*BK283+BL287*BL283+BM287*BM283+BN287*BN283+BO287*BO283+BP287*BP283+BQ287*BQ283+BR287*BR283+BS287*BS283+BT287*BT283+BU287*BU283+BV287*BV283+BW287*BW283+BX287*BX283+BY287*BY283+BZ287*BZ283+CA287*CA283+CB287*CB283+CC287*CC283+CD287*CD283+CE287*CE283+CF287*CF283+CG287*CG283+CH287*CH283+CI287*CI283+CJ287*CJ283+CK287*CK283+CL287*CL283+CM287*CM283+CN287*CN283+CO287*CO283+CP287*CP283+CQ287*CQ283+CR287*CR283+CS287*CS283+CT287*CT283+CU287*CU283</f>
        <v>0</v>
      </c>
      <c r="CY283" s="2838">
        <f>E288*E283+F288*F283+G288*G283+H288*H283+I288*I283+J288*J283+K288*K283+L288*L283+M288*M283+N288*N283+O288*O283+P288*P283+Q288*Q283+R288*R283+S288*S283+T288*T283+U288*U283+V288*V283+W288*W283+X288*X283+Y288*Y283+Z288*Z283+AA288*AA283+AB288*AB283+AC288*AC283+AD288*AD283+AE288*AE283+AF288*AF283+AG288*AG283+AH288*AH283+AI288*AI283+AJ288*AJ283+AK288*AK283+AL288*AL283+AM288*AM283+AN288*AN283+AO288*AO283+AP288*AP283+AQ288*AQ283+AR288*AR283+AS288*AS283+AT288*AT283+AU288*AU283+AV288*AV283+AW288*AW283+AX288*AX283+AY288*AY283+AZ288*AZ283+BA288*BA283+BB288*BB283+BC288*BC283+BD288*BD283+BE288*BE283+BF288*BF283+BG288*BG283+BH288*BH283+BI288*BI283+BJ288*BJ283+BK288*BK283+BL288*BL283+BM288*BM283+BN288*BN283+BO288*BO283+BP288*BP283+BQ288*BQ283+BR288*BR283+BS288*BS283+BT288*BT283+BU288*BU283+BV288*BV283+BW288*BW283+BX288*BX283+BY288*BY283+BZ288*BZ283+CA288*CA283+CB288*CB283+CC288*CC283+CD288*CD283+CE288*CE283+CF288*CF283+CG288*CG283+CH288*CH283+CI288*CI283+CJ288*CJ283+CK288*CK283+CL288*CL283+CM288*CM283+CN288*CN283+CO288*CO283+CP288*CP283+CQ288*CQ283+CR288*CR283+CS288*CS283+CT288*CT283+CU288*CU283</f>
        <v>0</v>
      </c>
      <c r="CZ283" s="2839">
        <f>E289*E283+F289*F283+G289*G283+H289*H283+I289*I283+J289*J283+K289*K283+L289*L283+M289*M283+N289*N283+O289*O283+P289*P283+Q289*Q283+R289*R283+S289*S283+T289*T283+U289*U283+V289*V283+W289*W283+X289*X283+Y289*Y283+Z289*Z283+AA289*AA283+AB289*AB283+AC289*AC283+AD289*AD283+AE289*AE283+AF289*AF283+AG289*AG283+AH289*AH283+AI289*AI283+AJ289*AJ283+AK289*AK283+AL289*AL283+AM289*AM283+AN289*AN283+AO289*AO283+AP289*AP283+AQ289*AQ283+AR289*AR283+AS289*AS283+AT289*AT283+AU289*AU283+AV289*AV283+AW289*AW283+AX289*AX283+AY289*AY283+AZ289*AZ283+BA289*BA283+BB289*BB283+BC289*BC283+BD289*BD283+BE289*BE283+BF289*BF283+BG289*BG283+BH289*BH283+BI289*BI283+BJ289*BJ283+BK289*BK283+BL289*BL283+BM289*BM283+BN289*BN283+BO289*BO283+BP289*BP283+BQ289*BQ283+BR289*BR283+BS289*BS283+BT289*BT283+BU289*BU283+BV289*BV283+BW289*BW283+BX289*BX283+BY289*BY283+BZ289*BZ283+CA289*CA283+CB289*CB283+CC289*CC283+CD289*CD283+CE289*CE283+CF289*CF283+CG289*CG283+CH289*CH283+CI289*CI283+CJ289*CJ283+CK289*CK283+CL289*CL283+CM289*CM283+CN289*CN283+CO289*CO283+CP289*CP283+CQ289*CQ283+CR289*CR283+CS289*CS283+CT289*CT283+CU289*CU283</f>
        <v>0</v>
      </c>
      <c r="DA283" s="2840">
        <f>E290*E283+F290*F283+G290*G283+H290*H283+I290*I283+J290*J283+K290*K283+L290*L283+M290*M283+N290*N283+O290*O283+P290*P283+Q290*Q283+R290*R283+S290*S283+T290*T283+U290*U283+V290*V283+W290*W283+X290*X283+Y290*Y283+Z290*Z283+AA290*AA283+AB290*AB283+AC290*AC283+AD290*AD283+AE290*AE283+AF290*AF283+AG290*AG283+AH290*AH283+AI290*AI283+AJ290*AJ283+AK290*AK283+AL290*AL283+AM290*AM283+AN290*AN283+AO290*AO283+AP290*AP283+AQ290*AQ283+AR290*AR283+AS290*AS283+AT290*AT283+AU290*AU283+AV290*AV283+AW290*AW283+AX290*AX283+AY290*AY283+AZ290*AZ283+BA290*BA283+BB290*BB283+BC290*BC283+BD290*BD283+BE290*BE283+BF290*BF283+BG290*BG283+BH290*BH283+BI290*BI283+BJ290*BJ283+BK290*BK283+BL290*BL283+BM290*BM283+BN290*BN283+BO290*BO283+BP290*BP283+BQ290*BQ283+BR290*BR283+BS290*BS283+BT290*BT283+BU290*BU283+BV290*BV283+BW290*BW283+BX290*BX283+BY290*BY283+BZ290*BZ283+CA290*CA283+CB290*CB283+CC290*CC283+CD290*CD283+CE290*CE283+CF290*CF283+CG290*CG283+CH290*CH283+CI290*CI283+CJ290*CJ283+CK290*CK283+CL290*CL283+CM290*CM283+CN290*CN283+CO290*CO283+CP290*CP283+CQ290*CQ283+CR290*CR283+CS290*CS283+CT290*CT283+CU290*CU283</f>
        <v>0</v>
      </c>
      <c r="DB283" s="2840">
        <f>E291*E283+F291*F283+G291*G283+H291*H283+I291*I283+J291*J283+K291*K283+L291*L283+M291*M283+N291*N283+O291*O283+P291*P283+Q291*Q283+R291*R283+S291*S283+T291*T283+U291*U283+V291*V283+W291*W283+X291*X283+Y291*Y283+Z291*Z283+AA291*AA283+AB291*AB283+AC291*AC283+AD291*AD283+AE291*AE283+AF291*AF283+AG291*AG283+AH291*AH283+AI291*AI283+AJ291*AJ283+AK291*AK283+AL291*AL283+AM291*AM283+AN291*AN283+AO291*AO283+AP291*AP283+AQ291*AQ283+AR291*AR283+AS291*AS283+AT291*AT283+AU291*AU283+AV291*AV283+AW291*AW283+AX291*AX283+AY291*AY283+AZ291*AZ283+BA291*BA283+BB291*BB283+BC291*BC283+BD291*BD283+BE291*BE283+BF291*BF283+BG291*BG283+BH291*BH283+BI291*BI283+BJ291*BJ283+BK291*BK283+BL291*BL283+BM291*BM283+BN291*BN283+BO291*BO283+BP291*BP283+BQ291*BQ283+BR291*BR283+BS291*BS283+BT291*BT283+BU291*BU283+BV291*BV283+BW291*BW283+BX291*BX283+BY291*BY283+BZ291*BZ283+CA291*CA283+CB291*CB283+CC291*CC283+CD291*CD283+CE291*CE283+CF291*CF283+CG291*CG283+CH291*CH283+CI291*CI283+CJ291*CJ283+CK291*CK283+CL291*CL283+CM291*CM283+CN291*CN283+CO291*CO283+CP291*CP283+CQ291*CQ283+CR291*CR283+CS291*CS283+CT291*CT283+CU291*CU283</f>
        <v>0</v>
      </c>
      <c r="DC283" s="2840">
        <f>E292*E283+F292*F283+G292*G283+H292*H283+I292*I283+J292*J283+K292*K283+L292*L283+M292*M283+N292*N283+O292*O283+P292*P283+Q292*Q283+R292*R283+S292*S283+T292*T283+U292*U283+V292*V283+W292*W283+X292*X283+Y292*Y283+Z292*Z283+AA292*AA283+AB292*AB283+AC292*AC283+AD292*AD283+AE292*AE283+AF292*AF283+AG292*AG283+AH292*AH283+AI292*AI283+AJ292*AJ283+AK292*AK283+AL292*AL283+AM292*AM283+AN292*AN283+AO292*AO283+AP292*AP283+AQ292*AQ283+AR292*AR283+AS292*AS283+AT292*AT283+AU292*AU283+AV292*AV283+AW292*AW283+AX292*AX283+AY292*AY283+AZ292*AZ283+BA292*BA283+BB292*BB283+BC292*BC283+BD292*BD283+BE292*BE283+BF292*BF283+BG292*BG283+BH292*BH283+BI292*BI283+BJ292*BJ283+BK292*BK283+BL292*BL283+BM292*BM283+BN292*BN283+BO292*BO283+BP292*BP283+BQ292*BQ283+BR292*BR283+BS292*BS283+BT292*BT283+BU292*BU283+BV292*BV283+BW292*BW283+BX292*BX283+BY292*BY283+BZ292*BZ283+CA292*CA283+CB292*CB283+CC292*CC283+CD292*CD283+CE292*CE283+CF292*CF283+CG292*CG283+CH292*CH283+CI292*CI283+CJ292*CJ283+CK292*CK283+CL292*CL283+CM292*CM283+CN292*CN283+CO292*CO283+CP292*CP283+CQ292*CQ283+CR292*CR283+CS292*CS283+CT292*CT283+CU292*CU283</f>
        <v>0</v>
      </c>
      <c r="DD283" s="2840">
        <f>E293*E283+F293*F283+G293*G283+H293*H283+I293*I283+J293*J283+K293*K283+L293*L283+M293*M283+N293*N283+O293*O283+P293*P283+Q293*Q283+R293*R283+S293*S283+T293*T283+U293*U283+V293*V283+W293*W283+X293*X283+Y293*Y283+Z293*Z283+AA293*AA283+AB293*AB283+AC293*AC283+AD293*AD283+AE293*AE283+AF293*AF283+AG293*AG283+AH293*AH283+AI293*AI283+AJ293*AJ283+AK293*AK283+AL293*AL283+AM293*AM283+AN293*AN283+AO293*AO283+AP293*AP283+AQ293*AQ283+AR293*AR283+AS293*AS283+AT293*AT283+AU293*AU283+AV293*AV283+AW293*AW283+AX293*AX283+AY293*AY283+AZ293*AZ283+BA293*BA283+BB293*BB283+BC293*BC283+BD293*BD283+BE293*BE283+BF293*BF283+BG293*BG283+BH293*BH283+BI293*BI283+BJ293*BJ283+BK293*BK283+BL293*BL283+BM293*BM283+BN293*BN283+BO293*BO283+BP293*BP283+BQ293*BQ283+BR293*BR283+BS293*BS283+BT293*BT283+BU293*BU283+BV293*BV283+BW293*BW283+BX293*BX283+BY293*BY283+BZ293*BZ283+CA293*CA283+CB293*CB283+CC293*CC283+CD293*CD283+CE293*CE283+CF293*CF283+CG293*CG283+CH293*CH283+CI293*CI283+CJ293*CJ283+CK293*CK283+CL293*CL283+CM293*CM283+CN293*CN283+CO293*CO283+CP293*CP283+CQ293*CQ283+CR293*CR283+CS293*CS283+CT293*CT283+CU293*CU283</f>
        <v>0</v>
      </c>
      <c r="DE283" s="2840">
        <f>E294*E283+F294*F283+G294*G283+H294*H283+I294*I283+J294*J283+K294*K283+L294*L283+M294*M283+N294*N283+O294*O283+P294*P283+Q294*Q283+R294*R283+S294*S283+T294*T283+U294*U283+V294*V283+W294*W283+X294*X283+Y294*Y283+Z294*Z283+AA294*AA283+AB294*AB283+AC294*AC283+AD294*AD283+AE294*AE283+AF294*AF283+AG294*AG283+AH294*AH283+AI294*AI283+AJ294*AJ283+AK294*AK283+AL294*AL283+AM294*AM283+AN294*AN283+AO294*AO283+AP294*AP283+AQ294*AQ283+AR294*AR283+AS294*AS283+AT294*AT283+AU294*AU283+AV294*AV283+AW294*AW283+AX294*AX283+AY294*AY283+AZ294*AZ283+BA294*BA283+BB294*BB283+BC294*BC283+BD294*BD283+BE294*BE283+BF294*BF283+BG294*BG283+BH294*BH283+BI294*BI283+BJ294*BJ283+BK294*BK283+BL294*BL283+BM294*BM283+BN294*BN283+BO294*BO283+BP294*BP283+BQ294*BQ283+BR294*BR283+BS294*BS283+BT294*BT283+BU294*BU283+BV294*BV283+BW294*BW283+BX294*BX283+BY294*BY283+BZ294*BZ283+CA294*CA283+CB294*CB283+CC294*CC283+CD294*CD283+CE294*CE283+CF294*CF283+CG294*CG283+CH294*CH283+CI294*CI283+CJ294*CJ283+CK294*CK283+CL294*CL283+CM294*CM283+CN294*CN283+CO294*CO283+CP294*CP283+CQ294*CQ283+CR294*CR283+CS294*CS283+CT294*CT283+CU294*CU283</f>
        <v>0</v>
      </c>
      <c r="DF283" s="2840">
        <f>E295*E283+F295*F283+G295*G283+H295*H283+I295*I283+J295*J283+K295*K283+L295*L283+M295*M283+N295*N283+O295*O283+P295*P283+Q295*Q283+R295*R283+S295*S283+T295*T283+U295*U283+V295*V283+W295*W283+X295*X283+Y295*Y283+Z295*Z283+AA295*AA283+AB295*AB283+AC295*AC283+AD295*AD283+AE295*AE283+AF295*AF283+AG295*AG283+AH295*AH283+AI295*AI283+AJ295*AJ283+AK295*AK283+AL295*AL283+AM295*AM283+AN295*AN283+AO295*AO283+AP295*AP283+AQ295*AQ283+AR295*AR283+AS295*AS283+AT295*AT283+AU295*AU283+AV295*AV283+AW295*AW283+AX295*AX283+AY295*AY283+AZ295*AZ283+BA295*BA283+BB295*BB283+BC295*BC283+BD295*BD283+BE295*BE283+BF295*BF283+BG295*BG283+BH295*BH283+BI295*BI283+BJ295*BJ283+BK295*BK283+BL295*BL283+BM295*BM283+BN295*BN283+BO295*BO283+BP295*BP283+BQ295*BQ283+BR295*BR283+BS295*BS283+BT295*BT283+BU295*BU283+BV295*BV283+BW295*BW283+BX295*BX283+BY295*BY283+BZ295*BZ283+CA295*CA283+CB295*CB283+CC295*CC283+CD295*CD283+CE295*CE283+CF295*CF283+CG295*CG283+CH295*CH283+CI295*CI283+CJ295*CJ283+CK295*CK283+CL295*CL283+CM295*CM283+CN295*CN283+CO295*CO283+CP295*CP283+CQ295*CQ283+CR295*CR283+CS295*CS283+CT295*CT283+CU295*CU283</f>
        <v>0</v>
      </c>
      <c r="DG283" s="2840">
        <f>E296*E283+F296*F283+G296*G283+H296*H283+I296*I283+J296*J283+K296*K283+L296*L283+M296*M283+N296*N283+O296*O283+P296*P283+Q296*Q283+R296*R283+S296*S283+T296*T283+U296*U283+V296*V283+W296*W283+X296*X283+Y296*Y283+Z296*Z283+AA296*AA283+AB296*AB283+AC296*AC283+AD296*AD283+AE296*AE283+AF296*AF283+AG296*AG283+AH296*AH283+AI296*AI283+AJ296*AJ283+AK296*AK283+AL296*AL283+AM296*AM283+AN296*AN283+AO296*AO283+AP296*AP283+AQ296*AQ283+AR296*AR283+AS296*AS283+AT296*AT283+AU296*AU283+AV296*AV283+AW296*AW283+AX296*AX283+AY296*AY283+AZ296*AZ283+BA296*BA283+BB296*BB283+BC296*BC283+BD296*BD283+BE296*BE283+BF296*BF283+BG296*BG283+BH296*BH283+BI296*BI283+BJ296*BJ283+BK296*BK283+BL296*BL283+BM296*BM283+BN296*BN283+BO296*BO283+BP296*BP283+BQ296*BQ283+BR296*BR283+BS296*BS283+BT296*BT283+BU296*BU283+BV296*BV283+BW296*BW283+BX296*BX283+BY296*BY283+BZ296*BZ283+CA296*CA283+CB296*CB283+CC296*CC283+CD296*CD283+CE296*CE283+CF296*CF283+CG296*CG283+CH296*CH283+CI296*CI283+CJ296*CJ283+CK296*CK283+CL296*CL283+CM296*CM283+CN296*CN283+CO296*CO283+CP296*CP283+CQ296*CQ283+CR296*CR283+CS296*CS283+CT296*CT283+CU296*CU283</f>
        <v>0</v>
      </c>
      <c r="DH283" s="2840">
        <f>E297*E283+F297*F283+G297*G283+H297*H283+I297*I283+J297*J283+K297*K283+L297*L283+M297*M283+N297*N283+O297*O283+P297*P283+Q297*Q283+R297*R283+S297*S283+T297*T283+U297*U283+V297*V283+W297*W283+X297*X283+Y297*Y283+Z297*Z283+AA297*AA283+AB297*AB283+AC297*AC283+AD297*AD283+AE297*AE283+AF297*AF283+AG297*AG283+AH297*AH283+AI297*AI283+AJ297*AJ283+AK297*AK283+AL297*AL283+AM297*AM283+AN297*AN283+AO297*AO283+AP297*AP283+AQ297*AQ283+AR297*AR283+AS297*AS283+AT297*AT283+AU297*AU283+AV297*AV283+AW297*AW283+AX297*AX283+AY297*AY283+AZ297*AZ283+BA297*BA283+BB297*BB283+BC297*BC283+BD297*BD283+BE297*BE283+BF297*BF283+BG297*BG283+BH297*BH283+BI297*BI283+BJ297*BJ283+BK297*BK283+BL297*BL283+BM297*BM283+BN297*BN283+BO297*BO283+BP297*BP283+BQ297*BQ283+BR297*BR283+BS297*BS283+BT297*BT283+BU297*BU283+BV297*BV283+BW297*BW283+BX297*BX283+BY297*BY283+BZ297*BZ283+CA297*CA283+CB297*CB283+CC297*CC283+CD297*CD283+CE297*CE283+CF297*CF283+CG297*CG283+CH297*CH283+CI297*CI283+CJ297*CJ283+CK297*CK283+CL297*CL283+CM297*CM283+CN297*CN283+CO297*CO283+CP297*CP283+CQ297*CQ283+CR297*CR283+CS297*CS283+CT297*CT283+CU297*CU283</f>
        <v>0</v>
      </c>
      <c r="DI283" s="2840">
        <f>E298*E283+F298*F283+G298*G283+H298*H283+I298*I283+J298*J283+K298*K283+L298*L283+M298*M283+N298*N283+O298*O283+P298*P283+Q298*Q283+R298*R283+S298*S283+T298*T283+U298*U283+V298*V283+W298*W283+X298*X283+Y298*Y283+Z298*Z283+AA298*AA283+AB298*AB283+AC298*AC283+AD298*AD283+AE298*AE283+AF298*AF283+AG298*AG283+AH298*AH283+AI298*AI283+AJ298*AJ283+AK298*AK283+AL298*AL283+AM298*AM283+AN298*AN283+AO298*AO283+AP298*AP283+AQ298*AQ283+AR298*AR283+AS298*AS283+AT298*AT283+AU298*AU283+AV298*AV283+AW298*AW283+AX298*AX283+AY298*AY283+AZ298*AZ283+BA298*BA283+BB298*BB283+BC298*BC283+BD298*BD283+BE298*BE283+BF298*BF283+BG298*BG283+BH298*BH283+BI298*BI283+BJ298*BJ283+BK298*BK283+BL298*BL283+BM298*BM283+BN298*BN283+BO298*BO283+BP298*BP283+BQ298*BQ283+BR298*BR283+BS298*BS283+BT298*BT283+BU298*BU283+BV298*BV283+BW298*BW283+BX298*BX283+BY298*BY283+BZ298*BZ283+CA298*CA283+CB298*CB283+CC298*CC283+CD298*CD283+CE298*CE283+CF298*CF283+CG298*CG283+CH298*CH283+CI298*CI283+CJ298*CJ283+CK298*CK283+CL298*CL283+CM298*CM283+CN298*CN283+CO298*CO283+CP298*CP283+CQ298*CQ283+CR298*CR283+CS298*CS283+CT298*CT283+CU298*CU283</f>
        <v>0</v>
      </c>
    </row>
    <row r="285" spans="2:113" ht="15.75" thickBot="1" x14ac:dyDescent="0.3"/>
    <row r="286" spans="2:113" ht="15.75" thickBot="1" x14ac:dyDescent="0.3">
      <c r="D286" s="850" t="s">
        <v>6</v>
      </c>
      <c r="E286" s="68"/>
      <c r="F286" s="68"/>
      <c r="G286" s="68"/>
      <c r="H286" s="68"/>
      <c r="I286" s="68"/>
      <c r="J286" s="68"/>
      <c r="K286" s="68"/>
      <c r="L286" s="68"/>
      <c r="M286" s="68"/>
      <c r="N286" s="68"/>
      <c r="O286" s="68"/>
      <c r="P286" s="68"/>
      <c r="Q286" s="68"/>
      <c r="R286" s="68"/>
      <c r="S286" s="68"/>
      <c r="T286" s="68"/>
      <c r="U286" s="68"/>
      <c r="V286" s="68"/>
      <c r="W286" s="68"/>
      <c r="X286" s="68"/>
      <c r="Y286" s="68"/>
      <c r="Z286" s="68"/>
      <c r="AA286" s="68"/>
      <c r="AB286" s="68"/>
      <c r="AC286" s="68"/>
      <c r="AD286" s="68"/>
      <c r="AE286" s="68"/>
      <c r="AF286" s="68"/>
      <c r="AG286" s="68"/>
      <c r="AH286" s="68"/>
      <c r="AI286" s="68"/>
      <c r="AJ286" s="68"/>
      <c r="AK286" s="68"/>
      <c r="AL286" s="68"/>
      <c r="AM286" s="68"/>
      <c r="AN286" s="68"/>
      <c r="AO286" s="68"/>
      <c r="AP286" s="68"/>
      <c r="AQ286" s="68"/>
      <c r="AR286" s="68"/>
      <c r="AS286" s="68"/>
      <c r="AT286" s="68"/>
      <c r="AU286" s="68"/>
      <c r="AV286" s="68"/>
      <c r="AW286" s="68"/>
      <c r="AX286" s="68"/>
      <c r="AY286" s="68"/>
      <c r="AZ286" s="68"/>
      <c r="BA286" s="68"/>
      <c r="BB286" s="68"/>
      <c r="BC286" s="68"/>
      <c r="BD286" s="68"/>
      <c r="BE286" s="68"/>
      <c r="BF286" s="68"/>
      <c r="BG286" s="68"/>
      <c r="BH286" s="68"/>
      <c r="BI286" s="68"/>
      <c r="BJ286" s="68"/>
      <c r="BK286" s="68"/>
      <c r="BL286" s="68"/>
      <c r="BM286" s="68"/>
      <c r="BN286" s="68"/>
      <c r="BO286" s="68"/>
      <c r="BP286" s="68"/>
      <c r="BQ286" s="68"/>
      <c r="BR286" s="68"/>
      <c r="BS286" s="68"/>
      <c r="BT286" s="68"/>
      <c r="BU286" s="68"/>
      <c r="BV286" s="68"/>
      <c r="BW286" s="68"/>
      <c r="BX286" s="68"/>
      <c r="BY286" s="68"/>
      <c r="BZ286" s="68"/>
      <c r="CA286" s="68"/>
      <c r="CB286" s="68"/>
      <c r="CC286" s="68"/>
      <c r="CD286" s="68"/>
      <c r="CE286" s="68"/>
      <c r="CF286" s="68"/>
      <c r="CG286" s="68"/>
      <c r="CH286" s="68"/>
      <c r="CI286" s="68"/>
      <c r="CJ286" s="68"/>
      <c r="CK286" s="68"/>
      <c r="CL286" s="68"/>
      <c r="CM286" s="68"/>
      <c r="CN286" s="68"/>
      <c r="CO286" s="68"/>
      <c r="CP286" s="68"/>
      <c r="CQ286" s="68"/>
      <c r="CR286" s="68"/>
      <c r="CS286" s="68"/>
      <c r="CT286" s="68"/>
      <c r="CU286" s="68"/>
    </row>
    <row r="287" spans="2:113" ht="18.75" x14ac:dyDescent="0.25">
      <c r="D287" s="851" t="s">
        <v>148</v>
      </c>
      <c r="E287" s="716">
        <v>1</v>
      </c>
      <c r="F287" s="716">
        <v>1</v>
      </c>
      <c r="G287" s="716">
        <v>1</v>
      </c>
      <c r="H287" s="716">
        <v>1</v>
      </c>
      <c r="I287" s="716">
        <v>1</v>
      </c>
      <c r="J287" s="3031">
        <v>1</v>
      </c>
      <c r="K287" s="716">
        <v>1</v>
      </c>
      <c r="L287" s="716">
        <v>1</v>
      </c>
      <c r="M287" s="716">
        <v>1</v>
      </c>
      <c r="N287" s="716">
        <v>1</v>
      </c>
      <c r="O287" s="716">
        <v>1</v>
      </c>
      <c r="P287" s="716">
        <v>1</v>
      </c>
      <c r="Q287" s="716">
        <v>1</v>
      </c>
      <c r="R287" s="716">
        <v>1</v>
      </c>
      <c r="S287" s="716">
        <v>1</v>
      </c>
      <c r="T287" s="716">
        <v>1</v>
      </c>
      <c r="U287" s="716">
        <v>1</v>
      </c>
      <c r="V287" s="716">
        <v>1</v>
      </c>
      <c r="W287" s="716">
        <v>1</v>
      </c>
      <c r="X287" s="716">
        <v>1</v>
      </c>
      <c r="Y287" s="716">
        <v>1</v>
      </c>
      <c r="Z287" s="716">
        <v>1</v>
      </c>
      <c r="AA287" s="716">
        <v>1</v>
      </c>
      <c r="AB287" s="716">
        <v>1</v>
      </c>
      <c r="AC287" s="2373">
        <v>1</v>
      </c>
      <c r="AD287" s="716"/>
      <c r="AE287" s="717">
        <f>-E_EQNO2</f>
        <v>-3.4268028871897016</v>
      </c>
      <c r="AF287" s="717">
        <f>-E_EQNO3</f>
        <v>-4.5690705162529355</v>
      </c>
      <c r="AG287" s="717">
        <f>-E_EQN2</f>
        <v>-1.7134014435948508</v>
      </c>
      <c r="AH287" s="716"/>
      <c r="AI287" s="716"/>
      <c r="AJ287" s="3031"/>
      <c r="AK287" s="716"/>
      <c r="AL287" s="716"/>
      <c r="AM287" s="716"/>
      <c r="AN287" s="716"/>
      <c r="AO287" s="716"/>
      <c r="AP287" s="3031"/>
      <c r="AQ287" s="716"/>
      <c r="AR287" s="716">
        <v>-1</v>
      </c>
      <c r="AS287" s="716">
        <v>1</v>
      </c>
      <c r="AT287" s="716">
        <v>1</v>
      </c>
      <c r="AU287" s="716"/>
      <c r="AV287" s="716"/>
      <c r="AW287" s="716"/>
      <c r="AX287" s="716"/>
      <c r="AY287" s="716"/>
      <c r="AZ287" s="716"/>
      <c r="BA287" s="716"/>
      <c r="BB287" s="717">
        <f>E_EQH2S</f>
        <v>1.9958708872602526</v>
      </c>
      <c r="BC287" s="716"/>
      <c r="BD287" s="717">
        <f>E_EQS</f>
        <v>1.4969031654451894</v>
      </c>
      <c r="BE287" s="716">
        <f>E_EQFe2</f>
        <v>0.14325364849136002</v>
      </c>
      <c r="BF287" s="716"/>
      <c r="BG287" s="716"/>
      <c r="BH287" s="716"/>
      <c r="BI287" s="716"/>
      <c r="BJ287" s="716"/>
      <c r="BK287" s="716"/>
      <c r="BL287" s="716"/>
      <c r="BM287" s="716"/>
      <c r="BN287" s="716"/>
      <c r="BO287" s="716"/>
      <c r="BP287" s="716"/>
      <c r="BQ287" s="716"/>
      <c r="BR287" s="716"/>
      <c r="BS287" s="716"/>
      <c r="BT287" s="716"/>
      <c r="BU287" s="716"/>
      <c r="BV287" s="1073"/>
      <c r="BW287" s="716"/>
      <c r="BX287" s="718">
        <f>3*A_MFe/M_MVivi*E_EQFe2</f>
        <v>4.7846893347985253E-2</v>
      </c>
      <c r="BY287" s="718">
        <f>A_MS/M_MFeS*E_EQH2S+A_MFe/M_MFeS*E_EQFe2</f>
        <v>0.81899215106358769</v>
      </c>
      <c r="BZ287" s="2811"/>
      <c r="CA287" s="2811"/>
      <c r="CB287" s="2811"/>
      <c r="CC287" s="2811"/>
      <c r="CD287" s="718"/>
      <c r="CE287" s="1181"/>
      <c r="CF287" s="2222"/>
      <c r="CG287" s="716"/>
      <c r="CH287" s="717" t="s">
        <v>3660</v>
      </c>
      <c r="CI287" s="717" t="s">
        <v>3660</v>
      </c>
      <c r="CJ287" s="717" t="s">
        <v>1147</v>
      </c>
      <c r="CK287" s="716"/>
      <c r="CL287" s="717">
        <f>-E_EQN2</f>
        <v>-1.7134014435948508</v>
      </c>
      <c r="CM287" s="716">
        <f>E_EQH2S</f>
        <v>1.9958708872602526</v>
      </c>
      <c r="CN287" s="716"/>
      <c r="CO287" s="717">
        <f>1/Δ_atm</f>
        <v>1</v>
      </c>
      <c r="CP287" s="717">
        <f>1/Δ_atm</f>
        <v>1</v>
      </c>
      <c r="CQ287" s="717">
        <f>-1/Δ_atm</f>
        <v>-1</v>
      </c>
      <c r="CR287" s="716"/>
      <c r="CS287" s="717">
        <f>-E_EQN2/Δ_atm</f>
        <v>-1.7134014435948508</v>
      </c>
      <c r="CT287" s="717">
        <f>E_EQH2S/Δ_atm</f>
        <v>1.9958708872602526</v>
      </c>
      <c r="CU287" s="716"/>
    </row>
    <row r="288" spans="2:113" ht="18.75" x14ac:dyDescent="0.25">
      <c r="D288" s="852" t="s">
        <v>258</v>
      </c>
      <c r="E288" s="683">
        <f>i_CIT_VFA</f>
        <v>0.375</v>
      </c>
      <c r="F288" s="683">
        <f>i_CIT_SB</f>
        <v>0.28599999999999998</v>
      </c>
      <c r="G288" s="683">
        <f>i_CIT_MEOL</f>
        <v>0.25</v>
      </c>
      <c r="H288" s="683">
        <f>i_CIT_SB</f>
        <v>0.28599999999999998</v>
      </c>
      <c r="I288" s="683">
        <f>i_CIT_SB</f>
        <v>0.28599999999999998</v>
      </c>
      <c r="J288" s="683">
        <f>i_CIT_XBe</f>
        <v>0.28599999999999998</v>
      </c>
      <c r="K288" s="683">
        <f>i_CIT_SB</f>
        <v>0.28599999999999998</v>
      </c>
      <c r="L288" s="683">
        <f>i_CIT_SB</f>
        <v>0.28599999999999998</v>
      </c>
      <c r="M288" s="683">
        <f>i_CIT_SB</f>
        <v>0.28599999999999998</v>
      </c>
      <c r="N288" s="683">
        <f>i_CIT_PHA</f>
        <v>0.33300000000000002</v>
      </c>
      <c r="O288" s="683">
        <f>i_CIT_PHA</f>
        <v>0.33300000000000002</v>
      </c>
      <c r="P288" s="683">
        <f>i_CIT_BIO</f>
        <v>0.35199999999999998</v>
      </c>
      <c r="Q288" s="683">
        <f>i_CIT_BIO</f>
        <v>0.35199999999999998</v>
      </c>
      <c r="R288" s="683">
        <f>i_CIT_BIO</f>
        <v>0.35199999999999998</v>
      </c>
      <c r="S288" s="683">
        <f>i_CIT_BIO</f>
        <v>0.35199999999999998</v>
      </c>
      <c r="T288" s="683">
        <f>i_CIT_BIO</f>
        <v>0.35199999999999998</v>
      </c>
      <c r="U288" s="683">
        <f>i_CIT_BIO</f>
        <v>0.35199999999999998</v>
      </c>
      <c r="V288" s="683">
        <f>i_CIT_BIO</f>
        <v>0.35199999999999998</v>
      </c>
      <c r="W288" s="683">
        <f>i_CIT_BIO</f>
        <v>0.35199999999999998</v>
      </c>
      <c r="X288" s="683">
        <f>i_CIT_BIO</f>
        <v>0.35199999999999998</v>
      </c>
      <c r="Y288" s="683">
        <f>i_CIT_BIO</f>
        <v>0.35199999999999998</v>
      </c>
      <c r="Z288" s="683">
        <f>i_CIT_BIO</f>
        <v>0.35199999999999998</v>
      </c>
      <c r="AA288" s="683">
        <f>i_CIT_BIO</f>
        <v>0.35199999999999998</v>
      </c>
      <c r="AB288" s="683">
        <f>i_CIT_BIO</f>
        <v>0.35199999999999998</v>
      </c>
      <c r="AC288" s="2374">
        <f>i_CIT_ALGAE</f>
        <v>0.375</v>
      </c>
      <c r="AD288" s="683"/>
      <c r="AE288" s="849"/>
      <c r="AF288" s="849"/>
      <c r="AG288" s="849"/>
      <c r="AH288" s="683"/>
      <c r="AI288" s="683"/>
      <c r="AJ288" s="2813"/>
      <c r="AK288" s="683"/>
      <c r="AL288" s="683"/>
      <c r="AM288" s="683"/>
      <c r="AN288" s="683"/>
      <c r="AO288" s="683"/>
      <c r="AP288" s="2813"/>
      <c r="AQ288" s="683"/>
      <c r="AR288" s="683"/>
      <c r="AS288" s="683">
        <f>i_CIT_CH4</f>
        <v>0.188</v>
      </c>
      <c r="AT288" s="683"/>
      <c r="AU288" s="683">
        <v>1</v>
      </c>
      <c r="AV288" s="683"/>
      <c r="AW288" s="683"/>
      <c r="AX288" s="683"/>
      <c r="AY288" s="683"/>
      <c r="AZ288" s="683"/>
      <c r="BA288" s="683"/>
      <c r="BB288" s="683"/>
      <c r="BC288" s="683"/>
      <c r="BD288" s="708"/>
      <c r="BE288" s="683"/>
      <c r="BF288" s="683"/>
      <c r="BG288" s="683"/>
      <c r="BH288" s="683"/>
      <c r="BI288" s="683"/>
      <c r="BJ288" s="683"/>
      <c r="BK288" s="683"/>
      <c r="BL288" s="683"/>
      <c r="BM288" s="683"/>
      <c r="BN288" s="683"/>
      <c r="BO288" s="683"/>
      <c r="BP288" s="683"/>
      <c r="BQ288" s="683"/>
      <c r="BR288" s="683"/>
      <c r="BS288" s="683"/>
      <c r="BT288" s="683">
        <f>A_MC/M_MCaCO3</f>
        <v>0.12000271763837225</v>
      </c>
      <c r="BU288" s="683"/>
      <c r="BV288" s="1051"/>
      <c r="BW288" s="683"/>
      <c r="BX288" s="684"/>
      <c r="BY288" s="708"/>
      <c r="BZ288" s="2812"/>
      <c r="CA288" s="2812"/>
      <c r="CB288" s="2812"/>
      <c r="CC288" s="2812"/>
      <c r="CD288" s="684"/>
      <c r="CE288" s="1072"/>
      <c r="CF288" s="2220"/>
      <c r="CG288" s="849" t="s">
        <v>3660</v>
      </c>
      <c r="CH288" s="683">
        <f>i_CIT_CH4</f>
        <v>0.188</v>
      </c>
      <c r="CI288" s="683"/>
      <c r="CJ288" s="849"/>
      <c r="CK288" s="683"/>
      <c r="CL288" s="849"/>
      <c r="CM288" s="849"/>
      <c r="CN288" s="849">
        <f>1/Δ_atm</f>
        <v>1</v>
      </c>
      <c r="CO288" s="849">
        <f>i_CIT_CH4/Δ_atm</f>
        <v>0.188</v>
      </c>
      <c r="CP288" s="683"/>
      <c r="CQ288" s="849"/>
      <c r="CR288" s="683"/>
      <c r="CS288" s="683"/>
      <c r="CT288" s="683"/>
      <c r="CU288" s="683"/>
    </row>
    <row r="289" spans="4:99" ht="18.75" x14ac:dyDescent="0.25">
      <c r="D289" s="852" t="s">
        <v>254</v>
      </c>
      <c r="E289" s="683"/>
      <c r="F289" s="683"/>
      <c r="G289" s="683"/>
      <c r="H289" s="683">
        <f>i_N_CB</f>
        <v>0.01</v>
      </c>
      <c r="I289" s="683"/>
      <c r="J289" s="2813"/>
      <c r="K289" s="683">
        <f>i_N_SU</f>
        <v>0.01</v>
      </c>
      <c r="L289" s="683">
        <f>i_N_CU</f>
        <v>0.01</v>
      </c>
      <c r="M289" s="683"/>
      <c r="N289" s="683"/>
      <c r="O289" s="683"/>
      <c r="P289" s="683">
        <f>i_N_XE</f>
        <v>0.06</v>
      </c>
      <c r="Q289" s="683">
        <f>i_N_XE</f>
        <v>0.06</v>
      </c>
      <c r="R289" s="683">
        <f>i_N_BIO</f>
        <v>7.0000000000000007E-2</v>
      </c>
      <c r="S289" s="683">
        <f>i_N_BIO</f>
        <v>7.0000000000000007E-2</v>
      </c>
      <c r="T289" s="683">
        <f>i_N_BIO</f>
        <v>7.0000000000000007E-2</v>
      </c>
      <c r="U289" s="683">
        <f>i_N_BIO</f>
        <v>7.0000000000000007E-2</v>
      </c>
      <c r="V289" s="683">
        <f>i_N_BIO</f>
        <v>7.0000000000000007E-2</v>
      </c>
      <c r="W289" s="683">
        <f>i_N_BIO</f>
        <v>7.0000000000000007E-2</v>
      </c>
      <c r="X289" s="683">
        <f>i_N_BIO</f>
        <v>7.0000000000000007E-2</v>
      </c>
      <c r="Y289" s="683">
        <f>i_N_BIO</f>
        <v>7.0000000000000007E-2</v>
      </c>
      <c r="Z289" s="683">
        <f>i_N_BIO</f>
        <v>7.0000000000000007E-2</v>
      </c>
      <c r="AA289" s="683">
        <f>i_N_BIO</f>
        <v>7.0000000000000007E-2</v>
      </c>
      <c r="AB289" s="683">
        <f>i_N_BIO</f>
        <v>7.0000000000000007E-2</v>
      </c>
      <c r="AC289" s="2374">
        <f>i_N_ALGAE</f>
        <v>7.0000000000000007E-2</v>
      </c>
      <c r="AD289" s="683">
        <v>1</v>
      </c>
      <c r="AE289" s="683">
        <v>1</v>
      </c>
      <c r="AF289" s="683">
        <v>1</v>
      </c>
      <c r="AG289" s="683">
        <v>1</v>
      </c>
      <c r="AH289" s="683">
        <v>1</v>
      </c>
      <c r="AI289" s="683">
        <v>1</v>
      </c>
      <c r="AJ289" s="2813">
        <v>1</v>
      </c>
      <c r="AK289" s="683">
        <v>1</v>
      </c>
      <c r="AL289" s="683"/>
      <c r="AM289" s="683"/>
      <c r="AN289" s="683"/>
      <c r="AO289" s="683"/>
      <c r="AP289" s="2813"/>
      <c r="AQ289" s="683"/>
      <c r="AR289" s="683"/>
      <c r="AS289" s="683"/>
      <c r="AT289" s="683"/>
      <c r="AU289" s="683"/>
      <c r="AV289" s="683"/>
      <c r="AW289" s="683"/>
      <c r="AX289" s="683"/>
      <c r="AY289" s="683"/>
      <c r="AZ289" s="683"/>
      <c r="BA289" s="683"/>
      <c r="BB289" s="683"/>
      <c r="BC289" s="683"/>
      <c r="BD289" s="683"/>
      <c r="BE289" s="683"/>
      <c r="BF289" s="683"/>
      <c r="BG289" s="683"/>
      <c r="BH289" s="683"/>
      <c r="BI289" s="683"/>
      <c r="BJ289" s="683"/>
      <c r="BK289" s="683"/>
      <c r="BL289" s="683"/>
      <c r="BM289" s="683"/>
      <c r="BN289" s="683"/>
      <c r="BO289" s="683"/>
      <c r="BP289" s="683"/>
      <c r="BQ289" s="683"/>
      <c r="BR289" s="683"/>
      <c r="BS289" s="683"/>
      <c r="BT289" s="683"/>
      <c r="BU289" s="683"/>
      <c r="BV289" s="1051"/>
      <c r="BW289" s="683">
        <f>A_MN/M_MSTR</f>
        <v>5.7075504823359977E-2</v>
      </c>
      <c r="BX289" s="683"/>
      <c r="BY289" s="683"/>
      <c r="BZ289" s="2813"/>
      <c r="CA289" s="2813"/>
      <c r="CB289" s="2813"/>
      <c r="CC289" s="2813"/>
      <c r="CD289" s="683"/>
      <c r="CE289" s="1071"/>
      <c r="CF289" s="2223"/>
      <c r="CG289" s="683"/>
      <c r="CH289" s="683"/>
      <c r="CI289" s="683"/>
      <c r="CJ289" s="683"/>
      <c r="CK289" s="849" t="s">
        <v>3660</v>
      </c>
      <c r="CL289" s="849" t="s">
        <v>3660</v>
      </c>
      <c r="CM289" s="683"/>
      <c r="CN289" s="683"/>
      <c r="CO289" s="683"/>
      <c r="CP289" s="683"/>
      <c r="CQ289" s="683"/>
      <c r="CR289" s="683">
        <f>1/Δ_atm</f>
        <v>1</v>
      </c>
      <c r="CS289" s="683">
        <f>1/Δ_atm</f>
        <v>1</v>
      </c>
      <c r="CT289" s="683"/>
      <c r="CU289" s="683"/>
    </row>
    <row r="290" spans="4:99" ht="18" x14ac:dyDescent="0.25">
      <c r="D290" s="852" t="s">
        <v>255</v>
      </c>
      <c r="E290" s="683"/>
      <c r="F290" s="683"/>
      <c r="G290" s="683"/>
      <c r="H290" s="683">
        <f>i_P_CB</f>
        <v>2E-3</v>
      </c>
      <c r="I290" s="683"/>
      <c r="J290" s="2813"/>
      <c r="K290" s="683">
        <f>i_P_SU</f>
        <v>2E-3</v>
      </c>
      <c r="L290" s="683">
        <f>i_P_CU</f>
        <v>2E-3</v>
      </c>
      <c r="M290" s="683"/>
      <c r="N290" s="683"/>
      <c r="O290" s="683"/>
      <c r="P290" s="683">
        <f>i_P_BIO</f>
        <v>0.02</v>
      </c>
      <c r="Q290" s="683">
        <f>i_P_BIO</f>
        <v>0.02</v>
      </c>
      <c r="R290" s="683">
        <f>i_P_BIO</f>
        <v>0.02</v>
      </c>
      <c r="S290" s="683">
        <f>i_P_BIO</f>
        <v>0.02</v>
      </c>
      <c r="T290" s="683">
        <f>i_P_BIO</f>
        <v>0.02</v>
      </c>
      <c r="U290" s="683">
        <f>i_P_BIO</f>
        <v>0.02</v>
      </c>
      <c r="V290" s="683">
        <f>i_P_BIO</f>
        <v>0.02</v>
      </c>
      <c r="W290" s="683">
        <f>i_P_BIO</f>
        <v>0.02</v>
      </c>
      <c r="X290" s="683">
        <f>i_P_BIO</f>
        <v>0.02</v>
      </c>
      <c r="Y290" s="683">
        <f>i_P_BIO</f>
        <v>0.02</v>
      </c>
      <c r="Z290" s="683">
        <f>i_P_BIO</f>
        <v>0.02</v>
      </c>
      <c r="AA290" s="683">
        <f>i_P_BIO</f>
        <v>0.02</v>
      </c>
      <c r="AB290" s="683">
        <f>i_P_BIO</f>
        <v>0.02</v>
      </c>
      <c r="AC290" s="2374">
        <f>i_P_ALGAE</f>
        <v>0.02</v>
      </c>
      <c r="AD290" s="683"/>
      <c r="AE290" s="683"/>
      <c r="AF290" s="683"/>
      <c r="AG290" s="683"/>
      <c r="AH290" s="683"/>
      <c r="AI290" s="683"/>
      <c r="AJ290" s="2813"/>
      <c r="AK290" s="683"/>
      <c r="AL290" s="683">
        <v>1</v>
      </c>
      <c r="AM290" s="683">
        <v>1</v>
      </c>
      <c r="AN290" s="683">
        <v>1</v>
      </c>
      <c r="AO290" s="683">
        <v>1</v>
      </c>
      <c r="AP290" s="2813">
        <v>1</v>
      </c>
      <c r="AQ290" s="683">
        <v>1</v>
      </c>
      <c r="AR290" s="683"/>
      <c r="AS290" s="683"/>
      <c r="AT290" s="683"/>
      <c r="AU290" s="683"/>
      <c r="AV290" s="683"/>
      <c r="AW290" s="683"/>
      <c r="AX290" s="683"/>
      <c r="AY290" s="683"/>
      <c r="AZ290" s="683"/>
      <c r="BA290" s="683"/>
      <c r="BB290" s="683"/>
      <c r="BC290" s="683"/>
      <c r="BD290" s="683"/>
      <c r="BE290" s="684"/>
      <c r="BF290" s="683"/>
      <c r="BG290" s="683"/>
      <c r="BH290" s="684"/>
      <c r="BI290" s="1051">
        <f>A_SFHFO_H*(A_MP/A_MFe)</f>
        <v>0.66556566639806602</v>
      </c>
      <c r="BJ290" s="1051">
        <f>A_SFHFO_L*(A_MP/A_MFe)</f>
        <v>0.11092761106634436</v>
      </c>
      <c r="BK290" s="1051">
        <f>A_SFHFO_H*(A_MP/A_MFe)</f>
        <v>0.66556566639806602</v>
      </c>
      <c r="BL290" s="1051">
        <f>A_SFHFO_L*(A_MP/A_MFe)</f>
        <v>0.11092761106634436</v>
      </c>
      <c r="BM290" s="1071"/>
      <c r="BN290" s="1071"/>
      <c r="BO290" s="1072"/>
      <c r="BP290" s="1051">
        <f>A_SFHAO_H*(A_MP/A_MAl)</f>
        <v>1.1479629449808202</v>
      </c>
      <c r="BQ290" s="1051">
        <f>A_SFHAO_L*(A_MP/A_MAl)</f>
        <v>0.11479629449808203</v>
      </c>
      <c r="BR290" s="1051">
        <f>A_SFHAO_H*(A_MP/A_MAl)</f>
        <v>1.1479629449808202</v>
      </c>
      <c r="BS290" s="1051">
        <f>A_SFHAO_L*(A_MP/A_MAl)</f>
        <v>0.11479629449808203</v>
      </c>
      <c r="BT290" s="684"/>
      <c r="BU290" s="683">
        <f>2*A_MP/M_MACP</f>
        <v>0.16206538757887573</v>
      </c>
      <c r="BV290" s="1051">
        <f>A_MP/M_MBSH</f>
        <v>0.17998807007087103</v>
      </c>
      <c r="BW290" s="683">
        <f>A_MP/M_MSTR</f>
        <v>0.12621410566683836</v>
      </c>
      <c r="BX290" s="684">
        <f>2*A_MP/M_MVivi</f>
        <v>0.1234998580474381</v>
      </c>
      <c r="BY290" s="684"/>
      <c r="BZ290" s="2814"/>
      <c r="CA290" s="2814"/>
      <c r="CB290" s="2814"/>
      <c r="CC290" s="2814"/>
      <c r="CD290" s="684"/>
      <c r="CE290" s="1072"/>
      <c r="CF290" s="2220"/>
      <c r="CG290" s="683"/>
      <c r="CH290" s="683"/>
      <c r="CI290" s="683"/>
      <c r="CJ290" s="683"/>
      <c r="CK290" s="683"/>
      <c r="CL290" s="683"/>
      <c r="CM290" s="683"/>
      <c r="CN290" s="683"/>
      <c r="CO290" s="683"/>
      <c r="CP290" s="683"/>
      <c r="CQ290" s="683"/>
      <c r="CR290" s="683"/>
      <c r="CS290" s="683"/>
      <c r="CT290" s="683"/>
      <c r="CU290" s="683"/>
    </row>
    <row r="291" spans="4:99" ht="18.75" x14ac:dyDescent="0.25">
      <c r="D291" s="852" t="s">
        <v>257</v>
      </c>
      <c r="E291" s="683"/>
      <c r="F291" s="683">
        <f>i_S_SB</f>
        <v>1.5E-3</v>
      </c>
      <c r="G291" s="683"/>
      <c r="H291" s="683">
        <f>i_S_CB</f>
        <v>1.5E-3</v>
      </c>
      <c r="I291" s="683">
        <f>i_S_XB</f>
        <v>1.5E-3</v>
      </c>
      <c r="J291" s="683">
        <f>i_S_XB</f>
        <v>1.5E-3</v>
      </c>
      <c r="K291" s="683">
        <f>i_S_SU</f>
        <v>1.5E-3</v>
      </c>
      <c r="L291" s="683">
        <f>i_S_CU</f>
        <v>1.5E-3</v>
      </c>
      <c r="M291" s="683">
        <f>i_S_XU</f>
        <v>1.5E-3</v>
      </c>
      <c r="N291" s="683"/>
      <c r="O291" s="683"/>
      <c r="P291" s="683">
        <f>i_S_BIO</f>
        <v>0.01</v>
      </c>
      <c r="Q291" s="683">
        <f>i_S_BIO</f>
        <v>0.01</v>
      </c>
      <c r="R291" s="683">
        <f>i_S_BIO</f>
        <v>0.01</v>
      </c>
      <c r="S291" s="683">
        <f>i_S_BIO</f>
        <v>0.01</v>
      </c>
      <c r="T291" s="683">
        <f>i_S_BIO</f>
        <v>0.01</v>
      </c>
      <c r="U291" s="683">
        <f>i_S_BIO</f>
        <v>0.01</v>
      </c>
      <c r="V291" s="683">
        <f>i_S_BIO</f>
        <v>0.01</v>
      </c>
      <c r="W291" s="683">
        <f>i_S_BIO</f>
        <v>0.01</v>
      </c>
      <c r="X291" s="683">
        <f>i_S_BIO</f>
        <v>0.01</v>
      </c>
      <c r="Y291" s="683">
        <f>i_S_BIO</f>
        <v>0.01</v>
      </c>
      <c r="Z291" s="683">
        <f>i_S_BIO</f>
        <v>0.01</v>
      </c>
      <c r="AA291" s="683">
        <f>i_S_BIO</f>
        <v>0.01</v>
      </c>
      <c r="AB291" s="683">
        <f>i_S_BIO</f>
        <v>0.01</v>
      </c>
      <c r="AC291" s="683">
        <f>i_S_ALGAE</f>
        <v>0.01</v>
      </c>
      <c r="AD291" s="683"/>
      <c r="AE291" s="683"/>
      <c r="AF291" s="683"/>
      <c r="AG291" s="683"/>
      <c r="AH291" s="683"/>
      <c r="AI291" s="683"/>
      <c r="AJ291" s="2813"/>
      <c r="AK291" s="683"/>
      <c r="AL291" s="683"/>
      <c r="AM291" s="683"/>
      <c r="AN291" s="683"/>
      <c r="AO291" s="683"/>
      <c r="AP291" s="2813"/>
      <c r="AQ291" s="683"/>
      <c r="AR291" s="683"/>
      <c r="AS291" s="683"/>
      <c r="AT291" s="683"/>
      <c r="AU291" s="683"/>
      <c r="AV291" s="683"/>
      <c r="AW291" s="683"/>
      <c r="AX291" s="683"/>
      <c r="AY291" s="683"/>
      <c r="AZ291" s="683"/>
      <c r="BA291" s="683"/>
      <c r="BB291" s="683">
        <v>1</v>
      </c>
      <c r="BC291" s="683">
        <v>1</v>
      </c>
      <c r="BD291" s="683">
        <v>1</v>
      </c>
      <c r="BE291" s="683"/>
      <c r="BF291" s="684"/>
      <c r="BG291" s="683"/>
      <c r="BH291" s="683"/>
      <c r="BI291" s="684"/>
      <c r="BJ291" s="683"/>
      <c r="BK291" s="683"/>
      <c r="BL291" s="683"/>
      <c r="BM291" s="684"/>
      <c r="BN291" s="683"/>
      <c r="BO291" s="683"/>
      <c r="BP291" s="684"/>
      <c r="BQ291" s="683"/>
      <c r="BR291" s="683"/>
      <c r="BS291" s="683"/>
      <c r="BT291" s="743"/>
      <c r="BU291" s="684"/>
      <c r="BV291" s="1074"/>
      <c r="BW291" s="683"/>
      <c r="BX291" s="683"/>
      <c r="BY291" s="684">
        <f>A_MS/M_MFeS</f>
        <v>0.36474803776589693</v>
      </c>
      <c r="BZ291" s="2814"/>
      <c r="CA291" s="2814"/>
      <c r="CB291" s="2814"/>
      <c r="CC291" s="2814"/>
      <c r="CD291" s="684"/>
      <c r="CE291" s="1072"/>
      <c r="CF291" s="2220"/>
      <c r="CG291" s="684"/>
      <c r="CH291" s="683"/>
      <c r="CI291" s="683"/>
      <c r="CJ291" s="683"/>
      <c r="CK291" s="683"/>
      <c r="CL291" s="683"/>
      <c r="CM291" s="683">
        <v>1</v>
      </c>
      <c r="CN291" s="684"/>
      <c r="CO291" s="683"/>
      <c r="CP291" s="683"/>
      <c r="CQ291" s="683"/>
      <c r="CR291" s="683"/>
      <c r="CS291" s="683"/>
      <c r="CT291" s="683">
        <f>1/Δ_atm</f>
        <v>1</v>
      </c>
      <c r="CU291" s="683"/>
    </row>
    <row r="292" spans="4:99" ht="18" x14ac:dyDescent="0.25">
      <c r="D292" s="852" t="s">
        <v>1112</v>
      </c>
      <c r="E292" s="683"/>
      <c r="F292" s="683"/>
      <c r="G292" s="683"/>
      <c r="H292" s="683"/>
      <c r="I292" s="683"/>
      <c r="J292" s="2813"/>
      <c r="K292" s="683"/>
      <c r="L292" s="683"/>
      <c r="M292" s="683"/>
      <c r="N292" s="683"/>
      <c r="O292" s="683"/>
      <c r="P292" s="683"/>
      <c r="Q292" s="683"/>
      <c r="R292" s="683"/>
      <c r="S292" s="683"/>
      <c r="T292" s="683"/>
      <c r="U292" s="683"/>
      <c r="V292" s="683"/>
      <c r="W292" s="683"/>
      <c r="X292" s="683"/>
      <c r="Y292" s="683"/>
      <c r="Z292" s="683"/>
      <c r="AA292" s="683"/>
      <c r="AB292" s="683"/>
      <c r="AC292" s="2374"/>
      <c r="AD292" s="683"/>
      <c r="AE292" s="683"/>
      <c r="AF292" s="683"/>
      <c r="AG292" s="683"/>
      <c r="AH292" s="683"/>
      <c r="AI292" s="683"/>
      <c r="AJ292" s="2813"/>
      <c r="AK292" s="683"/>
      <c r="AL292" s="683"/>
      <c r="AM292" s="683"/>
      <c r="AN292" s="683"/>
      <c r="AO292" s="683"/>
      <c r="AP292" s="2813"/>
      <c r="AQ292" s="683"/>
      <c r="AR292" s="683"/>
      <c r="AS292" s="683"/>
      <c r="AT292" s="683"/>
      <c r="AU292" s="683"/>
      <c r="AV292" s="1051">
        <f>(1-i_Ca_INORG*(A_MCa+2*A_MCl)/A_MCa-i_Mg_INORG*(A_MMg+2*A_MCl)/A_MMg)*f_Na</f>
        <v>0.26185730529816786</v>
      </c>
      <c r="AW292" s="683">
        <v>1</v>
      </c>
      <c r="AX292" s="683"/>
      <c r="AY292" s="683"/>
      <c r="AZ292" s="683"/>
      <c r="BA292" s="683"/>
      <c r="BB292" s="683"/>
      <c r="BC292" s="683"/>
      <c r="BD292" s="683"/>
      <c r="BE292" s="684"/>
      <c r="BF292" s="683"/>
      <c r="BG292" s="683"/>
      <c r="BH292" s="684"/>
      <c r="BI292" s="684"/>
      <c r="BJ292" s="683"/>
      <c r="BK292" s="684"/>
      <c r="BL292" s="684"/>
      <c r="BM292" s="683"/>
      <c r="BN292" s="683"/>
      <c r="BO292" s="684"/>
      <c r="BP292" s="684"/>
      <c r="BQ292" s="683"/>
      <c r="BR292" s="684"/>
      <c r="BS292" s="684"/>
      <c r="BT292" s="684"/>
      <c r="BU292" s="684"/>
      <c r="BV292" s="1051"/>
      <c r="BW292" s="683"/>
      <c r="BX292" s="684"/>
      <c r="BY292" s="684"/>
      <c r="BZ292" s="2814"/>
      <c r="CA292" s="2814"/>
      <c r="CB292" s="2814"/>
      <c r="CC292" s="2814"/>
      <c r="CD292" s="684"/>
      <c r="CE292" s="1072"/>
      <c r="CF292" s="2220"/>
      <c r="CG292" s="683"/>
      <c r="CH292" s="683"/>
      <c r="CI292" s="683"/>
      <c r="CJ292" s="683"/>
      <c r="CK292" s="683"/>
      <c r="CL292" s="683"/>
      <c r="CM292" s="683"/>
      <c r="CN292" s="683"/>
      <c r="CO292" s="683"/>
      <c r="CP292" s="683"/>
      <c r="CQ292" s="683"/>
      <c r="CR292" s="683"/>
      <c r="CS292" s="683"/>
      <c r="CT292" s="683"/>
      <c r="CU292" s="683"/>
    </row>
    <row r="293" spans="4:99" ht="18" x14ac:dyDescent="0.25">
      <c r="D293" s="852" t="s">
        <v>474</v>
      </c>
      <c r="E293" s="683"/>
      <c r="F293" s="683"/>
      <c r="G293" s="683"/>
      <c r="H293" s="683"/>
      <c r="I293" s="683"/>
      <c r="J293" s="2813"/>
      <c r="K293" s="683"/>
      <c r="L293" s="683"/>
      <c r="M293" s="683"/>
      <c r="N293" s="683"/>
      <c r="O293" s="683"/>
      <c r="P293" s="683"/>
      <c r="Q293" s="683"/>
      <c r="R293" s="683"/>
      <c r="S293" s="683"/>
      <c r="T293" s="683"/>
      <c r="U293" s="683"/>
      <c r="V293" s="683"/>
      <c r="W293" s="683"/>
      <c r="X293" s="683"/>
      <c r="Y293" s="683"/>
      <c r="Z293" s="683"/>
      <c r="AA293" s="683"/>
      <c r="AB293" s="683"/>
      <c r="AC293" s="2374"/>
      <c r="AD293" s="683"/>
      <c r="AE293" s="683"/>
      <c r="AF293" s="683"/>
      <c r="AG293" s="683"/>
      <c r="AH293" s="683"/>
      <c r="AI293" s="683"/>
      <c r="AJ293" s="2813"/>
      <c r="AK293" s="683"/>
      <c r="AL293" s="683"/>
      <c r="AM293" s="683">
        <f>i_K_PP*A_MK/A_MP</f>
        <v>0.12623038734377579</v>
      </c>
      <c r="AN293" s="683"/>
      <c r="AO293" s="683"/>
      <c r="AP293" s="2813"/>
      <c r="AQ293" s="683"/>
      <c r="AR293" s="683"/>
      <c r="AS293" s="683"/>
      <c r="AT293" s="683"/>
      <c r="AU293" s="683"/>
      <c r="AV293" s="1051"/>
      <c r="AW293" s="683"/>
      <c r="AX293" s="683"/>
      <c r="AY293" s="683"/>
      <c r="AZ293" s="683"/>
      <c r="BA293" s="683">
        <v>1</v>
      </c>
      <c r="BB293" s="683"/>
      <c r="BC293" s="683"/>
      <c r="BD293" s="683"/>
      <c r="BE293" s="683"/>
      <c r="BF293" s="683"/>
      <c r="BG293" s="683"/>
      <c r="BH293" s="683"/>
      <c r="BI293" s="683"/>
      <c r="BJ293" s="683"/>
      <c r="BK293" s="683"/>
      <c r="BL293" s="683"/>
      <c r="BM293" s="683"/>
      <c r="BN293" s="683"/>
      <c r="BO293" s="683"/>
      <c r="BP293" s="683"/>
      <c r="BQ293" s="683"/>
      <c r="BR293" s="683"/>
      <c r="BS293" s="683"/>
      <c r="BT293" s="683"/>
      <c r="BU293" s="683"/>
      <c r="BV293" s="1051"/>
      <c r="BW293" s="683"/>
      <c r="BX293" s="683"/>
      <c r="BY293" s="683"/>
      <c r="BZ293" s="2813"/>
      <c r="CA293" s="2813"/>
      <c r="CB293" s="2813"/>
      <c r="CC293" s="2813"/>
      <c r="CD293" s="683"/>
      <c r="CE293" s="1071"/>
      <c r="CF293" s="2223"/>
      <c r="CG293" s="683"/>
      <c r="CH293" s="683"/>
      <c r="CI293" s="683"/>
      <c r="CJ293" s="683"/>
      <c r="CK293" s="683"/>
      <c r="CL293" s="683"/>
      <c r="CM293" s="683"/>
      <c r="CN293" s="683"/>
      <c r="CO293" s="683"/>
      <c r="CP293" s="683"/>
      <c r="CQ293" s="683"/>
      <c r="CR293" s="683"/>
      <c r="CS293" s="683"/>
      <c r="CT293" s="683"/>
      <c r="CU293" s="683"/>
    </row>
    <row r="294" spans="4:99" ht="18" x14ac:dyDescent="0.25">
      <c r="D294" s="852" t="s">
        <v>985</v>
      </c>
      <c r="E294" s="683"/>
      <c r="F294" s="683"/>
      <c r="G294" s="683"/>
      <c r="H294" s="683"/>
      <c r="I294" s="683"/>
      <c r="J294" s="2813"/>
      <c r="K294" s="683"/>
      <c r="L294" s="683"/>
      <c r="M294" s="683"/>
      <c r="N294" s="683"/>
      <c r="O294" s="683"/>
      <c r="P294" s="683"/>
      <c r="Q294" s="683"/>
      <c r="R294" s="683"/>
      <c r="S294" s="683"/>
      <c r="T294" s="683"/>
      <c r="U294" s="683"/>
      <c r="V294" s="683"/>
      <c r="W294" s="683"/>
      <c r="X294" s="683"/>
      <c r="Y294" s="683"/>
      <c r="Z294" s="683"/>
      <c r="AA294" s="683"/>
      <c r="AB294" s="683"/>
      <c r="AC294" s="2374"/>
      <c r="AD294" s="683"/>
      <c r="AE294" s="683"/>
      <c r="AF294" s="683"/>
      <c r="AG294" s="683"/>
      <c r="AH294" s="683"/>
      <c r="AI294" s="683"/>
      <c r="AJ294" s="2813"/>
      <c r="AK294" s="683"/>
      <c r="AL294" s="683"/>
      <c r="AM294" s="683">
        <f>i_Ca_PP*A_MCa/A_MP</f>
        <v>0.12939338702613273</v>
      </c>
      <c r="AN294" s="683"/>
      <c r="AO294" s="683"/>
      <c r="AP294" s="2813"/>
      <c r="AQ294" s="683"/>
      <c r="AR294" s="683"/>
      <c r="AS294" s="683"/>
      <c r="AT294" s="683"/>
      <c r="AU294" s="683"/>
      <c r="AV294" s="1051">
        <f>i_Ca_INORG</f>
        <v>0.05</v>
      </c>
      <c r="AW294" s="683"/>
      <c r="AX294" s="683"/>
      <c r="AY294" s="683">
        <v>1</v>
      </c>
      <c r="AZ294" s="683"/>
      <c r="BA294" s="683"/>
      <c r="BB294" s="683"/>
      <c r="BC294" s="683"/>
      <c r="BD294" s="683"/>
      <c r="BE294" s="683"/>
      <c r="BF294" s="683"/>
      <c r="BG294" s="683"/>
      <c r="BH294" s="683"/>
      <c r="BI294" s="683"/>
      <c r="BJ294" s="683"/>
      <c r="BK294" s="683"/>
      <c r="BL294" s="683"/>
      <c r="BM294" s="683"/>
      <c r="BN294" s="683"/>
      <c r="BO294" s="683"/>
      <c r="BP294" s="683"/>
      <c r="BQ294" s="683"/>
      <c r="BR294" s="683"/>
      <c r="BS294" s="683"/>
      <c r="BT294" s="683">
        <f>A_MCa/M_MCaCO3</f>
        <v>0.40043202457064814</v>
      </c>
      <c r="BU294" s="683">
        <f>3*A_MCa/M_MACP</f>
        <v>0.31455284127800509</v>
      </c>
      <c r="BV294" s="1051">
        <f>A_MCa/M_MBSH</f>
        <v>0.2328926601076691</v>
      </c>
      <c r="BW294" s="683"/>
      <c r="BX294" s="683"/>
      <c r="BY294" s="683"/>
      <c r="BZ294" s="2813"/>
      <c r="CA294" s="2813"/>
      <c r="CB294" s="2813"/>
      <c r="CC294" s="2813"/>
      <c r="CD294" s="683"/>
      <c r="CE294" s="1071"/>
      <c r="CF294" s="2223"/>
      <c r="CG294" s="683"/>
      <c r="CH294" s="683"/>
      <c r="CI294" s="683"/>
      <c r="CJ294" s="683"/>
      <c r="CK294" s="683"/>
      <c r="CL294" s="683"/>
      <c r="CM294" s="683"/>
      <c r="CN294" s="683"/>
      <c r="CO294" s="683"/>
      <c r="CP294" s="683"/>
      <c r="CQ294" s="683"/>
      <c r="CR294" s="683"/>
      <c r="CS294" s="683"/>
      <c r="CT294" s="683"/>
      <c r="CU294" s="683"/>
    </row>
    <row r="295" spans="4:99" ht="18" x14ac:dyDescent="0.25">
      <c r="D295" s="852" t="s">
        <v>986</v>
      </c>
      <c r="E295" s="683"/>
      <c r="F295" s="683"/>
      <c r="G295" s="683"/>
      <c r="H295" s="683"/>
      <c r="I295" s="683"/>
      <c r="J295" s="2813"/>
      <c r="K295" s="683"/>
      <c r="L295" s="683"/>
      <c r="M295" s="683"/>
      <c r="N295" s="683"/>
      <c r="O295" s="683"/>
      <c r="P295" s="683"/>
      <c r="Q295" s="683"/>
      <c r="R295" s="683"/>
      <c r="S295" s="683"/>
      <c r="T295" s="683"/>
      <c r="U295" s="683"/>
      <c r="V295" s="683"/>
      <c r="W295" s="683"/>
      <c r="X295" s="683"/>
      <c r="Y295" s="683"/>
      <c r="Z295" s="683"/>
      <c r="AA295" s="683"/>
      <c r="AB295" s="683"/>
      <c r="AC295" s="2374"/>
      <c r="AD295" s="683"/>
      <c r="AE295" s="683"/>
      <c r="AF295" s="683"/>
      <c r="AG295" s="683"/>
      <c r="AH295" s="683"/>
      <c r="AI295" s="683"/>
      <c r="AJ295" s="2813"/>
      <c r="AK295" s="683"/>
      <c r="AL295" s="683"/>
      <c r="AM295" s="683">
        <f>i_Mg_PP*A_MMg/A_MP</f>
        <v>0.27464374347136938</v>
      </c>
      <c r="AN295" s="683"/>
      <c r="AO295" s="683"/>
      <c r="AP295" s="2813"/>
      <c r="AQ295" s="683"/>
      <c r="AR295" s="683"/>
      <c r="AS295" s="683"/>
      <c r="AT295" s="683"/>
      <c r="AU295" s="683"/>
      <c r="AV295" s="1051">
        <f>i_Mg_INORG</f>
        <v>0.05</v>
      </c>
      <c r="AW295" s="683"/>
      <c r="AX295" s="683"/>
      <c r="AY295" s="683"/>
      <c r="AZ295" s="683">
        <v>1</v>
      </c>
      <c r="BA295" s="683"/>
      <c r="BB295" s="683"/>
      <c r="BC295" s="683"/>
      <c r="BD295" s="683"/>
      <c r="BE295" s="683"/>
      <c r="BF295" s="683"/>
      <c r="BG295" s="683"/>
      <c r="BH295" s="683"/>
      <c r="BI295" s="683"/>
      <c r="BJ295" s="683"/>
      <c r="BK295" s="683"/>
      <c r="BL295" s="683"/>
      <c r="BM295" s="683"/>
      <c r="BN295" s="683"/>
      <c r="BO295" s="683"/>
      <c r="BP295" s="683"/>
      <c r="BQ295" s="683"/>
      <c r="BR295" s="683"/>
      <c r="BS295" s="683"/>
      <c r="BT295" s="683"/>
      <c r="BU295" s="683"/>
      <c r="BV295" s="1051"/>
      <c r="BW295" s="683">
        <f>A_MMg/M_MSTR</f>
        <v>9.9039755597804202E-2</v>
      </c>
      <c r="BX295" s="683"/>
      <c r="BY295" s="683"/>
      <c r="BZ295" s="2813"/>
      <c r="CA295" s="2813"/>
      <c r="CB295" s="2813"/>
      <c r="CC295" s="2813"/>
      <c r="CD295" s="683"/>
      <c r="CE295" s="1071"/>
      <c r="CF295" s="2223"/>
      <c r="CG295" s="683"/>
      <c r="CH295" s="683"/>
      <c r="CI295" s="683"/>
      <c r="CJ295" s="683"/>
      <c r="CK295" s="683"/>
      <c r="CL295" s="683"/>
      <c r="CM295" s="683"/>
      <c r="CN295" s="683"/>
      <c r="CO295" s="683"/>
      <c r="CP295" s="683"/>
      <c r="CQ295" s="683"/>
      <c r="CR295" s="683"/>
      <c r="CS295" s="683"/>
      <c r="CT295" s="683"/>
      <c r="CU295" s="683"/>
    </row>
    <row r="296" spans="4:99" ht="18" x14ac:dyDescent="0.25">
      <c r="D296" s="852" t="s">
        <v>142</v>
      </c>
      <c r="E296" s="683"/>
      <c r="F296" s="683"/>
      <c r="G296" s="683"/>
      <c r="H296" s="683"/>
      <c r="I296" s="683"/>
      <c r="J296" s="2813"/>
      <c r="K296" s="683"/>
      <c r="L296" s="683"/>
      <c r="M296" s="683"/>
      <c r="N296" s="683"/>
      <c r="O296" s="683"/>
      <c r="P296" s="683"/>
      <c r="Q296" s="683"/>
      <c r="R296" s="683"/>
      <c r="S296" s="683"/>
      <c r="T296" s="683"/>
      <c r="U296" s="683"/>
      <c r="V296" s="683"/>
      <c r="W296" s="683"/>
      <c r="X296" s="683"/>
      <c r="Y296" s="683"/>
      <c r="Z296" s="683"/>
      <c r="AA296" s="683"/>
      <c r="AB296" s="683"/>
      <c r="AC296" s="2374"/>
      <c r="AD296" s="683"/>
      <c r="AE296" s="683"/>
      <c r="AF296" s="683"/>
      <c r="AG296" s="683"/>
      <c r="AH296" s="683"/>
      <c r="AI296" s="683"/>
      <c r="AJ296" s="2813"/>
      <c r="AK296" s="683"/>
      <c r="AL296" s="683"/>
      <c r="AM296" s="683"/>
      <c r="AN296" s="683"/>
      <c r="AO296" s="683"/>
      <c r="AP296" s="2813"/>
      <c r="AQ296" s="683"/>
      <c r="AR296" s="683"/>
      <c r="AS296" s="683"/>
      <c r="AT296" s="683"/>
      <c r="AU296" s="683"/>
      <c r="AV296" s="1051">
        <f>(i_Ca_INORG*(2*A_MCl)/A_MCa+i_Mg_INORG*(2*A_MCl)/A_MMg)+(1-i_Ca_INORG*(A_MCa+2*A_MCl)/A_MCa-i_Mg_INORG*(A_MMg+2*A_MCl)/A_MMg)*(1-f_Na)</f>
        <v>0.63814269470183216</v>
      </c>
      <c r="AW296" s="683"/>
      <c r="AX296" s="683">
        <v>1</v>
      </c>
      <c r="AY296" s="683"/>
      <c r="AZ296" s="683"/>
      <c r="BA296" s="683"/>
      <c r="BB296" s="683"/>
      <c r="BC296" s="683"/>
      <c r="BD296" s="683"/>
      <c r="BE296" s="683"/>
      <c r="BF296" s="683"/>
      <c r="BG296" s="683"/>
      <c r="BH296" s="683"/>
      <c r="BI296" s="683"/>
      <c r="BJ296" s="683"/>
      <c r="BK296" s="683"/>
      <c r="BL296" s="683"/>
      <c r="BM296" s="683"/>
      <c r="BN296" s="683"/>
      <c r="BO296" s="683"/>
      <c r="BP296" s="683"/>
      <c r="BQ296" s="683"/>
      <c r="BR296" s="683"/>
      <c r="BS296" s="683"/>
      <c r="BT296" s="683"/>
      <c r="BU296" s="683"/>
      <c r="BV296" s="1051"/>
      <c r="BW296" s="683"/>
      <c r="BX296" s="683"/>
      <c r="BY296" s="683"/>
      <c r="BZ296" s="2813"/>
      <c r="CA296" s="2813"/>
      <c r="CB296" s="2813"/>
      <c r="CC296" s="2813"/>
      <c r="CD296" s="683"/>
      <c r="CE296" s="1071"/>
      <c r="CF296" s="2223"/>
      <c r="CG296" s="683"/>
      <c r="CH296" s="683"/>
      <c r="CI296" s="683"/>
      <c r="CJ296" s="683"/>
      <c r="CK296" s="683"/>
      <c r="CL296" s="683"/>
      <c r="CM296" s="683"/>
      <c r="CN296" s="683"/>
      <c r="CO296" s="683"/>
      <c r="CP296" s="683"/>
      <c r="CQ296" s="683"/>
      <c r="CR296" s="683"/>
      <c r="CS296" s="683"/>
      <c r="CT296" s="683"/>
      <c r="CU296" s="683"/>
    </row>
    <row r="297" spans="4:99" ht="18" x14ac:dyDescent="0.25">
      <c r="D297" s="852" t="s">
        <v>2976</v>
      </c>
      <c r="E297" s="683"/>
      <c r="F297" s="683"/>
      <c r="G297" s="683"/>
      <c r="H297" s="683"/>
      <c r="I297" s="683"/>
      <c r="J297" s="2813"/>
      <c r="K297" s="683"/>
      <c r="L297" s="683"/>
      <c r="M297" s="683"/>
      <c r="N297" s="683"/>
      <c r="O297" s="683"/>
      <c r="P297" s="683"/>
      <c r="Q297" s="683"/>
      <c r="R297" s="683"/>
      <c r="S297" s="683"/>
      <c r="T297" s="683"/>
      <c r="U297" s="683"/>
      <c r="V297" s="683"/>
      <c r="W297" s="683"/>
      <c r="X297" s="683"/>
      <c r="Y297" s="683"/>
      <c r="Z297" s="683"/>
      <c r="AA297" s="683"/>
      <c r="AB297" s="683"/>
      <c r="AC297" s="2374"/>
      <c r="AD297" s="683"/>
      <c r="AE297" s="683"/>
      <c r="AF297" s="683"/>
      <c r="AG297" s="683"/>
      <c r="AH297" s="683"/>
      <c r="AI297" s="683"/>
      <c r="AJ297" s="2813"/>
      <c r="AK297" s="683"/>
      <c r="AL297" s="683"/>
      <c r="AM297" s="683"/>
      <c r="AN297" s="683"/>
      <c r="AO297" s="683"/>
      <c r="AP297" s="2813"/>
      <c r="AQ297" s="683"/>
      <c r="AR297" s="683"/>
      <c r="AS297" s="683"/>
      <c r="AT297" s="683"/>
      <c r="AU297" s="683"/>
      <c r="AV297" s="683"/>
      <c r="AW297" s="683"/>
      <c r="AX297" s="683"/>
      <c r="AY297" s="683"/>
      <c r="AZ297" s="683"/>
      <c r="BA297" s="683"/>
      <c r="BB297" s="683"/>
      <c r="BC297" s="683"/>
      <c r="BD297" s="683"/>
      <c r="BE297" s="683">
        <v>1</v>
      </c>
      <c r="BF297" s="683">
        <v>1</v>
      </c>
      <c r="BG297" s="683">
        <v>1</v>
      </c>
      <c r="BH297" s="683">
        <v>1</v>
      </c>
      <c r="BI297" s="683">
        <v>1</v>
      </c>
      <c r="BJ297" s="683">
        <v>1</v>
      </c>
      <c r="BK297" s="683">
        <v>1</v>
      </c>
      <c r="BL297" s="683">
        <v>1</v>
      </c>
      <c r="BM297" s="683"/>
      <c r="BN297" s="683"/>
      <c r="BO297" s="683"/>
      <c r="BP297" s="683"/>
      <c r="BQ297" s="683"/>
      <c r="BR297" s="683"/>
      <c r="BS297" s="683"/>
      <c r="BT297" s="683"/>
      <c r="BU297" s="683"/>
      <c r="BV297" s="683"/>
      <c r="BW297" s="683"/>
      <c r="BX297" s="683">
        <f>3*A_MFe/M_MVivi</f>
        <v>0.33400121987727954</v>
      </c>
      <c r="BY297" s="683">
        <f>A_MFe/M_MFeS</f>
        <v>0.63525196223410307</v>
      </c>
      <c r="BZ297" s="2813"/>
      <c r="CA297" s="2813"/>
      <c r="CB297" s="2813"/>
      <c r="CC297" s="2813"/>
      <c r="CD297" s="683"/>
      <c r="CE297" s="1071"/>
      <c r="CF297" s="2223"/>
      <c r="CG297" s="683"/>
      <c r="CH297" s="683"/>
      <c r="CI297" s="683"/>
      <c r="CJ297" s="683"/>
      <c r="CK297" s="683"/>
      <c r="CL297" s="683"/>
      <c r="CM297" s="683"/>
      <c r="CN297" s="683"/>
      <c r="CO297" s="683"/>
      <c r="CP297" s="683"/>
      <c r="CQ297" s="683"/>
      <c r="CR297" s="683"/>
      <c r="CS297" s="683"/>
      <c r="CT297" s="683"/>
      <c r="CU297" s="683"/>
    </row>
    <row r="298" spans="4:99" ht="15.75" thickBot="1" x14ac:dyDescent="0.3">
      <c r="D298" s="623" t="s">
        <v>2977</v>
      </c>
      <c r="E298" s="624"/>
      <c r="F298" s="624"/>
      <c r="G298" s="624"/>
      <c r="H298" s="624"/>
      <c r="I298" s="624"/>
      <c r="J298" s="2375"/>
      <c r="K298" s="624"/>
      <c r="L298" s="624"/>
      <c r="M298" s="624"/>
      <c r="N298" s="624"/>
      <c r="O298" s="624"/>
      <c r="P298" s="624"/>
      <c r="Q298" s="624"/>
      <c r="R298" s="624"/>
      <c r="S298" s="624"/>
      <c r="T298" s="624"/>
      <c r="U298" s="624"/>
      <c r="V298" s="624"/>
      <c r="W298" s="624"/>
      <c r="X298" s="624"/>
      <c r="Y298" s="624"/>
      <c r="Z298" s="624"/>
      <c r="AA298" s="624"/>
      <c r="AB298" s="624"/>
      <c r="AC298" s="2375"/>
      <c r="AD298" s="624"/>
      <c r="AE298" s="624"/>
      <c r="AF298" s="624"/>
      <c r="AG298" s="624"/>
      <c r="AH298" s="624"/>
      <c r="AI298" s="624"/>
      <c r="AJ298" s="2375"/>
      <c r="AK298" s="624"/>
      <c r="AL298" s="624"/>
      <c r="AM298" s="624"/>
      <c r="AN298" s="624"/>
      <c r="AO298" s="624"/>
      <c r="AP298" s="2375"/>
      <c r="AQ298" s="624"/>
      <c r="AR298" s="624"/>
      <c r="AS298" s="624"/>
      <c r="AT298" s="624"/>
      <c r="AU298" s="624"/>
      <c r="AV298" s="624"/>
      <c r="AW298" s="624"/>
      <c r="AX298" s="624"/>
      <c r="AY298" s="624"/>
      <c r="AZ298" s="624"/>
      <c r="BA298" s="624"/>
      <c r="BB298" s="624"/>
      <c r="BC298" s="624"/>
      <c r="BD298" s="624"/>
      <c r="BE298" s="625"/>
      <c r="BF298" s="624"/>
      <c r="BG298" s="624"/>
      <c r="BH298" s="625"/>
      <c r="BI298" s="625"/>
      <c r="BJ298" s="624"/>
      <c r="BK298" s="625"/>
      <c r="BL298" s="625"/>
      <c r="BM298" s="624">
        <v>1</v>
      </c>
      <c r="BN298" s="624">
        <v>1</v>
      </c>
      <c r="BO298" s="625">
        <v>1</v>
      </c>
      <c r="BP298" s="625">
        <v>1</v>
      </c>
      <c r="BQ298" s="624">
        <v>1</v>
      </c>
      <c r="BR298" s="625">
        <v>1</v>
      </c>
      <c r="BS298" s="625">
        <v>1</v>
      </c>
      <c r="BT298" s="625"/>
      <c r="BU298" s="625"/>
      <c r="BV298" s="625"/>
      <c r="BW298" s="624"/>
      <c r="BX298" s="625"/>
      <c r="BY298" s="625"/>
      <c r="BZ298" s="2815"/>
      <c r="CA298" s="2815"/>
      <c r="CB298" s="2815"/>
      <c r="CC298" s="2815"/>
      <c r="CD298" s="625"/>
      <c r="CE298" s="1182"/>
      <c r="CF298" s="2224"/>
      <c r="CG298" s="624"/>
      <c r="CH298" s="624"/>
      <c r="CI298" s="624"/>
      <c r="CJ298" s="624"/>
      <c r="CK298" s="624"/>
      <c r="CL298" s="624"/>
      <c r="CM298" s="624"/>
      <c r="CN298" s="624"/>
      <c r="CO298" s="624"/>
      <c r="CP298" s="624"/>
      <c r="CQ298" s="624"/>
      <c r="CR298" s="624"/>
      <c r="CS298" s="624"/>
      <c r="CT298" s="624"/>
      <c r="CU298" s="624"/>
    </row>
  </sheetData>
  <phoneticPr fontId="39" type="noConversion"/>
  <pageMargins left="0.7" right="0.7" top="0.75" bottom="0.75" header="0.3" footer="0.3"/>
  <pageSetup orientation="portrait" r:id="rId1"/>
  <ignoredErrors>
    <ignoredError sqref="BE106" numberStoredAsText="1"/>
  </ignoredError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Munka4"/>
  <dimension ref="A1:AL50"/>
  <sheetViews>
    <sheetView showGridLines="0" zoomScaleNormal="100" workbookViewId="0">
      <pane xSplit="3" ySplit="3" topLeftCell="D4" activePane="bottomRight" state="frozen"/>
      <selection activeCell="C6" sqref="C6"/>
      <selection pane="topRight" activeCell="C6" sqref="C6"/>
      <selection pane="bottomLeft" activeCell="C6" sqref="C6"/>
      <selection pane="bottomRight" activeCell="B47" sqref="B47:AL50"/>
    </sheetView>
  </sheetViews>
  <sheetFormatPr baseColWidth="10" defaultColWidth="9.140625" defaultRowHeight="15" x14ac:dyDescent="0.25"/>
  <cols>
    <col min="1" max="1" width="6" customWidth="1"/>
    <col min="2" max="2" width="17.7109375" bestFit="1" customWidth="1"/>
    <col min="3" max="3" width="34.7109375" customWidth="1"/>
    <col min="4" max="4" width="20.140625" bestFit="1" customWidth="1"/>
    <col min="5" max="5" width="9.7109375" bestFit="1" customWidth="1"/>
    <col min="6" max="6" width="34" customWidth="1"/>
    <col min="7" max="7" width="32.7109375" bestFit="1" customWidth="1"/>
    <col min="8" max="9" width="32.7109375" customWidth="1"/>
    <col min="10" max="10" width="16" bestFit="1" customWidth="1"/>
    <col min="11" max="11" width="48.140625" bestFit="1" customWidth="1"/>
    <col min="12" max="12" width="49.7109375" bestFit="1" customWidth="1"/>
    <col min="13" max="13" width="49" bestFit="1" customWidth="1"/>
    <col min="14" max="14" width="63.7109375" bestFit="1" customWidth="1"/>
    <col min="15" max="15" width="67.28515625" bestFit="1" customWidth="1"/>
    <col min="16" max="16" width="69" bestFit="1" customWidth="1"/>
    <col min="17" max="17" width="68.140625" bestFit="1" customWidth="1"/>
    <col min="18" max="18" width="35.7109375" customWidth="1"/>
    <col min="19" max="19" width="36.28515625" customWidth="1"/>
    <col min="20" max="20" width="20.28515625" customWidth="1"/>
    <col min="21" max="21" width="19.28515625" customWidth="1"/>
    <col min="22" max="22" width="16.7109375" customWidth="1"/>
    <col min="23" max="24" width="15.28515625" bestFit="1" customWidth="1"/>
    <col min="25" max="30" width="15.28515625" customWidth="1"/>
    <col min="31" max="31" width="20.140625" customWidth="1"/>
    <col min="32" max="32" width="15.7109375" customWidth="1"/>
    <col min="33" max="33" width="7" bestFit="1" customWidth="1"/>
    <col min="34" max="34" width="9" bestFit="1" customWidth="1"/>
    <col min="35" max="35" width="5" bestFit="1" customWidth="1"/>
    <col min="36" max="36" width="18.28515625" bestFit="1" customWidth="1"/>
  </cols>
  <sheetData>
    <row r="1" spans="1:36" s="46" customFormat="1" ht="48" customHeight="1" thickBot="1" x14ac:dyDescent="0.3">
      <c r="A1" s="48"/>
    </row>
    <row r="2" spans="1:36" ht="21" customHeight="1" thickBot="1" x14ac:dyDescent="0.3">
      <c r="A2" t="s">
        <v>1120</v>
      </c>
      <c r="C2" s="52" t="s">
        <v>4</v>
      </c>
      <c r="D2" s="142" t="s">
        <v>317</v>
      </c>
      <c r="J2" s="1"/>
      <c r="K2" s="1"/>
    </row>
    <row r="3" spans="1:36" s="7" customFormat="1" ht="18.75" thickBot="1" x14ac:dyDescent="0.3">
      <c r="B3" s="342" t="s">
        <v>0</v>
      </c>
      <c r="C3" s="340" t="s">
        <v>1</v>
      </c>
      <c r="D3" s="840" t="s">
        <v>395</v>
      </c>
      <c r="E3" s="840" t="s">
        <v>397</v>
      </c>
      <c r="F3" s="840" t="s">
        <v>399</v>
      </c>
      <c r="G3" s="840" t="s">
        <v>401</v>
      </c>
      <c r="H3" s="841" t="s">
        <v>2203</v>
      </c>
      <c r="I3" s="841" t="s">
        <v>2205</v>
      </c>
      <c r="J3" s="840" t="s">
        <v>422</v>
      </c>
      <c r="K3" s="840" t="s">
        <v>403</v>
      </c>
      <c r="L3" s="840" t="s">
        <v>405</v>
      </c>
      <c r="M3" s="840" t="s">
        <v>407</v>
      </c>
      <c r="N3" s="840" t="s">
        <v>409</v>
      </c>
      <c r="O3" s="840" t="s">
        <v>411</v>
      </c>
      <c r="P3" s="840" t="s">
        <v>413</v>
      </c>
      <c r="Q3" s="840" t="s">
        <v>415</v>
      </c>
      <c r="R3" s="840" t="s">
        <v>417</v>
      </c>
      <c r="S3" s="840" t="s">
        <v>419</v>
      </c>
      <c r="T3" s="840" t="s">
        <v>993</v>
      </c>
      <c r="U3" s="840" t="s">
        <v>994</v>
      </c>
      <c r="V3" s="840" t="s">
        <v>1251</v>
      </c>
      <c r="W3" s="842" t="s">
        <v>1052</v>
      </c>
      <c r="X3" s="842" t="s">
        <v>1250</v>
      </c>
      <c r="Y3" s="842" t="s">
        <v>3340</v>
      </c>
      <c r="Z3" s="842" t="s">
        <v>3329</v>
      </c>
      <c r="AA3" s="842" t="s">
        <v>3331</v>
      </c>
      <c r="AB3" s="842" t="s">
        <v>3333</v>
      </c>
      <c r="AC3" s="842" t="s">
        <v>3336</v>
      </c>
      <c r="AD3" s="843" t="s">
        <v>3338</v>
      </c>
      <c r="AE3" s="842" t="s">
        <v>1054</v>
      </c>
      <c r="AF3" s="343" t="s">
        <v>152</v>
      </c>
      <c r="AG3" s="343" t="s">
        <v>2</v>
      </c>
      <c r="AH3" s="343" t="s">
        <v>298</v>
      </c>
      <c r="AI3" s="343" t="s">
        <v>116</v>
      </c>
      <c r="AJ3" s="344" t="s">
        <v>117</v>
      </c>
    </row>
    <row r="4" spans="1:36" ht="18.75" x14ac:dyDescent="0.25">
      <c r="B4" s="274" t="s">
        <v>423</v>
      </c>
      <c r="C4" s="272" t="s">
        <v>306</v>
      </c>
      <c r="D4" s="272" t="s">
        <v>307</v>
      </c>
      <c r="E4" s="272" t="s">
        <v>424</v>
      </c>
      <c r="F4" s="272"/>
      <c r="G4" s="272"/>
      <c r="H4" s="472"/>
      <c r="I4" s="472"/>
      <c r="J4" s="272"/>
      <c r="K4" s="272"/>
      <c r="L4" s="272"/>
      <c r="M4" s="272"/>
      <c r="N4" s="272"/>
      <c r="O4" s="272"/>
      <c r="P4" s="272"/>
      <c r="Q4" s="272"/>
      <c r="R4" s="272"/>
      <c r="S4" s="272"/>
      <c r="T4" s="272"/>
      <c r="U4" s="272"/>
      <c r="V4" s="272"/>
      <c r="W4" s="272"/>
      <c r="X4" s="272"/>
      <c r="Y4" s="471"/>
      <c r="Z4" s="471"/>
      <c r="AA4" s="471"/>
      <c r="AB4" s="471"/>
      <c r="AC4" s="471"/>
      <c r="AD4" s="471"/>
      <c r="AE4" s="272"/>
      <c r="AF4" s="273"/>
      <c r="AG4" s="271" t="s">
        <v>841</v>
      </c>
      <c r="AH4" s="273"/>
      <c r="AI4" s="273" t="s">
        <v>11</v>
      </c>
      <c r="AJ4" s="275"/>
    </row>
    <row r="5" spans="1:36" ht="21" customHeight="1" x14ac:dyDescent="0.25">
      <c r="B5" s="508" t="s">
        <v>2451</v>
      </c>
      <c r="C5" s="268" t="s">
        <v>308</v>
      </c>
      <c r="D5" s="268"/>
      <c r="E5" s="268"/>
      <c r="F5" s="268" t="s">
        <v>2447</v>
      </c>
      <c r="G5" s="268" t="s">
        <v>2448</v>
      </c>
      <c r="H5" s="268"/>
      <c r="I5" s="268"/>
      <c r="J5" s="268"/>
      <c r="K5" s="268"/>
      <c r="L5" s="268"/>
      <c r="M5" s="268"/>
      <c r="N5" s="268"/>
      <c r="O5" s="268"/>
      <c r="P5" s="268"/>
      <c r="Q5" s="268"/>
      <c r="R5" s="268"/>
      <c r="S5" s="268"/>
      <c r="T5" s="268"/>
      <c r="U5" s="268"/>
      <c r="V5" s="268"/>
      <c r="W5" s="268"/>
      <c r="X5" s="268"/>
      <c r="Y5" s="695"/>
      <c r="Z5" s="695"/>
      <c r="AA5" s="695"/>
      <c r="AB5" s="695"/>
      <c r="AC5" s="695"/>
      <c r="AD5" s="695"/>
      <c r="AE5" s="268"/>
      <c r="AF5" s="269"/>
      <c r="AG5" s="267" t="s">
        <v>841</v>
      </c>
      <c r="AH5" s="269"/>
      <c r="AI5" s="273" t="s">
        <v>11</v>
      </c>
      <c r="AJ5" s="346"/>
    </row>
    <row r="6" spans="1:36" ht="21" customHeight="1" x14ac:dyDescent="0.25">
      <c r="B6" s="345" t="s">
        <v>2207</v>
      </c>
      <c r="C6" s="268" t="s">
        <v>757</v>
      </c>
      <c r="D6" s="268"/>
      <c r="E6" s="268"/>
      <c r="F6" s="268"/>
      <c r="G6" s="268"/>
      <c r="H6" s="268" t="s">
        <v>2445</v>
      </c>
      <c r="I6" s="268" t="s">
        <v>2446</v>
      </c>
      <c r="J6" s="268"/>
      <c r="K6" s="268"/>
      <c r="L6" s="268"/>
      <c r="M6" s="268"/>
      <c r="N6" s="268"/>
      <c r="O6" s="268"/>
      <c r="P6" s="268"/>
      <c r="Q6" s="268"/>
      <c r="R6" s="268"/>
      <c r="S6" s="268"/>
      <c r="T6" s="268"/>
      <c r="U6" s="268"/>
      <c r="V6" s="268"/>
      <c r="W6" s="268"/>
      <c r="X6" s="268"/>
      <c r="Y6" s="695"/>
      <c r="Z6" s="695"/>
      <c r="AA6" s="695"/>
      <c r="AB6" s="695"/>
      <c r="AC6" s="695"/>
      <c r="AD6" s="695"/>
      <c r="AE6" s="268"/>
      <c r="AF6" s="269"/>
      <c r="AG6" s="267" t="s">
        <v>841</v>
      </c>
      <c r="AH6" s="269"/>
      <c r="AI6" s="273" t="s">
        <v>11</v>
      </c>
      <c r="AJ6" s="346"/>
    </row>
    <row r="7" spans="1:36" ht="21" customHeight="1" x14ac:dyDescent="0.25">
      <c r="B7" s="345" t="s">
        <v>1103</v>
      </c>
      <c r="C7" s="268" t="s">
        <v>309</v>
      </c>
      <c r="D7" s="268"/>
      <c r="E7" s="268"/>
      <c r="F7" s="268"/>
      <c r="G7" s="268"/>
      <c r="H7" s="268"/>
      <c r="I7" s="268"/>
      <c r="J7" s="268" t="s">
        <v>3938</v>
      </c>
      <c r="K7" s="268"/>
      <c r="L7" s="268"/>
      <c r="M7" s="268"/>
      <c r="N7" s="268"/>
      <c r="O7" s="268"/>
      <c r="P7" s="268"/>
      <c r="Q7" s="268"/>
      <c r="R7" s="268"/>
      <c r="S7" s="268"/>
      <c r="T7" s="268"/>
      <c r="U7" s="268"/>
      <c r="V7" s="268"/>
      <c r="W7" s="268"/>
      <c r="X7" s="268"/>
      <c r="Y7" s="695"/>
      <c r="Z7" s="695"/>
      <c r="AA7" s="695"/>
      <c r="AB7" s="695"/>
      <c r="AC7" s="695"/>
      <c r="AD7" s="695"/>
      <c r="AE7" s="268"/>
      <c r="AF7" s="269"/>
      <c r="AG7" s="267" t="s">
        <v>841</v>
      </c>
      <c r="AH7" s="269"/>
      <c r="AI7" s="273" t="s">
        <v>11</v>
      </c>
      <c r="AJ7" s="346"/>
    </row>
    <row r="8" spans="1:36" ht="21" customHeight="1" x14ac:dyDescent="0.25">
      <c r="B8" s="345" t="s">
        <v>425</v>
      </c>
      <c r="C8" s="268" t="s">
        <v>312</v>
      </c>
      <c r="D8" s="268"/>
      <c r="E8" s="268"/>
      <c r="F8" s="268"/>
      <c r="G8" s="268"/>
      <c r="H8" s="268"/>
      <c r="I8" s="268"/>
      <c r="J8" s="268"/>
      <c r="K8" s="268" t="s">
        <v>2444</v>
      </c>
      <c r="L8" s="268" t="s">
        <v>2449</v>
      </c>
      <c r="M8" s="268" t="s">
        <v>2450</v>
      </c>
      <c r="N8" s="268"/>
      <c r="O8" s="268"/>
      <c r="P8" s="268"/>
      <c r="Q8" s="268"/>
      <c r="R8" s="268"/>
      <c r="S8" s="268"/>
      <c r="T8" s="268"/>
      <c r="U8" s="268"/>
      <c r="V8" s="268"/>
      <c r="W8" s="268"/>
      <c r="X8" s="268"/>
      <c r="Y8" s="695"/>
      <c r="Z8" s="695"/>
      <c r="AA8" s="695"/>
      <c r="AB8" s="695"/>
      <c r="AC8" s="695"/>
      <c r="AD8" s="695"/>
      <c r="AE8" s="268"/>
      <c r="AF8" s="269"/>
      <c r="AG8" s="267" t="s">
        <v>841</v>
      </c>
      <c r="AH8" s="269"/>
      <c r="AI8" s="273" t="s">
        <v>11</v>
      </c>
      <c r="AJ8" s="346"/>
    </row>
    <row r="9" spans="1:36" ht="21" customHeight="1" x14ac:dyDescent="0.25">
      <c r="B9" s="345" t="s">
        <v>426</v>
      </c>
      <c r="C9" s="268" t="s">
        <v>313</v>
      </c>
      <c r="D9" s="268"/>
      <c r="E9" s="268"/>
      <c r="F9" s="268"/>
      <c r="G9" s="268"/>
      <c r="H9" s="268"/>
      <c r="I9" s="268"/>
      <c r="J9" s="268"/>
      <c r="K9" s="268"/>
      <c r="L9" s="268"/>
      <c r="M9" s="268"/>
      <c r="N9" s="268" t="s">
        <v>427</v>
      </c>
      <c r="O9" s="268" t="s">
        <v>428</v>
      </c>
      <c r="P9" s="268" t="s">
        <v>429</v>
      </c>
      <c r="Q9" s="268" t="s">
        <v>430</v>
      </c>
      <c r="R9" s="268"/>
      <c r="S9" s="268"/>
      <c r="T9" s="268"/>
      <c r="U9" s="268"/>
      <c r="V9" s="268"/>
      <c r="W9" s="268"/>
      <c r="X9" s="268"/>
      <c r="Y9" s="695"/>
      <c r="Z9" s="695"/>
      <c r="AA9" s="695"/>
      <c r="AB9" s="695"/>
      <c r="AC9" s="695"/>
      <c r="AD9" s="695"/>
      <c r="AE9" s="268"/>
      <c r="AF9" s="269"/>
      <c r="AG9" s="267" t="s">
        <v>841</v>
      </c>
      <c r="AH9" s="269"/>
      <c r="AI9" s="273" t="s">
        <v>11</v>
      </c>
      <c r="AJ9" s="346"/>
    </row>
    <row r="10" spans="1:36" ht="21" customHeight="1" x14ac:dyDescent="0.25">
      <c r="B10" s="345" t="s">
        <v>431</v>
      </c>
      <c r="C10" s="268" t="s">
        <v>314</v>
      </c>
      <c r="D10" s="268"/>
      <c r="E10" s="268"/>
      <c r="F10" s="268"/>
      <c r="G10" s="268"/>
      <c r="H10" s="268"/>
      <c r="I10" s="268"/>
      <c r="J10" s="268"/>
      <c r="K10" s="268"/>
      <c r="L10" s="268"/>
      <c r="M10" s="268"/>
      <c r="N10" s="268"/>
      <c r="O10" s="268"/>
      <c r="P10" s="268"/>
      <c r="Q10" s="268"/>
      <c r="R10" s="268" t="s">
        <v>2871</v>
      </c>
      <c r="S10" s="268" t="s">
        <v>2872</v>
      </c>
      <c r="T10" s="268"/>
      <c r="U10" s="268"/>
      <c r="V10" s="268"/>
      <c r="W10" s="268"/>
      <c r="X10" s="268"/>
      <c r="Y10" s="695"/>
      <c r="Z10" s="695"/>
      <c r="AA10" s="695"/>
      <c r="AB10" s="695"/>
      <c r="AC10" s="695"/>
      <c r="AD10" s="695"/>
      <c r="AE10" s="268"/>
      <c r="AF10" s="269"/>
      <c r="AG10" s="267" t="s">
        <v>841</v>
      </c>
      <c r="AH10" s="269"/>
      <c r="AI10" s="273" t="s">
        <v>11</v>
      </c>
      <c r="AJ10" s="346"/>
    </row>
    <row r="11" spans="1:36" ht="21" customHeight="1" x14ac:dyDescent="0.25">
      <c r="B11" s="345" t="s">
        <v>987</v>
      </c>
      <c r="C11" s="268" t="s">
        <v>989</v>
      </c>
      <c r="D11" s="268"/>
      <c r="E11" s="268"/>
      <c r="F11" s="268"/>
      <c r="G11" s="268"/>
      <c r="H11" s="268"/>
      <c r="I11" s="268"/>
      <c r="J11" s="268"/>
      <c r="K11" s="268"/>
      <c r="L11" s="268"/>
      <c r="M11" s="268"/>
      <c r="N11" s="268"/>
      <c r="O11" s="268"/>
      <c r="P11" s="268"/>
      <c r="Q11" s="268"/>
      <c r="R11" s="268"/>
      <c r="S11" s="268"/>
      <c r="T11" s="268" t="s">
        <v>991</v>
      </c>
      <c r="U11" s="268"/>
      <c r="V11" s="268"/>
      <c r="W11" s="268"/>
      <c r="X11" s="268"/>
      <c r="Y11" s="695"/>
      <c r="Z11" s="695"/>
      <c r="AA11" s="695"/>
      <c r="AB11" s="695"/>
      <c r="AC11" s="695"/>
      <c r="AD11" s="695"/>
      <c r="AE11" s="268"/>
      <c r="AF11" s="269"/>
      <c r="AG11" s="267" t="s">
        <v>842</v>
      </c>
      <c r="AH11" s="269"/>
      <c r="AI11" s="273" t="s">
        <v>11</v>
      </c>
      <c r="AJ11" s="346"/>
    </row>
    <row r="12" spans="1:36" ht="21" customHeight="1" x14ac:dyDescent="0.25">
      <c r="B12" s="345" t="s">
        <v>988</v>
      </c>
      <c r="C12" s="268" t="s">
        <v>990</v>
      </c>
      <c r="D12" s="268"/>
      <c r="E12" s="268"/>
      <c r="F12" s="268"/>
      <c r="G12" s="268"/>
      <c r="H12" s="268"/>
      <c r="I12" s="268"/>
      <c r="J12" s="268"/>
      <c r="K12" s="268"/>
      <c r="L12" s="268"/>
      <c r="M12" s="268"/>
      <c r="N12" s="268"/>
      <c r="O12" s="268"/>
      <c r="P12" s="268"/>
      <c r="Q12" s="268"/>
      <c r="R12" s="268"/>
      <c r="S12" s="268"/>
      <c r="T12" s="268"/>
      <c r="U12" s="268" t="s">
        <v>992</v>
      </c>
      <c r="V12" s="268"/>
      <c r="W12" s="268"/>
      <c r="X12" s="268"/>
      <c r="Y12" s="695"/>
      <c r="Z12" s="695"/>
      <c r="AA12" s="695"/>
      <c r="AB12" s="695"/>
      <c r="AC12" s="695"/>
      <c r="AD12" s="695"/>
      <c r="AE12" s="268"/>
      <c r="AF12" s="269"/>
      <c r="AG12" s="267" t="s">
        <v>842</v>
      </c>
      <c r="AH12" s="269"/>
      <c r="AI12" s="273" t="s">
        <v>11</v>
      </c>
      <c r="AJ12" s="346"/>
    </row>
    <row r="13" spans="1:36" ht="21" customHeight="1" x14ac:dyDescent="0.25">
      <c r="B13" s="345" t="s">
        <v>432</v>
      </c>
      <c r="C13" s="268" t="s">
        <v>310</v>
      </c>
      <c r="D13" s="268"/>
      <c r="E13" s="268"/>
      <c r="F13" s="268"/>
      <c r="G13" s="268"/>
      <c r="H13" s="268"/>
      <c r="I13" s="268"/>
      <c r="J13" s="268"/>
      <c r="K13" s="268"/>
      <c r="L13" s="268"/>
      <c r="M13" s="268"/>
      <c r="N13" s="267"/>
      <c r="O13" s="268"/>
      <c r="P13" s="268"/>
      <c r="Q13" s="268"/>
      <c r="R13" s="268"/>
      <c r="S13" s="268"/>
      <c r="T13" s="268"/>
      <c r="U13" s="268"/>
      <c r="V13" s="268" t="s">
        <v>1161</v>
      </c>
      <c r="W13" s="268"/>
      <c r="X13" s="268"/>
      <c r="Y13" s="695"/>
      <c r="Z13" s="695"/>
      <c r="AA13" s="695"/>
      <c r="AB13" s="695"/>
      <c r="AC13" s="695"/>
      <c r="AD13" s="695"/>
      <c r="AE13" s="268"/>
      <c r="AF13" s="269"/>
      <c r="AG13" s="267" t="s">
        <v>842</v>
      </c>
      <c r="AH13" s="269"/>
      <c r="AI13" s="273" t="s">
        <v>11</v>
      </c>
      <c r="AJ13" s="346"/>
    </row>
    <row r="14" spans="1:36" ht="18" x14ac:dyDescent="0.25">
      <c r="B14" s="345" t="s">
        <v>1102</v>
      </c>
      <c r="C14" s="268" t="s">
        <v>1104</v>
      </c>
      <c r="D14" s="268"/>
      <c r="E14" s="268"/>
      <c r="F14" s="268"/>
      <c r="G14" s="268"/>
      <c r="H14" s="268"/>
      <c r="I14" s="268"/>
      <c r="J14" s="268"/>
      <c r="K14" s="268"/>
      <c r="L14" s="268"/>
      <c r="M14" s="268"/>
      <c r="N14" s="267"/>
      <c r="O14" s="268"/>
      <c r="P14" s="268"/>
      <c r="Q14" s="268"/>
      <c r="R14" s="268"/>
      <c r="S14" s="268"/>
      <c r="T14" s="268"/>
      <c r="U14" s="268"/>
      <c r="V14" s="268"/>
      <c r="W14" s="268" t="s">
        <v>1101</v>
      </c>
      <c r="X14" s="268"/>
      <c r="Y14" s="695"/>
      <c r="Z14" s="695"/>
      <c r="AA14" s="695"/>
      <c r="AB14" s="695"/>
      <c r="AC14" s="695"/>
      <c r="AD14" s="695"/>
      <c r="AE14" s="268"/>
      <c r="AF14" s="269"/>
      <c r="AG14" s="267" t="s">
        <v>842</v>
      </c>
      <c r="AH14" s="269"/>
      <c r="AI14" s="273" t="s">
        <v>11</v>
      </c>
      <c r="AJ14" s="346"/>
    </row>
    <row r="15" spans="1:36" ht="18" x14ac:dyDescent="0.25">
      <c r="B15" s="345" t="s">
        <v>433</v>
      </c>
      <c r="C15" s="268" t="s">
        <v>311</v>
      </c>
      <c r="D15" s="268"/>
      <c r="E15" s="268"/>
      <c r="F15" s="268"/>
      <c r="G15" s="268"/>
      <c r="H15" s="268"/>
      <c r="I15" s="268"/>
      <c r="J15" s="268"/>
      <c r="K15" s="268"/>
      <c r="L15" s="268"/>
      <c r="M15" s="268"/>
      <c r="N15" s="268"/>
      <c r="O15" s="268"/>
      <c r="P15" s="268"/>
      <c r="Q15" s="268"/>
      <c r="R15" s="268"/>
      <c r="S15" s="268"/>
      <c r="T15" s="268"/>
      <c r="U15" s="268"/>
      <c r="V15" s="268"/>
      <c r="W15" s="270"/>
      <c r="X15" s="268" t="s">
        <v>1162</v>
      </c>
      <c r="Y15" s="695"/>
      <c r="Z15" s="695"/>
      <c r="AA15" s="695"/>
      <c r="AB15" s="695"/>
      <c r="AC15" s="695"/>
      <c r="AD15" s="695"/>
      <c r="AE15" s="268"/>
      <c r="AF15" s="269"/>
      <c r="AG15" s="267" t="s">
        <v>842</v>
      </c>
      <c r="AH15" s="269"/>
      <c r="AI15" s="273" t="s">
        <v>11</v>
      </c>
      <c r="AJ15" s="346"/>
    </row>
    <row r="16" spans="1:36" ht="74.25" x14ac:dyDescent="0.25">
      <c r="B16" s="508" t="s">
        <v>3341</v>
      </c>
      <c r="C16" s="695" t="s">
        <v>3342</v>
      </c>
      <c r="D16" s="744"/>
      <c r="E16" s="744"/>
      <c r="F16" s="744"/>
      <c r="G16" s="744"/>
      <c r="H16" s="744"/>
      <c r="I16" s="744"/>
      <c r="J16" s="744"/>
      <c r="K16" s="744"/>
      <c r="L16" s="744"/>
      <c r="M16" s="744"/>
      <c r="N16" s="744"/>
      <c r="O16" s="744"/>
      <c r="P16" s="744"/>
      <c r="Q16" s="744"/>
      <c r="R16" s="744"/>
      <c r="S16" s="744"/>
      <c r="T16" s="744"/>
      <c r="U16" s="744"/>
      <c r="V16" s="744"/>
      <c r="W16" s="745"/>
      <c r="X16" s="744"/>
      <c r="Y16" s="695" t="s">
        <v>3345</v>
      </c>
      <c r="Z16" s="695" t="s">
        <v>3346</v>
      </c>
      <c r="AA16" s="695" t="s">
        <v>3347</v>
      </c>
      <c r="AB16" s="695"/>
      <c r="AC16" s="695"/>
      <c r="AD16" s="695"/>
      <c r="AE16" s="268"/>
      <c r="AF16" s="269"/>
      <c r="AG16" s="694" t="s">
        <v>842</v>
      </c>
      <c r="AH16" s="696"/>
      <c r="AI16" s="697" t="s">
        <v>11</v>
      </c>
      <c r="AJ16" s="746"/>
    </row>
    <row r="17" spans="2:38" ht="74.25" x14ac:dyDescent="0.25">
      <c r="B17" s="508" t="s">
        <v>3343</v>
      </c>
      <c r="C17" s="695" t="s">
        <v>3344</v>
      </c>
      <c r="D17" s="744"/>
      <c r="E17" s="744"/>
      <c r="F17" s="744"/>
      <c r="G17" s="744"/>
      <c r="H17" s="744"/>
      <c r="I17" s="744"/>
      <c r="J17" s="744"/>
      <c r="K17" s="744"/>
      <c r="L17" s="744"/>
      <c r="M17" s="744"/>
      <c r="N17" s="744"/>
      <c r="O17" s="744"/>
      <c r="P17" s="744"/>
      <c r="Q17" s="744"/>
      <c r="R17" s="744"/>
      <c r="S17" s="744"/>
      <c r="T17" s="744"/>
      <c r="U17" s="744"/>
      <c r="V17" s="744"/>
      <c r="W17" s="745"/>
      <c r="X17" s="744"/>
      <c r="Y17" s="695"/>
      <c r="Z17" s="695"/>
      <c r="AA17" s="695"/>
      <c r="AB17" s="695" t="s">
        <v>3348</v>
      </c>
      <c r="AC17" s="695" t="s">
        <v>3349</v>
      </c>
      <c r="AD17" s="695" t="s">
        <v>3350</v>
      </c>
      <c r="AE17" s="268"/>
      <c r="AF17" s="269"/>
      <c r="AG17" s="694" t="s">
        <v>842</v>
      </c>
      <c r="AH17" s="696"/>
      <c r="AI17" s="697" t="s">
        <v>11</v>
      </c>
      <c r="AJ17" s="746"/>
    </row>
    <row r="18" spans="2:38" ht="18.75" thickBot="1" x14ac:dyDescent="0.3">
      <c r="B18" s="276" t="s">
        <v>1105</v>
      </c>
      <c r="C18" s="277" t="s">
        <v>1988</v>
      </c>
      <c r="D18" s="277"/>
      <c r="E18" s="277"/>
      <c r="F18" s="277"/>
      <c r="G18" s="277"/>
      <c r="H18" s="277"/>
      <c r="I18" s="277"/>
      <c r="J18" s="277"/>
      <c r="K18" s="277"/>
      <c r="L18" s="277"/>
      <c r="M18" s="277"/>
      <c r="N18" s="277"/>
      <c r="O18" s="277"/>
      <c r="P18" s="277"/>
      <c r="Q18" s="277"/>
      <c r="R18" s="277"/>
      <c r="S18" s="277"/>
      <c r="T18" s="277"/>
      <c r="U18" s="277"/>
      <c r="V18" s="277"/>
      <c r="W18" s="277"/>
      <c r="X18" s="277"/>
      <c r="Y18" s="621"/>
      <c r="Z18" s="621"/>
      <c r="AA18" s="621"/>
      <c r="AB18" s="621"/>
      <c r="AC18" s="621"/>
      <c r="AD18" s="621"/>
      <c r="AE18" s="277" t="s">
        <v>1598</v>
      </c>
      <c r="AF18" s="278"/>
      <c r="AG18" s="347" t="s">
        <v>842</v>
      </c>
      <c r="AH18" s="278"/>
      <c r="AI18" s="348" t="s">
        <v>11</v>
      </c>
      <c r="AJ18" s="279"/>
    </row>
    <row r="19" spans="2:38" ht="15.75" thickBot="1" x14ac:dyDescent="0.3">
      <c r="B19" s="126"/>
      <c r="C19" s="145"/>
      <c r="D19" s="145"/>
      <c r="E19" s="145"/>
      <c r="F19" s="145"/>
      <c r="G19" s="145"/>
      <c r="H19" s="145"/>
      <c r="I19" s="145"/>
      <c r="J19" s="145"/>
      <c r="K19" s="145"/>
      <c r="L19" s="145"/>
      <c r="M19" s="145"/>
      <c r="N19" s="145"/>
      <c r="O19" s="145"/>
      <c r="P19" s="82"/>
      <c r="Q19" s="145"/>
      <c r="R19" s="145"/>
      <c r="S19" s="145"/>
      <c r="T19" s="145"/>
      <c r="U19" s="145"/>
      <c r="V19" s="145"/>
      <c r="W19" s="145"/>
      <c r="X19" s="145"/>
      <c r="Y19" s="145"/>
      <c r="Z19" s="145"/>
      <c r="AA19" s="145"/>
      <c r="AB19" s="145"/>
      <c r="AC19" s="145"/>
      <c r="AD19" s="145"/>
      <c r="AE19" s="145"/>
      <c r="AF19" s="76"/>
      <c r="AG19" s="126"/>
      <c r="AH19" s="76"/>
      <c r="AI19" s="76"/>
      <c r="AJ19" s="76"/>
    </row>
    <row r="20" spans="2:38" ht="22.5" customHeight="1" thickBot="1" x14ac:dyDescent="0.3">
      <c r="B20" s="3"/>
      <c r="C20" s="146" t="s">
        <v>392</v>
      </c>
      <c r="D20" s="142" t="s">
        <v>1218</v>
      </c>
      <c r="E20" s="335"/>
      <c r="F20" s="335"/>
      <c r="G20" s="335"/>
      <c r="H20" s="335"/>
      <c r="I20" s="335"/>
      <c r="J20" s="335"/>
      <c r="K20" s="335"/>
      <c r="L20" s="335"/>
      <c r="M20" s="335"/>
      <c r="N20" s="335"/>
      <c r="O20" s="335"/>
      <c r="P20" s="335"/>
      <c r="Q20" s="335"/>
      <c r="R20" s="335"/>
      <c r="S20" s="335"/>
      <c r="T20" s="335"/>
      <c r="U20" s="335"/>
      <c r="V20" s="335"/>
      <c r="W20" s="336"/>
      <c r="X20" s="336"/>
      <c r="Y20" s="336"/>
      <c r="Z20" s="336"/>
      <c r="AA20" s="336"/>
      <c r="AB20" s="336"/>
      <c r="AC20" s="336"/>
      <c r="AD20" s="336"/>
      <c r="AE20" s="336"/>
    </row>
    <row r="21" spans="2:38" s="7" customFormat="1" ht="18.75" thickBot="1" x14ac:dyDescent="0.3">
      <c r="B21" s="342" t="s">
        <v>0</v>
      </c>
      <c r="C21" s="340" t="s">
        <v>1</v>
      </c>
      <c r="D21" s="840" t="s">
        <v>395</v>
      </c>
      <c r="E21" s="840" t="s">
        <v>397</v>
      </c>
      <c r="F21" s="840" t="s">
        <v>399</v>
      </c>
      <c r="G21" s="840" t="s">
        <v>401</v>
      </c>
      <c r="H21" s="841" t="s">
        <v>2203</v>
      </c>
      <c r="I21" s="841" t="s">
        <v>2205</v>
      </c>
      <c r="J21" s="840" t="s">
        <v>422</v>
      </c>
      <c r="K21" s="840" t="s">
        <v>403</v>
      </c>
      <c r="L21" s="840" t="s">
        <v>405</v>
      </c>
      <c r="M21" s="840" t="s">
        <v>407</v>
      </c>
      <c r="N21" s="840" t="s">
        <v>409</v>
      </c>
      <c r="O21" s="840" t="s">
        <v>411</v>
      </c>
      <c r="P21" s="840" t="s">
        <v>413</v>
      </c>
      <c r="Q21" s="840" t="s">
        <v>415</v>
      </c>
      <c r="R21" s="840" t="s">
        <v>417</v>
      </c>
      <c r="S21" s="840" t="s">
        <v>419</v>
      </c>
      <c r="T21" s="840" t="s">
        <v>993</v>
      </c>
      <c r="U21" s="840" t="s">
        <v>994</v>
      </c>
      <c r="V21" s="840" t="s">
        <v>1251</v>
      </c>
      <c r="W21" s="842" t="s">
        <v>1052</v>
      </c>
      <c r="X21" s="842" t="s">
        <v>1250</v>
      </c>
      <c r="Y21" s="842" t="s">
        <v>3340</v>
      </c>
      <c r="Z21" s="842" t="s">
        <v>3329</v>
      </c>
      <c r="AA21" s="842" t="s">
        <v>3331</v>
      </c>
      <c r="AB21" s="842" t="s">
        <v>3333</v>
      </c>
      <c r="AC21" s="842" t="s">
        <v>3336</v>
      </c>
      <c r="AD21" s="843" t="s">
        <v>3338</v>
      </c>
      <c r="AE21" s="842" t="s">
        <v>1054</v>
      </c>
      <c r="AF21" s="343" t="s">
        <v>152</v>
      </c>
      <c r="AG21" s="343" t="s">
        <v>2</v>
      </c>
      <c r="AH21" s="343" t="s">
        <v>298</v>
      </c>
      <c r="AI21" s="343" t="s">
        <v>116</v>
      </c>
      <c r="AJ21" s="344" t="s">
        <v>117</v>
      </c>
    </row>
    <row r="22" spans="2:38" ht="22.5" customHeight="1" x14ac:dyDescent="0.25">
      <c r="B22" s="349" t="s">
        <v>388</v>
      </c>
      <c r="C22" s="350" t="s">
        <v>316</v>
      </c>
      <c r="D22" s="350">
        <v>1</v>
      </c>
      <c r="E22" s="350">
        <v>-1</v>
      </c>
      <c r="F22" s="350">
        <v>0</v>
      </c>
      <c r="G22" s="350">
        <v>1</v>
      </c>
      <c r="H22" s="471">
        <v>0</v>
      </c>
      <c r="I22" s="471">
        <v>-1</v>
      </c>
      <c r="J22" s="350">
        <v>-1</v>
      </c>
      <c r="K22" s="350">
        <v>0</v>
      </c>
      <c r="L22" s="350">
        <v>-1</v>
      </c>
      <c r="M22" s="350">
        <v>-2</v>
      </c>
      <c r="N22" s="350">
        <v>0</v>
      </c>
      <c r="O22" s="350">
        <v>-1</v>
      </c>
      <c r="P22" s="350">
        <v>-2</v>
      </c>
      <c r="Q22" s="350">
        <v>-3</v>
      </c>
      <c r="R22" s="350">
        <v>0</v>
      </c>
      <c r="S22" s="350">
        <v>-1</v>
      </c>
      <c r="T22" s="350">
        <v>2</v>
      </c>
      <c r="U22" s="350">
        <v>2</v>
      </c>
      <c r="V22" s="350">
        <v>1</v>
      </c>
      <c r="W22" s="350">
        <v>1</v>
      </c>
      <c r="X22" s="350">
        <v>-1</v>
      </c>
      <c r="Y22" s="471">
        <v>0</v>
      </c>
      <c r="Z22" s="471">
        <v>-1</v>
      </c>
      <c r="AA22" s="471">
        <v>-2</v>
      </c>
      <c r="AB22" s="471">
        <v>0</v>
      </c>
      <c r="AC22" s="471">
        <v>-1</v>
      </c>
      <c r="AD22" s="471">
        <v>-2</v>
      </c>
      <c r="AE22" s="350">
        <v>2</v>
      </c>
      <c r="AF22" s="924">
        <f>SUM(pH!D49:AE49)</f>
        <v>-5.0372236999005299E-4</v>
      </c>
      <c r="AG22" s="351" t="s">
        <v>842</v>
      </c>
      <c r="AH22" s="351"/>
      <c r="AI22" s="351" t="s">
        <v>11</v>
      </c>
      <c r="AJ22" s="352"/>
    </row>
    <row r="23" spans="2:38" ht="22.5" customHeight="1" thickBot="1" x14ac:dyDescent="0.3">
      <c r="B23" s="276" t="s">
        <v>843</v>
      </c>
      <c r="C23" s="277" t="s">
        <v>378</v>
      </c>
      <c r="D23" s="277" t="s">
        <v>1281</v>
      </c>
      <c r="E23" s="277" t="s">
        <v>1282</v>
      </c>
      <c r="F23" s="277">
        <v>0</v>
      </c>
      <c r="G23" s="277" t="s">
        <v>1281</v>
      </c>
      <c r="H23" s="277">
        <v>0</v>
      </c>
      <c r="I23" s="277" t="s">
        <v>1282</v>
      </c>
      <c r="J23" s="277" t="s">
        <v>1282</v>
      </c>
      <c r="K23" s="277">
        <v>0</v>
      </c>
      <c r="L23" s="277" t="s">
        <v>1282</v>
      </c>
      <c r="M23" s="277" t="s">
        <v>1283</v>
      </c>
      <c r="N23" s="277">
        <v>0</v>
      </c>
      <c r="O23" s="277" t="s">
        <v>1282</v>
      </c>
      <c r="P23" s="277" t="s">
        <v>1283</v>
      </c>
      <c r="Q23" s="277" t="s">
        <v>1284</v>
      </c>
      <c r="R23" s="277">
        <v>0</v>
      </c>
      <c r="S23" s="277" t="s">
        <v>1282</v>
      </c>
      <c r="T23" s="277" t="s">
        <v>1285</v>
      </c>
      <c r="U23" s="277" t="s">
        <v>1285</v>
      </c>
      <c r="V23" s="277" t="s">
        <v>1281</v>
      </c>
      <c r="W23" s="277" t="s">
        <v>1281</v>
      </c>
      <c r="X23" s="277" t="s">
        <v>1282</v>
      </c>
      <c r="Y23" s="621">
        <v>0</v>
      </c>
      <c r="Z23" s="621" t="s">
        <v>1282</v>
      </c>
      <c r="AA23" s="621" t="s">
        <v>1283</v>
      </c>
      <c r="AB23" s="621">
        <v>0</v>
      </c>
      <c r="AC23" s="621" t="s">
        <v>1282</v>
      </c>
      <c r="AD23" s="621" t="s">
        <v>1283</v>
      </c>
      <c r="AE23" s="277" t="s">
        <v>1285</v>
      </c>
      <c r="AF23" s="925">
        <f>SUM(pH!D50:AE50)</f>
        <v>1.5854797014809886E-2</v>
      </c>
      <c r="AG23" s="278" t="s">
        <v>842</v>
      </c>
      <c r="AH23" s="278"/>
      <c r="AI23" s="348" t="s">
        <v>11</v>
      </c>
      <c r="AJ23" s="279"/>
    </row>
    <row r="24" spans="2:38" x14ac:dyDescent="0.25">
      <c r="B24" s="6"/>
    </row>
    <row r="25" spans="2:38" x14ac:dyDescent="0.25">
      <c r="B25" s="68"/>
      <c r="C25" s="68"/>
      <c r="D25" s="68"/>
      <c r="E25" s="68"/>
      <c r="F25" s="68"/>
    </row>
    <row r="27" spans="2:38" ht="15.75" thickBot="1" x14ac:dyDescent="0.3"/>
    <row r="28" spans="2:38" ht="15.75" thickBot="1" x14ac:dyDescent="0.3">
      <c r="C28" s="52" t="s">
        <v>4</v>
      </c>
      <c r="D28" s="142" t="s">
        <v>317</v>
      </c>
      <c r="J28" s="1"/>
      <c r="K28" s="1"/>
    </row>
    <row r="29" spans="2:38" ht="18.75" thickBot="1" x14ac:dyDescent="0.3">
      <c r="B29" s="342"/>
      <c r="C29" s="340" t="s">
        <v>1</v>
      </c>
      <c r="D29" s="840" t="s">
        <v>395</v>
      </c>
      <c r="E29" s="840" t="s">
        <v>397</v>
      </c>
      <c r="F29" s="840" t="s">
        <v>399</v>
      </c>
      <c r="G29" s="840" t="s">
        <v>401</v>
      </c>
      <c r="H29" s="841" t="s">
        <v>2203</v>
      </c>
      <c r="I29" s="841" t="s">
        <v>2205</v>
      </c>
      <c r="J29" s="840" t="s">
        <v>422</v>
      </c>
      <c r="K29" s="840" t="s">
        <v>403</v>
      </c>
      <c r="L29" s="840" t="s">
        <v>405</v>
      </c>
      <c r="M29" s="840" t="s">
        <v>407</v>
      </c>
      <c r="N29" s="840" t="s">
        <v>409</v>
      </c>
      <c r="O29" s="840" t="s">
        <v>411</v>
      </c>
      <c r="P29" s="840" t="s">
        <v>413</v>
      </c>
      <c r="Q29" s="840" t="s">
        <v>415</v>
      </c>
      <c r="R29" s="840" t="s">
        <v>417</v>
      </c>
      <c r="S29" s="840" t="s">
        <v>419</v>
      </c>
      <c r="T29" s="840" t="s">
        <v>993</v>
      </c>
      <c r="U29" s="840" t="s">
        <v>994</v>
      </c>
      <c r="V29" s="840" t="s">
        <v>1251</v>
      </c>
      <c r="W29" s="842" t="s">
        <v>1052</v>
      </c>
      <c r="X29" s="842" t="s">
        <v>1250</v>
      </c>
      <c r="Y29" s="842" t="s">
        <v>3340</v>
      </c>
      <c r="Z29" s="842" t="s">
        <v>3329</v>
      </c>
      <c r="AA29" s="842" t="s">
        <v>3331</v>
      </c>
      <c r="AB29" s="842" t="s">
        <v>3333</v>
      </c>
      <c r="AC29" s="842" t="s">
        <v>3336</v>
      </c>
      <c r="AD29" s="843" t="s">
        <v>3338</v>
      </c>
      <c r="AE29" s="842" t="s">
        <v>1054</v>
      </c>
      <c r="AF29" s="343" t="s">
        <v>152</v>
      </c>
      <c r="AG29" s="343" t="s">
        <v>2</v>
      </c>
      <c r="AH29" s="343" t="s">
        <v>298</v>
      </c>
      <c r="AI29" s="343" t="s">
        <v>116</v>
      </c>
      <c r="AJ29" s="344" t="s">
        <v>117</v>
      </c>
      <c r="AK29" s="7"/>
      <c r="AL29" s="7"/>
    </row>
    <row r="30" spans="2:38" ht="18.75" x14ac:dyDescent="0.25">
      <c r="B30" s="274" t="s">
        <v>423</v>
      </c>
      <c r="C30" s="272" t="s">
        <v>306</v>
      </c>
      <c r="D30" s="272">
        <f>10^(-p_H)</f>
        <v>6.3095734448019177E-8</v>
      </c>
      <c r="E30" s="272">
        <f>K_W/conc_Hp_I</f>
        <v>1.384875770636308E-7</v>
      </c>
      <c r="F30" s="272">
        <f>0</f>
        <v>0</v>
      </c>
      <c r="G30" s="272">
        <f>0</f>
        <v>0</v>
      </c>
      <c r="H30" s="472">
        <f>0</f>
        <v>0</v>
      </c>
      <c r="I30" s="472">
        <f>0</f>
        <v>0</v>
      </c>
      <c r="J30" s="272">
        <f>0</f>
        <v>0</v>
      </c>
      <c r="K30" s="272">
        <f>0</f>
        <v>0</v>
      </c>
      <c r="L30" s="272">
        <f>0</f>
        <v>0</v>
      </c>
      <c r="M30" s="272">
        <f>0</f>
        <v>0</v>
      </c>
      <c r="N30" s="272">
        <f>0</f>
        <v>0</v>
      </c>
      <c r="O30" s="272">
        <f>0</f>
        <v>0</v>
      </c>
      <c r="P30" s="272">
        <f>0</f>
        <v>0</v>
      </c>
      <c r="Q30" s="272">
        <f>0</f>
        <v>0</v>
      </c>
      <c r="R30" s="272">
        <f>0</f>
        <v>0</v>
      </c>
      <c r="S30" s="272">
        <f>0</f>
        <v>0</v>
      </c>
      <c r="T30" s="272">
        <f>0</f>
        <v>0</v>
      </c>
      <c r="U30" s="272">
        <f>0</f>
        <v>0</v>
      </c>
      <c r="V30" s="272">
        <f>0</f>
        <v>0</v>
      </c>
      <c r="W30" s="272">
        <f>0</f>
        <v>0</v>
      </c>
      <c r="X30" s="272">
        <f>0</f>
        <v>0</v>
      </c>
      <c r="Y30" s="471">
        <f>0</f>
        <v>0</v>
      </c>
      <c r="Z30" s="471">
        <f>0</f>
        <v>0</v>
      </c>
      <c r="AA30" s="471">
        <f>0</f>
        <v>0</v>
      </c>
      <c r="AB30" s="471">
        <f>0</f>
        <v>0</v>
      </c>
      <c r="AC30" s="471">
        <f>0</f>
        <v>0</v>
      </c>
      <c r="AD30" s="471">
        <f>0</f>
        <v>0</v>
      </c>
      <c r="AE30" s="272">
        <f>0</f>
        <v>0</v>
      </c>
      <c r="AF30" s="273"/>
      <c r="AG30" s="271" t="s">
        <v>841</v>
      </c>
      <c r="AH30" s="273"/>
      <c r="AI30" s="273" t="s">
        <v>11</v>
      </c>
      <c r="AJ30" s="275"/>
    </row>
    <row r="31" spans="2:38" ht="18.75" x14ac:dyDescent="0.25">
      <c r="B31" s="508" t="s">
        <v>2451</v>
      </c>
      <c r="C31" s="268" t="s">
        <v>308</v>
      </c>
      <c r="D31" s="268">
        <f>0</f>
        <v>0</v>
      </c>
      <c r="E31" s="268">
        <f>0</f>
        <v>0</v>
      </c>
      <c r="F31" s="268">
        <f>(S_NHx/(A_MN*1000))*K_NH3/(conc_Hp_I+K_NH3)</f>
        <v>4.456809975059031E-7</v>
      </c>
      <c r="G31" s="268">
        <f>(S_NHx/(A_MN*1000))*conc_Hp_I/(conc_Hp_I+K_NH3)</f>
        <v>7.0948723109100212E-5</v>
      </c>
      <c r="H31" s="268">
        <f>0</f>
        <v>0</v>
      </c>
      <c r="I31" s="268">
        <f>0</f>
        <v>0</v>
      </c>
      <c r="J31" s="268">
        <f>0</f>
        <v>0</v>
      </c>
      <c r="K31" s="268">
        <f>0</f>
        <v>0</v>
      </c>
      <c r="L31" s="268">
        <f>0</f>
        <v>0</v>
      </c>
      <c r="M31" s="268">
        <f>0</f>
        <v>0</v>
      </c>
      <c r="N31" s="268">
        <f>0</f>
        <v>0</v>
      </c>
      <c r="O31" s="268">
        <f>0</f>
        <v>0</v>
      </c>
      <c r="P31" s="268">
        <f>0</f>
        <v>0</v>
      </c>
      <c r="Q31" s="268">
        <f>0</f>
        <v>0</v>
      </c>
      <c r="R31" s="268">
        <f>0</f>
        <v>0</v>
      </c>
      <c r="S31" s="268">
        <f>0</f>
        <v>0</v>
      </c>
      <c r="T31" s="268">
        <f>0</f>
        <v>0</v>
      </c>
      <c r="U31" s="268">
        <f>0</f>
        <v>0</v>
      </c>
      <c r="V31" s="268">
        <f>0</f>
        <v>0</v>
      </c>
      <c r="W31" s="268">
        <f>0</f>
        <v>0</v>
      </c>
      <c r="X31" s="268">
        <f>0</f>
        <v>0</v>
      </c>
      <c r="Y31" s="695">
        <f>0</f>
        <v>0</v>
      </c>
      <c r="Z31" s="695">
        <f>0</f>
        <v>0</v>
      </c>
      <c r="AA31" s="695">
        <f>0</f>
        <v>0</v>
      </c>
      <c r="AB31" s="695">
        <f>0</f>
        <v>0</v>
      </c>
      <c r="AC31" s="695">
        <f>0</f>
        <v>0</v>
      </c>
      <c r="AD31" s="695">
        <f>0</f>
        <v>0</v>
      </c>
      <c r="AE31" s="268">
        <f>0</f>
        <v>0</v>
      </c>
      <c r="AF31" s="269"/>
      <c r="AG31" s="267" t="s">
        <v>841</v>
      </c>
      <c r="AH31" s="269"/>
      <c r="AI31" s="273" t="s">
        <v>11</v>
      </c>
      <c r="AJ31" s="346"/>
    </row>
    <row r="32" spans="2:38" ht="33.75" x14ac:dyDescent="0.25">
      <c r="B32" s="345" t="s">
        <v>2207</v>
      </c>
      <c r="C32" s="268" t="s">
        <v>757</v>
      </c>
      <c r="D32" s="268">
        <f>0</f>
        <v>0</v>
      </c>
      <c r="E32" s="268">
        <f>0</f>
        <v>0</v>
      </c>
      <c r="F32" s="268">
        <f>0</f>
        <v>0</v>
      </c>
      <c r="G32" s="268">
        <f>0</f>
        <v>0</v>
      </c>
      <c r="H32" s="268">
        <f>(S_NO2/(A_MN*1000))*conc_Hp_I/(conc_Hp_I+K_NO2)</f>
        <v>8.600116917741957E-10</v>
      </c>
      <c r="I32" s="268">
        <f>(K_NO2*S_NO2/(A_MN*1000))/(conc_Hp_I+K_NO2)</f>
        <v>7.1385803989688371E-6</v>
      </c>
      <c r="J32" s="268">
        <f>0</f>
        <v>0</v>
      </c>
      <c r="K32" s="268">
        <f>0</f>
        <v>0</v>
      </c>
      <c r="L32" s="268">
        <f>0</f>
        <v>0</v>
      </c>
      <c r="M32" s="268">
        <f>0</f>
        <v>0</v>
      </c>
      <c r="N32" s="268">
        <f>0</f>
        <v>0</v>
      </c>
      <c r="O32" s="268">
        <f>0</f>
        <v>0</v>
      </c>
      <c r="P32" s="268">
        <f>0</f>
        <v>0</v>
      </c>
      <c r="Q32" s="268">
        <f>0</f>
        <v>0</v>
      </c>
      <c r="R32" s="268">
        <f>0</f>
        <v>0</v>
      </c>
      <c r="S32" s="268">
        <f>0</f>
        <v>0</v>
      </c>
      <c r="T32" s="268">
        <f>0</f>
        <v>0</v>
      </c>
      <c r="U32" s="268">
        <f>0</f>
        <v>0</v>
      </c>
      <c r="V32" s="268">
        <f>0</f>
        <v>0</v>
      </c>
      <c r="W32" s="268">
        <f>0</f>
        <v>0</v>
      </c>
      <c r="X32" s="268">
        <f>0</f>
        <v>0</v>
      </c>
      <c r="Y32" s="695">
        <f>0</f>
        <v>0</v>
      </c>
      <c r="Z32" s="695">
        <f>0</f>
        <v>0</v>
      </c>
      <c r="AA32" s="695">
        <f>0</f>
        <v>0</v>
      </c>
      <c r="AB32" s="695">
        <f>0</f>
        <v>0</v>
      </c>
      <c r="AC32" s="695">
        <f>0</f>
        <v>0</v>
      </c>
      <c r="AD32" s="695">
        <f>0</f>
        <v>0</v>
      </c>
      <c r="AE32" s="268">
        <f>0</f>
        <v>0</v>
      </c>
      <c r="AF32" s="269"/>
      <c r="AG32" s="267" t="s">
        <v>841</v>
      </c>
      <c r="AH32" s="269"/>
      <c r="AI32" s="273" t="s">
        <v>11</v>
      </c>
      <c r="AJ32" s="346"/>
    </row>
    <row r="33" spans="2:38" ht="18" x14ac:dyDescent="0.25">
      <c r="B33" s="345" t="s">
        <v>1103</v>
      </c>
      <c r="C33" s="268" t="s">
        <v>309</v>
      </c>
      <c r="D33" s="268">
        <f>0</f>
        <v>0</v>
      </c>
      <c r="E33" s="268">
        <f>0</f>
        <v>0</v>
      </c>
      <c r="F33" s="268">
        <f>0</f>
        <v>0</v>
      </c>
      <c r="G33" s="268">
        <f>0</f>
        <v>0</v>
      </c>
      <c r="H33" s="268">
        <f>0</f>
        <v>0</v>
      </c>
      <c r="I33" s="268">
        <f>0</f>
        <v>0</v>
      </c>
      <c r="J33" s="268">
        <f>S_NO3/(A_MN*1000)</f>
        <v>3.5697202053303062E-4</v>
      </c>
      <c r="K33" s="268">
        <f>0</f>
        <v>0</v>
      </c>
      <c r="L33" s="268">
        <f>0</f>
        <v>0</v>
      </c>
      <c r="M33" s="268">
        <f>0</f>
        <v>0</v>
      </c>
      <c r="N33" s="268">
        <f>0</f>
        <v>0</v>
      </c>
      <c r="O33" s="268">
        <f>0</f>
        <v>0</v>
      </c>
      <c r="P33" s="268">
        <f>0</f>
        <v>0</v>
      </c>
      <c r="Q33" s="268">
        <f>0</f>
        <v>0</v>
      </c>
      <c r="R33" s="268">
        <f>0</f>
        <v>0</v>
      </c>
      <c r="S33" s="268">
        <f>0</f>
        <v>0</v>
      </c>
      <c r="T33" s="268">
        <f>0</f>
        <v>0</v>
      </c>
      <c r="U33" s="268">
        <f>0</f>
        <v>0</v>
      </c>
      <c r="V33" s="268">
        <f>0</f>
        <v>0</v>
      </c>
      <c r="W33" s="268">
        <f>0</f>
        <v>0</v>
      </c>
      <c r="X33" s="268">
        <f>0</f>
        <v>0</v>
      </c>
      <c r="Y33" s="695">
        <f>0</f>
        <v>0</v>
      </c>
      <c r="Z33" s="695">
        <f>0</f>
        <v>0</v>
      </c>
      <c r="AA33" s="695">
        <f>0</f>
        <v>0</v>
      </c>
      <c r="AB33" s="695">
        <f>0</f>
        <v>0</v>
      </c>
      <c r="AC33" s="695">
        <f>0</f>
        <v>0</v>
      </c>
      <c r="AD33" s="695">
        <f>0</f>
        <v>0</v>
      </c>
      <c r="AE33" s="268">
        <f>0</f>
        <v>0</v>
      </c>
      <c r="AF33" s="269"/>
      <c r="AG33" s="267" t="s">
        <v>841</v>
      </c>
      <c r="AH33" s="269"/>
      <c r="AI33" s="273" t="s">
        <v>11</v>
      </c>
      <c r="AJ33" s="346"/>
    </row>
    <row r="34" spans="2:38" ht="18.75" x14ac:dyDescent="0.25">
      <c r="B34" s="345" t="s">
        <v>425</v>
      </c>
      <c r="C34" s="268" t="s">
        <v>312</v>
      </c>
      <c r="D34" s="268">
        <f>0</f>
        <v>0</v>
      </c>
      <c r="E34" s="268">
        <f>0</f>
        <v>0</v>
      </c>
      <c r="F34" s="268">
        <f>0</f>
        <v>0</v>
      </c>
      <c r="G34" s="268">
        <f>0</f>
        <v>0</v>
      </c>
      <c r="H34" s="268">
        <f>0</f>
        <v>0</v>
      </c>
      <c r="I34" s="268">
        <f>0</f>
        <v>0</v>
      </c>
      <c r="J34" s="268">
        <f>0</f>
        <v>0</v>
      </c>
      <c r="K34" s="268">
        <f>S_CO2/(A_MC*1000)*conc_Hp_I^2/(conc_Hp_I^2+conc_Hp_I*K_C1+K_C1*K_C2)</f>
        <v>6.4880908822408209E-4</v>
      </c>
      <c r="L34" s="268">
        <f>conc_Hp_I*K_C1*S_CO2/(A_MC*1000)/(conc_Hp_I^2+conc_Hp_I*K_C1+K_C1*K_C2)</f>
        <v>5.5062302620906018E-3</v>
      </c>
      <c r="M34" s="268">
        <f>K_C2*K_C1*S_CO2/(A_MC*1000)/(conc_Hp_I^2+conc_Hp_I*K_C1+K_C1*K_C2)</f>
        <v>6.1336038012281396E-6</v>
      </c>
      <c r="N34" s="268">
        <f>0</f>
        <v>0</v>
      </c>
      <c r="O34" s="268">
        <f>0</f>
        <v>0</v>
      </c>
      <c r="P34" s="268">
        <f>0</f>
        <v>0</v>
      </c>
      <c r="Q34" s="268">
        <f>0</f>
        <v>0</v>
      </c>
      <c r="R34" s="268">
        <f>0</f>
        <v>0</v>
      </c>
      <c r="S34" s="268">
        <f>0</f>
        <v>0</v>
      </c>
      <c r="T34" s="268">
        <f>0</f>
        <v>0</v>
      </c>
      <c r="U34" s="268">
        <f>0</f>
        <v>0</v>
      </c>
      <c r="V34" s="268">
        <f>0</f>
        <v>0</v>
      </c>
      <c r="W34" s="268">
        <f>0</f>
        <v>0</v>
      </c>
      <c r="X34" s="268">
        <f>0</f>
        <v>0</v>
      </c>
      <c r="Y34" s="695">
        <f>0</f>
        <v>0</v>
      </c>
      <c r="Z34" s="695">
        <f>0</f>
        <v>0</v>
      </c>
      <c r="AA34" s="695">
        <f>0</f>
        <v>0</v>
      </c>
      <c r="AB34" s="695">
        <f>0</f>
        <v>0</v>
      </c>
      <c r="AC34" s="695">
        <f>0</f>
        <v>0</v>
      </c>
      <c r="AD34" s="695">
        <f>0</f>
        <v>0</v>
      </c>
      <c r="AE34" s="268">
        <f>0</f>
        <v>0</v>
      </c>
      <c r="AF34" s="269"/>
      <c r="AG34" s="267" t="s">
        <v>841</v>
      </c>
      <c r="AH34" s="269"/>
      <c r="AI34" s="273" t="s">
        <v>11</v>
      </c>
      <c r="AJ34" s="346"/>
    </row>
    <row r="35" spans="2:38" ht="18.75" x14ac:dyDescent="0.25">
      <c r="B35" s="345" t="s">
        <v>426</v>
      </c>
      <c r="C35" s="268" t="s">
        <v>313</v>
      </c>
      <c r="D35" s="268">
        <f>0</f>
        <v>0</v>
      </c>
      <c r="E35" s="268">
        <f>0</f>
        <v>0</v>
      </c>
      <c r="F35" s="268">
        <f>0</f>
        <v>0</v>
      </c>
      <c r="G35" s="268">
        <f>0</f>
        <v>0</v>
      </c>
      <c r="H35" s="268">
        <f>0</f>
        <v>0</v>
      </c>
      <c r="I35" s="268">
        <f>0</f>
        <v>0</v>
      </c>
      <c r="J35" s="268">
        <f>0</f>
        <v>0</v>
      </c>
      <c r="K35" s="268">
        <f>0</f>
        <v>0</v>
      </c>
      <c r="L35" s="268">
        <f>0</f>
        <v>0</v>
      </c>
      <c r="M35" s="268">
        <f>0</f>
        <v>0</v>
      </c>
      <c r="N35" s="268">
        <f>S_PO4/(A_MP*1000)*conc_Hp_I^3/(conc_Hp_I^3+conc_Hp_I^2*K_P1+K_P2*conc_Hp_I*K_P1+K_P2*K_P1*K_P3)</f>
        <v>4.0344172931174842E-11</v>
      </c>
      <c r="O35" s="268">
        <f>conc_Hp_I^2*K_P1*S_PO4/(A_MP*1000)/(conc_Hp_I^3+conc_Hp_I^2*K_P1+K_P2*conc_Hp_I*K_P1+K_P2*K_P1*K_P3)</f>
        <v>6.1647215595877176E-6</v>
      </c>
      <c r="P35" s="268">
        <f>conc_Hp_I*K_P2/(conc_Hp_I^3+conc_Hp_I^2*K_P1+K_P2*conc_Hp_I*K_P1+K_P2*K_P1*K_P3)*K_P1*S_PO4/(A_MP*1000)</f>
        <v>9.9778036227837607E-6</v>
      </c>
      <c r="Q35" s="268">
        <f>K_P3*K_P2/(conc_Hp_I^3+conc_Hp_I^2*K_P1+K_P2*conc_Hp_I*K_P1+K_P2*K_P1*K_P3)*K_P1*S_PO4/(A_MP*1000)</f>
        <v>1.2959623276590366E-10</v>
      </c>
      <c r="R35" s="268">
        <f>0</f>
        <v>0</v>
      </c>
      <c r="S35" s="268">
        <f>0</f>
        <v>0</v>
      </c>
      <c r="T35" s="268">
        <f>0</f>
        <v>0</v>
      </c>
      <c r="U35" s="268">
        <f>0</f>
        <v>0</v>
      </c>
      <c r="V35" s="268">
        <f>0</f>
        <v>0</v>
      </c>
      <c r="W35" s="268">
        <f>0</f>
        <v>0</v>
      </c>
      <c r="X35" s="268">
        <f>0</f>
        <v>0</v>
      </c>
      <c r="Y35" s="695">
        <f>0</f>
        <v>0</v>
      </c>
      <c r="Z35" s="695">
        <f>0</f>
        <v>0</v>
      </c>
      <c r="AA35" s="695">
        <f>0</f>
        <v>0</v>
      </c>
      <c r="AB35" s="695">
        <f>0</f>
        <v>0</v>
      </c>
      <c r="AC35" s="695">
        <f>0</f>
        <v>0</v>
      </c>
      <c r="AD35" s="695">
        <f>0</f>
        <v>0</v>
      </c>
      <c r="AE35" s="268">
        <f>0</f>
        <v>0</v>
      </c>
      <c r="AF35" s="269"/>
      <c r="AG35" s="267" t="s">
        <v>841</v>
      </c>
      <c r="AH35" s="269"/>
      <c r="AI35" s="273" t="s">
        <v>11</v>
      </c>
      <c r="AJ35" s="346"/>
    </row>
    <row r="36" spans="2:38" ht="18.75" x14ac:dyDescent="0.25">
      <c r="B36" s="345" t="s">
        <v>431</v>
      </c>
      <c r="C36" s="268" t="s">
        <v>314</v>
      </c>
      <c r="D36" s="268">
        <f>0</f>
        <v>0</v>
      </c>
      <c r="E36" s="268">
        <f>0</f>
        <v>0</v>
      </c>
      <c r="F36" s="268">
        <f>0</f>
        <v>0</v>
      </c>
      <c r="G36" s="268">
        <f>0</f>
        <v>0</v>
      </c>
      <c r="H36" s="268">
        <f>0</f>
        <v>0</v>
      </c>
      <c r="I36" s="268">
        <f>0</f>
        <v>0</v>
      </c>
      <c r="J36" s="268">
        <f>0</f>
        <v>0</v>
      </c>
      <c r="K36" s="268">
        <f>0</f>
        <v>0</v>
      </c>
      <c r="L36" s="268">
        <f>0</f>
        <v>0</v>
      </c>
      <c r="M36" s="268">
        <f>0</f>
        <v>0</v>
      </c>
      <c r="N36" s="268">
        <f>0</f>
        <v>0</v>
      </c>
      <c r="O36" s="268">
        <f>0</f>
        <v>0</v>
      </c>
      <c r="P36" s="268">
        <f>0</f>
        <v>0</v>
      </c>
      <c r="Q36" s="268">
        <f>0</f>
        <v>0</v>
      </c>
      <c r="R36" s="268">
        <f>conc_Hp_I*S_VFA/(4*A_MO*1000)/(conc_Hp_I+K_Ac)</f>
        <v>4.3337108963713439E-10</v>
      </c>
      <c r="S36" s="268">
        <f>S_VFA/(4*A_MO*1000)*K_Ac/(conc_Hp_I+K_Ac)</f>
        <v>1.5582248850509766E-7</v>
      </c>
      <c r="T36" s="268">
        <f>0</f>
        <v>0</v>
      </c>
      <c r="U36" s="268">
        <f>0</f>
        <v>0</v>
      </c>
      <c r="V36" s="268">
        <f>0</f>
        <v>0</v>
      </c>
      <c r="W36" s="268">
        <f>0</f>
        <v>0</v>
      </c>
      <c r="X36" s="268">
        <f>0</f>
        <v>0</v>
      </c>
      <c r="Y36" s="695">
        <f>0</f>
        <v>0</v>
      </c>
      <c r="Z36" s="695">
        <f>0</f>
        <v>0</v>
      </c>
      <c r="AA36" s="695">
        <f>0</f>
        <v>0</v>
      </c>
      <c r="AB36" s="695">
        <f>0</f>
        <v>0</v>
      </c>
      <c r="AC36" s="695">
        <f>0</f>
        <v>0</v>
      </c>
      <c r="AD36" s="695">
        <f>0</f>
        <v>0</v>
      </c>
      <c r="AE36" s="268">
        <f>0</f>
        <v>0</v>
      </c>
      <c r="AF36" s="269"/>
      <c r="AG36" s="267" t="s">
        <v>841</v>
      </c>
      <c r="AH36" s="269"/>
      <c r="AI36" s="273" t="s">
        <v>11</v>
      </c>
      <c r="AJ36" s="346"/>
    </row>
    <row r="37" spans="2:38" ht="18" x14ac:dyDescent="0.25">
      <c r="B37" s="345" t="s">
        <v>987</v>
      </c>
      <c r="C37" s="268" t="s">
        <v>989</v>
      </c>
      <c r="D37" s="268">
        <f>0</f>
        <v>0</v>
      </c>
      <c r="E37" s="268">
        <f>0</f>
        <v>0</v>
      </c>
      <c r="F37" s="268">
        <f>0</f>
        <v>0</v>
      </c>
      <c r="G37" s="268">
        <f>0</f>
        <v>0</v>
      </c>
      <c r="H37" s="268">
        <f>0</f>
        <v>0</v>
      </c>
      <c r="I37" s="268">
        <f>0</f>
        <v>0</v>
      </c>
      <c r="J37" s="268">
        <f>0</f>
        <v>0</v>
      </c>
      <c r="K37" s="268">
        <f>0</f>
        <v>0</v>
      </c>
      <c r="L37" s="268">
        <f>0</f>
        <v>0</v>
      </c>
      <c r="M37" s="268">
        <f>0</f>
        <v>0</v>
      </c>
      <c r="N37" s="268">
        <f>0</f>
        <v>0</v>
      </c>
      <c r="O37" s="268">
        <f>0</f>
        <v>0</v>
      </c>
      <c r="P37" s="268">
        <f>0</f>
        <v>0</v>
      </c>
      <c r="Q37" s="268">
        <f>0</f>
        <v>0</v>
      </c>
      <c r="R37" s="268">
        <f>0</f>
        <v>0</v>
      </c>
      <c r="S37" s="268">
        <f>0</f>
        <v>0</v>
      </c>
      <c r="T37" s="268">
        <f>S_Ca/(A_MCa*1000)</f>
        <v>3.7427017316233346E-3</v>
      </c>
      <c r="U37" s="268">
        <f>0</f>
        <v>0</v>
      </c>
      <c r="V37" s="268">
        <f>0</f>
        <v>0</v>
      </c>
      <c r="W37" s="268">
        <f>0</f>
        <v>0</v>
      </c>
      <c r="X37" s="268">
        <f>0</f>
        <v>0</v>
      </c>
      <c r="Y37" s="695">
        <f>0</f>
        <v>0</v>
      </c>
      <c r="Z37" s="695">
        <f>0</f>
        <v>0</v>
      </c>
      <c r="AA37" s="695">
        <f>0</f>
        <v>0</v>
      </c>
      <c r="AB37" s="695">
        <f>0</f>
        <v>0</v>
      </c>
      <c r="AC37" s="695">
        <f>0</f>
        <v>0</v>
      </c>
      <c r="AD37" s="695">
        <f>0</f>
        <v>0</v>
      </c>
      <c r="AE37" s="268">
        <f>0</f>
        <v>0</v>
      </c>
      <c r="AF37" s="269"/>
      <c r="AG37" s="267" t="s">
        <v>842</v>
      </c>
      <c r="AH37" s="269"/>
      <c r="AI37" s="273" t="s">
        <v>11</v>
      </c>
      <c r="AJ37" s="346"/>
    </row>
    <row r="38" spans="2:38" ht="18" x14ac:dyDescent="0.25">
      <c r="B38" s="345" t="s">
        <v>988</v>
      </c>
      <c r="C38" s="268" t="s">
        <v>990</v>
      </c>
      <c r="D38" s="268">
        <f>0</f>
        <v>0</v>
      </c>
      <c r="E38" s="268">
        <f>0</f>
        <v>0</v>
      </c>
      <c r="F38" s="268">
        <f>0</f>
        <v>0</v>
      </c>
      <c r="G38" s="268">
        <f>0</f>
        <v>0</v>
      </c>
      <c r="H38" s="268">
        <f>0</f>
        <v>0</v>
      </c>
      <c r="I38" s="268">
        <f>0</f>
        <v>0</v>
      </c>
      <c r="J38" s="268">
        <f>0</f>
        <v>0</v>
      </c>
      <c r="K38" s="268">
        <f>0</f>
        <v>0</v>
      </c>
      <c r="L38" s="268">
        <f>0</f>
        <v>0</v>
      </c>
      <c r="M38" s="268">
        <f>0</f>
        <v>0</v>
      </c>
      <c r="N38" s="268">
        <f>0</f>
        <v>0</v>
      </c>
      <c r="O38" s="268">
        <f>0</f>
        <v>0</v>
      </c>
      <c r="P38" s="268">
        <f>0</f>
        <v>0</v>
      </c>
      <c r="Q38" s="268">
        <f>0</f>
        <v>0</v>
      </c>
      <c r="R38" s="268">
        <f>0</f>
        <v>0</v>
      </c>
      <c r="S38" s="268">
        <f>0</f>
        <v>0</v>
      </c>
      <c r="T38" s="268">
        <f>0</f>
        <v>0</v>
      </c>
      <c r="U38" s="268">
        <f>S_Mg/(A_MMg*1000)</f>
        <v>6.1715696358773911E-4</v>
      </c>
      <c r="V38" s="268">
        <f>0</f>
        <v>0</v>
      </c>
      <c r="W38" s="268">
        <f>0</f>
        <v>0</v>
      </c>
      <c r="X38" s="268">
        <f>0</f>
        <v>0</v>
      </c>
      <c r="Y38" s="695">
        <f>0</f>
        <v>0</v>
      </c>
      <c r="Z38" s="695">
        <f>0</f>
        <v>0</v>
      </c>
      <c r="AA38" s="695">
        <f>0</f>
        <v>0</v>
      </c>
      <c r="AB38" s="695">
        <f>0</f>
        <v>0</v>
      </c>
      <c r="AC38" s="695">
        <f>0</f>
        <v>0</v>
      </c>
      <c r="AD38" s="695">
        <f>0</f>
        <v>0</v>
      </c>
      <c r="AE38" s="268">
        <f>0</f>
        <v>0</v>
      </c>
      <c r="AF38" s="269"/>
      <c r="AG38" s="267" t="s">
        <v>842</v>
      </c>
      <c r="AH38" s="269"/>
      <c r="AI38" s="273" t="s">
        <v>11</v>
      </c>
      <c r="AJ38" s="346"/>
    </row>
    <row r="39" spans="2:38" ht="18" x14ac:dyDescent="0.25">
      <c r="B39" s="345" t="s">
        <v>432</v>
      </c>
      <c r="C39" s="268" t="s">
        <v>310</v>
      </c>
      <c r="D39" s="268">
        <f>0</f>
        <v>0</v>
      </c>
      <c r="E39" s="268">
        <f>0</f>
        <v>0</v>
      </c>
      <c r="F39" s="268">
        <f>0</f>
        <v>0</v>
      </c>
      <c r="G39" s="268">
        <f>0</f>
        <v>0</v>
      </c>
      <c r="H39" s="268">
        <f>0</f>
        <v>0</v>
      </c>
      <c r="I39" s="268">
        <f>0</f>
        <v>0</v>
      </c>
      <c r="J39" s="268">
        <f>0</f>
        <v>0</v>
      </c>
      <c r="K39" s="268">
        <f>0</f>
        <v>0</v>
      </c>
      <c r="L39" s="268">
        <f>0</f>
        <v>0</v>
      </c>
      <c r="M39" s="268">
        <f>0</f>
        <v>0</v>
      </c>
      <c r="N39" s="267">
        <f>0</f>
        <v>0</v>
      </c>
      <c r="O39" s="268">
        <f>0</f>
        <v>0</v>
      </c>
      <c r="P39" s="268">
        <f>0</f>
        <v>0</v>
      </c>
      <c r="Q39" s="268">
        <f>0</f>
        <v>0</v>
      </c>
      <c r="R39" s="268">
        <f>0</f>
        <v>0</v>
      </c>
      <c r="S39" s="268">
        <f>0</f>
        <v>0</v>
      </c>
      <c r="T39" s="268">
        <f>0</f>
        <v>0</v>
      </c>
      <c r="U39" s="268">
        <f>0</f>
        <v>0</v>
      </c>
      <c r="V39" s="268">
        <f>S_CAT/(A_MNa*1000)</f>
        <v>1.5224163409384409E-3</v>
      </c>
      <c r="W39" s="268">
        <f>0</f>
        <v>0</v>
      </c>
      <c r="X39" s="268">
        <f>0</f>
        <v>0</v>
      </c>
      <c r="Y39" s="695">
        <f>0</f>
        <v>0</v>
      </c>
      <c r="Z39" s="695">
        <f>0</f>
        <v>0</v>
      </c>
      <c r="AA39" s="695">
        <f>0</f>
        <v>0</v>
      </c>
      <c r="AB39" s="695">
        <f>0</f>
        <v>0</v>
      </c>
      <c r="AC39" s="695">
        <f>0</f>
        <v>0</v>
      </c>
      <c r="AD39" s="695">
        <f>0</f>
        <v>0</v>
      </c>
      <c r="AE39" s="268">
        <f>0</f>
        <v>0</v>
      </c>
      <c r="AF39" s="269"/>
      <c r="AG39" s="267" t="s">
        <v>842</v>
      </c>
      <c r="AH39" s="269"/>
      <c r="AI39" s="273" t="s">
        <v>11</v>
      </c>
      <c r="AJ39" s="346"/>
    </row>
    <row r="40" spans="2:38" ht="18" x14ac:dyDescent="0.25">
      <c r="B40" s="345" t="s">
        <v>1102</v>
      </c>
      <c r="C40" s="268" t="s">
        <v>1104</v>
      </c>
      <c r="D40" s="268">
        <f>0</f>
        <v>0</v>
      </c>
      <c r="E40" s="268">
        <f>0</f>
        <v>0</v>
      </c>
      <c r="F40" s="268">
        <f>0</f>
        <v>0</v>
      </c>
      <c r="G40" s="268">
        <f>0</f>
        <v>0</v>
      </c>
      <c r="H40" s="268">
        <f>0</f>
        <v>0</v>
      </c>
      <c r="I40" s="268">
        <f>0</f>
        <v>0</v>
      </c>
      <c r="J40" s="268">
        <f>0</f>
        <v>0</v>
      </c>
      <c r="K40" s="268">
        <f>0</f>
        <v>0</v>
      </c>
      <c r="L40" s="268">
        <f>0</f>
        <v>0</v>
      </c>
      <c r="M40" s="268">
        <f>0</f>
        <v>0</v>
      </c>
      <c r="N40" s="267">
        <f>0</f>
        <v>0</v>
      </c>
      <c r="O40" s="268">
        <f>0</f>
        <v>0</v>
      </c>
      <c r="P40" s="268">
        <f>0</f>
        <v>0</v>
      </c>
      <c r="Q40" s="268">
        <f>0</f>
        <v>0</v>
      </c>
      <c r="R40" s="268">
        <f>0</f>
        <v>0</v>
      </c>
      <c r="S40" s="268">
        <f>0</f>
        <v>0</v>
      </c>
      <c r="T40" s="268">
        <f>0</f>
        <v>0</v>
      </c>
      <c r="U40" s="268">
        <f>0</f>
        <v>0</v>
      </c>
      <c r="V40" s="268">
        <f>0</f>
        <v>0</v>
      </c>
      <c r="W40" s="268">
        <f>S_K/(A_MK*1000)</f>
        <v>3.8364839391994023E-4</v>
      </c>
      <c r="X40" s="268">
        <f>0</f>
        <v>0</v>
      </c>
      <c r="Y40" s="695">
        <f>0</f>
        <v>0</v>
      </c>
      <c r="Z40" s="695">
        <f>0</f>
        <v>0</v>
      </c>
      <c r="AA40" s="695">
        <f>0</f>
        <v>0</v>
      </c>
      <c r="AB40" s="695">
        <f>0</f>
        <v>0</v>
      </c>
      <c r="AC40" s="695">
        <f>0</f>
        <v>0</v>
      </c>
      <c r="AD40" s="695">
        <f>0</f>
        <v>0</v>
      </c>
      <c r="AE40" s="268">
        <f>0</f>
        <v>0</v>
      </c>
      <c r="AF40" s="269"/>
      <c r="AG40" s="267" t="s">
        <v>842</v>
      </c>
      <c r="AH40" s="269"/>
      <c r="AI40" s="273" t="s">
        <v>11</v>
      </c>
      <c r="AJ40" s="346"/>
    </row>
    <row r="41" spans="2:38" ht="18" x14ac:dyDescent="0.25">
      <c r="B41" s="345" t="s">
        <v>433</v>
      </c>
      <c r="C41" s="268" t="s">
        <v>311</v>
      </c>
      <c r="D41" s="268">
        <f>0</f>
        <v>0</v>
      </c>
      <c r="E41" s="268">
        <f>0</f>
        <v>0</v>
      </c>
      <c r="F41" s="268">
        <f>0</f>
        <v>0</v>
      </c>
      <c r="G41" s="268">
        <f>0</f>
        <v>0</v>
      </c>
      <c r="H41" s="268">
        <f>0</f>
        <v>0</v>
      </c>
      <c r="I41" s="268">
        <f>0</f>
        <v>0</v>
      </c>
      <c r="J41" s="268">
        <f>0</f>
        <v>0</v>
      </c>
      <c r="K41" s="268">
        <f>0</f>
        <v>0</v>
      </c>
      <c r="L41" s="268">
        <f>0</f>
        <v>0</v>
      </c>
      <c r="M41" s="268">
        <f>0</f>
        <v>0</v>
      </c>
      <c r="N41" s="268">
        <f>0</f>
        <v>0</v>
      </c>
      <c r="O41" s="268">
        <f>0</f>
        <v>0</v>
      </c>
      <c r="P41" s="268">
        <f>0</f>
        <v>0</v>
      </c>
      <c r="Q41" s="268">
        <f>0</f>
        <v>0</v>
      </c>
      <c r="R41" s="268">
        <f>0</f>
        <v>0</v>
      </c>
      <c r="S41" s="268">
        <f>0</f>
        <v>0</v>
      </c>
      <c r="T41" s="268">
        <f>0</f>
        <v>0</v>
      </c>
      <c r="U41" s="268">
        <f>0</f>
        <v>0</v>
      </c>
      <c r="V41" s="268">
        <f>0</f>
        <v>0</v>
      </c>
      <c r="W41" s="270">
        <f>0</f>
        <v>0</v>
      </c>
      <c r="X41" s="268">
        <f>S_AN/(A_MCl*1000)</f>
        <v>4.2309536569542774E-3</v>
      </c>
      <c r="Y41" s="695">
        <f>0</f>
        <v>0</v>
      </c>
      <c r="Z41" s="695">
        <f>0</f>
        <v>0</v>
      </c>
      <c r="AA41" s="695">
        <f>0</f>
        <v>0</v>
      </c>
      <c r="AB41" s="695">
        <f>0</f>
        <v>0</v>
      </c>
      <c r="AC41" s="695">
        <f>0</f>
        <v>0</v>
      </c>
      <c r="AD41" s="695">
        <f>0</f>
        <v>0</v>
      </c>
      <c r="AE41" s="268">
        <f>0</f>
        <v>0</v>
      </c>
      <c r="AF41" s="269"/>
      <c r="AG41" s="267" t="s">
        <v>842</v>
      </c>
      <c r="AH41" s="269"/>
      <c r="AI41" s="273" t="s">
        <v>11</v>
      </c>
      <c r="AJ41" s="346"/>
    </row>
    <row r="42" spans="2:38" ht="74.25" x14ac:dyDescent="0.25">
      <c r="B42" s="508" t="s">
        <v>3341</v>
      </c>
      <c r="C42" s="695" t="s">
        <v>3342</v>
      </c>
      <c r="D42" s="744">
        <f>0</f>
        <v>0</v>
      </c>
      <c r="E42" s="744">
        <f>0</f>
        <v>0</v>
      </c>
      <c r="F42" s="744">
        <f>0</f>
        <v>0</v>
      </c>
      <c r="G42" s="744">
        <f>0</f>
        <v>0</v>
      </c>
      <c r="H42" s="744">
        <f>0</f>
        <v>0</v>
      </c>
      <c r="I42" s="744">
        <f>0</f>
        <v>0</v>
      </c>
      <c r="J42" s="744">
        <f>0</f>
        <v>0</v>
      </c>
      <c r="K42" s="744">
        <f>0</f>
        <v>0</v>
      </c>
      <c r="L42" s="744">
        <f>0</f>
        <v>0</v>
      </c>
      <c r="M42" s="744">
        <f>0</f>
        <v>0</v>
      </c>
      <c r="N42" s="744">
        <f>0</f>
        <v>0</v>
      </c>
      <c r="O42" s="744">
        <f>0</f>
        <v>0</v>
      </c>
      <c r="P42" s="744">
        <f>0</f>
        <v>0</v>
      </c>
      <c r="Q42" s="744">
        <f>0</f>
        <v>0</v>
      </c>
      <c r="R42" s="744">
        <f>0</f>
        <v>0</v>
      </c>
      <c r="S42" s="744">
        <f>0</f>
        <v>0</v>
      </c>
      <c r="T42" s="744">
        <f>0</f>
        <v>0</v>
      </c>
      <c r="U42" s="744">
        <f>0</f>
        <v>0</v>
      </c>
      <c r="V42" s="744">
        <f>0</f>
        <v>0</v>
      </c>
      <c r="W42" s="745">
        <f>0</f>
        <v>0</v>
      </c>
      <c r="X42" s="744">
        <f>0</f>
        <v>0</v>
      </c>
      <c r="Y42" s="695">
        <f>(conc_Hp_I^2*S_SO4/(A_MS*1000))/(conc_Hp_I^2+conc_Hp_I*K_SO41+K_SO41*K_SO42)</f>
        <v>9.6716118330503636E-20</v>
      </c>
      <c r="Z42" s="695">
        <f>(conc_Hp_I*K_SO41*S_SO4/(A_MS*1000))/(conc_Hp_I^2+conc_Hp_I*K_SO41+K_SO41*K_SO42)</f>
        <v>1.6916522478371662E-9</v>
      </c>
      <c r="AA42" s="695">
        <f>(K_SO41*K_SO42*S_SO4/(A_MS*1000))/(conc_Hp_I^2+conc_Hp_I*K_SO41+K_SO41*K_SO42)</f>
        <v>5.3017139426697862E-4</v>
      </c>
      <c r="AB42" s="695">
        <f>0</f>
        <v>0</v>
      </c>
      <c r="AC42" s="695">
        <f>0</f>
        <v>0</v>
      </c>
      <c r="AD42" s="695">
        <f>0</f>
        <v>0</v>
      </c>
      <c r="AE42" s="268">
        <f>0</f>
        <v>0</v>
      </c>
      <c r="AF42" s="269"/>
      <c r="AG42" s="694" t="s">
        <v>842</v>
      </c>
      <c r="AH42" s="696"/>
      <c r="AI42" s="697" t="s">
        <v>11</v>
      </c>
      <c r="AJ42" s="746"/>
    </row>
    <row r="43" spans="2:38" ht="74.25" x14ac:dyDescent="0.25">
      <c r="B43" s="508" t="s">
        <v>3343</v>
      </c>
      <c r="C43" s="695" t="s">
        <v>3344</v>
      </c>
      <c r="D43" s="744">
        <f>0</f>
        <v>0</v>
      </c>
      <c r="E43" s="744">
        <f>0</f>
        <v>0</v>
      </c>
      <c r="F43" s="744">
        <f>0</f>
        <v>0</v>
      </c>
      <c r="G43" s="744">
        <f>0</f>
        <v>0</v>
      </c>
      <c r="H43" s="744">
        <f>0</f>
        <v>0</v>
      </c>
      <c r="I43" s="744">
        <f>0</f>
        <v>0</v>
      </c>
      <c r="J43" s="744">
        <f>0</f>
        <v>0</v>
      </c>
      <c r="K43" s="744">
        <f>0</f>
        <v>0</v>
      </c>
      <c r="L43" s="744">
        <f>0</f>
        <v>0</v>
      </c>
      <c r="M43" s="744">
        <f>0</f>
        <v>0</v>
      </c>
      <c r="N43" s="744">
        <f>0</f>
        <v>0</v>
      </c>
      <c r="O43" s="744">
        <f>0</f>
        <v>0</v>
      </c>
      <c r="P43" s="744">
        <f>0</f>
        <v>0</v>
      </c>
      <c r="Q43" s="744">
        <f>0</f>
        <v>0</v>
      </c>
      <c r="R43" s="744">
        <f>0</f>
        <v>0</v>
      </c>
      <c r="S43" s="744">
        <f>0</f>
        <v>0</v>
      </c>
      <c r="T43" s="744">
        <f>0</f>
        <v>0</v>
      </c>
      <c r="U43" s="744">
        <f>0</f>
        <v>0</v>
      </c>
      <c r="V43" s="744">
        <f>0</f>
        <v>0</v>
      </c>
      <c r="W43" s="745">
        <f>0</f>
        <v>0</v>
      </c>
      <c r="X43" s="744">
        <f>0</f>
        <v>0</v>
      </c>
      <c r="Y43" s="695">
        <f>0</f>
        <v>0</v>
      </c>
      <c r="Z43" s="695">
        <f>0</f>
        <v>0</v>
      </c>
      <c r="AA43" s="695">
        <f>0</f>
        <v>0</v>
      </c>
      <c r="AB43" s="695">
        <f>(conc_Hp_I^2*S_H2S/(A_MS*1000))/(conc_Hp_I^2+conc_Hp_I*K_S1+K_S1*K_S2)</f>
        <v>1.1678783197941045E-7</v>
      </c>
      <c r="AC43" s="695">
        <f>(conc_Hp_I*K_S1*S_H2S/(A_MS*1000))/(conc_Hp_I^2+conc_Hp_I*K_S1+K_S1*K_S2)</f>
        <v>1.9507868913130017E-7</v>
      </c>
      <c r="AD43" s="695">
        <f>(K_S1*K_S2*S_H2S/(A_MS*1000))/(conc_Hp_I^2+conc_Hp_I*K_S1+K_S1*K_S2)</f>
        <v>1.8246179054647554E-17</v>
      </c>
      <c r="AE43" s="268">
        <f>0</f>
        <v>0</v>
      </c>
      <c r="AF43" s="269"/>
      <c r="AG43" s="694" t="s">
        <v>842</v>
      </c>
      <c r="AH43" s="696"/>
      <c r="AI43" s="697" t="s">
        <v>11</v>
      </c>
      <c r="AJ43" s="746"/>
    </row>
    <row r="44" spans="2:38" ht="18.75" thickBot="1" x14ac:dyDescent="0.3">
      <c r="B44" s="276" t="s">
        <v>1105</v>
      </c>
      <c r="C44" s="277" t="s">
        <v>1988</v>
      </c>
      <c r="D44" s="277">
        <f>0</f>
        <v>0</v>
      </c>
      <c r="E44" s="277">
        <f>0</f>
        <v>0</v>
      </c>
      <c r="F44" s="277">
        <f>0</f>
        <v>0</v>
      </c>
      <c r="G44" s="277">
        <f>0</f>
        <v>0</v>
      </c>
      <c r="H44" s="277">
        <f>0</f>
        <v>0</v>
      </c>
      <c r="I44" s="277">
        <f>0</f>
        <v>0</v>
      </c>
      <c r="J44" s="277">
        <f>0</f>
        <v>0</v>
      </c>
      <c r="K44" s="277">
        <f>0</f>
        <v>0</v>
      </c>
      <c r="L44" s="277">
        <f>0</f>
        <v>0</v>
      </c>
      <c r="M44" s="277">
        <f>0</f>
        <v>0</v>
      </c>
      <c r="N44" s="277">
        <f>0</f>
        <v>0</v>
      </c>
      <c r="O44" s="277">
        <f>0</f>
        <v>0</v>
      </c>
      <c r="P44" s="277">
        <f>0</f>
        <v>0</v>
      </c>
      <c r="Q44" s="277">
        <f>0</f>
        <v>0</v>
      </c>
      <c r="R44" s="277">
        <f>0</f>
        <v>0</v>
      </c>
      <c r="S44" s="277">
        <f>0</f>
        <v>0</v>
      </c>
      <c r="T44" s="277">
        <f>0</f>
        <v>0</v>
      </c>
      <c r="U44" s="277">
        <f>0</f>
        <v>0</v>
      </c>
      <c r="V44" s="277">
        <f>0</f>
        <v>0</v>
      </c>
      <c r="W44" s="277">
        <f>0</f>
        <v>0</v>
      </c>
      <c r="X44" s="277">
        <f>0</f>
        <v>0</v>
      </c>
      <c r="Y44" s="621">
        <f>0</f>
        <v>0</v>
      </c>
      <c r="Z44" s="621">
        <f>0</f>
        <v>0</v>
      </c>
      <c r="AA44" s="621">
        <f>0</f>
        <v>0</v>
      </c>
      <c r="AB44" s="621">
        <f>0</f>
        <v>0</v>
      </c>
      <c r="AC44" s="621">
        <f>0</f>
        <v>0</v>
      </c>
      <c r="AD44" s="621">
        <f>0</f>
        <v>0</v>
      </c>
      <c r="AE44" s="277">
        <f>S_Fe2/(A_MFe*1000)</f>
        <v>1.7906706061420003E-55</v>
      </c>
      <c r="AF44" s="278"/>
      <c r="AG44" s="347" t="s">
        <v>842</v>
      </c>
      <c r="AH44" s="278"/>
      <c r="AI44" s="348" t="s">
        <v>11</v>
      </c>
      <c r="AJ44" s="279"/>
    </row>
    <row r="46" spans="2:38" ht="15.75" thickBot="1" x14ac:dyDescent="0.3"/>
    <row r="47" spans="2:38" ht="15.75" thickBot="1" x14ac:dyDescent="0.3">
      <c r="B47" s="3"/>
      <c r="C47" s="146" t="s">
        <v>392</v>
      </c>
      <c r="D47" s="142" t="s">
        <v>1218</v>
      </c>
      <c r="E47" s="335"/>
      <c r="F47" s="335"/>
      <c r="G47" s="335"/>
      <c r="H47" s="335"/>
      <c r="I47" s="335"/>
      <c r="J47" s="335"/>
      <c r="K47" s="335"/>
      <c r="L47" s="335"/>
      <c r="M47" s="335"/>
      <c r="N47" s="335"/>
      <c r="O47" s="335"/>
      <c r="P47" s="335"/>
      <c r="Q47" s="335"/>
      <c r="R47" s="335"/>
      <c r="S47" s="335"/>
      <c r="T47" s="335"/>
      <c r="U47" s="335"/>
      <c r="V47" s="335"/>
      <c r="W47" s="336"/>
      <c r="X47" s="336"/>
      <c r="Y47" s="336"/>
      <c r="Z47" s="336"/>
      <c r="AA47" s="336"/>
      <c r="AB47" s="336"/>
      <c r="AC47" s="336"/>
      <c r="AD47" s="336"/>
      <c r="AE47" s="336"/>
    </row>
    <row r="48" spans="2:38" ht="18.75" thickBot="1" x14ac:dyDescent="0.3">
      <c r="B48" s="342"/>
      <c r="C48" s="340" t="s">
        <v>1</v>
      </c>
      <c r="D48" s="840" t="s">
        <v>395</v>
      </c>
      <c r="E48" s="840" t="s">
        <v>397</v>
      </c>
      <c r="F48" s="840" t="s">
        <v>399</v>
      </c>
      <c r="G48" s="840" t="s">
        <v>401</v>
      </c>
      <c r="H48" s="841" t="s">
        <v>2203</v>
      </c>
      <c r="I48" s="841" t="s">
        <v>2205</v>
      </c>
      <c r="J48" s="840" t="s">
        <v>422</v>
      </c>
      <c r="K48" s="840" t="s">
        <v>403</v>
      </c>
      <c r="L48" s="840" t="s">
        <v>405</v>
      </c>
      <c r="M48" s="840" t="s">
        <v>407</v>
      </c>
      <c r="N48" s="840" t="s">
        <v>409</v>
      </c>
      <c r="O48" s="840" t="s">
        <v>411</v>
      </c>
      <c r="P48" s="840" t="s">
        <v>413</v>
      </c>
      <c r="Q48" s="840" t="s">
        <v>415</v>
      </c>
      <c r="R48" s="840" t="s">
        <v>417</v>
      </c>
      <c r="S48" s="840" t="s">
        <v>419</v>
      </c>
      <c r="T48" s="840" t="s">
        <v>993</v>
      </c>
      <c r="U48" s="840" t="s">
        <v>994</v>
      </c>
      <c r="V48" s="840" t="s">
        <v>1251</v>
      </c>
      <c r="W48" s="842" t="s">
        <v>1052</v>
      </c>
      <c r="X48" s="842" t="s">
        <v>1250</v>
      </c>
      <c r="Y48" s="842" t="s">
        <v>3340</v>
      </c>
      <c r="Z48" s="842" t="s">
        <v>3329</v>
      </c>
      <c r="AA48" s="842" t="s">
        <v>3331</v>
      </c>
      <c r="AB48" s="842" t="s">
        <v>3333</v>
      </c>
      <c r="AC48" s="842" t="s">
        <v>3336</v>
      </c>
      <c r="AD48" s="843" t="s">
        <v>3338</v>
      </c>
      <c r="AE48" s="842" t="s">
        <v>1054</v>
      </c>
      <c r="AF48" s="343" t="s">
        <v>152</v>
      </c>
      <c r="AG48" s="343" t="s">
        <v>2</v>
      </c>
      <c r="AH48" s="343" t="s">
        <v>298</v>
      </c>
      <c r="AI48" s="343" t="s">
        <v>116</v>
      </c>
      <c r="AJ48" s="344" t="s">
        <v>117</v>
      </c>
      <c r="AK48" s="7"/>
      <c r="AL48" s="7"/>
    </row>
    <row r="49" spans="2:36" ht="17.25" x14ac:dyDescent="0.25">
      <c r="B49" s="349" t="s">
        <v>388</v>
      </c>
      <c r="C49" s="350" t="s">
        <v>316</v>
      </c>
      <c r="D49" s="350">
        <f>(1)*conc_Hp_I</f>
        <v>6.3095734448019177E-8</v>
      </c>
      <c r="E49" s="350">
        <f>(-1)*conc_OHm_I</f>
        <v>-1.384875770636308E-7</v>
      </c>
      <c r="F49" s="350">
        <f>(0)*conc_NH3_I</f>
        <v>0</v>
      </c>
      <c r="G49" s="350">
        <f>(1)*conc_NH4p_I</f>
        <v>7.0948723109100212E-5</v>
      </c>
      <c r="H49" s="471">
        <f>(0)*conc_HNO2_I</f>
        <v>0</v>
      </c>
      <c r="I49" s="471">
        <f>(-1)*conc_NO2m_I</f>
        <v>-7.1385803989688371E-6</v>
      </c>
      <c r="J49" s="350">
        <f>(-1)*conc_NO3m_I</f>
        <v>-3.5697202053303062E-4</v>
      </c>
      <c r="K49" s="350">
        <f>(0)*conc_H2CO3_I</f>
        <v>0</v>
      </c>
      <c r="L49" s="350">
        <f>(-1)*conc_HCO3m_I</f>
        <v>-5.5062302620906018E-3</v>
      </c>
      <c r="M49" s="350">
        <f>(-2)*conc_CO32m_I</f>
        <v>-1.2267207602456279E-5</v>
      </c>
      <c r="N49" s="350">
        <f>(0)*conc_H3PO4_I</f>
        <v>0</v>
      </c>
      <c r="O49" s="350">
        <f>(-1)*conc_H2PO4m_I</f>
        <v>-6.1647215595877176E-6</v>
      </c>
      <c r="P49" s="350">
        <f>(-2)*conc_HPO42m_I</f>
        <v>-1.9955607245567521E-5</v>
      </c>
      <c r="Q49" s="350">
        <f>(-3)*conc_PO43m_I</f>
        <v>-3.8878869829771096E-10</v>
      </c>
      <c r="R49" s="350">
        <f>(0)*conc_HAc_I</f>
        <v>0</v>
      </c>
      <c r="S49" s="350">
        <f>(-1)*conc_Acm_I</f>
        <v>-1.5582248850509766E-7</v>
      </c>
      <c r="T49" s="350">
        <f>(2)*conc_Ca2p_I</f>
        <v>7.4854034632466692E-3</v>
      </c>
      <c r="U49" s="350">
        <f>(2)*conc_Mg2p_I</f>
        <v>1.2343139271754782E-3</v>
      </c>
      <c r="V49" s="350">
        <f>(1)*conc_CATp_I</f>
        <v>1.5224163409384409E-3</v>
      </c>
      <c r="W49" s="350">
        <f>(1)*conc_Kp_I</f>
        <v>3.8364839391994023E-4</v>
      </c>
      <c r="X49" s="350">
        <f>(-1)*conc_ANm_I</f>
        <v>-4.2309536569542774E-3</v>
      </c>
      <c r="Y49" s="471">
        <f>(0)*conc_H2SO4_I</f>
        <v>0</v>
      </c>
      <c r="Z49" s="471">
        <f>(-1)*conc_HSO4m_I</f>
        <v>-1.6916522478371662E-9</v>
      </c>
      <c r="AA49" s="471">
        <f>(-2)*conc_SO42m_I</f>
        <v>-1.0603427885339572E-3</v>
      </c>
      <c r="AB49" s="471">
        <f>(0)*conc_H2S_I</f>
        <v>0</v>
      </c>
      <c r="AC49" s="471">
        <f>(-1)*conc_HSm_I</f>
        <v>-1.9507868913130017E-7</v>
      </c>
      <c r="AD49" s="471">
        <f>(-2)*conc_S2m_I</f>
        <v>-3.6492358109295107E-17</v>
      </c>
      <c r="AE49" s="350">
        <f>(2)*conc_Fe2p_I</f>
        <v>3.5813412122840006E-55</v>
      </c>
      <c r="AF49" s="924" t="e">
        <f>SUM(pH!#REF!)</f>
        <v>#REF!</v>
      </c>
      <c r="AG49" s="351" t="s">
        <v>842</v>
      </c>
      <c r="AH49" s="351"/>
      <c r="AI49" s="351" t="s">
        <v>11</v>
      </c>
      <c r="AJ49" s="352"/>
    </row>
    <row r="50" spans="2:36" ht="18.75" thickBot="1" x14ac:dyDescent="0.3">
      <c r="B50" s="276" t="s">
        <v>843</v>
      </c>
      <c r="C50" s="277" t="s">
        <v>378</v>
      </c>
      <c r="D50" s="277">
        <f>(f_mono_IS_cat)*conc_Hp_I</f>
        <v>3.1547867224009589E-8</v>
      </c>
      <c r="E50" s="277">
        <f>(f_mono_IS_an)*conc_OHm_I</f>
        <v>6.92437885318154E-8</v>
      </c>
      <c r="F50" s="277">
        <f>(0)*conc_NH3_I</f>
        <v>0</v>
      </c>
      <c r="G50" s="277">
        <f>(f_mono_IS_cat)*conc_NH4p_I</f>
        <v>3.5474361554550106E-5</v>
      </c>
      <c r="H50" s="277">
        <f>(0)*conc_HNO2_I</f>
        <v>0</v>
      </c>
      <c r="I50" s="277">
        <f>(f_mono_IS_an)*conc_NO2m_I</f>
        <v>3.5692901994844186E-6</v>
      </c>
      <c r="J50" s="277">
        <f>(f_mono_IS_an)*conc_NO3m_I</f>
        <v>1.7848601026651531E-4</v>
      </c>
      <c r="K50" s="277">
        <f>(0)*conc_H2CO3_I</f>
        <v>0</v>
      </c>
      <c r="L50" s="277">
        <f>(f_mono_IS_an)*conc_HCO3m_I</f>
        <v>2.7531151310453009E-3</v>
      </c>
      <c r="M50" s="277">
        <f>(f_di_IS_an)*conc_CO32m_I</f>
        <v>1.2267207602456279E-5</v>
      </c>
      <c r="N50" s="277">
        <f>(0)*conc_H3PO4_I</f>
        <v>0</v>
      </c>
      <c r="O50" s="277">
        <f>(f_mono_IS_an)*conc_H2PO4m_I</f>
        <v>3.0823607797938588E-6</v>
      </c>
      <c r="P50" s="277">
        <f>(f_di_IS_an)*conc_HPO42m_I</f>
        <v>1.9955607245567521E-5</v>
      </c>
      <c r="Q50" s="277">
        <f>(f_tri_IS_an)*conc_PO43m_I</f>
        <v>5.8318304744656643E-10</v>
      </c>
      <c r="R50" s="277">
        <f>(0)*conc_HAc_I</f>
        <v>0</v>
      </c>
      <c r="S50" s="277">
        <f>(f_mono_IS_an)*conc_Acm_I</f>
        <v>7.7911244252548829E-8</v>
      </c>
      <c r="T50" s="277">
        <f>(f_di_IS_cat)*conc_Ca2p_I</f>
        <v>7.4854034632466692E-3</v>
      </c>
      <c r="U50" s="277">
        <f>(f_di_IS_cat)*conc_Mg2p_I</f>
        <v>1.2343139271754782E-3</v>
      </c>
      <c r="V50" s="277">
        <f>(f_mono_IS_cat)*conc_CATp_I</f>
        <v>7.6120817046922043E-4</v>
      </c>
      <c r="W50" s="277">
        <f>(f_mono_IS_cat)*conc_Kp_I</f>
        <v>1.9182419695997011E-4</v>
      </c>
      <c r="X50" s="277">
        <f>(f_mono_IS_an)*conc_ANm_I</f>
        <v>2.1154768284771387E-3</v>
      </c>
      <c r="Y50" s="621">
        <f>(0)*conc_H2SO4_I</f>
        <v>0</v>
      </c>
      <c r="Z50" s="621">
        <f>(f_mono_IS_an)*conc_HSO4m_I</f>
        <v>8.4582612391858312E-10</v>
      </c>
      <c r="AA50" s="621">
        <f>(f_di_IS_an)*conc_SO42m_I</f>
        <v>1.0603427885339572E-3</v>
      </c>
      <c r="AB50" s="621">
        <f>(0)*conc_H2S_I</f>
        <v>0</v>
      </c>
      <c r="AC50" s="621">
        <f>(f_mono_IS_an)*conc_HSm_I</f>
        <v>9.7539344565650086E-8</v>
      </c>
      <c r="AD50" s="621">
        <f>(f_di_IS_an)*conc_S2m_I</f>
        <v>3.6492358109295107E-17</v>
      </c>
      <c r="AE50" s="277">
        <f>(f_di_IS_cat)*conc_Fe2p_I</f>
        <v>3.5813412122840006E-55</v>
      </c>
      <c r="AF50" s="925" t="e">
        <f>SUM(pH!#REF!)</f>
        <v>#REF!</v>
      </c>
      <c r="AG50" s="278" t="s">
        <v>842</v>
      </c>
      <c r="AH50" s="278"/>
      <c r="AI50" s="348" t="s">
        <v>11</v>
      </c>
      <c r="AJ50" s="279"/>
    </row>
  </sheetData>
  <phoneticPr fontId="39"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Munka23"/>
  <dimension ref="B1:H31"/>
  <sheetViews>
    <sheetView showGridLines="0" zoomScaleNormal="100" workbookViewId="0">
      <selection activeCell="B31" sqref="B31:D31"/>
    </sheetView>
  </sheetViews>
  <sheetFormatPr baseColWidth="10" defaultColWidth="9.140625" defaultRowHeight="15" x14ac:dyDescent="0.25"/>
  <cols>
    <col min="3" max="3" width="24.7109375" bestFit="1" customWidth="1"/>
    <col min="4" max="4" width="12.5703125" bestFit="1" customWidth="1"/>
    <col min="6" max="6" width="12" customWidth="1"/>
    <col min="7" max="7" width="14.7109375" style="162" customWidth="1"/>
    <col min="8" max="8" width="20.7109375" customWidth="1"/>
  </cols>
  <sheetData>
    <row r="1" spans="2:8" s="46" customFormat="1" ht="48" customHeight="1" thickBot="1" x14ac:dyDescent="0.3">
      <c r="G1" s="160"/>
    </row>
    <row r="2" spans="2:8" ht="15.75" thickBot="1" x14ac:dyDescent="0.3">
      <c r="B2" s="102"/>
      <c r="C2" s="128" t="s">
        <v>394</v>
      </c>
      <c r="D2" s="102"/>
      <c r="E2" s="102"/>
      <c r="F2" s="102"/>
      <c r="G2" s="161"/>
      <c r="H2" s="127"/>
    </row>
    <row r="3" spans="2:8" ht="15.75" thickBot="1" x14ac:dyDescent="0.3">
      <c r="B3" s="337" t="s">
        <v>0</v>
      </c>
      <c r="C3" s="338" t="s">
        <v>1</v>
      </c>
      <c r="D3" s="143" t="s">
        <v>152</v>
      </c>
      <c r="E3" s="338" t="s">
        <v>2</v>
      </c>
      <c r="F3" s="338" t="s">
        <v>298</v>
      </c>
      <c r="G3" s="338" t="s">
        <v>116</v>
      </c>
      <c r="H3" s="339" t="s">
        <v>117</v>
      </c>
    </row>
    <row r="4" spans="2:8" ht="17.25" x14ac:dyDescent="0.25">
      <c r="B4" s="163" t="s">
        <v>395</v>
      </c>
      <c r="C4" s="83" t="s">
        <v>396</v>
      </c>
      <c r="D4" s="920">
        <f>SUM(pH!D30:D44)</f>
        <v>6.3095734448019177E-8</v>
      </c>
      <c r="E4" s="86" t="s">
        <v>383</v>
      </c>
      <c r="F4" s="82">
        <v>2</v>
      </c>
      <c r="G4" s="82" t="s">
        <v>11</v>
      </c>
      <c r="H4" s="84"/>
    </row>
    <row r="5" spans="2:8" ht="17.25" x14ac:dyDescent="0.25">
      <c r="B5" s="85" t="s">
        <v>397</v>
      </c>
      <c r="C5" s="77" t="s">
        <v>398</v>
      </c>
      <c r="D5" s="921">
        <f>SUM(pH!E30:E44)</f>
        <v>1.384875770636308E-7</v>
      </c>
      <c r="E5" s="86" t="s">
        <v>383</v>
      </c>
      <c r="F5" s="86">
        <v>2</v>
      </c>
      <c r="G5" s="86" t="s">
        <v>11</v>
      </c>
      <c r="H5" s="87"/>
    </row>
    <row r="6" spans="2:8" ht="18" x14ac:dyDescent="0.25">
      <c r="B6" s="85" t="s">
        <v>399</v>
      </c>
      <c r="C6" s="77" t="s">
        <v>400</v>
      </c>
      <c r="D6" s="921">
        <f>SUM(pH!F30:F44)</f>
        <v>4.456809975059031E-7</v>
      </c>
      <c r="E6" s="86" t="s">
        <v>383</v>
      </c>
      <c r="F6" s="86">
        <v>2</v>
      </c>
      <c r="G6" s="86" t="s">
        <v>1247</v>
      </c>
      <c r="H6" s="87"/>
    </row>
    <row r="7" spans="2:8" ht="18" x14ac:dyDescent="0.25">
      <c r="B7" s="85" t="s">
        <v>401</v>
      </c>
      <c r="C7" s="77" t="s">
        <v>402</v>
      </c>
      <c r="D7" s="921">
        <f>SUM(pH!G30:G44)</f>
        <v>7.0948723109100212E-5</v>
      </c>
      <c r="E7" s="86" t="s">
        <v>383</v>
      </c>
      <c r="F7" s="86">
        <v>2</v>
      </c>
      <c r="G7" s="86" t="s">
        <v>1247</v>
      </c>
      <c r="H7" s="87"/>
    </row>
    <row r="8" spans="2:8" ht="18" x14ac:dyDescent="0.25">
      <c r="B8" s="85" t="s">
        <v>2203</v>
      </c>
      <c r="C8" s="79" t="s">
        <v>2204</v>
      </c>
      <c r="D8" s="921">
        <f>SUM(pH!H30:H44)</f>
        <v>8.600116917741957E-10</v>
      </c>
      <c r="E8" s="86" t="s">
        <v>383</v>
      </c>
      <c r="F8" s="86">
        <v>2</v>
      </c>
      <c r="G8" s="86" t="s">
        <v>11</v>
      </c>
      <c r="H8" s="87"/>
    </row>
    <row r="9" spans="2:8" ht="18" x14ac:dyDescent="0.25">
      <c r="B9" s="85" t="s">
        <v>2205</v>
      </c>
      <c r="C9" s="77" t="s">
        <v>2206</v>
      </c>
      <c r="D9" s="921">
        <f>SUM(pH!I30:I44)</f>
        <v>7.1385803989688371E-6</v>
      </c>
      <c r="E9" s="86" t="s">
        <v>383</v>
      </c>
      <c r="F9" s="86">
        <v>2</v>
      </c>
      <c r="G9" s="86" t="s">
        <v>11</v>
      </c>
      <c r="H9" s="87"/>
    </row>
    <row r="10" spans="2:8" ht="18" x14ac:dyDescent="0.25">
      <c r="B10" s="85" t="s">
        <v>422</v>
      </c>
      <c r="C10" s="77" t="s">
        <v>421</v>
      </c>
      <c r="D10" s="922">
        <f>SUM(pH!J30:J44)</f>
        <v>3.5697202053303062E-4</v>
      </c>
      <c r="E10" s="86" t="s">
        <v>383</v>
      </c>
      <c r="F10" s="86">
        <v>2</v>
      </c>
      <c r="G10" s="86" t="s">
        <v>11</v>
      </c>
      <c r="H10" s="87"/>
    </row>
    <row r="11" spans="2:8" ht="18" x14ac:dyDescent="0.25">
      <c r="B11" s="85" t="s">
        <v>403</v>
      </c>
      <c r="C11" s="77" t="s">
        <v>404</v>
      </c>
      <c r="D11" s="921">
        <f>SUM(pH!K30:K44)</f>
        <v>6.4880908822408209E-4</v>
      </c>
      <c r="E11" s="86" t="s">
        <v>383</v>
      </c>
      <c r="F11" s="86">
        <v>2</v>
      </c>
      <c r="G11" s="86" t="s">
        <v>1220</v>
      </c>
      <c r="H11" s="87"/>
    </row>
    <row r="12" spans="2:8" ht="18" x14ac:dyDescent="0.25">
      <c r="B12" s="85" t="s">
        <v>405</v>
      </c>
      <c r="C12" s="77" t="s">
        <v>406</v>
      </c>
      <c r="D12" s="921">
        <f>SUM(pH!L30:L44)</f>
        <v>5.5062302620906018E-3</v>
      </c>
      <c r="E12" s="86" t="s">
        <v>383</v>
      </c>
      <c r="F12" s="86">
        <v>2</v>
      </c>
      <c r="G12" s="86" t="s">
        <v>1220</v>
      </c>
      <c r="H12" s="87"/>
    </row>
    <row r="13" spans="2:8" ht="18" x14ac:dyDescent="0.25">
      <c r="B13" s="85" t="s">
        <v>407</v>
      </c>
      <c r="C13" s="77" t="s">
        <v>408</v>
      </c>
      <c r="D13" s="921">
        <f>SUM(pH!M30:M44)</f>
        <v>6.1336038012281396E-6</v>
      </c>
      <c r="E13" s="86" t="s">
        <v>383</v>
      </c>
      <c r="F13" s="86">
        <v>2</v>
      </c>
      <c r="G13" s="86" t="s">
        <v>1220</v>
      </c>
      <c r="H13" s="87"/>
    </row>
    <row r="14" spans="2:8" ht="18" x14ac:dyDescent="0.25">
      <c r="B14" s="85" t="s">
        <v>409</v>
      </c>
      <c r="C14" s="77" t="s">
        <v>410</v>
      </c>
      <c r="D14" s="921">
        <f>SUM(pH!N30:N44)</f>
        <v>4.0344172931174842E-11</v>
      </c>
      <c r="E14" s="86" t="s">
        <v>383</v>
      </c>
      <c r="F14" s="86">
        <v>2</v>
      </c>
      <c r="G14" s="86" t="s">
        <v>1221</v>
      </c>
      <c r="H14" s="87"/>
    </row>
    <row r="15" spans="2:8" ht="18" x14ac:dyDescent="0.25">
      <c r="B15" s="85" t="s">
        <v>411</v>
      </c>
      <c r="C15" s="77" t="s">
        <v>412</v>
      </c>
      <c r="D15" s="921">
        <f>SUM(pH!O30:O44)</f>
        <v>6.1647215595877176E-6</v>
      </c>
      <c r="E15" s="86" t="s">
        <v>383</v>
      </c>
      <c r="F15" s="86">
        <v>2</v>
      </c>
      <c r="G15" s="86" t="s">
        <v>1221</v>
      </c>
      <c r="H15" s="87"/>
    </row>
    <row r="16" spans="2:8" ht="18" x14ac:dyDescent="0.25">
      <c r="B16" s="85" t="s">
        <v>413</v>
      </c>
      <c r="C16" s="77" t="s">
        <v>414</v>
      </c>
      <c r="D16" s="921">
        <f>SUM(pH!P30:P44)</f>
        <v>9.9778036227837607E-6</v>
      </c>
      <c r="E16" s="86" t="s">
        <v>383</v>
      </c>
      <c r="F16" s="86">
        <v>2</v>
      </c>
      <c r="G16" s="86" t="s">
        <v>1221</v>
      </c>
      <c r="H16" s="80"/>
    </row>
    <row r="17" spans="2:8" ht="18" x14ac:dyDescent="0.25">
      <c r="B17" s="85" t="s">
        <v>415</v>
      </c>
      <c r="C17" s="79" t="s">
        <v>416</v>
      </c>
      <c r="D17" s="922">
        <f>SUM(pH!Q30:Q44)</f>
        <v>1.2959623276590366E-10</v>
      </c>
      <c r="E17" s="86" t="s">
        <v>383</v>
      </c>
      <c r="F17" s="86">
        <v>2</v>
      </c>
      <c r="G17" s="86" t="s">
        <v>1221</v>
      </c>
      <c r="H17" s="80"/>
    </row>
    <row r="18" spans="2:8" ht="18" x14ac:dyDescent="0.35">
      <c r="B18" s="88" t="s">
        <v>417</v>
      </c>
      <c r="C18" s="79" t="s">
        <v>418</v>
      </c>
      <c r="D18" s="922">
        <f>SUM(pH!R30:R44)</f>
        <v>4.3337108963713439E-10</v>
      </c>
      <c r="E18" s="86" t="s">
        <v>383</v>
      </c>
      <c r="F18" s="86">
        <v>2</v>
      </c>
      <c r="G18" s="92" t="s">
        <v>1604</v>
      </c>
      <c r="H18" s="80"/>
    </row>
    <row r="19" spans="2:8" ht="18" x14ac:dyDescent="0.35">
      <c r="B19" s="88" t="s">
        <v>419</v>
      </c>
      <c r="C19" s="79" t="s">
        <v>420</v>
      </c>
      <c r="D19" s="922">
        <f>SUM(pH!S30:S44)</f>
        <v>1.5582248850509766E-7</v>
      </c>
      <c r="E19" s="86" t="s">
        <v>383</v>
      </c>
      <c r="F19" s="86">
        <v>2</v>
      </c>
      <c r="G19" s="92" t="s">
        <v>1604</v>
      </c>
      <c r="H19" s="80"/>
    </row>
    <row r="20" spans="2:8" ht="18" x14ac:dyDescent="0.25">
      <c r="B20" s="85" t="s">
        <v>993</v>
      </c>
      <c r="C20" s="79" t="s">
        <v>995</v>
      </c>
      <c r="D20" s="922">
        <f>SUM(pH!T30:T44)</f>
        <v>3.7427017316233346E-3</v>
      </c>
      <c r="E20" s="86" t="s">
        <v>383</v>
      </c>
      <c r="F20" s="86">
        <v>2</v>
      </c>
      <c r="G20" s="86" t="s">
        <v>1222</v>
      </c>
      <c r="H20" s="80"/>
    </row>
    <row r="21" spans="2:8" ht="18" x14ac:dyDescent="0.35">
      <c r="B21" s="85" t="s">
        <v>994</v>
      </c>
      <c r="C21" s="79" t="s">
        <v>996</v>
      </c>
      <c r="D21" s="922">
        <f>SUM(pH!U30:U44)</f>
        <v>6.1715696358773911E-4</v>
      </c>
      <c r="E21" s="86" t="s">
        <v>383</v>
      </c>
      <c r="F21" s="86">
        <v>2</v>
      </c>
      <c r="G21" s="92" t="s">
        <v>1223</v>
      </c>
      <c r="H21" s="80"/>
    </row>
    <row r="22" spans="2:8" ht="18" x14ac:dyDescent="0.35">
      <c r="B22" s="88" t="s">
        <v>1251</v>
      </c>
      <c r="C22" s="79" t="s">
        <v>1051</v>
      </c>
      <c r="D22" s="922">
        <f>SUM(pH!V30:V44)</f>
        <v>1.5224163409384409E-3</v>
      </c>
      <c r="E22" s="86" t="s">
        <v>383</v>
      </c>
      <c r="F22" s="86">
        <v>2</v>
      </c>
      <c r="G22" s="92" t="s">
        <v>1224</v>
      </c>
      <c r="H22" s="80"/>
    </row>
    <row r="23" spans="2:8" ht="18" x14ac:dyDescent="0.35">
      <c r="B23" s="88" t="s">
        <v>1052</v>
      </c>
      <c r="C23" s="79" t="s">
        <v>1044</v>
      </c>
      <c r="D23" s="922">
        <f>SUM(pH!W30:W44)</f>
        <v>3.8364839391994023E-4</v>
      </c>
      <c r="E23" s="86" t="s">
        <v>383</v>
      </c>
      <c r="F23" s="86">
        <v>2</v>
      </c>
      <c r="G23" s="92" t="s">
        <v>1225</v>
      </c>
      <c r="H23" s="80"/>
    </row>
    <row r="24" spans="2:8" ht="18" x14ac:dyDescent="0.35">
      <c r="B24" s="88" t="s">
        <v>1250</v>
      </c>
      <c r="C24" s="79" t="s">
        <v>1053</v>
      </c>
      <c r="D24" s="922">
        <f>SUM(pH!X30:X44)</f>
        <v>4.2309536569542774E-3</v>
      </c>
      <c r="E24" s="86" t="s">
        <v>383</v>
      </c>
      <c r="F24" s="86">
        <v>2</v>
      </c>
      <c r="G24" s="92" t="s">
        <v>1226</v>
      </c>
      <c r="H24" s="80"/>
    </row>
    <row r="25" spans="2:8" ht="18" x14ac:dyDescent="0.25">
      <c r="B25" s="610" t="s">
        <v>3326</v>
      </c>
      <c r="C25" s="640" t="s">
        <v>3327</v>
      </c>
      <c r="D25" s="922">
        <f>SUM(pH!Y30:Y44)</f>
        <v>9.6716118330503636E-20</v>
      </c>
      <c r="E25" s="642" t="s">
        <v>383</v>
      </c>
      <c r="F25" s="642">
        <v>2</v>
      </c>
      <c r="G25" s="646" t="s">
        <v>3328</v>
      </c>
      <c r="H25" s="641"/>
    </row>
    <row r="26" spans="2:8" ht="18.75" x14ac:dyDescent="0.25">
      <c r="B26" s="610" t="s">
        <v>3329</v>
      </c>
      <c r="C26" s="640" t="s">
        <v>3330</v>
      </c>
      <c r="D26" s="922">
        <f>SUM(pH!Z30:Z44)</f>
        <v>1.6916522478371662E-9</v>
      </c>
      <c r="E26" s="642" t="s">
        <v>383</v>
      </c>
      <c r="F26" s="642">
        <v>2</v>
      </c>
      <c r="G26" s="646" t="s">
        <v>3328</v>
      </c>
      <c r="H26" s="641"/>
    </row>
    <row r="27" spans="2:8" ht="18.75" x14ac:dyDescent="0.25">
      <c r="B27" s="610" t="s">
        <v>3331</v>
      </c>
      <c r="C27" s="640" t="s">
        <v>3332</v>
      </c>
      <c r="D27" s="922">
        <f>SUM(pH!AA30:AA44)</f>
        <v>5.3017139426697862E-4</v>
      </c>
      <c r="E27" s="642" t="s">
        <v>383</v>
      </c>
      <c r="F27" s="642">
        <v>2</v>
      </c>
      <c r="G27" s="646" t="s">
        <v>3328</v>
      </c>
      <c r="H27" s="641"/>
    </row>
    <row r="28" spans="2:8" ht="18" x14ac:dyDescent="0.25">
      <c r="B28" s="610" t="s">
        <v>3333</v>
      </c>
      <c r="C28" s="640" t="s">
        <v>3334</v>
      </c>
      <c r="D28" s="922">
        <f>SUM(pH!AB30:AB44)</f>
        <v>1.1678783197941045E-7</v>
      </c>
      <c r="E28" s="642" t="s">
        <v>383</v>
      </c>
      <c r="F28" s="642">
        <v>2</v>
      </c>
      <c r="G28" s="646" t="s">
        <v>3335</v>
      </c>
      <c r="H28" s="641"/>
    </row>
    <row r="29" spans="2:8" ht="18" x14ac:dyDescent="0.25">
      <c r="B29" s="610" t="s">
        <v>3336</v>
      </c>
      <c r="C29" s="640" t="s">
        <v>3337</v>
      </c>
      <c r="D29" s="922">
        <f>SUM(pH!AC30:AC44)</f>
        <v>1.9507868913130017E-7</v>
      </c>
      <c r="E29" s="642" t="s">
        <v>383</v>
      </c>
      <c r="F29" s="642">
        <v>2</v>
      </c>
      <c r="G29" s="646" t="s">
        <v>3335</v>
      </c>
      <c r="H29" s="641"/>
    </row>
    <row r="30" spans="2:8" ht="18" x14ac:dyDescent="0.25">
      <c r="B30" s="647" t="s">
        <v>3338</v>
      </c>
      <c r="C30" s="648" t="s">
        <v>3339</v>
      </c>
      <c r="D30" s="922">
        <f>SUM(pH!AD30:AD44)</f>
        <v>1.8246179054647554E-17</v>
      </c>
      <c r="E30" s="642" t="s">
        <v>383</v>
      </c>
      <c r="F30" s="642">
        <v>2</v>
      </c>
      <c r="G30" s="646" t="s">
        <v>3335</v>
      </c>
      <c r="H30" s="649"/>
    </row>
    <row r="31" spans="2:8" ht="18.75" thickBot="1" x14ac:dyDescent="0.4">
      <c r="B31" s="89" t="s">
        <v>1054</v>
      </c>
      <c r="C31" s="90" t="s">
        <v>1049</v>
      </c>
      <c r="D31" s="923">
        <f>SUM(pH!AE30:AE44)</f>
        <v>1.7906706061420003E-55</v>
      </c>
      <c r="E31" s="601" t="s">
        <v>383</v>
      </c>
      <c r="F31" s="91">
        <v>2</v>
      </c>
      <c r="G31" s="93" t="s">
        <v>1614</v>
      </c>
      <c r="H31" s="81"/>
    </row>
  </sheetData>
  <pageMargins left="0.7" right="0.7" top="0.75" bottom="0.75" header="0.3" footer="0.3"/>
  <pageSetup paperSize="9" orientation="portrait" horizontalDpi="4294967293" verticalDpi="3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Munka13"/>
  <dimension ref="B1:I13"/>
  <sheetViews>
    <sheetView showGridLines="0" workbookViewId="0">
      <selection activeCell="L12" sqref="L12"/>
    </sheetView>
  </sheetViews>
  <sheetFormatPr baseColWidth="10" defaultColWidth="9.140625" defaultRowHeight="15" x14ac:dyDescent="0.25"/>
  <cols>
    <col min="1" max="1" width="4" style="20" customWidth="1"/>
    <col min="2" max="2" width="22" style="19" customWidth="1"/>
    <col min="3" max="3" width="9.5703125" style="20" customWidth="1"/>
    <col min="4" max="16384" width="9.140625" style="20"/>
  </cols>
  <sheetData>
    <row r="1" spans="2:9" ht="56.25" customHeight="1" thickBot="1" x14ac:dyDescent="0.3"/>
    <row r="2" spans="2:9" s="19" customFormat="1" ht="15.75" thickBot="1" x14ac:dyDescent="0.3">
      <c r="B2" s="21" t="s">
        <v>134</v>
      </c>
      <c r="C2" s="22" t="s">
        <v>135</v>
      </c>
      <c r="D2" s="22" t="s">
        <v>136</v>
      </c>
      <c r="E2" s="22" t="s">
        <v>137</v>
      </c>
      <c r="F2" s="22" t="s">
        <v>138</v>
      </c>
      <c r="G2" s="22" t="s">
        <v>139</v>
      </c>
      <c r="H2" s="22" t="s">
        <v>140</v>
      </c>
      <c r="I2" s="23" t="s">
        <v>141</v>
      </c>
    </row>
    <row r="3" spans="2:9" ht="15.75" thickBot="1" x14ac:dyDescent="0.3">
      <c r="B3" s="24" t="s">
        <v>8</v>
      </c>
      <c r="C3" s="25">
        <v>1</v>
      </c>
      <c r="D3" s="25">
        <v>0</v>
      </c>
      <c r="E3" s="25">
        <v>-1</v>
      </c>
      <c r="F3" s="25">
        <v>-1</v>
      </c>
      <c r="G3" s="25">
        <v>1</v>
      </c>
      <c r="H3" s="26">
        <v>-1</v>
      </c>
      <c r="I3" s="27"/>
    </row>
    <row r="4" spans="2:9" x14ac:dyDescent="0.25">
      <c r="B4" s="28" t="s">
        <v>135</v>
      </c>
      <c r="C4" s="29">
        <v>1</v>
      </c>
      <c r="D4" s="29"/>
      <c r="E4" s="29"/>
      <c r="F4" s="29"/>
      <c r="G4" s="29"/>
      <c r="H4" s="30"/>
      <c r="I4" s="27"/>
    </row>
    <row r="5" spans="2:9" x14ac:dyDescent="0.25">
      <c r="B5" s="28" t="s">
        <v>136</v>
      </c>
      <c r="C5" s="29"/>
      <c r="D5" s="29">
        <v>1</v>
      </c>
      <c r="E5" s="29"/>
      <c r="F5" s="29"/>
      <c r="G5" s="29"/>
      <c r="H5" s="30"/>
      <c r="I5" s="27"/>
    </row>
    <row r="6" spans="2:9" x14ac:dyDescent="0.25">
      <c r="B6" s="28" t="s">
        <v>142</v>
      </c>
      <c r="C6" s="29"/>
      <c r="D6" s="29"/>
      <c r="E6" s="29">
        <v>1</v>
      </c>
      <c r="F6" s="29"/>
      <c r="G6" s="29"/>
      <c r="H6" s="30"/>
      <c r="I6" s="27"/>
    </row>
    <row r="7" spans="2:9" x14ac:dyDescent="0.25">
      <c r="B7" s="28" t="s">
        <v>143</v>
      </c>
      <c r="C7" s="29"/>
      <c r="D7" s="29"/>
      <c r="E7" s="29"/>
      <c r="F7" s="29">
        <v>1</v>
      </c>
      <c r="G7" s="29"/>
      <c r="H7" s="30"/>
      <c r="I7" s="27"/>
    </row>
    <row r="8" spans="2:9" x14ac:dyDescent="0.25">
      <c r="B8" s="28" t="s">
        <v>139</v>
      </c>
      <c r="C8" s="29"/>
      <c r="D8" s="29"/>
      <c r="E8" s="29"/>
      <c r="F8" s="29"/>
      <c r="G8" s="29">
        <v>1</v>
      </c>
      <c r="H8" s="30"/>
      <c r="I8" s="27"/>
    </row>
    <row r="9" spans="2:9" ht="15.75" thickBot="1" x14ac:dyDescent="0.3">
      <c r="B9" s="31" t="s">
        <v>140</v>
      </c>
      <c r="C9" s="32"/>
      <c r="D9" s="32"/>
      <c r="E9" s="32"/>
      <c r="F9" s="32"/>
      <c r="G9" s="32"/>
      <c r="H9" s="33">
        <v>1</v>
      </c>
    </row>
    <row r="10" spans="2:9" x14ac:dyDescent="0.25">
      <c r="B10" s="28" t="s">
        <v>144</v>
      </c>
      <c r="C10" s="29">
        <v>-1</v>
      </c>
      <c r="D10" s="29">
        <v>0</v>
      </c>
      <c r="E10" s="29">
        <v>0</v>
      </c>
      <c r="F10" s="29">
        <v>0</v>
      </c>
      <c r="G10" s="29">
        <v>0</v>
      </c>
      <c r="H10" s="29">
        <v>0</v>
      </c>
      <c r="I10" s="34">
        <v>-14.163232949999999</v>
      </c>
    </row>
    <row r="11" spans="2:9" ht="15.75" thickBot="1" x14ac:dyDescent="0.3">
      <c r="B11" s="28" t="s">
        <v>145</v>
      </c>
      <c r="C11" s="29">
        <v>1</v>
      </c>
      <c r="D11" s="29">
        <v>1</v>
      </c>
      <c r="E11" s="29">
        <v>0</v>
      </c>
      <c r="F11" s="29">
        <v>0</v>
      </c>
      <c r="G11" s="29">
        <v>0</v>
      </c>
      <c r="H11" s="29">
        <v>0</v>
      </c>
      <c r="I11" s="35">
        <v>9.4016472899999997</v>
      </c>
    </row>
    <row r="12" spans="2:9" x14ac:dyDescent="0.25">
      <c r="B12" s="36" t="s">
        <v>146</v>
      </c>
      <c r="C12" s="39"/>
      <c r="D12" s="39">
        <v>1E-3</v>
      </c>
      <c r="E12" s="39">
        <v>1E-3</v>
      </c>
      <c r="F12" s="39">
        <v>1E-3</v>
      </c>
      <c r="G12" s="39">
        <v>1E-3</v>
      </c>
      <c r="H12" s="37">
        <v>1E-3</v>
      </c>
      <c r="I12" s="27"/>
    </row>
    <row r="13" spans="2:9" ht="15.75" thickBot="1" x14ac:dyDescent="0.3">
      <c r="B13" s="31" t="s">
        <v>147</v>
      </c>
      <c r="C13" s="38">
        <v>9.9999999999999995E-8</v>
      </c>
      <c r="D13" s="38">
        <v>1E-4</v>
      </c>
      <c r="E13" s="32">
        <v>1E-3</v>
      </c>
      <c r="F13" s="32">
        <v>1E-3</v>
      </c>
      <c r="G13" s="32">
        <v>1E-3</v>
      </c>
      <c r="H13" s="33">
        <v>1E-3</v>
      </c>
      <c r="I13" s="27"/>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Munka7"/>
  <dimension ref="A1:Z98"/>
  <sheetViews>
    <sheetView showGridLines="0" zoomScaleNormal="100" workbookViewId="0">
      <pane xSplit="2" ySplit="3" topLeftCell="C9" activePane="bottomRight" state="frozen"/>
      <selection activeCell="C6" sqref="C6"/>
      <selection pane="topRight" activeCell="C6" sqref="C6"/>
      <selection pane="bottomLeft" activeCell="C6" sqref="C6"/>
      <selection pane="bottomRight" activeCell="B98" sqref="B98:E98"/>
    </sheetView>
  </sheetViews>
  <sheetFormatPr baseColWidth="10" defaultColWidth="9.140625" defaultRowHeight="15" x14ac:dyDescent="0.25"/>
  <cols>
    <col min="1" max="1" width="8.140625" style="66" customWidth="1"/>
    <col min="2" max="2" width="18.28515625" style="66" customWidth="1"/>
    <col min="3" max="3" width="53.5703125" style="66" bestFit="1" customWidth="1"/>
    <col min="4" max="15" width="19.140625" style="162" customWidth="1"/>
    <col min="16" max="16" width="9.7109375" style="162" customWidth="1"/>
    <col min="17" max="18" width="10.140625" style="162" customWidth="1"/>
    <col min="19" max="19" width="13" style="162" customWidth="1"/>
    <col min="20" max="20" width="12" style="66" customWidth="1"/>
    <col min="21" max="21" width="13" style="162" customWidth="1"/>
    <col min="22" max="22" width="33.7109375" style="66" bestFit="1" customWidth="1"/>
    <col min="23" max="23" width="80.5703125" style="66" bestFit="1" customWidth="1"/>
    <col min="24" max="24" width="19.28515625" style="66" customWidth="1"/>
    <col min="25" max="25" width="9.140625" style="66"/>
    <col min="26" max="26" width="10.28515625" style="66" bestFit="1" customWidth="1"/>
    <col min="27" max="16384" width="9.140625" style="66"/>
  </cols>
  <sheetData>
    <row r="1" spans="1:26" s="828" customFormat="1" ht="48" customHeight="1" thickBot="1" x14ac:dyDescent="0.3">
      <c r="A1" s="825"/>
      <c r="B1" s="823"/>
      <c r="D1" s="160"/>
      <c r="E1" s="160"/>
      <c r="F1" s="160"/>
      <c r="G1" s="160"/>
      <c r="H1" s="160"/>
      <c r="I1" s="160"/>
      <c r="J1" s="160"/>
      <c r="K1" s="160"/>
      <c r="L1" s="160"/>
      <c r="M1" s="160"/>
      <c r="N1" s="160"/>
      <c r="O1" s="160"/>
      <c r="P1" s="160"/>
      <c r="Q1" s="160"/>
      <c r="R1" s="160"/>
      <c r="S1" s="160"/>
      <c r="U1" s="160"/>
    </row>
    <row r="2" spans="1:26" ht="19.5" customHeight="1" thickBot="1" x14ac:dyDescent="0.3">
      <c r="A2" s="4"/>
      <c r="B2" s="4"/>
      <c r="C2" s="827" t="s">
        <v>838</v>
      </c>
      <c r="D2" s="3"/>
      <c r="E2" s="3"/>
      <c r="F2" s="3"/>
      <c r="G2" s="3"/>
      <c r="H2" s="3"/>
      <c r="I2" s="3"/>
      <c r="J2" s="3"/>
      <c r="K2" s="3"/>
      <c r="L2" s="3"/>
      <c r="M2" s="3"/>
      <c r="N2" s="3"/>
      <c r="O2" s="3"/>
      <c r="P2" s="3"/>
      <c r="Q2" s="3"/>
    </row>
    <row r="3" spans="1:26" s="4" customFormat="1" ht="15.75" thickBot="1" x14ac:dyDescent="0.3">
      <c r="A3" s="826"/>
      <c r="B3" s="341" t="s">
        <v>0</v>
      </c>
      <c r="C3" s="831" t="s">
        <v>1</v>
      </c>
      <c r="D3" s="340" t="s">
        <v>12</v>
      </c>
      <c r="E3" s="340" t="s">
        <v>13</v>
      </c>
      <c r="F3" s="340" t="s">
        <v>5166</v>
      </c>
      <c r="G3" s="340" t="s">
        <v>1948</v>
      </c>
      <c r="H3" s="856" t="s">
        <v>1209</v>
      </c>
      <c r="I3" s="340" t="s">
        <v>1175</v>
      </c>
      <c r="J3" s="603" t="s">
        <v>1602</v>
      </c>
      <c r="K3" s="603" t="s">
        <v>3573</v>
      </c>
      <c r="L3" s="603" t="s">
        <v>5082</v>
      </c>
      <c r="M3" s="603" t="s">
        <v>5083</v>
      </c>
      <c r="N3" s="603" t="s">
        <v>470</v>
      </c>
      <c r="O3" s="603" t="s">
        <v>471</v>
      </c>
      <c r="P3" s="857" t="s">
        <v>2</v>
      </c>
      <c r="Q3" s="857" t="s">
        <v>298</v>
      </c>
      <c r="R3" s="857" t="s">
        <v>14</v>
      </c>
      <c r="S3" s="857" t="s">
        <v>840</v>
      </c>
      <c r="T3" s="857" t="s">
        <v>3</v>
      </c>
      <c r="U3" s="1304" t="s">
        <v>4931</v>
      </c>
      <c r="V3" s="831" t="s">
        <v>116</v>
      </c>
      <c r="W3" s="824" t="s">
        <v>7</v>
      </c>
    </row>
    <row r="4" spans="1:26" ht="18" x14ac:dyDescent="0.25">
      <c r="A4" s="833"/>
      <c r="B4" s="200" t="s">
        <v>803</v>
      </c>
      <c r="C4" s="575" t="s">
        <v>2880</v>
      </c>
      <c r="D4" s="858">
        <v>20</v>
      </c>
      <c r="E4" s="858">
        <v>0.01</v>
      </c>
      <c r="F4" s="858">
        <v>20</v>
      </c>
      <c r="G4" s="858">
        <v>0.01</v>
      </c>
      <c r="H4" s="858">
        <v>100</v>
      </c>
      <c r="I4" s="858">
        <v>0.01</v>
      </c>
      <c r="J4" s="3046">
        <v>1E-3</v>
      </c>
      <c r="K4" s="859">
        <v>0.01</v>
      </c>
      <c r="L4" s="859">
        <v>0.01</v>
      </c>
      <c r="M4" s="859">
        <v>46.796700000000001</v>
      </c>
      <c r="N4" s="860" t="s">
        <v>3571</v>
      </c>
      <c r="O4" s="860" t="s">
        <v>3572</v>
      </c>
      <c r="P4" s="861" t="s">
        <v>319</v>
      </c>
      <c r="Q4" s="861">
        <v>1</v>
      </c>
      <c r="R4" s="861" t="s">
        <v>256</v>
      </c>
      <c r="S4" s="861" t="s">
        <v>257</v>
      </c>
      <c r="T4" s="861" t="s">
        <v>260</v>
      </c>
      <c r="U4" s="1305" t="s">
        <v>148</v>
      </c>
      <c r="V4" s="467"/>
      <c r="W4" s="1231"/>
      <c r="Z4" s="834"/>
    </row>
    <row r="5" spans="1:26" ht="18" x14ac:dyDescent="0.25">
      <c r="A5" s="833"/>
      <c r="B5" s="95" t="s">
        <v>804</v>
      </c>
      <c r="C5" s="576" t="s">
        <v>290</v>
      </c>
      <c r="D5" s="862">
        <v>45</v>
      </c>
      <c r="E5" s="862">
        <v>1</v>
      </c>
      <c r="F5" s="862">
        <v>45</v>
      </c>
      <c r="G5" s="862">
        <v>1</v>
      </c>
      <c r="H5" s="862">
        <v>0.1</v>
      </c>
      <c r="I5" s="862">
        <v>1</v>
      </c>
      <c r="J5" s="862">
        <v>1</v>
      </c>
      <c r="K5" s="859">
        <v>1</v>
      </c>
      <c r="L5" s="859">
        <v>8.6656600000000008</v>
      </c>
      <c r="M5" s="859">
        <v>4.2813799999999999E-2</v>
      </c>
      <c r="N5" s="863" t="s">
        <v>3571</v>
      </c>
      <c r="O5" s="863" t="s">
        <v>3572</v>
      </c>
      <c r="P5" s="864" t="s">
        <v>319</v>
      </c>
      <c r="Q5" s="864">
        <v>1</v>
      </c>
      <c r="R5" s="864" t="s">
        <v>256</v>
      </c>
      <c r="S5" s="864" t="s">
        <v>257</v>
      </c>
      <c r="T5" s="864" t="s">
        <v>260</v>
      </c>
      <c r="U5" s="1305" t="s">
        <v>148</v>
      </c>
      <c r="V5" s="78"/>
      <c r="W5" s="204"/>
      <c r="Z5" s="834"/>
    </row>
    <row r="6" spans="1:26" ht="18" x14ac:dyDescent="0.25">
      <c r="A6" s="833"/>
      <c r="B6" s="95" t="s">
        <v>805</v>
      </c>
      <c r="C6" s="576" t="s">
        <v>2881</v>
      </c>
      <c r="D6" s="862" t="s">
        <v>1210</v>
      </c>
      <c r="E6" s="865">
        <v>1E-50</v>
      </c>
      <c r="F6" s="862" t="s">
        <v>1210</v>
      </c>
      <c r="G6" s="862" t="s">
        <v>1210</v>
      </c>
      <c r="H6" s="862" t="s">
        <v>1210</v>
      </c>
      <c r="I6" s="862" t="s">
        <v>1210</v>
      </c>
      <c r="J6" s="862">
        <v>0.01</v>
      </c>
      <c r="K6" s="859" t="s">
        <v>1210</v>
      </c>
      <c r="L6" s="859" t="s">
        <v>1210</v>
      </c>
      <c r="M6" s="859" t="s">
        <v>1210</v>
      </c>
      <c r="N6" s="863" t="s">
        <v>3571</v>
      </c>
      <c r="O6" s="863" t="s">
        <v>3572</v>
      </c>
      <c r="P6" s="864" t="s">
        <v>319</v>
      </c>
      <c r="Q6" s="864">
        <v>1</v>
      </c>
      <c r="R6" s="864" t="s">
        <v>256</v>
      </c>
      <c r="S6" s="864" t="s">
        <v>257</v>
      </c>
      <c r="T6" s="864" t="s">
        <v>260</v>
      </c>
      <c r="U6" s="1305" t="s">
        <v>148</v>
      </c>
      <c r="V6" s="78"/>
      <c r="W6" s="204"/>
      <c r="Z6" s="834"/>
    </row>
    <row r="7" spans="1:26" ht="18" x14ac:dyDescent="0.25">
      <c r="A7" s="833"/>
      <c r="B7" s="95" t="s">
        <v>806</v>
      </c>
      <c r="C7" s="576" t="s">
        <v>214</v>
      </c>
      <c r="D7" s="862">
        <v>68</v>
      </c>
      <c r="E7" s="862">
        <v>0.01</v>
      </c>
      <c r="F7" s="862">
        <v>68</v>
      </c>
      <c r="G7" s="3018">
        <v>0.5</v>
      </c>
      <c r="H7" s="862">
        <v>0.01</v>
      </c>
      <c r="I7" s="862">
        <v>0.01</v>
      </c>
      <c r="J7" s="862" t="s">
        <v>1210</v>
      </c>
      <c r="K7" s="859">
        <v>0.01</v>
      </c>
      <c r="L7" s="859">
        <v>0.01</v>
      </c>
      <c r="M7" s="859" t="s">
        <v>1210</v>
      </c>
      <c r="N7" s="863" t="s">
        <v>3571</v>
      </c>
      <c r="O7" s="863" t="s">
        <v>3572</v>
      </c>
      <c r="P7" s="864" t="s">
        <v>319</v>
      </c>
      <c r="Q7" s="864">
        <v>1</v>
      </c>
      <c r="R7" s="864" t="s">
        <v>256</v>
      </c>
      <c r="S7" s="864" t="s">
        <v>258</v>
      </c>
      <c r="T7" s="864" t="s">
        <v>260</v>
      </c>
      <c r="U7" s="1305" t="s">
        <v>148</v>
      </c>
      <c r="V7" s="78"/>
      <c r="W7" s="204"/>
      <c r="Z7" s="834"/>
    </row>
    <row r="8" spans="1:26" ht="18" x14ac:dyDescent="0.25">
      <c r="A8" s="3043"/>
      <c r="B8" s="95" t="s">
        <v>807</v>
      </c>
      <c r="C8" s="576" t="s">
        <v>215</v>
      </c>
      <c r="D8" s="862">
        <v>164.8</v>
      </c>
      <c r="E8" s="862">
        <v>14</v>
      </c>
      <c r="F8" s="862">
        <v>70.8</v>
      </c>
      <c r="G8" s="862">
        <v>14</v>
      </c>
      <c r="H8" s="862">
        <v>85</v>
      </c>
      <c r="I8" s="862">
        <v>40</v>
      </c>
      <c r="J8" s="3018">
        <v>10</v>
      </c>
      <c r="K8" s="859">
        <v>5.6000000000000005</v>
      </c>
      <c r="L8" s="859">
        <v>11.584099999999999</v>
      </c>
      <c r="M8" s="859">
        <v>17.748445</v>
      </c>
      <c r="N8" s="863" t="s">
        <v>3571</v>
      </c>
      <c r="O8" s="863" t="s">
        <v>3572</v>
      </c>
      <c r="P8" s="864" t="s">
        <v>319</v>
      </c>
      <c r="Q8" s="864">
        <v>1</v>
      </c>
      <c r="R8" s="864" t="s">
        <v>256</v>
      </c>
      <c r="S8" s="864" t="s">
        <v>259</v>
      </c>
      <c r="T8" s="864" t="s">
        <v>260</v>
      </c>
      <c r="U8" s="1305" t="s">
        <v>148</v>
      </c>
      <c r="V8" s="78" t="s">
        <v>1872</v>
      </c>
      <c r="W8" s="204"/>
      <c r="Z8" s="834"/>
    </row>
    <row r="9" spans="1:26" ht="18" x14ac:dyDescent="0.25">
      <c r="A9" s="833"/>
      <c r="B9" s="3017" t="s">
        <v>5891</v>
      </c>
      <c r="C9" s="3044" t="s">
        <v>5892</v>
      </c>
      <c r="D9" s="862" t="s">
        <v>1210</v>
      </c>
      <c r="E9" s="3018">
        <v>65</v>
      </c>
      <c r="F9" s="862" t="s">
        <v>1210</v>
      </c>
      <c r="G9" s="3018">
        <v>65</v>
      </c>
      <c r="H9" s="3018">
        <v>260</v>
      </c>
      <c r="I9" s="3018">
        <v>400</v>
      </c>
      <c r="J9" s="3018">
        <v>200</v>
      </c>
      <c r="K9" s="3045">
        <v>5.6000000000000005</v>
      </c>
      <c r="L9" s="3045">
        <v>11.280799999999999</v>
      </c>
      <c r="M9" s="3045">
        <v>17.7393775</v>
      </c>
      <c r="N9" s="2781" t="s">
        <v>3571</v>
      </c>
      <c r="O9" s="2781" t="s">
        <v>3572</v>
      </c>
      <c r="P9" s="2781" t="s">
        <v>319</v>
      </c>
      <c r="Q9" s="2781">
        <v>1</v>
      </c>
      <c r="R9" s="2781" t="s">
        <v>256</v>
      </c>
      <c r="S9" s="2781" t="s">
        <v>259</v>
      </c>
      <c r="T9" s="2781" t="s">
        <v>260</v>
      </c>
      <c r="U9" s="1305" t="s">
        <v>148</v>
      </c>
      <c r="V9" s="2776" t="s">
        <v>5893</v>
      </c>
      <c r="W9" s="2777"/>
      <c r="Z9" s="834"/>
    </row>
    <row r="10" spans="1:26" ht="18" x14ac:dyDescent="0.25">
      <c r="A10" s="833"/>
      <c r="B10" s="95" t="s">
        <v>808</v>
      </c>
      <c r="C10" s="576" t="s">
        <v>216</v>
      </c>
      <c r="D10" s="862">
        <v>20</v>
      </c>
      <c r="E10" s="862">
        <v>7</v>
      </c>
      <c r="F10" s="862">
        <v>20</v>
      </c>
      <c r="G10" s="862">
        <v>7</v>
      </c>
      <c r="H10" s="862">
        <v>300</v>
      </c>
      <c r="I10" s="862">
        <v>7</v>
      </c>
      <c r="J10" s="862">
        <v>7</v>
      </c>
      <c r="K10" s="859">
        <v>7</v>
      </c>
      <c r="L10" s="859">
        <v>20</v>
      </c>
      <c r="M10" s="859">
        <v>20</v>
      </c>
      <c r="N10" s="863" t="s">
        <v>3571</v>
      </c>
      <c r="O10" s="863" t="s">
        <v>3572</v>
      </c>
      <c r="P10" s="864" t="s">
        <v>319</v>
      </c>
      <c r="Q10" s="864">
        <v>1</v>
      </c>
      <c r="R10" s="864" t="s">
        <v>256</v>
      </c>
      <c r="S10" s="864" t="s">
        <v>257</v>
      </c>
      <c r="T10" s="864" t="s">
        <v>260</v>
      </c>
      <c r="U10" s="1305" t="s">
        <v>148</v>
      </c>
      <c r="V10" s="78"/>
      <c r="W10" s="204"/>
      <c r="Z10" s="834"/>
    </row>
    <row r="11" spans="1:26" ht="18" x14ac:dyDescent="0.25">
      <c r="A11" s="833"/>
      <c r="B11" s="95" t="s">
        <v>809</v>
      </c>
      <c r="C11" s="576" t="s">
        <v>217</v>
      </c>
      <c r="D11" s="862">
        <v>17</v>
      </c>
      <c r="E11" s="862">
        <v>0.01</v>
      </c>
      <c r="F11" s="862">
        <v>17</v>
      </c>
      <c r="G11" s="862">
        <v>0.01</v>
      </c>
      <c r="H11" s="862">
        <v>0.01</v>
      </c>
      <c r="I11" s="862">
        <v>0.01</v>
      </c>
      <c r="J11" s="862" t="s">
        <v>1210</v>
      </c>
      <c r="K11" s="859">
        <v>0.01</v>
      </c>
      <c r="L11" s="859">
        <v>0.01</v>
      </c>
      <c r="M11" s="859" t="s">
        <v>1210</v>
      </c>
      <c r="N11" s="863" t="s">
        <v>3571</v>
      </c>
      <c r="O11" s="863" t="s">
        <v>3572</v>
      </c>
      <c r="P11" s="864" t="s">
        <v>319</v>
      </c>
      <c r="Q11" s="864">
        <v>1</v>
      </c>
      <c r="R11" s="864" t="s">
        <v>256</v>
      </c>
      <c r="S11" s="864" t="s">
        <v>258</v>
      </c>
      <c r="T11" s="864" t="s">
        <v>260</v>
      </c>
      <c r="U11" s="1305" t="s">
        <v>148</v>
      </c>
      <c r="V11" s="78"/>
      <c r="W11" s="204"/>
      <c r="Z11" s="834"/>
    </row>
    <row r="12" spans="1:26" ht="18" x14ac:dyDescent="0.25">
      <c r="A12" s="833"/>
      <c r="B12" s="95" t="s">
        <v>810</v>
      </c>
      <c r="C12" s="576" t="s">
        <v>218</v>
      </c>
      <c r="D12" s="862">
        <v>58.8</v>
      </c>
      <c r="E12" s="862">
        <v>1000</v>
      </c>
      <c r="F12" s="862">
        <v>25.25</v>
      </c>
      <c r="G12" s="862">
        <v>1000</v>
      </c>
      <c r="H12" s="3018">
        <v>16600</v>
      </c>
      <c r="I12" s="862">
        <v>18000</v>
      </c>
      <c r="J12" s="3018">
        <v>130</v>
      </c>
      <c r="K12" s="859">
        <v>400</v>
      </c>
      <c r="L12" s="859">
        <v>68.474000000000004</v>
      </c>
      <c r="M12" s="859">
        <v>96860.074999999997</v>
      </c>
      <c r="N12" s="863" t="s">
        <v>3571</v>
      </c>
      <c r="O12" s="863" t="s">
        <v>3572</v>
      </c>
      <c r="P12" s="864" t="s">
        <v>319</v>
      </c>
      <c r="Q12" s="864">
        <v>1</v>
      </c>
      <c r="R12" s="864" t="s">
        <v>256</v>
      </c>
      <c r="S12" s="864" t="s">
        <v>259</v>
      </c>
      <c r="T12" s="864" t="s">
        <v>260</v>
      </c>
      <c r="U12" s="1305" t="s">
        <v>148</v>
      </c>
      <c r="V12" s="1329" t="s">
        <v>5495</v>
      </c>
      <c r="W12" s="204"/>
      <c r="Z12" s="834"/>
    </row>
    <row r="13" spans="1:26" ht="18" x14ac:dyDescent="0.25">
      <c r="A13" s="833"/>
      <c r="B13" s="3017" t="s">
        <v>5812</v>
      </c>
      <c r="C13" s="2310" t="s">
        <v>5813</v>
      </c>
      <c r="D13" s="1293">
        <v>0.1</v>
      </c>
      <c r="E13" s="1294">
        <v>20</v>
      </c>
      <c r="F13" s="2264">
        <v>4.2999999999999997E-2</v>
      </c>
      <c r="G13" s="1294">
        <v>20</v>
      </c>
      <c r="H13" s="3019">
        <v>0.5</v>
      </c>
      <c r="I13" s="1297">
        <v>1.0000000000000001E-5</v>
      </c>
      <c r="J13" s="3019">
        <v>0.5</v>
      </c>
      <c r="K13" s="1296">
        <v>88.800000000000011</v>
      </c>
      <c r="L13" s="1296">
        <v>5</v>
      </c>
      <c r="M13" s="1296">
        <v>81.339699999999993</v>
      </c>
      <c r="N13" s="863" t="s">
        <v>3571</v>
      </c>
      <c r="O13" s="863" t="s">
        <v>3572</v>
      </c>
      <c r="P13" s="864" t="s">
        <v>319</v>
      </c>
      <c r="Q13" s="864">
        <v>1</v>
      </c>
      <c r="R13" s="864" t="s">
        <v>256</v>
      </c>
      <c r="S13" s="864" t="s">
        <v>259</v>
      </c>
      <c r="T13" s="864" t="s">
        <v>260</v>
      </c>
      <c r="U13" s="1305" t="s">
        <v>148</v>
      </c>
      <c r="V13" s="78" t="s">
        <v>5932</v>
      </c>
      <c r="W13" s="204"/>
      <c r="Z13" s="834"/>
    </row>
    <row r="14" spans="1:26" ht="18" x14ac:dyDescent="0.25">
      <c r="A14" s="833"/>
      <c r="B14" s="3017" t="s">
        <v>5814</v>
      </c>
      <c r="C14" s="2310" t="s">
        <v>5815</v>
      </c>
      <c r="D14" s="1293">
        <v>0.1</v>
      </c>
      <c r="E14" s="1294">
        <v>3</v>
      </c>
      <c r="F14" s="2264">
        <v>4.2999999999999997E-2</v>
      </c>
      <c r="G14" s="1294">
        <v>3</v>
      </c>
      <c r="H14" s="3019">
        <v>0.5</v>
      </c>
      <c r="I14" s="1295">
        <v>0.1</v>
      </c>
      <c r="J14" s="3019">
        <v>0.5</v>
      </c>
      <c r="K14" s="1296">
        <v>12</v>
      </c>
      <c r="L14" s="1296">
        <v>0.1</v>
      </c>
      <c r="M14" s="1296">
        <v>3776.37</v>
      </c>
      <c r="N14" s="863" t="s">
        <v>3571</v>
      </c>
      <c r="O14" s="863" t="s">
        <v>3572</v>
      </c>
      <c r="P14" s="864" t="s">
        <v>319</v>
      </c>
      <c r="Q14" s="864">
        <v>1</v>
      </c>
      <c r="R14" s="864" t="s">
        <v>256</v>
      </c>
      <c r="S14" s="864" t="s">
        <v>259</v>
      </c>
      <c r="T14" s="864" t="s">
        <v>260</v>
      </c>
      <c r="U14" s="1305" t="s">
        <v>148</v>
      </c>
      <c r="V14" s="78" t="s">
        <v>5932</v>
      </c>
      <c r="W14" s="204"/>
      <c r="Z14" s="834"/>
    </row>
    <row r="15" spans="1:26" ht="18" x14ac:dyDescent="0.25">
      <c r="A15" s="833"/>
      <c r="B15" s="95" t="s">
        <v>811</v>
      </c>
      <c r="C15" s="576" t="s">
        <v>219</v>
      </c>
      <c r="D15" s="862">
        <v>4.2</v>
      </c>
      <c r="E15" s="862">
        <v>300</v>
      </c>
      <c r="F15" s="862">
        <v>1.8</v>
      </c>
      <c r="G15" s="862">
        <v>300</v>
      </c>
      <c r="H15" s="3018">
        <v>3900</v>
      </c>
      <c r="I15" s="862">
        <v>11000</v>
      </c>
      <c r="J15" s="3018">
        <v>50</v>
      </c>
      <c r="K15" s="859">
        <v>120</v>
      </c>
      <c r="L15" s="859">
        <v>10.8924</v>
      </c>
      <c r="M15" s="859">
        <v>2250.9077499999999</v>
      </c>
      <c r="N15" s="863" t="s">
        <v>3571</v>
      </c>
      <c r="O15" s="863" t="s">
        <v>3572</v>
      </c>
      <c r="P15" s="864" t="s">
        <v>319</v>
      </c>
      <c r="Q15" s="864">
        <v>1</v>
      </c>
      <c r="R15" s="864" t="s">
        <v>256</v>
      </c>
      <c r="S15" s="864" t="s">
        <v>259</v>
      </c>
      <c r="T15" s="864" t="s">
        <v>260</v>
      </c>
      <c r="U15" s="1305" t="s">
        <v>148</v>
      </c>
      <c r="V15" s="78"/>
      <c r="W15" s="204"/>
      <c r="Z15" s="834"/>
    </row>
    <row r="16" spans="1:26" ht="18" x14ac:dyDescent="0.25">
      <c r="A16" s="833"/>
      <c r="B16" s="95" t="s">
        <v>1728</v>
      </c>
      <c r="C16" s="576" t="s">
        <v>1134</v>
      </c>
      <c r="D16" s="862" t="s">
        <v>1210</v>
      </c>
      <c r="E16" s="862">
        <v>0.1</v>
      </c>
      <c r="F16" s="862" t="s">
        <v>1210</v>
      </c>
      <c r="G16" s="862">
        <v>0.1</v>
      </c>
      <c r="H16" s="3018">
        <v>840</v>
      </c>
      <c r="I16" s="862">
        <v>0.01</v>
      </c>
      <c r="J16" s="3018">
        <v>5</v>
      </c>
      <c r="K16" s="859">
        <v>4.0000000000000008E-2</v>
      </c>
      <c r="L16" s="859">
        <v>0.1</v>
      </c>
      <c r="M16" s="859">
        <v>16363.36</v>
      </c>
      <c r="N16" s="863" t="s">
        <v>3571</v>
      </c>
      <c r="O16" s="863" t="s">
        <v>3572</v>
      </c>
      <c r="P16" s="864" t="s">
        <v>319</v>
      </c>
      <c r="Q16" s="864">
        <v>1</v>
      </c>
      <c r="R16" s="864" t="s">
        <v>256</v>
      </c>
      <c r="S16" s="864" t="s">
        <v>259</v>
      </c>
      <c r="T16" s="864" t="s">
        <v>260</v>
      </c>
      <c r="U16" s="1305" t="s">
        <v>148</v>
      </c>
      <c r="V16" s="78"/>
      <c r="W16" s="204"/>
      <c r="Z16" s="834"/>
    </row>
    <row r="17" spans="1:26" ht="18" x14ac:dyDescent="0.25">
      <c r="A17" s="833"/>
      <c r="B17" s="95" t="s">
        <v>812</v>
      </c>
      <c r="C17" s="576" t="s">
        <v>2882</v>
      </c>
      <c r="D17" s="862">
        <v>21</v>
      </c>
      <c r="E17" s="862">
        <v>500</v>
      </c>
      <c r="F17" s="862">
        <v>9</v>
      </c>
      <c r="G17" s="862">
        <v>500</v>
      </c>
      <c r="H17" s="3018">
        <v>1750</v>
      </c>
      <c r="I17" s="862">
        <v>7700</v>
      </c>
      <c r="J17" s="3018">
        <v>50</v>
      </c>
      <c r="K17" s="859">
        <v>200</v>
      </c>
      <c r="L17" s="859">
        <v>121.511</v>
      </c>
      <c r="M17" s="859">
        <v>1810.9455000000003</v>
      </c>
      <c r="N17" s="863" t="s">
        <v>3571</v>
      </c>
      <c r="O17" s="863" t="s">
        <v>3572</v>
      </c>
      <c r="P17" s="864" t="s">
        <v>319</v>
      </c>
      <c r="Q17" s="864">
        <v>1</v>
      </c>
      <c r="R17" s="864" t="s">
        <v>256</v>
      </c>
      <c r="S17" s="864" t="s">
        <v>259</v>
      </c>
      <c r="T17" s="864" t="s">
        <v>260</v>
      </c>
      <c r="U17" s="1305" t="s">
        <v>4932</v>
      </c>
      <c r="V17" s="78" t="s">
        <v>1867</v>
      </c>
      <c r="W17" s="204"/>
      <c r="Z17" s="834"/>
    </row>
    <row r="18" spans="1:26" ht="18" x14ac:dyDescent="0.25">
      <c r="A18" s="833"/>
      <c r="B18" s="95" t="s">
        <v>4751</v>
      </c>
      <c r="C18" s="1199" t="s">
        <v>4750</v>
      </c>
      <c r="D18" s="862">
        <v>0.1</v>
      </c>
      <c r="E18" s="1292">
        <v>500</v>
      </c>
      <c r="F18" s="2264">
        <v>4.2999999999999997E-2</v>
      </c>
      <c r="G18" s="1292">
        <v>500</v>
      </c>
      <c r="H18" s="3018">
        <v>1</v>
      </c>
      <c r="I18" s="862">
        <v>2</v>
      </c>
      <c r="J18" s="3018">
        <v>1</v>
      </c>
      <c r="K18" s="859">
        <v>148</v>
      </c>
      <c r="L18" s="859">
        <v>10</v>
      </c>
      <c r="M18" s="859">
        <v>7976.93</v>
      </c>
      <c r="N18" s="863" t="s">
        <v>3571</v>
      </c>
      <c r="O18" s="863" t="s">
        <v>3572</v>
      </c>
      <c r="P18" s="864" t="s">
        <v>319</v>
      </c>
      <c r="Q18" s="864">
        <v>1</v>
      </c>
      <c r="R18" s="864" t="s">
        <v>256</v>
      </c>
      <c r="S18" s="864" t="s">
        <v>259</v>
      </c>
      <c r="T18" s="864" t="s">
        <v>260</v>
      </c>
      <c r="U18" s="1305" t="s">
        <v>4932</v>
      </c>
      <c r="V18" s="78" t="s">
        <v>5931</v>
      </c>
      <c r="W18" s="204"/>
      <c r="Z18" s="834"/>
    </row>
    <row r="19" spans="1:26" ht="18" x14ac:dyDescent="0.25">
      <c r="A19" s="833"/>
      <c r="B19" s="95" t="s">
        <v>813</v>
      </c>
      <c r="C19" s="576" t="s">
        <v>2883</v>
      </c>
      <c r="D19" s="862">
        <v>0.1</v>
      </c>
      <c r="E19" s="862">
        <v>1</v>
      </c>
      <c r="F19" s="2264">
        <v>4.2999999999999997E-2</v>
      </c>
      <c r="G19" s="862">
        <v>1</v>
      </c>
      <c r="H19" s="3018">
        <v>1</v>
      </c>
      <c r="I19" s="862">
        <v>6</v>
      </c>
      <c r="J19" s="862">
        <v>3</v>
      </c>
      <c r="K19" s="859">
        <v>0.4</v>
      </c>
      <c r="L19" s="859">
        <v>1</v>
      </c>
      <c r="M19" s="859">
        <v>12.375837499999999</v>
      </c>
      <c r="N19" s="863" t="s">
        <v>3571</v>
      </c>
      <c r="O19" s="863" t="s">
        <v>3572</v>
      </c>
      <c r="P19" s="864" t="s">
        <v>319</v>
      </c>
      <c r="Q19" s="864">
        <v>1</v>
      </c>
      <c r="R19" s="864" t="s">
        <v>256</v>
      </c>
      <c r="S19" s="864" t="s">
        <v>259</v>
      </c>
      <c r="T19" s="864" t="s">
        <v>260</v>
      </c>
      <c r="U19" s="1305" t="s">
        <v>4932</v>
      </c>
      <c r="V19" s="78" t="s">
        <v>1867</v>
      </c>
      <c r="W19" s="204"/>
      <c r="Z19" s="834"/>
    </row>
    <row r="20" spans="1:26" s="651" customFormat="1" ht="18" x14ac:dyDescent="0.25">
      <c r="B20" s="95" t="s">
        <v>2197</v>
      </c>
      <c r="C20" s="576" t="s">
        <v>2884</v>
      </c>
      <c r="D20" s="862">
        <v>0.1</v>
      </c>
      <c r="E20" s="862">
        <v>33</v>
      </c>
      <c r="F20" s="2264">
        <v>4.2999999999999997E-2</v>
      </c>
      <c r="G20" s="862">
        <v>33</v>
      </c>
      <c r="H20" s="862">
        <v>4</v>
      </c>
      <c r="I20" s="862">
        <v>250</v>
      </c>
      <c r="J20" s="862">
        <v>50</v>
      </c>
      <c r="K20" s="859">
        <v>13.200000000000001</v>
      </c>
      <c r="L20" s="859">
        <v>33</v>
      </c>
      <c r="M20" s="859">
        <v>6.1898200000000001</v>
      </c>
      <c r="N20" s="863" t="s">
        <v>3571</v>
      </c>
      <c r="O20" s="863" t="s">
        <v>3572</v>
      </c>
      <c r="P20" s="864" t="s">
        <v>319</v>
      </c>
      <c r="Q20" s="864">
        <v>1</v>
      </c>
      <c r="R20" s="864" t="s">
        <v>256</v>
      </c>
      <c r="S20" s="864" t="s">
        <v>259</v>
      </c>
      <c r="T20" s="864" t="s">
        <v>260</v>
      </c>
      <c r="U20" s="1305" t="s">
        <v>4932</v>
      </c>
      <c r="V20" s="78" t="s">
        <v>1867</v>
      </c>
      <c r="W20" s="204"/>
    </row>
    <row r="21" spans="1:26" s="651" customFormat="1" ht="18" x14ac:dyDescent="0.25">
      <c r="B21" s="95" t="s">
        <v>2198</v>
      </c>
      <c r="C21" s="576" t="s">
        <v>2885</v>
      </c>
      <c r="D21" s="862">
        <v>0.1</v>
      </c>
      <c r="E21" s="862">
        <v>20</v>
      </c>
      <c r="F21" s="2264">
        <v>4.2999999999999997E-2</v>
      </c>
      <c r="G21" s="862">
        <v>20</v>
      </c>
      <c r="H21" s="862">
        <v>3</v>
      </c>
      <c r="I21" s="862">
        <v>150</v>
      </c>
      <c r="J21" s="862">
        <v>30</v>
      </c>
      <c r="K21" s="859">
        <v>8</v>
      </c>
      <c r="L21" s="859">
        <v>20</v>
      </c>
      <c r="M21" s="859">
        <v>4.1667924999999997</v>
      </c>
      <c r="N21" s="863" t="s">
        <v>3571</v>
      </c>
      <c r="O21" s="863" t="s">
        <v>3572</v>
      </c>
      <c r="P21" s="864" t="s">
        <v>319</v>
      </c>
      <c r="Q21" s="864">
        <v>1</v>
      </c>
      <c r="R21" s="864" t="s">
        <v>256</v>
      </c>
      <c r="S21" s="864" t="s">
        <v>259</v>
      </c>
      <c r="T21" s="864" t="s">
        <v>260</v>
      </c>
      <c r="U21" s="1305" t="s">
        <v>4932</v>
      </c>
      <c r="V21" s="78" t="s">
        <v>1867</v>
      </c>
      <c r="W21" s="204"/>
    </row>
    <row r="22" spans="1:26" s="651" customFormat="1" ht="18" x14ac:dyDescent="0.25">
      <c r="B22" s="95" t="s">
        <v>2221</v>
      </c>
      <c r="C22" s="576" t="s">
        <v>2886</v>
      </c>
      <c r="D22" s="862">
        <v>0.1</v>
      </c>
      <c r="E22" s="862">
        <v>1</v>
      </c>
      <c r="F22" s="2264">
        <v>4.2999999999999997E-2</v>
      </c>
      <c r="G22" s="862">
        <v>1</v>
      </c>
      <c r="H22" s="862">
        <v>17</v>
      </c>
      <c r="I22" s="862">
        <v>10</v>
      </c>
      <c r="J22" s="862">
        <v>50</v>
      </c>
      <c r="K22" s="859">
        <v>0.4</v>
      </c>
      <c r="L22" s="859">
        <v>1</v>
      </c>
      <c r="M22" s="859">
        <v>29.672370000000001</v>
      </c>
      <c r="N22" s="863" t="s">
        <v>3571</v>
      </c>
      <c r="O22" s="863" t="s">
        <v>3572</v>
      </c>
      <c r="P22" s="864" t="s">
        <v>319</v>
      </c>
      <c r="Q22" s="864">
        <v>1</v>
      </c>
      <c r="R22" s="864" t="s">
        <v>256</v>
      </c>
      <c r="S22" s="864" t="s">
        <v>259</v>
      </c>
      <c r="T22" s="864" t="s">
        <v>260</v>
      </c>
      <c r="U22" s="1305" t="s">
        <v>4932</v>
      </c>
      <c r="V22" s="78" t="s">
        <v>1867</v>
      </c>
      <c r="W22" s="204"/>
    </row>
    <row r="23" spans="1:26" ht="18" x14ac:dyDescent="0.25">
      <c r="A23" s="833"/>
      <c r="B23" s="95" t="s">
        <v>814</v>
      </c>
      <c r="C23" s="576" t="s">
        <v>2887</v>
      </c>
      <c r="D23" s="862">
        <v>0.1</v>
      </c>
      <c r="E23" s="862">
        <v>0.3</v>
      </c>
      <c r="F23" s="2264">
        <v>4.2999999999999997E-2</v>
      </c>
      <c r="G23" s="862">
        <v>0.3</v>
      </c>
      <c r="H23" s="3018">
        <v>860</v>
      </c>
      <c r="I23" s="862">
        <v>2</v>
      </c>
      <c r="J23" s="3018">
        <v>1</v>
      </c>
      <c r="K23" s="859">
        <v>0.12</v>
      </c>
      <c r="L23" s="859">
        <v>1E-50</v>
      </c>
      <c r="M23" s="859">
        <v>802.41525000000001</v>
      </c>
      <c r="N23" s="863" t="s">
        <v>3571</v>
      </c>
      <c r="O23" s="863" t="s">
        <v>3572</v>
      </c>
      <c r="P23" s="864" t="s">
        <v>319</v>
      </c>
      <c r="Q23" s="864">
        <v>1</v>
      </c>
      <c r="R23" s="864" t="s">
        <v>256</v>
      </c>
      <c r="S23" s="864" t="s">
        <v>259</v>
      </c>
      <c r="T23" s="864" t="s">
        <v>260</v>
      </c>
      <c r="U23" s="1305" t="s">
        <v>4932</v>
      </c>
      <c r="V23" s="78" t="s">
        <v>1867</v>
      </c>
      <c r="W23" s="204"/>
      <c r="Z23" s="834"/>
    </row>
    <row r="24" spans="1:26" ht="18" x14ac:dyDescent="0.25">
      <c r="A24" s="833"/>
      <c r="B24" s="95" t="s">
        <v>815</v>
      </c>
      <c r="C24" s="576" t="s">
        <v>2888</v>
      </c>
      <c r="D24" s="862">
        <v>0.1</v>
      </c>
      <c r="E24" s="862">
        <v>0.2</v>
      </c>
      <c r="F24" s="2264">
        <v>4.2999999999999997E-2</v>
      </c>
      <c r="G24" s="862">
        <v>0.2</v>
      </c>
      <c r="H24" s="3018">
        <v>210</v>
      </c>
      <c r="I24" s="862">
        <v>0.5</v>
      </c>
      <c r="J24" s="3018">
        <v>1</v>
      </c>
      <c r="K24" s="859">
        <v>8.0000000000000016E-2</v>
      </c>
      <c r="L24" s="859">
        <v>7.21141E-2</v>
      </c>
      <c r="M24" s="859">
        <v>25.016159999999999</v>
      </c>
      <c r="N24" s="863" t="s">
        <v>3571</v>
      </c>
      <c r="O24" s="863" t="s">
        <v>3572</v>
      </c>
      <c r="P24" s="864" t="s">
        <v>319</v>
      </c>
      <c r="Q24" s="864">
        <v>1</v>
      </c>
      <c r="R24" s="864" t="s">
        <v>256</v>
      </c>
      <c r="S24" s="864" t="s">
        <v>259</v>
      </c>
      <c r="T24" s="864" t="s">
        <v>260</v>
      </c>
      <c r="U24" s="1305" t="s">
        <v>4932</v>
      </c>
      <c r="V24" s="78" t="s">
        <v>1867</v>
      </c>
      <c r="W24" s="204"/>
      <c r="Z24" s="834"/>
    </row>
    <row r="25" spans="1:26" ht="18" x14ac:dyDescent="0.25">
      <c r="A25" s="835"/>
      <c r="B25" s="741" t="s">
        <v>3216</v>
      </c>
      <c r="C25" s="832" t="s">
        <v>3217</v>
      </c>
      <c r="D25" s="854">
        <v>0.1</v>
      </c>
      <c r="E25" s="854">
        <v>1</v>
      </c>
      <c r="F25" s="2264">
        <v>4.2999999999999997E-2</v>
      </c>
      <c r="G25" s="854">
        <v>1</v>
      </c>
      <c r="H25" s="854">
        <v>6</v>
      </c>
      <c r="I25" s="854">
        <v>6</v>
      </c>
      <c r="J25" s="854">
        <v>1</v>
      </c>
      <c r="K25" s="859">
        <v>0.4</v>
      </c>
      <c r="L25" s="854">
        <v>1</v>
      </c>
      <c r="M25" s="854">
        <v>4.1217474999999997</v>
      </c>
      <c r="N25" s="863" t="s">
        <v>3571</v>
      </c>
      <c r="O25" s="863" t="s">
        <v>3572</v>
      </c>
      <c r="P25" s="506" t="s">
        <v>319</v>
      </c>
      <c r="Q25" s="506">
        <v>1</v>
      </c>
      <c r="R25" s="506" t="s">
        <v>256</v>
      </c>
      <c r="S25" s="506" t="s">
        <v>259</v>
      </c>
      <c r="T25" s="506" t="s">
        <v>260</v>
      </c>
      <c r="U25" s="1305" t="s">
        <v>4932</v>
      </c>
      <c r="V25" s="829" t="s">
        <v>1867</v>
      </c>
      <c r="W25" s="836"/>
    </row>
    <row r="26" spans="1:26" ht="18" x14ac:dyDescent="0.25">
      <c r="A26" s="835"/>
      <c r="B26" s="741" t="s">
        <v>3218</v>
      </c>
      <c r="C26" s="832" t="s">
        <v>3219</v>
      </c>
      <c r="D26" s="854">
        <v>0.1</v>
      </c>
      <c r="E26" s="854">
        <v>35</v>
      </c>
      <c r="F26" s="2264">
        <v>4.2999999999999997E-2</v>
      </c>
      <c r="G26" s="854">
        <v>35</v>
      </c>
      <c r="H26" s="854">
        <v>3</v>
      </c>
      <c r="I26" s="854">
        <v>2</v>
      </c>
      <c r="J26" s="854">
        <v>1</v>
      </c>
      <c r="K26" s="859">
        <v>14</v>
      </c>
      <c r="L26" s="854">
        <v>35</v>
      </c>
      <c r="M26" s="854">
        <v>3.8421175000000001</v>
      </c>
      <c r="N26" s="863" t="s">
        <v>3571</v>
      </c>
      <c r="O26" s="863" t="s">
        <v>3572</v>
      </c>
      <c r="P26" s="506" t="s">
        <v>319</v>
      </c>
      <c r="Q26" s="506">
        <v>1</v>
      </c>
      <c r="R26" s="506" t="s">
        <v>256</v>
      </c>
      <c r="S26" s="506" t="s">
        <v>259</v>
      </c>
      <c r="T26" s="506" t="s">
        <v>260</v>
      </c>
      <c r="U26" s="1305" t="s">
        <v>4932</v>
      </c>
      <c r="V26" s="829" t="s">
        <v>1867</v>
      </c>
      <c r="W26" s="836"/>
    </row>
    <row r="27" spans="1:26" ht="18" x14ac:dyDescent="0.25">
      <c r="A27" s="835"/>
      <c r="B27" s="741" t="s">
        <v>3220</v>
      </c>
      <c r="C27" s="832" t="s">
        <v>3221</v>
      </c>
      <c r="D27" s="854">
        <v>0.1</v>
      </c>
      <c r="E27" s="854">
        <v>150</v>
      </c>
      <c r="F27" s="2264">
        <v>4.2999999999999997E-2</v>
      </c>
      <c r="G27" s="854">
        <v>150</v>
      </c>
      <c r="H27" s="854">
        <v>2</v>
      </c>
      <c r="I27" s="854">
        <v>7</v>
      </c>
      <c r="J27" s="854">
        <v>5</v>
      </c>
      <c r="K27" s="859">
        <v>60</v>
      </c>
      <c r="L27" s="854">
        <v>150</v>
      </c>
      <c r="M27" s="854">
        <v>0.27920815000000004</v>
      </c>
      <c r="N27" s="863" t="s">
        <v>3571</v>
      </c>
      <c r="O27" s="863" t="s">
        <v>3572</v>
      </c>
      <c r="P27" s="506" t="s">
        <v>319</v>
      </c>
      <c r="Q27" s="506">
        <v>1</v>
      </c>
      <c r="R27" s="506" t="s">
        <v>256</v>
      </c>
      <c r="S27" s="506" t="s">
        <v>259</v>
      </c>
      <c r="T27" s="506" t="s">
        <v>260</v>
      </c>
      <c r="U27" s="1305" t="s">
        <v>4932</v>
      </c>
      <c r="V27" s="829" t="s">
        <v>1867</v>
      </c>
      <c r="W27" s="836"/>
    </row>
    <row r="28" spans="1:26" ht="18" x14ac:dyDescent="0.25">
      <c r="A28" s="833"/>
      <c r="B28" s="2309" t="s">
        <v>5214</v>
      </c>
      <c r="C28" s="2310" t="s">
        <v>5215</v>
      </c>
      <c r="D28" s="1292">
        <v>0</v>
      </c>
      <c r="E28" s="1292">
        <v>0</v>
      </c>
      <c r="F28" s="1292" t="s">
        <v>1210</v>
      </c>
      <c r="G28" s="1292" t="s">
        <v>1210</v>
      </c>
      <c r="H28" s="1292" t="s">
        <v>1210</v>
      </c>
      <c r="I28" s="1292" t="s">
        <v>1210</v>
      </c>
      <c r="J28" s="1292" t="s">
        <v>1210</v>
      </c>
      <c r="K28" s="1292" t="s">
        <v>1210</v>
      </c>
      <c r="L28" s="859">
        <v>0.131192</v>
      </c>
      <c r="M28" s="1292">
        <v>198.26332500000001</v>
      </c>
      <c r="N28" s="1306" t="s">
        <v>3571</v>
      </c>
      <c r="O28" s="1306" t="s">
        <v>3572</v>
      </c>
      <c r="P28" s="1306" t="s">
        <v>319</v>
      </c>
      <c r="Q28" s="1306">
        <v>1</v>
      </c>
      <c r="R28" s="1306" t="s">
        <v>256</v>
      </c>
      <c r="S28" s="1306" t="s">
        <v>259</v>
      </c>
      <c r="T28" s="1306" t="s">
        <v>260</v>
      </c>
      <c r="U28" s="860" t="s">
        <v>4932</v>
      </c>
      <c r="V28" s="1329" t="s">
        <v>5496</v>
      </c>
      <c r="W28" s="836"/>
      <c r="Y28" s="834"/>
    </row>
    <row r="29" spans="1:26" ht="18" x14ac:dyDescent="0.25">
      <c r="A29" s="833"/>
      <c r="B29" s="95" t="s">
        <v>816</v>
      </c>
      <c r="C29" s="576" t="s">
        <v>2889</v>
      </c>
      <c r="D29" s="862">
        <v>24</v>
      </c>
      <c r="E29" s="862">
        <v>1</v>
      </c>
      <c r="F29" s="862">
        <v>24</v>
      </c>
      <c r="G29" s="862">
        <v>1</v>
      </c>
      <c r="H29" s="3018">
        <v>950</v>
      </c>
      <c r="I29" s="862">
        <v>1</v>
      </c>
      <c r="J29" s="862">
        <v>30</v>
      </c>
      <c r="K29" s="859">
        <v>1</v>
      </c>
      <c r="L29" s="859">
        <v>24.291899999999998</v>
      </c>
      <c r="M29" s="859">
        <v>79.854699999999994</v>
      </c>
      <c r="N29" s="863" t="s">
        <v>3571</v>
      </c>
      <c r="O29" s="863" t="s">
        <v>3572</v>
      </c>
      <c r="P29" s="864" t="s">
        <v>334</v>
      </c>
      <c r="Q29" s="864">
        <v>1</v>
      </c>
      <c r="R29" s="864" t="s">
        <v>256</v>
      </c>
      <c r="S29" s="864" t="s">
        <v>257</v>
      </c>
      <c r="T29" s="864" t="s">
        <v>260</v>
      </c>
      <c r="U29" s="1306" t="s">
        <v>254</v>
      </c>
      <c r="V29" s="78"/>
      <c r="W29" s="204"/>
      <c r="Z29" s="834"/>
    </row>
    <row r="30" spans="1:26" s="651" customFormat="1" ht="18" x14ac:dyDescent="0.25">
      <c r="B30" s="95" t="s">
        <v>2194</v>
      </c>
      <c r="C30" s="576" t="s">
        <v>2890</v>
      </c>
      <c r="D30" s="862" t="s">
        <v>1210</v>
      </c>
      <c r="E30" s="862">
        <v>0.1</v>
      </c>
      <c r="F30" s="862" t="s">
        <v>1210</v>
      </c>
      <c r="G30" s="862">
        <v>0.1</v>
      </c>
      <c r="H30" s="862">
        <v>1.0000000000000001E-5</v>
      </c>
      <c r="I30" s="862">
        <v>0.1</v>
      </c>
      <c r="J30" s="862">
        <v>5</v>
      </c>
      <c r="K30" s="859">
        <v>0.1</v>
      </c>
      <c r="L30" s="859" t="s">
        <v>1210</v>
      </c>
      <c r="M30" s="859" t="s">
        <v>1210</v>
      </c>
      <c r="N30" s="863" t="s">
        <v>3571</v>
      </c>
      <c r="O30" s="863" t="s">
        <v>3572</v>
      </c>
      <c r="P30" s="864" t="s">
        <v>334</v>
      </c>
      <c r="Q30" s="864">
        <v>1</v>
      </c>
      <c r="R30" s="864" t="s">
        <v>256</v>
      </c>
      <c r="S30" s="864" t="s">
        <v>257</v>
      </c>
      <c r="T30" s="864" t="s">
        <v>260</v>
      </c>
      <c r="U30" s="1306" t="s">
        <v>254</v>
      </c>
      <c r="V30" s="78" t="s">
        <v>2195</v>
      </c>
      <c r="W30" s="204"/>
    </row>
    <row r="31" spans="1:26" s="651" customFormat="1" ht="18" x14ac:dyDescent="0.25">
      <c r="B31" s="95" t="s">
        <v>2196</v>
      </c>
      <c r="C31" s="576" t="s">
        <v>2891</v>
      </c>
      <c r="D31" s="862" t="s">
        <v>1210</v>
      </c>
      <c r="E31" s="862">
        <v>5</v>
      </c>
      <c r="F31" s="862" t="s">
        <v>1210</v>
      </c>
      <c r="G31" s="862">
        <v>5</v>
      </c>
      <c r="H31" s="862">
        <v>1.0000000000000001E-5</v>
      </c>
      <c r="I31" s="3018">
        <v>20</v>
      </c>
      <c r="J31" s="862">
        <v>30</v>
      </c>
      <c r="K31" s="859">
        <v>5</v>
      </c>
      <c r="L31" s="859" t="s">
        <v>1210</v>
      </c>
      <c r="M31" s="859" t="s">
        <v>1210</v>
      </c>
      <c r="N31" s="863" t="s">
        <v>3571</v>
      </c>
      <c r="O31" s="863" t="s">
        <v>3572</v>
      </c>
      <c r="P31" s="864" t="s">
        <v>334</v>
      </c>
      <c r="Q31" s="864">
        <v>1</v>
      </c>
      <c r="R31" s="864" t="s">
        <v>256</v>
      </c>
      <c r="S31" s="864" t="s">
        <v>257</v>
      </c>
      <c r="T31" s="864" t="s">
        <v>260</v>
      </c>
      <c r="U31" s="1306" t="s">
        <v>254</v>
      </c>
      <c r="V31" s="78" t="s">
        <v>2195</v>
      </c>
      <c r="W31" s="204"/>
    </row>
    <row r="32" spans="1:26" ht="18" x14ac:dyDescent="0.25">
      <c r="A32" s="833"/>
      <c r="B32" s="95" t="s">
        <v>817</v>
      </c>
      <c r="C32" s="576" t="s">
        <v>2892</v>
      </c>
      <c r="D32" s="862">
        <v>16</v>
      </c>
      <c r="E32" s="862">
        <v>18</v>
      </c>
      <c r="F32" s="862">
        <v>16</v>
      </c>
      <c r="G32" s="862">
        <v>18</v>
      </c>
      <c r="H32" s="862">
        <v>0.1</v>
      </c>
      <c r="I32" s="862">
        <v>18</v>
      </c>
      <c r="J32" s="862">
        <v>18</v>
      </c>
      <c r="K32" s="859">
        <v>18</v>
      </c>
      <c r="L32" s="859">
        <v>16.923400000000001</v>
      </c>
      <c r="M32" s="859">
        <v>18.270700000000001</v>
      </c>
      <c r="N32" s="863" t="s">
        <v>3571</v>
      </c>
      <c r="O32" s="863" t="s">
        <v>3572</v>
      </c>
      <c r="P32" s="864" t="s">
        <v>334</v>
      </c>
      <c r="Q32" s="864">
        <v>1</v>
      </c>
      <c r="R32" s="864" t="s">
        <v>256</v>
      </c>
      <c r="S32" s="864" t="s">
        <v>257</v>
      </c>
      <c r="T32" s="864" t="s">
        <v>260</v>
      </c>
      <c r="U32" s="1306" t="s">
        <v>254</v>
      </c>
      <c r="V32" s="78"/>
      <c r="W32" s="204"/>
      <c r="Z32" s="834"/>
    </row>
    <row r="33" spans="1:26" ht="18" x14ac:dyDescent="0.25">
      <c r="A33" s="833"/>
      <c r="B33" s="95" t="s">
        <v>818</v>
      </c>
      <c r="C33" s="576" t="s">
        <v>819</v>
      </c>
      <c r="D33" s="862">
        <v>1.8</v>
      </c>
      <c r="E33" s="862">
        <v>0.5</v>
      </c>
      <c r="F33" s="862">
        <v>1.8</v>
      </c>
      <c r="G33" s="862">
        <v>0.5</v>
      </c>
      <c r="H33" s="862">
        <v>0.5</v>
      </c>
      <c r="I33" s="862">
        <v>1</v>
      </c>
      <c r="J33" s="862">
        <v>1</v>
      </c>
      <c r="K33" s="859">
        <v>0.5</v>
      </c>
      <c r="L33" s="859">
        <v>4.49045E-2</v>
      </c>
      <c r="M33" s="859">
        <v>4.3669399999999997E-2</v>
      </c>
      <c r="N33" s="863" t="s">
        <v>3571</v>
      </c>
      <c r="O33" s="863" t="s">
        <v>3572</v>
      </c>
      <c r="P33" s="864" t="s">
        <v>334</v>
      </c>
      <c r="Q33" s="864">
        <v>1</v>
      </c>
      <c r="R33" s="864" t="s">
        <v>256</v>
      </c>
      <c r="S33" s="864" t="s">
        <v>257</v>
      </c>
      <c r="T33" s="864" t="s">
        <v>260</v>
      </c>
      <c r="U33" s="1306" t="s">
        <v>254</v>
      </c>
      <c r="V33" s="78"/>
      <c r="W33" s="204"/>
      <c r="Z33" s="834"/>
    </row>
    <row r="34" spans="1:26" ht="18" x14ac:dyDescent="0.25">
      <c r="A34" s="833"/>
      <c r="B34" s="95" t="s">
        <v>820</v>
      </c>
      <c r="C34" s="576" t="s">
        <v>2893</v>
      </c>
      <c r="D34" s="862">
        <v>5.17</v>
      </c>
      <c r="E34" s="3018">
        <v>0.5</v>
      </c>
      <c r="F34" s="862">
        <v>2.12</v>
      </c>
      <c r="G34" s="3018">
        <v>0.5</v>
      </c>
      <c r="H34" s="862">
        <v>3</v>
      </c>
      <c r="I34" s="862">
        <v>2</v>
      </c>
      <c r="J34" s="3018">
        <v>1</v>
      </c>
      <c r="K34" s="859">
        <v>0.4</v>
      </c>
      <c r="L34" s="859">
        <v>31.700900000000001</v>
      </c>
      <c r="M34" s="859">
        <v>1.1931855</v>
      </c>
      <c r="N34" s="863" t="s">
        <v>3571</v>
      </c>
      <c r="O34" s="863" t="s">
        <v>3572</v>
      </c>
      <c r="P34" s="864" t="s">
        <v>334</v>
      </c>
      <c r="Q34" s="864">
        <v>1</v>
      </c>
      <c r="R34" s="864" t="s">
        <v>256</v>
      </c>
      <c r="S34" s="864" t="s">
        <v>259</v>
      </c>
      <c r="T34" s="864" t="s">
        <v>260</v>
      </c>
      <c r="U34" s="1306" t="s">
        <v>254</v>
      </c>
      <c r="V34" s="78" t="s">
        <v>1615</v>
      </c>
      <c r="W34" s="204"/>
      <c r="Z34" s="834"/>
    </row>
    <row r="35" spans="1:26" ht="18" x14ac:dyDescent="0.25">
      <c r="A35" s="833"/>
      <c r="B35" s="3017" t="s">
        <v>5894</v>
      </c>
      <c r="C35" s="3044" t="s">
        <v>5895</v>
      </c>
      <c r="D35" s="862" t="s">
        <v>1210</v>
      </c>
      <c r="E35" s="3018">
        <v>5</v>
      </c>
      <c r="F35" s="862" t="s">
        <v>1210</v>
      </c>
      <c r="G35" s="3018">
        <v>5</v>
      </c>
      <c r="H35" s="3018">
        <v>18</v>
      </c>
      <c r="I35" s="3018">
        <v>30</v>
      </c>
      <c r="J35" s="3018">
        <v>14</v>
      </c>
      <c r="K35" s="3045">
        <v>0.4</v>
      </c>
      <c r="L35" s="3045">
        <v>0.45406000000000002</v>
      </c>
      <c r="M35" s="3045">
        <v>1.1923404999999998</v>
      </c>
      <c r="N35" s="2781" t="s">
        <v>3571</v>
      </c>
      <c r="O35" s="2781" t="s">
        <v>3572</v>
      </c>
      <c r="P35" s="2781" t="s">
        <v>334</v>
      </c>
      <c r="Q35" s="2781">
        <v>1</v>
      </c>
      <c r="R35" s="2781" t="s">
        <v>256</v>
      </c>
      <c r="S35" s="2781" t="s">
        <v>259</v>
      </c>
      <c r="T35" s="2781" t="s">
        <v>260</v>
      </c>
      <c r="U35" s="2781" t="s">
        <v>254</v>
      </c>
      <c r="V35" s="2776" t="s">
        <v>5896</v>
      </c>
      <c r="W35" s="2777"/>
      <c r="Z35" s="834"/>
    </row>
    <row r="36" spans="1:26" ht="18" x14ac:dyDescent="0.25">
      <c r="A36" s="833"/>
      <c r="B36" s="95" t="s">
        <v>821</v>
      </c>
      <c r="C36" s="576" t="s">
        <v>273</v>
      </c>
      <c r="D36" s="862">
        <v>0.59</v>
      </c>
      <c r="E36" s="862">
        <v>10</v>
      </c>
      <c r="F36" s="862">
        <v>0.25</v>
      </c>
      <c r="G36" s="862">
        <v>10</v>
      </c>
      <c r="H36" s="3018">
        <v>160</v>
      </c>
      <c r="I36" s="862">
        <v>180</v>
      </c>
      <c r="J36" s="3018">
        <v>1</v>
      </c>
      <c r="K36" s="859">
        <v>4</v>
      </c>
      <c r="L36" s="859">
        <v>1</v>
      </c>
      <c r="M36" s="859">
        <v>886.06375000000003</v>
      </c>
      <c r="N36" s="863" t="s">
        <v>3571</v>
      </c>
      <c r="O36" s="863" t="s">
        <v>3572</v>
      </c>
      <c r="P36" s="864" t="s">
        <v>334</v>
      </c>
      <c r="Q36" s="864">
        <v>1</v>
      </c>
      <c r="R36" s="864" t="s">
        <v>256</v>
      </c>
      <c r="S36" s="864" t="s">
        <v>259</v>
      </c>
      <c r="T36" s="864" t="s">
        <v>260</v>
      </c>
      <c r="U36" s="1306" t="s">
        <v>254</v>
      </c>
      <c r="V36" s="78"/>
      <c r="W36" s="204"/>
      <c r="Z36" s="834"/>
    </row>
    <row r="37" spans="1:26" ht="18" x14ac:dyDescent="0.25">
      <c r="A37" s="833"/>
      <c r="B37" s="95" t="s">
        <v>822</v>
      </c>
      <c r="C37" s="576" t="s">
        <v>2894</v>
      </c>
      <c r="D37" s="862">
        <v>2.5</v>
      </c>
      <c r="E37" s="862">
        <v>0.5</v>
      </c>
      <c r="F37" s="862">
        <v>2.5</v>
      </c>
      <c r="G37" s="862">
        <v>0.5</v>
      </c>
      <c r="H37" s="3018">
        <v>300</v>
      </c>
      <c r="I37" s="862">
        <v>2</v>
      </c>
      <c r="J37" s="3018">
        <v>10</v>
      </c>
      <c r="K37" s="859">
        <v>0.5</v>
      </c>
      <c r="L37" s="859">
        <v>2.5466000000000002</v>
      </c>
      <c r="M37" s="859">
        <v>19.252800000000001</v>
      </c>
      <c r="N37" s="863" t="s">
        <v>3571</v>
      </c>
      <c r="O37" s="863" t="s">
        <v>3572</v>
      </c>
      <c r="P37" s="864" t="s">
        <v>790</v>
      </c>
      <c r="Q37" s="864">
        <v>1</v>
      </c>
      <c r="R37" s="864" t="s">
        <v>256</v>
      </c>
      <c r="S37" s="864" t="s">
        <v>257</v>
      </c>
      <c r="T37" s="864" t="s">
        <v>260</v>
      </c>
      <c r="U37" s="1306" t="s">
        <v>255</v>
      </c>
      <c r="V37" s="78"/>
      <c r="W37" s="204"/>
      <c r="Z37" s="834"/>
    </row>
    <row r="38" spans="1:26" ht="18" x14ac:dyDescent="0.25">
      <c r="A38" s="833"/>
      <c r="B38" s="95" t="s">
        <v>2108</v>
      </c>
      <c r="C38" s="576" t="s">
        <v>2895</v>
      </c>
      <c r="D38" s="1298">
        <v>0.1</v>
      </c>
      <c r="E38" s="1294">
        <v>60</v>
      </c>
      <c r="F38" s="2264">
        <v>4.2999999999999997E-2</v>
      </c>
      <c r="G38" s="1294">
        <v>60</v>
      </c>
      <c r="H38" s="3019">
        <v>0.5</v>
      </c>
      <c r="I38" s="862">
        <v>30</v>
      </c>
      <c r="J38" s="3019">
        <v>0.5</v>
      </c>
      <c r="K38" s="1296">
        <v>88.800000000000011</v>
      </c>
      <c r="L38" s="1296">
        <v>50</v>
      </c>
      <c r="M38" s="1296" t="s">
        <v>1210</v>
      </c>
      <c r="N38" s="863" t="s">
        <v>3571</v>
      </c>
      <c r="O38" s="863" t="s">
        <v>3572</v>
      </c>
      <c r="P38" s="864" t="s">
        <v>790</v>
      </c>
      <c r="Q38" s="864">
        <v>1</v>
      </c>
      <c r="R38" s="864" t="s">
        <v>256</v>
      </c>
      <c r="S38" s="864" t="s">
        <v>259</v>
      </c>
      <c r="T38" s="864" t="s">
        <v>260</v>
      </c>
      <c r="U38" s="1306" t="s">
        <v>255</v>
      </c>
      <c r="V38" s="78" t="s">
        <v>5932</v>
      </c>
      <c r="W38" s="204"/>
      <c r="Z38" s="834"/>
    </row>
    <row r="39" spans="1:26" ht="18" x14ac:dyDescent="0.25">
      <c r="A39" s="833"/>
      <c r="B39" s="95" t="s">
        <v>823</v>
      </c>
      <c r="C39" s="576" t="s">
        <v>2896</v>
      </c>
      <c r="D39" s="862">
        <v>0.45</v>
      </c>
      <c r="E39" s="862">
        <v>0.01</v>
      </c>
      <c r="F39" s="862">
        <v>0.45</v>
      </c>
      <c r="G39" s="862">
        <v>0.01</v>
      </c>
      <c r="H39" s="862">
        <v>0.01</v>
      </c>
      <c r="I39" s="862">
        <v>0.03</v>
      </c>
      <c r="J39" s="862">
        <v>0.03</v>
      </c>
      <c r="K39" s="859">
        <v>0.01</v>
      </c>
      <c r="L39" s="859">
        <v>0.01</v>
      </c>
      <c r="M39" s="859">
        <v>1.22893E-3</v>
      </c>
      <c r="N39" s="863" t="s">
        <v>3571</v>
      </c>
      <c r="O39" s="863" t="s">
        <v>3572</v>
      </c>
      <c r="P39" s="864" t="s">
        <v>790</v>
      </c>
      <c r="Q39" s="864">
        <v>1</v>
      </c>
      <c r="R39" s="864" t="s">
        <v>256</v>
      </c>
      <c r="S39" s="864" t="s">
        <v>257</v>
      </c>
      <c r="T39" s="864" t="s">
        <v>260</v>
      </c>
      <c r="U39" s="1306" t="s">
        <v>255</v>
      </c>
      <c r="V39" s="78"/>
      <c r="W39" s="204"/>
      <c r="Z39" s="834"/>
    </row>
    <row r="40" spans="1:26" ht="18" x14ac:dyDescent="0.25">
      <c r="A40" s="833"/>
      <c r="B40" s="95" t="s">
        <v>824</v>
      </c>
      <c r="C40" s="576" t="s">
        <v>2897</v>
      </c>
      <c r="D40" s="862">
        <v>0.46</v>
      </c>
      <c r="E40" s="3018">
        <v>0.1</v>
      </c>
      <c r="F40" s="862">
        <v>0.2</v>
      </c>
      <c r="G40" s="3018">
        <v>0.1</v>
      </c>
      <c r="H40" s="3018">
        <v>0.3</v>
      </c>
      <c r="I40" s="862">
        <v>0.5</v>
      </c>
      <c r="J40" s="3018">
        <v>0.03</v>
      </c>
      <c r="K40" s="859">
        <v>0.2</v>
      </c>
      <c r="L40" s="859">
        <v>121.511</v>
      </c>
      <c r="M40" s="859">
        <v>0.33865975000000004</v>
      </c>
      <c r="N40" s="863" t="s">
        <v>3571</v>
      </c>
      <c r="O40" s="863" t="s">
        <v>3572</v>
      </c>
      <c r="P40" s="864" t="s">
        <v>790</v>
      </c>
      <c r="Q40" s="864">
        <v>1</v>
      </c>
      <c r="R40" s="864" t="s">
        <v>256</v>
      </c>
      <c r="S40" s="864" t="s">
        <v>259</v>
      </c>
      <c r="T40" s="864" t="s">
        <v>260</v>
      </c>
      <c r="U40" s="1306" t="s">
        <v>255</v>
      </c>
      <c r="V40" s="78" t="s">
        <v>1615</v>
      </c>
      <c r="W40" s="204"/>
      <c r="Z40" s="834"/>
    </row>
    <row r="41" spans="1:26" ht="18" x14ac:dyDescent="0.25">
      <c r="A41" s="833"/>
      <c r="B41" s="3017" t="s">
        <v>5897</v>
      </c>
      <c r="C41" s="3044" t="s">
        <v>5898</v>
      </c>
      <c r="D41" s="862" t="s">
        <v>1210</v>
      </c>
      <c r="E41" s="3018">
        <v>1</v>
      </c>
      <c r="F41" s="862" t="s">
        <v>1210</v>
      </c>
      <c r="G41" s="3018">
        <v>1</v>
      </c>
      <c r="H41" s="3018">
        <v>5</v>
      </c>
      <c r="I41" s="3018">
        <v>5</v>
      </c>
      <c r="J41" s="3018">
        <v>4</v>
      </c>
      <c r="K41" s="3045">
        <v>0.2</v>
      </c>
      <c r="L41" s="3045">
        <v>9.4807100000000005E-2</v>
      </c>
      <c r="M41" s="3045">
        <v>0.33840949999999997</v>
      </c>
      <c r="N41" s="2781" t="s">
        <v>3571</v>
      </c>
      <c r="O41" s="2781" t="s">
        <v>3572</v>
      </c>
      <c r="P41" s="2781" t="s">
        <v>790</v>
      </c>
      <c r="Q41" s="2781">
        <v>1</v>
      </c>
      <c r="R41" s="2781" t="s">
        <v>256</v>
      </c>
      <c r="S41" s="2781" t="s">
        <v>259</v>
      </c>
      <c r="T41" s="2781" t="s">
        <v>260</v>
      </c>
      <c r="U41" s="2781" t="s">
        <v>255</v>
      </c>
      <c r="V41" s="2776" t="s">
        <v>5896</v>
      </c>
      <c r="W41" s="2777"/>
      <c r="Z41" s="834"/>
    </row>
    <row r="42" spans="1:26" ht="18" x14ac:dyDescent="0.25">
      <c r="A42" s="833"/>
      <c r="B42" s="95" t="s">
        <v>825</v>
      </c>
      <c r="C42" s="576" t="s">
        <v>2898</v>
      </c>
      <c r="D42" s="866">
        <v>5.8999999999999997E-2</v>
      </c>
      <c r="E42" s="862">
        <v>2</v>
      </c>
      <c r="F42" s="866">
        <v>2.5000000000000001E-2</v>
      </c>
      <c r="G42" s="862">
        <v>2</v>
      </c>
      <c r="H42" s="862">
        <v>25</v>
      </c>
      <c r="I42" s="862">
        <v>45</v>
      </c>
      <c r="J42" s="3018">
        <v>0.5</v>
      </c>
      <c r="K42" s="859">
        <v>0.8</v>
      </c>
      <c r="L42" s="859">
        <v>2</v>
      </c>
      <c r="M42" s="859">
        <v>109.83862500000001</v>
      </c>
      <c r="N42" s="863" t="s">
        <v>3571</v>
      </c>
      <c r="O42" s="863" t="s">
        <v>3572</v>
      </c>
      <c r="P42" s="864" t="s">
        <v>790</v>
      </c>
      <c r="Q42" s="864">
        <v>1</v>
      </c>
      <c r="R42" s="864" t="s">
        <v>256</v>
      </c>
      <c r="S42" s="864" t="s">
        <v>259</v>
      </c>
      <c r="T42" s="864" t="s">
        <v>260</v>
      </c>
      <c r="U42" s="1306" t="s">
        <v>255</v>
      </c>
      <c r="V42" s="78"/>
      <c r="W42" s="204"/>
      <c r="Z42" s="834"/>
    </row>
    <row r="43" spans="1:26" ht="18" x14ac:dyDescent="0.25">
      <c r="A43" s="833"/>
      <c r="B43" s="95" t="s">
        <v>826</v>
      </c>
      <c r="C43" s="576" t="s">
        <v>2899</v>
      </c>
      <c r="D43" s="862" t="s">
        <v>1210</v>
      </c>
      <c r="E43" s="862">
        <v>2</v>
      </c>
      <c r="F43" s="862" t="s">
        <v>1210</v>
      </c>
      <c r="G43" s="862">
        <v>2</v>
      </c>
      <c r="H43" s="862" t="s">
        <v>1210</v>
      </c>
      <c r="I43" s="862">
        <v>2</v>
      </c>
      <c r="J43" s="862">
        <v>2</v>
      </c>
      <c r="K43" s="859">
        <v>2</v>
      </c>
      <c r="L43" s="859">
        <v>7.1667999999999996E-2</v>
      </c>
      <c r="M43" s="859" t="s">
        <v>1210</v>
      </c>
      <c r="N43" s="863" t="s">
        <v>3571</v>
      </c>
      <c r="O43" s="863" t="s">
        <v>3572</v>
      </c>
      <c r="P43" s="864" t="s">
        <v>827</v>
      </c>
      <c r="Q43" s="864">
        <v>1</v>
      </c>
      <c r="R43" s="864" t="s">
        <v>256</v>
      </c>
      <c r="S43" s="864" t="s">
        <v>257</v>
      </c>
      <c r="T43" s="864" t="s">
        <v>800</v>
      </c>
      <c r="U43" s="1306" t="s">
        <v>4933</v>
      </c>
      <c r="V43" s="78"/>
      <c r="W43" s="204"/>
      <c r="Z43" s="834"/>
    </row>
    <row r="44" spans="1:26" ht="18" x14ac:dyDescent="0.25">
      <c r="A44" s="833"/>
      <c r="B44" s="95" t="s">
        <v>828</v>
      </c>
      <c r="C44" s="576" t="s">
        <v>2900</v>
      </c>
      <c r="D44" s="862" t="s">
        <v>1210</v>
      </c>
      <c r="E44" s="862">
        <v>0.01</v>
      </c>
      <c r="F44" s="862" t="s">
        <v>1210</v>
      </c>
      <c r="G44" s="862">
        <v>0.01</v>
      </c>
      <c r="H44" s="3018">
        <v>42</v>
      </c>
      <c r="I44" s="862">
        <v>2.5</v>
      </c>
      <c r="J44" s="862">
        <v>0.5</v>
      </c>
      <c r="K44" s="859">
        <v>0.01</v>
      </c>
      <c r="L44" s="859">
        <v>3.9731100000000002E-3</v>
      </c>
      <c r="M44" s="859">
        <v>18.672499999999999</v>
      </c>
      <c r="N44" s="863" t="s">
        <v>3571</v>
      </c>
      <c r="O44" s="863" t="s">
        <v>3572</v>
      </c>
      <c r="P44" s="864" t="s">
        <v>319</v>
      </c>
      <c r="Q44" s="864">
        <v>1</v>
      </c>
      <c r="R44" s="864" t="s">
        <v>256</v>
      </c>
      <c r="S44" s="864" t="s">
        <v>257</v>
      </c>
      <c r="T44" s="864" t="s">
        <v>260</v>
      </c>
      <c r="U44" s="1306" t="s">
        <v>148</v>
      </c>
      <c r="V44" s="78"/>
      <c r="W44" s="204"/>
      <c r="Z44" s="834"/>
    </row>
    <row r="45" spans="1:26" ht="18" x14ac:dyDescent="0.25">
      <c r="A45" s="833"/>
      <c r="B45" s="95" t="s">
        <v>829</v>
      </c>
      <c r="C45" s="576" t="s">
        <v>2901</v>
      </c>
      <c r="D45" s="862" t="s">
        <v>1210</v>
      </c>
      <c r="E45" s="862">
        <v>0.01</v>
      </c>
      <c r="F45" s="862" t="s">
        <v>1210</v>
      </c>
      <c r="G45" s="862">
        <v>0.01</v>
      </c>
      <c r="H45" s="3018">
        <v>0.01</v>
      </c>
      <c r="I45" s="862">
        <v>0.01</v>
      </c>
      <c r="J45" s="862">
        <v>1</v>
      </c>
      <c r="K45" s="859">
        <v>0.01</v>
      </c>
      <c r="L45" s="859">
        <v>4.49045E-2</v>
      </c>
      <c r="M45" s="859">
        <v>1.1201900000000001E-2</v>
      </c>
      <c r="N45" s="863" t="s">
        <v>3571</v>
      </c>
      <c r="O45" s="863" t="s">
        <v>3572</v>
      </c>
      <c r="P45" s="864" t="s">
        <v>319</v>
      </c>
      <c r="Q45" s="864">
        <v>1</v>
      </c>
      <c r="R45" s="864" t="s">
        <v>256</v>
      </c>
      <c r="S45" s="864" t="s">
        <v>257</v>
      </c>
      <c r="T45" s="864" t="s">
        <v>260</v>
      </c>
      <c r="U45" s="1306" t="s">
        <v>148</v>
      </c>
      <c r="V45" s="78"/>
      <c r="W45" s="204"/>
      <c r="Z45" s="834"/>
    </row>
    <row r="46" spans="1:26" ht="18" x14ac:dyDescent="0.25">
      <c r="A46" s="833"/>
      <c r="B46" s="95" t="s">
        <v>830</v>
      </c>
      <c r="C46" s="832" t="s">
        <v>2902</v>
      </c>
      <c r="D46" s="854">
        <v>89.6</v>
      </c>
      <c r="E46" s="854">
        <v>74</v>
      </c>
      <c r="F46" s="854">
        <v>89.6</v>
      </c>
      <c r="G46" s="854">
        <v>74</v>
      </c>
      <c r="H46" s="3018">
        <v>750</v>
      </c>
      <c r="I46" s="854">
        <v>123</v>
      </c>
      <c r="J46" s="854">
        <v>55</v>
      </c>
      <c r="K46" s="859">
        <v>74</v>
      </c>
      <c r="L46" s="859">
        <v>74</v>
      </c>
      <c r="M46" s="859">
        <v>83.407700000000006</v>
      </c>
      <c r="N46" s="863" t="s">
        <v>3571</v>
      </c>
      <c r="O46" s="863" t="s">
        <v>3572</v>
      </c>
      <c r="P46" s="864" t="s">
        <v>1133</v>
      </c>
      <c r="Q46" s="864">
        <v>1</v>
      </c>
      <c r="R46" s="864" t="s">
        <v>256</v>
      </c>
      <c r="S46" s="864" t="s">
        <v>257</v>
      </c>
      <c r="T46" s="864" t="s">
        <v>260</v>
      </c>
      <c r="U46" s="1306" t="s">
        <v>4934</v>
      </c>
      <c r="V46" s="78"/>
      <c r="W46" s="204"/>
      <c r="Z46" s="834"/>
    </row>
    <row r="47" spans="1:26" ht="18" x14ac:dyDescent="0.25">
      <c r="A47" s="833"/>
      <c r="B47" s="95" t="s">
        <v>831</v>
      </c>
      <c r="C47" s="576" t="s">
        <v>2443</v>
      </c>
      <c r="D47" s="862">
        <v>27.7</v>
      </c>
      <c r="E47" s="862">
        <v>460</v>
      </c>
      <c r="F47" s="862">
        <v>8</v>
      </c>
      <c r="G47" s="862">
        <v>460</v>
      </c>
      <c r="H47" s="3018">
        <v>6500</v>
      </c>
      <c r="I47" s="862">
        <v>6500</v>
      </c>
      <c r="J47" s="3018">
        <v>180</v>
      </c>
      <c r="K47" s="859">
        <v>184</v>
      </c>
      <c r="L47" s="859">
        <v>31.700900000000001</v>
      </c>
      <c r="M47" s="859">
        <v>31555.355</v>
      </c>
      <c r="N47" s="863" t="s">
        <v>3571</v>
      </c>
      <c r="O47" s="863" t="s">
        <v>3572</v>
      </c>
      <c r="P47" s="864" t="s">
        <v>358</v>
      </c>
      <c r="Q47" s="864">
        <v>1</v>
      </c>
      <c r="R47" s="864" t="s">
        <v>256</v>
      </c>
      <c r="S47" s="864" t="s">
        <v>259</v>
      </c>
      <c r="T47" s="864" t="s">
        <v>260</v>
      </c>
      <c r="U47" s="1306" t="s">
        <v>4935</v>
      </c>
      <c r="V47" s="78"/>
      <c r="W47" s="204"/>
      <c r="Z47" s="834"/>
    </row>
    <row r="48" spans="1:26" ht="18" x14ac:dyDescent="0.25">
      <c r="A48" s="833"/>
      <c r="B48" s="95" t="s">
        <v>1158</v>
      </c>
      <c r="C48" s="576" t="s">
        <v>2903</v>
      </c>
      <c r="D48" s="862">
        <v>137.5</v>
      </c>
      <c r="E48" s="862">
        <v>35</v>
      </c>
      <c r="F48" s="862">
        <v>137.5</v>
      </c>
      <c r="G48" s="862">
        <v>35</v>
      </c>
      <c r="H48" s="3018">
        <v>260</v>
      </c>
      <c r="I48" s="862">
        <v>130</v>
      </c>
      <c r="J48" s="3018">
        <v>260</v>
      </c>
      <c r="K48" s="859">
        <v>35</v>
      </c>
      <c r="L48" s="859">
        <v>35</v>
      </c>
      <c r="M48" s="859">
        <v>159.62700000000001</v>
      </c>
      <c r="N48" s="863" t="s">
        <v>3571</v>
      </c>
      <c r="O48" s="863" t="s">
        <v>3572</v>
      </c>
      <c r="P48" s="864" t="s">
        <v>1045</v>
      </c>
      <c r="Q48" s="864">
        <v>1</v>
      </c>
      <c r="R48" s="864" t="s">
        <v>256</v>
      </c>
      <c r="S48" s="864" t="s">
        <v>257</v>
      </c>
      <c r="T48" s="864" t="s">
        <v>260</v>
      </c>
      <c r="U48" s="1306" t="s">
        <v>1112</v>
      </c>
      <c r="V48" s="78"/>
      <c r="W48" s="204" t="s">
        <v>1061</v>
      </c>
      <c r="Z48" s="834"/>
    </row>
    <row r="49" spans="1:26" ht="18" x14ac:dyDescent="0.25">
      <c r="A49" s="833"/>
      <c r="B49" s="95" t="s">
        <v>1159</v>
      </c>
      <c r="C49" s="576" t="s">
        <v>2904</v>
      </c>
      <c r="D49" s="862">
        <v>300</v>
      </c>
      <c r="E49" s="862">
        <v>150</v>
      </c>
      <c r="F49" s="862">
        <v>300</v>
      </c>
      <c r="G49" s="862">
        <v>150</v>
      </c>
      <c r="H49" s="3018">
        <v>670</v>
      </c>
      <c r="I49" s="862">
        <v>300</v>
      </c>
      <c r="J49" s="3018">
        <v>670</v>
      </c>
      <c r="K49" s="859">
        <v>150</v>
      </c>
      <c r="L49" s="859">
        <v>150</v>
      </c>
      <c r="M49" s="859">
        <v>353.92399999999998</v>
      </c>
      <c r="N49" s="863" t="s">
        <v>3571</v>
      </c>
      <c r="O49" s="863" t="s">
        <v>3572</v>
      </c>
      <c r="P49" s="864" t="s">
        <v>1047</v>
      </c>
      <c r="Q49" s="864">
        <v>1</v>
      </c>
      <c r="R49" s="864" t="s">
        <v>256</v>
      </c>
      <c r="S49" s="864" t="s">
        <v>257</v>
      </c>
      <c r="T49" s="864" t="s">
        <v>260</v>
      </c>
      <c r="U49" s="1306" t="s">
        <v>142</v>
      </c>
      <c r="V49" s="78"/>
      <c r="W49" s="204" t="s">
        <v>1062</v>
      </c>
      <c r="Z49" s="834"/>
    </row>
    <row r="50" spans="1:26" ht="18" x14ac:dyDescent="0.25">
      <c r="A50" s="833"/>
      <c r="B50" s="95" t="s">
        <v>997</v>
      </c>
      <c r="C50" s="576" t="s">
        <v>983</v>
      </c>
      <c r="D50" s="862">
        <v>150</v>
      </c>
      <c r="E50" s="862">
        <v>150</v>
      </c>
      <c r="F50" s="862">
        <v>150</v>
      </c>
      <c r="G50" s="862">
        <v>150</v>
      </c>
      <c r="H50" s="3018">
        <v>40</v>
      </c>
      <c r="I50" s="862">
        <v>150</v>
      </c>
      <c r="J50" s="3018">
        <v>30</v>
      </c>
      <c r="K50" s="859">
        <v>150</v>
      </c>
      <c r="L50" s="859">
        <v>150</v>
      </c>
      <c r="M50" s="859">
        <v>154.30199999999999</v>
      </c>
      <c r="N50" s="863" t="s">
        <v>3571</v>
      </c>
      <c r="O50" s="863" t="s">
        <v>3572</v>
      </c>
      <c r="P50" s="864" t="s">
        <v>984</v>
      </c>
      <c r="Q50" s="864">
        <v>1</v>
      </c>
      <c r="R50" s="864" t="s">
        <v>256</v>
      </c>
      <c r="S50" s="864" t="s">
        <v>257</v>
      </c>
      <c r="T50" s="864" t="s">
        <v>260</v>
      </c>
      <c r="U50" s="1306" t="s">
        <v>985</v>
      </c>
      <c r="V50" s="78"/>
      <c r="W50" s="204"/>
      <c r="Z50" s="834"/>
    </row>
    <row r="51" spans="1:26" ht="18" x14ac:dyDescent="0.25">
      <c r="A51" s="833"/>
      <c r="B51" s="95" t="s">
        <v>832</v>
      </c>
      <c r="C51" s="576" t="s">
        <v>353</v>
      </c>
      <c r="D51" s="862">
        <v>15</v>
      </c>
      <c r="E51" s="862">
        <v>15</v>
      </c>
      <c r="F51" s="862">
        <v>15</v>
      </c>
      <c r="G51" s="862">
        <v>15</v>
      </c>
      <c r="H51" s="3018">
        <v>15</v>
      </c>
      <c r="I51" s="862">
        <v>15</v>
      </c>
      <c r="J51" s="3018">
        <v>5</v>
      </c>
      <c r="K51" s="859">
        <v>15</v>
      </c>
      <c r="L51" s="859">
        <v>15</v>
      </c>
      <c r="M51" s="859">
        <v>19.387899999999998</v>
      </c>
      <c r="N51" s="863" t="s">
        <v>3571</v>
      </c>
      <c r="O51" s="863" t="s">
        <v>3572</v>
      </c>
      <c r="P51" s="864" t="s">
        <v>833</v>
      </c>
      <c r="Q51" s="864">
        <v>1</v>
      </c>
      <c r="R51" s="864" t="s">
        <v>256</v>
      </c>
      <c r="S51" s="864" t="s">
        <v>257</v>
      </c>
      <c r="T51" s="864" t="s">
        <v>260</v>
      </c>
      <c r="U51" s="1306" t="s">
        <v>986</v>
      </c>
      <c r="V51" s="78"/>
      <c r="W51" s="204"/>
      <c r="Z51" s="834"/>
    </row>
    <row r="52" spans="1:26" ht="18" x14ac:dyDescent="0.25">
      <c r="A52" s="833"/>
      <c r="B52" s="95" t="s">
        <v>1043</v>
      </c>
      <c r="C52" s="576" t="s">
        <v>1044</v>
      </c>
      <c r="D52" s="862">
        <v>16</v>
      </c>
      <c r="E52" s="862">
        <v>15</v>
      </c>
      <c r="F52" s="862">
        <v>16</v>
      </c>
      <c r="G52" s="862">
        <v>15</v>
      </c>
      <c r="H52" s="3018">
        <v>15</v>
      </c>
      <c r="I52" s="862">
        <v>16</v>
      </c>
      <c r="J52" s="3018">
        <v>15</v>
      </c>
      <c r="K52" s="859">
        <v>15</v>
      </c>
      <c r="L52" s="859">
        <v>15</v>
      </c>
      <c r="M52" s="859">
        <v>16.0748</v>
      </c>
      <c r="N52" s="863" t="s">
        <v>3571</v>
      </c>
      <c r="O52" s="863" t="s">
        <v>3572</v>
      </c>
      <c r="P52" s="864" t="s">
        <v>1046</v>
      </c>
      <c r="Q52" s="864">
        <v>1</v>
      </c>
      <c r="R52" s="864" t="s">
        <v>256</v>
      </c>
      <c r="S52" s="864" t="s">
        <v>257</v>
      </c>
      <c r="T52" s="864" t="s">
        <v>260</v>
      </c>
      <c r="U52" s="1306" t="s">
        <v>474</v>
      </c>
      <c r="V52" s="78"/>
      <c r="W52" s="204"/>
      <c r="Z52" s="834"/>
    </row>
    <row r="53" spans="1:26" ht="18" x14ac:dyDescent="0.25">
      <c r="B53" s="741" t="s">
        <v>3222</v>
      </c>
      <c r="C53" s="832" t="s">
        <v>3223</v>
      </c>
      <c r="D53" s="854">
        <v>1</v>
      </c>
      <c r="E53" s="854">
        <v>0.01</v>
      </c>
      <c r="F53" s="854">
        <v>1</v>
      </c>
      <c r="G53" s="854">
        <v>0.01</v>
      </c>
      <c r="H53" s="3018">
        <v>25</v>
      </c>
      <c r="I53" s="854">
        <v>0.01</v>
      </c>
      <c r="J53" s="854">
        <v>0.05</v>
      </c>
      <c r="K53" s="859">
        <v>0.01</v>
      </c>
      <c r="L53" s="859">
        <v>0.01</v>
      </c>
      <c r="M53" s="859">
        <v>1.0436700000000001</v>
      </c>
      <c r="N53" s="863" t="s">
        <v>3571</v>
      </c>
      <c r="O53" s="863" t="s">
        <v>3572</v>
      </c>
      <c r="P53" s="506" t="s">
        <v>3224</v>
      </c>
      <c r="Q53" s="506">
        <v>1</v>
      </c>
      <c r="R53" s="506" t="s">
        <v>256</v>
      </c>
      <c r="S53" s="506" t="s">
        <v>257</v>
      </c>
      <c r="T53" s="506" t="s">
        <v>260</v>
      </c>
      <c r="U53" s="1306" t="s">
        <v>257</v>
      </c>
      <c r="V53" s="829"/>
      <c r="W53" s="836"/>
    </row>
    <row r="54" spans="1:26" ht="18" x14ac:dyDescent="0.25">
      <c r="B54" s="741" t="s">
        <v>3225</v>
      </c>
      <c r="C54" s="832" t="s">
        <v>3226</v>
      </c>
      <c r="D54" s="854">
        <v>18.2</v>
      </c>
      <c r="E54" s="854">
        <v>17</v>
      </c>
      <c r="F54" s="854">
        <v>18.2</v>
      </c>
      <c r="G54" s="854">
        <v>17</v>
      </c>
      <c r="H54" s="854">
        <v>2</v>
      </c>
      <c r="I54" s="854">
        <v>17</v>
      </c>
      <c r="J54" s="3018">
        <v>15</v>
      </c>
      <c r="K54" s="859">
        <v>17</v>
      </c>
      <c r="L54" s="859">
        <v>17</v>
      </c>
      <c r="M54" s="859">
        <v>2.4704199999999998</v>
      </c>
      <c r="N54" s="863" t="s">
        <v>3571</v>
      </c>
      <c r="O54" s="863" t="s">
        <v>3572</v>
      </c>
      <c r="P54" s="506" t="s">
        <v>3224</v>
      </c>
      <c r="Q54" s="506">
        <v>1</v>
      </c>
      <c r="R54" s="506" t="s">
        <v>256</v>
      </c>
      <c r="S54" s="506" t="s">
        <v>257</v>
      </c>
      <c r="T54" s="506" t="s">
        <v>260</v>
      </c>
      <c r="U54" s="1306" t="s">
        <v>257</v>
      </c>
      <c r="V54" s="829"/>
      <c r="W54" s="836"/>
    </row>
    <row r="55" spans="1:26" ht="18" x14ac:dyDescent="0.25">
      <c r="B55" s="741" t="s">
        <v>3227</v>
      </c>
      <c r="C55" s="832" t="s">
        <v>3228</v>
      </c>
      <c r="D55" s="854" t="s">
        <v>1210</v>
      </c>
      <c r="E55" s="506">
        <v>0.01</v>
      </c>
      <c r="F55" s="854" t="s">
        <v>1210</v>
      </c>
      <c r="G55" s="506">
        <v>0.01</v>
      </c>
      <c r="H55" s="506">
        <v>0.01</v>
      </c>
      <c r="I55" s="506">
        <v>0.01</v>
      </c>
      <c r="J55" s="506">
        <v>0.01</v>
      </c>
      <c r="K55" s="859">
        <v>4.0000000000000001E-3</v>
      </c>
      <c r="L55" s="859">
        <v>4.0000000000000001E-3</v>
      </c>
      <c r="M55" s="859">
        <v>5.3308774999999997</v>
      </c>
      <c r="N55" s="863" t="s">
        <v>3571</v>
      </c>
      <c r="O55" s="863" t="s">
        <v>3572</v>
      </c>
      <c r="P55" s="506" t="s">
        <v>3224</v>
      </c>
      <c r="Q55" s="506">
        <v>1</v>
      </c>
      <c r="R55" s="506" t="s">
        <v>256</v>
      </c>
      <c r="S55" s="506" t="s">
        <v>259</v>
      </c>
      <c r="T55" s="506" t="s">
        <v>260</v>
      </c>
      <c r="U55" s="1306" t="s">
        <v>257</v>
      </c>
      <c r="V55" s="829"/>
      <c r="W55" s="836"/>
    </row>
    <row r="56" spans="1:26" ht="18.75" customHeight="1" x14ac:dyDescent="0.25">
      <c r="B56" s="98" t="s">
        <v>1597</v>
      </c>
      <c r="C56" s="576" t="s">
        <v>2905</v>
      </c>
      <c r="D56" s="862" t="s">
        <v>1210</v>
      </c>
      <c r="E56" s="865">
        <v>1E-50</v>
      </c>
      <c r="F56" s="862" t="s">
        <v>1210</v>
      </c>
      <c r="G56" s="865" t="s">
        <v>1210</v>
      </c>
      <c r="H56" s="865" t="s">
        <v>1210</v>
      </c>
      <c r="I56" s="865" t="s">
        <v>1210</v>
      </c>
      <c r="J56" s="1300" t="s">
        <v>1210</v>
      </c>
      <c r="K56" s="859" t="str">
        <f t="shared" ref="K56" si="0">G56</f>
        <v>NonDetect</v>
      </c>
      <c r="L56" s="859" t="s">
        <v>1210</v>
      </c>
      <c r="M56" s="859">
        <v>8.4317900000000001E-2</v>
      </c>
      <c r="N56" s="863" t="s">
        <v>3571</v>
      </c>
      <c r="O56" s="863" t="s">
        <v>3572</v>
      </c>
      <c r="P56" s="864" t="s">
        <v>835</v>
      </c>
      <c r="Q56" s="864">
        <v>1</v>
      </c>
      <c r="R56" s="864" t="s">
        <v>256</v>
      </c>
      <c r="S56" s="864" t="s">
        <v>257</v>
      </c>
      <c r="T56" s="864" t="s">
        <v>260</v>
      </c>
      <c r="U56" s="1306" t="s">
        <v>2976</v>
      </c>
      <c r="V56" s="78"/>
      <c r="W56" s="204"/>
      <c r="Z56" s="834"/>
    </row>
    <row r="57" spans="1:26" ht="18" x14ac:dyDescent="0.25">
      <c r="B57" s="95" t="s">
        <v>837</v>
      </c>
      <c r="C57" s="576" t="s">
        <v>2906</v>
      </c>
      <c r="D57" s="862" t="s">
        <v>1210</v>
      </c>
      <c r="E57" s="865">
        <v>1E-50</v>
      </c>
      <c r="F57" s="862" t="s">
        <v>1210</v>
      </c>
      <c r="G57" s="862" t="s">
        <v>1210</v>
      </c>
      <c r="H57" s="862" t="s">
        <v>1210</v>
      </c>
      <c r="I57" s="862" t="s">
        <v>1210</v>
      </c>
      <c r="J57" s="1292" t="s">
        <v>1210</v>
      </c>
      <c r="K57" s="859" t="s">
        <v>1210</v>
      </c>
      <c r="L57" s="859" t="s">
        <v>1210</v>
      </c>
      <c r="M57" s="859" t="s">
        <v>1210</v>
      </c>
      <c r="N57" s="863" t="s">
        <v>3571</v>
      </c>
      <c r="O57" s="863" t="s">
        <v>3572</v>
      </c>
      <c r="P57" s="864" t="s">
        <v>835</v>
      </c>
      <c r="Q57" s="864">
        <v>1</v>
      </c>
      <c r="R57" s="864" t="s">
        <v>256</v>
      </c>
      <c r="S57" s="864" t="s">
        <v>259</v>
      </c>
      <c r="T57" s="864" t="s">
        <v>260</v>
      </c>
      <c r="U57" s="1306" t="s">
        <v>2976</v>
      </c>
      <c r="V57" s="78"/>
      <c r="W57" s="204"/>
      <c r="Z57" s="834"/>
    </row>
    <row r="58" spans="1:26" ht="18" x14ac:dyDescent="0.25">
      <c r="B58" s="95" t="s">
        <v>836</v>
      </c>
      <c r="C58" s="576" t="s">
        <v>2907</v>
      </c>
      <c r="D58" s="862" t="s">
        <v>1210</v>
      </c>
      <c r="E58" s="865">
        <v>1E-50</v>
      </c>
      <c r="F58" s="862" t="s">
        <v>1210</v>
      </c>
      <c r="G58" s="862" t="s">
        <v>1210</v>
      </c>
      <c r="H58" s="862" t="s">
        <v>1210</v>
      </c>
      <c r="I58" s="862" t="s">
        <v>1210</v>
      </c>
      <c r="J58" s="1292" t="s">
        <v>1210</v>
      </c>
      <c r="K58" s="859" t="s">
        <v>1210</v>
      </c>
      <c r="L58" s="859" t="s">
        <v>1210</v>
      </c>
      <c r="M58" s="859" t="s">
        <v>1210</v>
      </c>
      <c r="N58" s="863" t="s">
        <v>3571</v>
      </c>
      <c r="O58" s="863" t="s">
        <v>3572</v>
      </c>
      <c r="P58" s="864" t="s">
        <v>835</v>
      </c>
      <c r="Q58" s="864">
        <v>1</v>
      </c>
      <c r="R58" s="864" t="s">
        <v>256</v>
      </c>
      <c r="S58" s="864" t="s">
        <v>259</v>
      </c>
      <c r="T58" s="864" t="s">
        <v>260</v>
      </c>
      <c r="U58" s="1306" t="s">
        <v>2976</v>
      </c>
      <c r="V58" s="78"/>
      <c r="W58" s="204"/>
      <c r="Z58" s="834"/>
    </row>
    <row r="59" spans="1:26" ht="18.75" customHeight="1" x14ac:dyDescent="0.25">
      <c r="B59" s="98" t="s">
        <v>463</v>
      </c>
      <c r="C59" s="576" t="s">
        <v>2908</v>
      </c>
      <c r="D59" s="1299">
        <v>0.01</v>
      </c>
      <c r="E59" s="1301">
        <v>0.01</v>
      </c>
      <c r="F59" s="1299">
        <v>3.0000000000000001E-3</v>
      </c>
      <c r="G59" s="862" t="s">
        <v>1210</v>
      </c>
      <c r="H59" s="862" t="s">
        <v>1210</v>
      </c>
      <c r="I59" s="862" t="s">
        <v>1210</v>
      </c>
      <c r="J59" s="1292" t="s">
        <v>1210</v>
      </c>
      <c r="K59" s="859" t="s">
        <v>1210</v>
      </c>
      <c r="L59" s="859" t="s">
        <v>1210</v>
      </c>
      <c r="M59" s="859">
        <v>9.3633150000000005E-3</v>
      </c>
      <c r="N59" s="863" t="s">
        <v>3571</v>
      </c>
      <c r="O59" s="863" t="s">
        <v>3572</v>
      </c>
      <c r="P59" s="864" t="s">
        <v>835</v>
      </c>
      <c r="Q59" s="864">
        <v>1</v>
      </c>
      <c r="R59" s="864" t="s">
        <v>256</v>
      </c>
      <c r="S59" s="864" t="s">
        <v>259</v>
      </c>
      <c r="T59" s="864" t="s">
        <v>260</v>
      </c>
      <c r="U59" s="1306" t="s">
        <v>2976</v>
      </c>
      <c r="V59" s="78"/>
      <c r="W59" s="204"/>
      <c r="Z59" s="834"/>
    </row>
    <row r="60" spans="1:26" ht="18" x14ac:dyDescent="0.25">
      <c r="B60" s="95" t="s">
        <v>462</v>
      </c>
      <c r="C60" s="576" t="s">
        <v>2909</v>
      </c>
      <c r="D60" s="862" t="s">
        <v>1210</v>
      </c>
      <c r="E60" s="865">
        <v>1E-50</v>
      </c>
      <c r="F60" s="862" t="s">
        <v>1210</v>
      </c>
      <c r="G60" s="862" t="s">
        <v>1210</v>
      </c>
      <c r="H60" s="862" t="s">
        <v>1210</v>
      </c>
      <c r="I60" s="862" t="s">
        <v>1210</v>
      </c>
      <c r="J60" s="1292" t="s">
        <v>1210</v>
      </c>
      <c r="K60" s="859" t="s">
        <v>1210</v>
      </c>
      <c r="L60" s="859" t="s">
        <v>1210</v>
      </c>
      <c r="M60" s="859" t="s">
        <v>1210</v>
      </c>
      <c r="N60" s="863" t="s">
        <v>3571</v>
      </c>
      <c r="O60" s="863" t="s">
        <v>3572</v>
      </c>
      <c r="P60" s="864" t="s">
        <v>835</v>
      </c>
      <c r="Q60" s="864">
        <v>1</v>
      </c>
      <c r="R60" s="864" t="s">
        <v>256</v>
      </c>
      <c r="S60" s="864" t="s">
        <v>259</v>
      </c>
      <c r="T60" s="864" t="s">
        <v>260</v>
      </c>
      <c r="U60" s="1306" t="s">
        <v>2976</v>
      </c>
      <c r="V60" s="78"/>
      <c r="W60" s="204"/>
      <c r="Z60" s="834"/>
    </row>
    <row r="61" spans="1:26" ht="18" x14ac:dyDescent="0.25">
      <c r="B61" s="95" t="s">
        <v>461</v>
      </c>
      <c r="C61" s="576" t="s">
        <v>2910</v>
      </c>
      <c r="D61" s="862" t="s">
        <v>1210</v>
      </c>
      <c r="E61" s="865">
        <v>1E-50</v>
      </c>
      <c r="F61" s="862" t="s">
        <v>1210</v>
      </c>
      <c r="G61" s="862" t="s">
        <v>1210</v>
      </c>
      <c r="H61" s="862" t="s">
        <v>1210</v>
      </c>
      <c r="I61" s="862" t="s">
        <v>1210</v>
      </c>
      <c r="J61" s="1292" t="s">
        <v>1210</v>
      </c>
      <c r="K61" s="859" t="s">
        <v>1210</v>
      </c>
      <c r="L61" s="859" t="s">
        <v>1210</v>
      </c>
      <c r="M61" s="859" t="s">
        <v>1210</v>
      </c>
      <c r="N61" s="863" t="s">
        <v>3571</v>
      </c>
      <c r="O61" s="863" t="s">
        <v>3572</v>
      </c>
      <c r="P61" s="864" t="s">
        <v>835</v>
      </c>
      <c r="Q61" s="864">
        <v>1</v>
      </c>
      <c r="R61" s="864" t="s">
        <v>256</v>
      </c>
      <c r="S61" s="864" t="s">
        <v>259</v>
      </c>
      <c r="T61" s="864" t="s">
        <v>260</v>
      </c>
      <c r="U61" s="1306" t="s">
        <v>2976</v>
      </c>
      <c r="V61" s="78"/>
      <c r="W61" s="204"/>
      <c r="Z61" s="834"/>
    </row>
    <row r="62" spans="1:26" s="4" customFormat="1" ht="18" x14ac:dyDescent="0.25">
      <c r="A62" s="826"/>
      <c r="B62" s="97" t="s">
        <v>844</v>
      </c>
      <c r="C62" s="576" t="s">
        <v>5191</v>
      </c>
      <c r="D62" s="862" t="s">
        <v>1210</v>
      </c>
      <c r="E62" s="865">
        <v>1E-50</v>
      </c>
      <c r="F62" s="862" t="s">
        <v>1210</v>
      </c>
      <c r="G62" s="865" t="s">
        <v>1210</v>
      </c>
      <c r="H62" s="865" t="s">
        <v>1210</v>
      </c>
      <c r="I62" s="865" t="s">
        <v>1210</v>
      </c>
      <c r="J62" s="1300" t="s">
        <v>1210</v>
      </c>
      <c r="K62" s="859" t="s">
        <v>1210</v>
      </c>
      <c r="L62" s="859" t="s">
        <v>1210</v>
      </c>
      <c r="M62" s="859" t="s">
        <v>1210</v>
      </c>
      <c r="N62" s="863" t="s">
        <v>3571</v>
      </c>
      <c r="O62" s="863" t="s">
        <v>3572</v>
      </c>
      <c r="P62" s="864" t="s">
        <v>468</v>
      </c>
      <c r="Q62" s="864">
        <v>1</v>
      </c>
      <c r="R62" s="864" t="s">
        <v>256</v>
      </c>
      <c r="S62" s="864" t="s">
        <v>259</v>
      </c>
      <c r="T62" s="864" t="s">
        <v>260</v>
      </c>
      <c r="U62" s="1306" t="s">
        <v>2976</v>
      </c>
      <c r="V62" s="78"/>
      <c r="W62" s="204"/>
      <c r="Z62" s="837"/>
    </row>
    <row r="63" spans="1:26" s="4" customFormat="1" ht="18" x14ac:dyDescent="0.25">
      <c r="A63" s="826"/>
      <c r="B63" s="97" t="s">
        <v>845</v>
      </c>
      <c r="C63" s="576" t="s">
        <v>5192</v>
      </c>
      <c r="D63" s="862" t="s">
        <v>1210</v>
      </c>
      <c r="E63" s="865">
        <v>1E-50</v>
      </c>
      <c r="F63" s="862" t="s">
        <v>1210</v>
      </c>
      <c r="G63" s="865" t="s">
        <v>1210</v>
      </c>
      <c r="H63" s="865" t="s">
        <v>1210</v>
      </c>
      <c r="I63" s="865" t="s">
        <v>1210</v>
      </c>
      <c r="J63" s="1300" t="s">
        <v>1210</v>
      </c>
      <c r="K63" s="859" t="s">
        <v>1210</v>
      </c>
      <c r="L63" s="859" t="s">
        <v>1210</v>
      </c>
      <c r="M63" s="859" t="s">
        <v>1210</v>
      </c>
      <c r="N63" s="863" t="s">
        <v>3571</v>
      </c>
      <c r="O63" s="863" t="s">
        <v>3572</v>
      </c>
      <c r="P63" s="864" t="s">
        <v>468</v>
      </c>
      <c r="Q63" s="864">
        <v>1</v>
      </c>
      <c r="R63" s="864" t="s">
        <v>256</v>
      </c>
      <c r="S63" s="864" t="s">
        <v>259</v>
      </c>
      <c r="T63" s="864" t="s">
        <v>260</v>
      </c>
      <c r="U63" s="1306" t="s">
        <v>2976</v>
      </c>
      <c r="V63" s="78"/>
      <c r="W63" s="204"/>
      <c r="Z63" s="837"/>
    </row>
    <row r="64" spans="1:26" ht="18" x14ac:dyDescent="0.25">
      <c r="B64" s="1069" t="s">
        <v>4291</v>
      </c>
      <c r="C64" s="1064" t="s">
        <v>4282</v>
      </c>
      <c r="D64" s="1065" t="s">
        <v>1210</v>
      </c>
      <c r="E64" s="865">
        <v>1E-50</v>
      </c>
      <c r="F64" s="1065" t="s">
        <v>1210</v>
      </c>
      <c r="G64" s="1055" t="s">
        <v>1210</v>
      </c>
      <c r="H64" s="1055" t="s">
        <v>1210</v>
      </c>
      <c r="I64" s="1055" t="s">
        <v>1210</v>
      </c>
      <c r="J64" s="1292" t="s">
        <v>1210</v>
      </c>
      <c r="K64" s="859" t="s">
        <v>1210</v>
      </c>
      <c r="L64" s="859" t="s">
        <v>1210</v>
      </c>
      <c r="M64" s="859" t="s">
        <v>1210</v>
      </c>
      <c r="N64" s="1066" t="s">
        <v>3571</v>
      </c>
      <c r="O64" s="1066" t="s">
        <v>3572</v>
      </c>
      <c r="P64" s="1066" t="s">
        <v>4283</v>
      </c>
      <c r="Q64" s="1066">
        <v>1</v>
      </c>
      <c r="R64" s="1066" t="s">
        <v>256</v>
      </c>
      <c r="S64" s="1066" t="s">
        <v>259</v>
      </c>
      <c r="T64" s="1066" t="s">
        <v>260</v>
      </c>
      <c r="U64" s="1306" t="s">
        <v>2977</v>
      </c>
      <c r="V64" s="1067"/>
      <c r="W64" s="1068"/>
    </row>
    <row r="65" spans="2:26" ht="18" x14ac:dyDescent="0.25">
      <c r="B65" s="1069" t="s">
        <v>4292</v>
      </c>
      <c r="C65" s="1064" t="s">
        <v>4284</v>
      </c>
      <c r="D65" s="1065" t="s">
        <v>1210</v>
      </c>
      <c r="E65" s="865">
        <v>1E-50</v>
      </c>
      <c r="F65" s="1065" t="s">
        <v>1210</v>
      </c>
      <c r="G65" s="1055" t="s">
        <v>1210</v>
      </c>
      <c r="H65" s="1055" t="s">
        <v>1210</v>
      </c>
      <c r="I65" s="1055" t="s">
        <v>1210</v>
      </c>
      <c r="J65" s="1292" t="s">
        <v>1210</v>
      </c>
      <c r="K65" s="859" t="s">
        <v>1210</v>
      </c>
      <c r="L65" s="859" t="s">
        <v>1210</v>
      </c>
      <c r="M65" s="859" t="s">
        <v>1210</v>
      </c>
      <c r="N65" s="1066" t="s">
        <v>3571</v>
      </c>
      <c r="O65" s="1066" t="s">
        <v>3572</v>
      </c>
      <c r="P65" s="1066" t="s">
        <v>4283</v>
      </c>
      <c r="Q65" s="1066">
        <v>1</v>
      </c>
      <c r="R65" s="1066" t="s">
        <v>256</v>
      </c>
      <c r="S65" s="1066" t="s">
        <v>259</v>
      </c>
      <c r="T65" s="1066" t="s">
        <v>260</v>
      </c>
      <c r="U65" s="1306" t="s">
        <v>2977</v>
      </c>
      <c r="V65" s="1067"/>
      <c r="W65" s="1068"/>
    </row>
    <row r="66" spans="2:26" ht="18" x14ac:dyDescent="0.25">
      <c r="B66" s="1069" t="s">
        <v>4293</v>
      </c>
      <c r="C66" s="1064" t="s">
        <v>4285</v>
      </c>
      <c r="D66" s="1299">
        <v>0.01</v>
      </c>
      <c r="E66" s="1301">
        <v>0.01</v>
      </c>
      <c r="F66" s="1299">
        <v>3.0000000000000001E-3</v>
      </c>
      <c r="G66" s="1055" t="s">
        <v>1210</v>
      </c>
      <c r="H66" s="1055" t="s">
        <v>1210</v>
      </c>
      <c r="I66" s="1055" t="s">
        <v>1210</v>
      </c>
      <c r="J66" s="1292" t="s">
        <v>1210</v>
      </c>
      <c r="K66" s="859" t="s">
        <v>1210</v>
      </c>
      <c r="L66" s="859" t="s">
        <v>1210</v>
      </c>
      <c r="M66" s="859">
        <v>11.684887499999999</v>
      </c>
      <c r="N66" s="1066" t="s">
        <v>3571</v>
      </c>
      <c r="O66" s="1066" t="s">
        <v>3572</v>
      </c>
      <c r="P66" s="1066" t="s">
        <v>4283</v>
      </c>
      <c r="Q66" s="1066">
        <v>1</v>
      </c>
      <c r="R66" s="1066" t="s">
        <v>256</v>
      </c>
      <c r="S66" s="1066" t="s">
        <v>259</v>
      </c>
      <c r="T66" s="1066" t="s">
        <v>260</v>
      </c>
      <c r="U66" s="1306" t="s">
        <v>2977</v>
      </c>
      <c r="V66" s="1067"/>
      <c r="W66" s="1068"/>
    </row>
    <row r="67" spans="2:26" ht="18" x14ac:dyDescent="0.25">
      <c r="B67" s="1069" t="s">
        <v>4294</v>
      </c>
      <c r="C67" s="1064" t="s">
        <v>4286</v>
      </c>
      <c r="D67" s="1065" t="s">
        <v>1210</v>
      </c>
      <c r="E67" s="865">
        <v>1E-50</v>
      </c>
      <c r="F67" s="1065" t="s">
        <v>1210</v>
      </c>
      <c r="G67" s="1055" t="s">
        <v>1210</v>
      </c>
      <c r="H67" s="1055" t="s">
        <v>1210</v>
      </c>
      <c r="I67" s="1055" t="s">
        <v>1210</v>
      </c>
      <c r="J67" s="1292" t="s">
        <v>1210</v>
      </c>
      <c r="K67" s="859" t="s">
        <v>1210</v>
      </c>
      <c r="L67" s="859" t="s">
        <v>1210</v>
      </c>
      <c r="M67" s="859" t="s">
        <v>1210</v>
      </c>
      <c r="N67" s="1066" t="s">
        <v>3571</v>
      </c>
      <c r="O67" s="1066" t="s">
        <v>3572</v>
      </c>
      <c r="P67" s="1066" t="s">
        <v>4283</v>
      </c>
      <c r="Q67" s="1066">
        <v>1</v>
      </c>
      <c r="R67" s="1066" t="s">
        <v>256</v>
      </c>
      <c r="S67" s="1066" t="s">
        <v>259</v>
      </c>
      <c r="T67" s="1066" t="s">
        <v>260</v>
      </c>
      <c r="U67" s="1306" t="s">
        <v>2977</v>
      </c>
      <c r="V67" s="1067"/>
      <c r="W67" s="1068"/>
    </row>
    <row r="68" spans="2:26" ht="18" x14ac:dyDescent="0.25">
      <c r="B68" s="1069" t="s">
        <v>4295</v>
      </c>
      <c r="C68" s="1064" t="s">
        <v>4287</v>
      </c>
      <c r="D68" s="1065" t="s">
        <v>1210</v>
      </c>
      <c r="E68" s="865">
        <v>1E-50</v>
      </c>
      <c r="F68" s="1065" t="s">
        <v>1210</v>
      </c>
      <c r="G68" s="1055" t="s">
        <v>1210</v>
      </c>
      <c r="H68" s="1055" t="s">
        <v>1210</v>
      </c>
      <c r="I68" s="1055" t="s">
        <v>1210</v>
      </c>
      <c r="J68" s="1292" t="s">
        <v>1210</v>
      </c>
      <c r="K68" s="859" t="s">
        <v>1210</v>
      </c>
      <c r="L68" s="859" t="s">
        <v>1210</v>
      </c>
      <c r="M68" s="859" t="s">
        <v>1210</v>
      </c>
      <c r="N68" s="1066" t="s">
        <v>3571</v>
      </c>
      <c r="O68" s="1066" t="s">
        <v>3572</v>
      </c>
      <c r="P68" s="1066" t="s">
        <v>4283</v>
      </c>
      <c r="Q68" s="1066">
        <v>1</v>
      </c>
      <c r="R68" s="1066" t="s">
        <v>256</v>
      </c>
      <c r="S68" s="1066" t="s">
        <v>259</v>
      </c>
      <c r="T68" s="1066" t="s">
        <v>260</v>
      </c>
      <c r="U68" s="1306" t="s">
        <v>2977</v>
      </c>
      <c r="V68" s="1067"/>
      <c r="W68" s="1068"/>
    </row>
    <row r="69" spans="2:26" ht="18" x14ac:dyDescent="0.25">
      <c r="B69" s="1069" t="s">
        <v>4296</v>
      </c>
      <c r="C69" s="1064" t="s">
        <v>4288</v>
      </c>
      <c r="D69" s="1065" t="s">
        <v>1210</v>
      </c>
      <c r="E69" s="865">
        <v>1E-50</v>
      </c>
      <c r="F69" s="1065" t="s">
        <v>1210</v>
      </c>
      <c r="G69" s="1055" t="s">
        <v>1210</v>
      </c>
      <c r="H69" s="1055" t="s">
        <v>1210</v>
      </c>
      <c r="I69" s="1055" t="s">
        <v>1210</v>
      </c>
      <c r="J69" s="1300" t="s">
        <v>1210</v>
      </c>
      <c r="K69" s="859" t="s">
        <v>1210</v>
      </c>
      <c r="L69" s="859" t="s">
        <v>1210</v>
      </c>
      <c r="M69" s="859" t="s">
        <v>1210</v>
      </c>
      <c r="N69" s="1066" t="s">
        <v>3571</v>
      </c>
      <c r="O69" s="1066" t="s">
        <v>3572</v>
      </c>
      <c r="P69" s="1066" t="s">
        <v>4283</v>
      </c>
      <c r="Q69" s="1066">
        <v>1</v>
      </c>
      <c r="R69" s="1066" t="s">
        <v>256</v>
      </c>
      <c r="S69" s="1066" t="s">
        <v>259</v>
      </c>
      <c r="T69" s="1066" t="s">
        <v>260</v>
      </c>
      <c r="U69" s="1306" t="s">
        <v>2977</v>
      </c>
      <c r="V69" s="1067"/>
      <c r="W69" s="1068"/>
    </row>
    <row r="70" spans="2:26" ht="18" x14ac:dyDescent="0.25">
      <c r="B70" s="1069" t="s">
        <v>4297</v>
      </c>
      <c r="C70" s="1064" t="s">
        <v>4289</v>
      </c>
      <c r="D70" s="1065" t="s">
        <v>1210</v>
      </c>
      <c r="E70" s="865">
        <v>1E-50</v>
      </c>
      <c r="F70" s="1065" t="s">
        <v>1210</v>
      </c>
      <c r="G70" s="1055" t="s">
        <v>1210</v>
      </c>
      <c r="H70" s="1055" t="s">
        <v>1210</v>
      </c>
      <c r="I70" s="1055" t="s">
        <v>1210</v>
      </c>
      <c r="J70" s="1300" t="s">
        <v>1210</v>
      </c>
      <c r="K70" s="859" t="s">
        <v>1210</v>
      </c>
      <c r="L70" s="859" t="s">
        <v>1210</v>
      </c>
      <c r="M70" s="859" t="s">
        <v>1210</v>
      </c>
      <c r="N70" s="1066" t="s">
        <v>3571</v>
      </c>
      <c r="O70" s="1066" t="s">
        <v>3572</v>
      </c>
      <c r="P70" s="1066" t="s">
        <v>4283</v>
      </c>
      <c r="Q70" s="1066">
        <v>1</v>
      </c>
      <c r="R70" s="1066" t="s">
        <v>256</v>
      </c>
      <c r="S70" s="1066" t="s">
        <v>259</v>
      </c>
      <c r="T70" s="1066" t="s">
        <v>260</v>
      </c>
      <c r="U70" s="1306" t="s">
        <v>2977</v>
      </c>
      <c r="V70" s="1067"/>
      <c r="W70" s="1068"/>
    </row>
    <row r="71" spans="2:26" ht="18.75" customHeight="1" x14ac:dyDescent="0.25">
      <c r="B71" s="95" t="s">
        <v>998</v>
      </c>
      <c r="C71" s="576" t="s">
        <v>2911</v>
      </c>
      <c r="D71" s="862" t="s">
        <v>1210</v>
      </c>
      <c r="E71" s="865">
        <v>1E-50</v>
      </c>
      <c r="F71" s="862" t="s">
        <v>1210</v>
      </c>
      <c r="G71" s="865" t="s">
        <v>1210</v>
      </c>
      <c r="H71" s="865" t="s">
        <v>1210</v>
      </c>
      <c r="I71" s="865" t="s">
        <v>1210</v>
      </c>
      <c r="J71" s="1300" t="s">
        <v>1210</v>
      </c>
      <c r="K71" s="859" t="s">
        <v>1210</v>
      </c>
      <c r="L71" s="859" t="s">
        <v>1210</v>
      </c>
      <c r="M71" s="859" t="s">
        <v>1210</v>
      </c>
      <c r="N71" s="863" t="s">
        <v>3571</v>
      </c>
      <c r="O71" s="863" t="s">
        <v>3572</v>
      </c>
      <c r="P71" s="864" t="s">
        <v>358</v>
      </c>
      <c r="Q71" s="864">
        <v>1</v>
      </c>
      <c r="R71" s="864" t="s">
        <v>256</v>
      </c>
      <c r="S71" s="864" t="s">
        <v>259</v>
      </c>
      <c r="T71" s="864" t="s">
        <v>260</v>
      </c>
      <c r="U71" s="1306" t="s">
        <v>4935</v>
      </c>
      <c r="V71" s="78"/>
      <c r="W71" s="204"/>
      <c r="Z71" s="834"/>
    </row>
    <row r="72" spans="2:26" ht="18.75" customHeight="1" x14ac:dyDescent="0.25">
      <c r="B72" s="95" t="s">
        <v>1132</v>
      </c>
      <c r="C72" s="576" t="s">
        <v>2912</v>
      </c>
      <c r="D72" s="862" t="s">
        <v>1210</v>
      </c>
      <c r="E72" s="865">
        <v>1E-50</v>
      </c>
      <c r="F72" s="862" t="s">
        <v>1210</v>
      </c>
      <c r="G72" s="865" t="s">
        <v>1210</v>
      </c>
      <c r="H72" s="3022">
        <v>70</v>
      </c>
      <c r="I72" s="865" t="s">
        <v>1210</v>
      </c>
      <c r="J72" s="1300" t="s">
        <v>1210</v>
      </c>
      <c r="K72" s="859" t="s">
        <v>1210</v>
      </c>
      <c r="L72" s="859" t="s">
        <v>1210</v>
      </c>
      <c r="M72" s="859" t="s">
        <v>1210</v>
      </c>
      <c r="N72" s="863" t="s">
        <v>3571</v>
      </c>
      <c r="O72" s="863" t="s">
        <v>3572</v>
      </c>
      <c r="P72" s="864" t="s">
        <v>358</v>
      </c>
      <c r="Q72" s="864">
        <v>1</v>
      </c>
      <c r="R72" s="864" t="s">
        <v>256</v>
      </c>
      <c r="S72" s="864" t="s">
        <v>259</v>
      </c>
      <c r="T72" s="864" t="s">
        <v>260</v>
      </c>
      <c r="U72" s="1306" t="s">
        <v>4935</v>
      </c>
      <c r="V72" s="78"/>
      <c r="W72" s="204"/>
      <c r="Z72" s="834"/>
    </row>
    <row r="73" spans="2:26" ht="18.75" customHeight="1" x14ac:dyDescent="0.25">
      <c r="B73" s="1070" t="s">
        <v>4298</v>
      </c>
      <c r="C73" s="1064" t="s">
        <v>4290</v>
      </c>
      <c r="D73" s="1221" t="s">
        <v>1210</v>
      </c>
      <c r="E73" s="1055">
        <v>1E-50</v>
      </c>
      <c r="F73" s="1221" t="s">
        <v>1210</v>
      </c>
      <c r="G73" s="1055" t="s">
        <v>1210</v>
      </c>
      <c r="H73" s="3022">
        <v>500</v>
      </c>
      <c r="I73" s="1055" t="s">
        <v>1210</v>
      </c>
      <c r="J73" s="1055" t="s">
        <v>1210</v>
      </c>
      <c r="K73" s="859" t="s">
        <v>1210</v>
      </c>
      <c r="L73" s="859" t="s">
        <v>1210</v>
      </c>
      <c r="M73" s="859" t="s">
        <v>1210</v>
      </c>
      <c r="N73" s="1066" t="s">
        <v>3571</v>
      </c>
      <c r="O73" s="1066" t="s">
        <v>3572</v>
      </c>
      <c r="P73" s="1066" t="s">
        <v>358</v>
      </c>
      <c r="Q73" s="1066">
        <v>1</v>
      </c>
      <c r="R73" s="1066" t="s">
        <v>256</v>
      </c>
      <c r="S73" s="1066" t="s">
        <v>259</v>
      </c>
      <c r="T73" s="1066" t="s">
        <v>260</v>
      </c>
      <c r="U73" s="1306" t="s">
        <v>4935</v>
      </c>
      <c r="V73" s="1067"/>
      <c r="W73" s="1068"/>
      <c r="Z73" s="834"/>
    </row>
    <row r="74" spans="2:26" ht="18.75" customHeight="1" x14ac:dyDescent="0.25">
      <c r="B74" s="96" t="s">
        <v>354</v>
      </c>
      <c r="C74" s="576" t="s">
        <v>2913</v>
      </c>
      <c r="D74" s="862" t="s">
        <v>1210</v>
      </c>
      <c r="E74" s="865">
        <v>1E-50</v>
      </c>
      <c r="F74" s="862" t="s">
        <v>1210</v>
      </c>
      <c r="G74" s="865" t="s">
        <v>1210</v>
      </c>
      <c r="H74" s="3022">
        <v>400</v>
      </c>
      <c r="I74" s="865" t="s">
        <v>1210</v>
      </c>
      <c r="J74" s="1300" t="s">
        <v>1210</v>
      </c>
      <c r="K74" s="859" t="s">
        <v>1210</v>
      </c>
      <c r="L74" s="859" t="s">
        <v>1210</v>
      </c>
      <c r="M74" s="859" t="s">
        <v>1210</v>
      </c>
      <c r="N74" s="863" t="s">
        <v>3571</v>
      </c>
      <c r="O74" s="863" t="s">
        <v>3572</v>
      </c>
      <c r="P74" s="864" t="s">
        <v>358</v>
      </c>
      <c r="Q74" s="864">
        <v>1</v>
      </c>
      <c r="R74" s="864" t="s">
        <v>256</v>
      </c>
      <c r="S74" s="864" t="s">
        <v>259</v>
      </c>
      <c r="T74" s="864" t="s">
        <v>260</v>
      </c>
      <c r="U74" s="1306" t="s">
        <v>4935</v>
      </c>
      <c r="V74" s="78"/>
      <c r="W74" s="204"/>
      <c r="Z74" s="834"/>
    </row>
    <row r="75" spans="2:26" ht="18" x14ac:dyDescent="0.25">
      <c r="B75" s="98" t="s">
        <v>1113</v>
      </c>
      <c r="C75" s="576" t="s">
        <v>2914</v>
      </c>
      <c r="D75" s="862" t="s">
        <v>1210</v>
      </c>
      <c r="E75" s="865">
        <v>1E-50</v>
      </c>
      <c r="F75" s="862" t="s">
        <v>1210</v>
      </c>
      <c r="G75" s="865" t="s">
        <v>1210</v>
      </c>
      <c r="H75" s="3022" t="s">
        <v>1210</v>
      </c>
      <c r="I75" s="865" t="s">
        <v>1210</v>
      </c>
      <c r="J75" s="1300" t="s">
        <v>1210</v>
      </c>
      <c r="K75" s="859" t="s">
        <v>1210</v>
      </c>
      <c r="L75" s="859" t="s">
        <v>1210</v>
      </c>
      <c r="M75" s="859" t="s">
        <v>1210</v>
      </c>
      <c r="N75" s="863" t="s">
        <v>3571</v>
      </c>
      <c r="O75" s="863" t="s">
        <v>3572</v>
      </c>
      <c r="P75" s="864" t="s">
        <v>358</v>
      </c>
      <c r="Q75" s="864">
        <v>1</v>
      </c>
      <c r="R75" s="864" t="s">
        <v>256</v>
      </c>
      <c r="S75" s="864" t="s">
        <v>259</v>
      </c>
      <c r="T75" s="864" t="s">
        <v>260</v>
      </c>
      <c r="U75" s="1306" t="s">
        <v>4935</v>
      </c>
      <c r="V75" s="78"/>
      <c r="W75" s="204"/>
      <c r="Z75" s="834"/>
    </row>
    <row r="76" spans="2:26" ht="18.75" customHeight="1" x14ac:dyDescent="0.25">
      <c r="B76" s="742" t="s">
        <v>3229</v>
      </c>
      <c r="C76" s="832" t="s">
        <v>3230</v>
      </c>
      <c r="D76" s="854" t="s">
        <v>1210</v>
      </c>
      <c r="E76" s="867">
        <v>1E-50</v>
      </c>
      <c r="F76" s="854" t="s">
        <v>1210</v>
      </c>
      <c r="G76" s="854" t="s">
        <v>1210</v>
      </c>
      <c r="H76" s="3022">
        <v>3</v>
      </c>
      <c r="I76" s="854" t="s">
        <v>1210</v>
      </c>
      <c r="J76" s="854" t="s">
        <v>1210</v>
      </c>
      <c r="K76" s="859" t="s">
        <v>1210</v>
      </c>
      <c r="L76" s="859" t="s">
        <v>1210</v>
      </c>
      <c r="M76" s="859" t="s">
        <v>1210</v>
      </c>
      <c r="N76" s="863" t="s">
        <v>3571</v>
      </c>
      <c r="O76" s="863" t="s">
        <v>3572</v>
      </c>
      <c r="P76" s="506" t="s">
        <v>358</v>
      </c>
      <c r="Q76" s="506">
        <v>1</v>
      </c>
      <c r="R76" s="506" t="s">
        <v>256</v>
      </c>
      <c r="S76" s="506" t="s">
        <v>259</v>
      </c>
      <c r="T76" s="506" t="s">
        <v>260</v>
      </c>
      <c r="U76" s="1306" t="s">
        <v>4935</v>
      </c>
      <c r="V76" s="829"/>
      <c r="W76" s="836"/>
    </row>
    <row r="77" spans="2:26" customFormat="1" ht="18.75" x14ac:dyDescent="0.35">
      <c r="B77" s="2778" t="s">
        <v>5504</v>
      </c>
      <c r="C77" s="2779" t="s">
        <v>5505</v>
      </c>
      <c r="D77" s="2780">
        <v>9.9999999999999995E-7</v>
      </c>
      <c r="E77" s="2780">
        <v>9.9999999999999995E-7</v>
      </c>
      <c r="F77" s="2780">
        <v>9.9999999999999995E-7</v>
      </c>
      <c r="G77" s="2780">
        <v>9.9999999999999995E-7</v>
      </c>
      <c r="H77" s="2780">
        <v>9.9999999999999995E-7</v>
      </c>
      <c r="I77" s="2780">
        <v>9.9999999999999995E-7</v>
      </c>
      <c r="J77" s="2780">
        <v>9.9999999999999995E-7</v>
      </c>
      <c r="K77" s="2780">
        <v>9.9999999999999995E-7</v>
      </c>
      <c r="L77" s="2780">
        <v>9.9999999999999995E-7</v>
      </c>
      <c r="M77" s="2780">
        <v>9.9999999999999995E-7</v>
      </c>
      <c r="N77" s="2781" t="s">
        <v>3571</v>
      </c>
      <c r="O77" s="2781" t="s">
        <v>3572</v>
      </c>
      <c r="P77" s="2782" t="s">
        <v>5506</v>
      </c>
      <c r="Q77" s="2783">
        <v>4</v>
      </c>
      <c r="R77" s="2783" t="s">
        <v>256</v>
      </c>
      <c r="S77" s="2783" t="s">
        <v>257</v>
      </c>
      <c r="T77" s="2783" t="s">
        <v>260</v>
      </c>
      <c r="U77" s="2784" t="s">
        <v>5507</v>
      </c>
      <c r="V77" s="2779" t="s">
        <v>5507</v>
      </c>
      <c r="W77" s="2785"/>
    </row>
    <row r="78" spans="2:26" customFormat="1" ht="18.75" x14ac:dyDescent="0.35">
      <c r="B78" s="2778" t="s">
        <v>5508</v>
      </c>
      <c r="C78" s="2779" t="s">
        <v>5509</v>
      </c>
      <c r="D78" s="2780">
        <v>9.9999999999999995E-7</v>
      </c>
      <c r="E78" s="2780">
        <v>9.9999999999999995E-7</v>
      </c>
      <c r="F78" s="2780">
        <v>9.9999999999999995E-7</v>
      </c>
      <c r="G78" s="2780">
        <v>9.9999999999999995E-7</v>
      </c>
      <c r="H78" s="2780">
        <v>9.9999999999999995E-7</v>
      </c>
      <c r="I78" s="2780">
        <v>9.9999999999999995E-7</v>
      </c>
      <c r="J78" s="2780">
        <v>9.9999999999999995E-7</v>
      </c>
      <c r="K78" s="2780">
        <v>9.9999999999999995E-7</v>
      </c>
      <c r="L78" s="2780">
        <v>9.9999999999999995E-7</v>
      </c>
      <c r="M78" s="2780">
        <v>9.9999999999999995E-7</v>
      </c>
      <c r="N78" s="2781" t="s">
        <v>3571</v>
      </c>
      <c r="O78" s="2781" t="s">
        <v>3572</v>
      </c>
      <c r="P78" s="2782" t="s">
        <v>5506</v>
      </c>
      <c r="Q78" s="2783">
        <v>4</v>
      </c>
      <c r="R78" s="2783" t="s">
        <v>256</v>
      </c>
      <c r="S78" s="2783" t="s">
        <v>259</v>
      </c>
      <c r="T78" s="2783" t="s">
        <v>260</v>
      </c>
      <c r="U78" s="2784" t="s">
        <v>5507</v>
      </c>
      <c r="V78" s="2779" t="s">
        <v>5507</v>
      </c>
      <c r="W78" s="2785"/>
    </row>
    <row r="79" spans="2:26" customFormat="1" ht="18.75" x14ac:dyDescent="0.35">
      <c r="B79" s="2778" t="s">
        <v>5510</v>
      </c>
      <c r="C79" s="2779" t="s">
        <v>5511</v>
      </c>
      <c r="D79" s="2780">
        <v>9.9999999999999995E-7</v>
      </c>
      <c r="E79" s="2780">
        <v>9.9999999999999995E-7</v>
      </c>
      <c r="F79" s="2780">
        <v>9.9999999999999995E-7</v>
      </c>
      <c r="G79" s="2780">
        <v>9.9999999999999995E-7</v>
      </c>
      <c r="H79" s="2780">
        <v>9.9999999999999995E-7</v>
      </c>
      <c r="I79" s="2780">
        <v>9.9999999999999995E-7</v>
      </c>
      <c r="J79" s="2780">
        <v>9.9999999999999995E-7</v>
      </c>
      <c r="K79" s="2780">
        <v>9.9999999999999995E-7</v>
      </c>
      <c r="L79" s="2780">
        <v>9.9999999999999995E-7</v>
      </c>
      <c r="M79" s="2780">
        <v>9.9999999999999995E-7</v>
      </c>
      <c r="N79" s="2781" t="s">
        <v>3571</v>
      </c>
      <c r="O79" s="2781" t="s">
        <v>3572</v>
      </c>
      <c r="P79" s="2782" t="s">
        <v>5506</v>
      </c>
      <c r="Q79" s="2783">
        <v>4</v>
      </c>
      <c r="R79" s="2783" t="s">
        <v>256</v>
      </c>
      <c r="S79" s="2783" t="s">
        <v>257</v>
      </c>
      <c r="T79" s="2783" t="s">
        <v>260</v>
      </c>
      <c r="U79" s="2784" t="s">
        <v>5507</v>
      </c>
      <c r="V79" s="2779" t="s">
        <v>5507</v>
      </c>
      <c r="W79" s="2785"/>
    </row>
    <row r="80" spans="2:26" customFormat="1" ht="18.75" x14ac:dyDescent="0.35">
      <c r="B80" s="2778" t="s">
        <v>5512</v>
      </c>
      <c r="C80" s="2779" t="s">
        <v>5513</v>
      </c>
      <c r="D80" s="2780">
        <v>9.9999999999999995E-7</v>
      </c>
      <c r="E80" s="2780">
        <v>9.9999999999999995E-7</v>
      </c>
      <c r="F80" s="2780">
        <v>9.9999999999999995E-7</v>
      </c>
      <c r="G80" s="2780">
        <v>9.9999999999999995E-7</v>
      </c>
      <c r="H80" s="2780">
        <v>9.9999999999999995E-7</v>
      </c>
      <c r="I80" s="2780">
        <v>9.9999999999999995E-7</v>
      </c>
      <c r="J80" s="2780">
        <v>9.9999999999999995E-7</v>
      </c>
      <c r="K80" s="2780">
        <v>9.9999999999999995E-7</v>
      </c>
      <c r="L80" s="2780">
        <v>9.9999999999999995E-7</v>
      </c>
      <c r="M80" s="2780">
        <v>9.9999999999999995E-7</v>
      </c>
      <c r="N80" s="2781" t="s">
        <v>3571</v>
      </c>
      <c r="O80" s="2781" t="s">
        <v>3572</v>
      </c>
      <c r="P80" s="2782" t="s">
        <v>5506</v>
      </c>
      <c r="Q80" s="2783">
        <v>4</v>
      </c>
      <c r="R80" s="2783" t="s">
        <v>256</v>
      </c>
      <c r="S80" s="2783" t="s">
        <v>259</v>
      </c>
      <c r="T80" s="2783" t="s">
        <v>260</v>
      </c>
      <c r="U80" s="2784" t="s">
        <v>5507</v>
      </c>
      <c r="V80" s="2779" t="s">
        <v>5507</v>
      </c>
      <c r="W80" s="2785"/>
    </row>
    <row r="81" spans="2:26" ht="18" x14ac:dyDescent="0.25">
      <c r="B81" s="98" t="s">
        <v>5372</v>
      </c>
      <c r="C81" s="576" t="s">
        <v>1286</v>
      </c>
      <c r="D81" s="862">
        <v>83.626000000000005</v>
      </c>
      <c r="E81" s="862">
        <v>83.626000000000005</v>
      </c>
      <c r="F81" s="862">
        <v>83.626000000000005</v>
      </c>
      <c r="G81" s="862">
        <v>83.90024906587459</v>
      </c>
      <c r="H81" s="862">
        <v>146.34549999999999</v>
      </c>
      <c r="I81" s="862">
        <v>83.626000000000005</v>
      </c>
      <c r="J81" s="862">
        <v>83.626000000000005</v>
      </c>
      <c r="K81" s="859">
        <v>83.626000000000005</v>
      </c>
      <c r="L81" s="859">
        <v>83.626000000000005</v>
      </c>
      <c r="M81" s="859">
        <v>83.626000000000005</v>
      </c>
      <c r="N81" s="863" t="s">
        <v>3571</v>
      </c>
      <c r="O81" s="863" t="s">
        <v>3572</v>
      </c>
      <c r="P81" s="864" t="s">
        <v>4101</v>
      </c>
      <c r="Q81" s="864">
        <v>1</v>
      </c>
      <c r="R81" s="864" t="s">
        <v>256</v>
      </c>
      <c r="S81" s="864" t="s">
        <v>257</v>
      </c>
      <c r="T81" s="864" t="s">
        <v>260</v>
      </c>
      <c r="U81" s="2219" t="s">
        <v>5374</v>
      </c>
      <c r="V81" s="78"/>
      <c r="W81" s="204" t="s">
        <v>1287</v>
      </c>
      <c r="Z81" s="834"/>
    </row>
    <row r="82" spans="2:26" ht="18" x14ac:dyDescent="0.25">
      <c r="B82" s="1178" t="s">
        <v>4682</v>
      </c>
      <c r="C82" s="1064" t="s">
        <v>4683</v>
      </c>
      <c r="D82" s="1065">
        <v>0.18</v>
      </c>
      <c r="E82" s="1065">
        <v>0.5</v>
      </c>
      <c r="F82" s="1065">
        <v>0.18</v>
      </c>
      <c r="G82" s="1065">
        <v>0.5</v>
      </c>
      <c r="H82" s="3018">
        <v>0.01</v>
      </c>
      <c r="I82" s="1065">
        <v>0.5</v>
      </c>
      <c r="J82" s="1065">
        <v>0.5</v>
      </c>
      <c r="K82" s="1065">
        <v>0.5</v>
      </c>
      <c r="L82" s="1065">
        <v>0.66826300000000005</v>
      </c>
      <c r="M82" s="1065">
        <v>0.99993900000000002</v>
      </c>
      <c r="N82" s="1066">
        <v>0</v>
      </c>
      <c r="O82" s="1066">
        <v>1</v>
      </c>
      <c r="P82" s="1066" t="s">
        <v>1990</v>
      </c>
      <c r="Q82" s="1066">
        <v>2</v>
      </c>
      <c r="R82" s="1066" t="s">
        <v>256</v>
      </c>
      <c r="S82" s="1066" t="s">
        <v>257</v>
      </c>
      <c r="T82" s="1066" t="s">
        <v>260</v>
      </c>
      <c r="U82" s="1306" t="s">
        <v>4936</v>
      </c>
      <c r="V82" s="1067"/>
      <c r="W82" s="1068"/>
      <c r="Z82" s="834"/>
    </row>
    <row r="83" spans="2:26" customFormat="1" ht="18" x14ac:dyDescent="0.25">
      <c r="B83" s="2225" t="s">
        <v>5123</v>
      </c>
      <c r="C83" s="2226" t="s">
        <v>5124</v>
      </c>
      <c r="D83" s="2227">
        <v>900</v>
      </c>
      <c r="E83" s="2227">
        <v>1000</v>
      </c>
      <c r="F83" s="2227">
        <v>900</v>
      </c>
      <c r="G83" s="2227">
        <v>1000</v>
      </c>
      <c r="H83" s="3022">
        <v>730</v>
      </c>
      <c r="I83" s="2227">
        <v>1000</v>
      </c>
      <c r="J83" s="2227">
        <v>1000</v>
      </c>
      <c r="K83" s="2227">
        <v>1000</v>
      </c>
      <c r="L83" s="2227">
        <v>1000</v>
      </c>
      <c r="M83" s="2227">
        <v>800</v>
      </c>
      <c r="N83" s="2219" t="s">
        <v>3571</v>
      </c>
      <c r="O83" s="2219" t="s">
        <v>3572</v>
      </c>
      <c r="P83" s="2219" t="s">
        <v>1990</v>
      </c>
      <c r="Q83" s="2219">
        <v>0</v>
      </c>
      <c r="R83" s="2219" t="s">
        <v>506</v>
      </c>
      <c r="S83" s="2219" t="s">
        <v>257</v>
      </c>
      <c r="T83" s="2219" t="s">
        <v>260</v>
      </c>
      <c r="U83" s="2219" t="s">
        <v>2153</v>
      </c>
      <c r="V83" s="2228"/>
      <c r="W83" s="2229"/>
    </row>
    <row r="84" spans="2:26" ht="18" x14ac:dyDescent="0.25">
      <c r="B84" s="1230" t="s">
        <v>434</v>
      </c>
      <c r="C84" s="926" t="s">
        <v>3766</v>
      </c>
      <c r="D84" s="1222">
        <v>0.14349999999999999</v>
      </c>
      <c r="E84" s="1222">
        <v>0.14349999999999999</v>
      </c>
      <c r="F84" s="1222">
        <v>0.14349999999999999</v>
      </c>
      <c r="G84" s="1222">
        <v>0.14349999999999999</v>
      </c>
      <c r="H84" s="3019">
        <v>7</v>
      </c>
      <c r="I84" s="1222">
        <v>0.14349999999999999</v>
      </c>
      <c r="J84" s="1222">
        <v>0.14399999999999999</v>
      </c>
      <c r="K84" s="1222">
        <v>0.14349999999999999</v>
      </c>
      <c r="L84" s="1222">
        <v>0.1258</v>
      </c>
      <c r="M84" s="1222">
        <v>0.1258</v>
      </c>
      <c r="N84" s="863" t="s">
        <v>3571</v>
      </c>
      <c r="O84" s="863" t="s">
        <v>3572</v>
      </c>
      <c r="P84" s="1224" t="s">
        <v>3668</v>
      </c>
      <c r="Q84" s="863">
        <v>1</v>
      </c>
      <c r="R84" s="863" t="s">
        <v>435</v>
      </c>
      <c r="S84" s="863" t="s">
        <v>257</v>
      </c>
      <c r="T84" s="863" t="s">
        <v>800</v>
      </c>
      <c r="U84" s="1306" t="s">
        <v>4934</v>
      </c>
      <c r="V84" s="926"/>
      <c r="W84" s="836"/>
    </row>
    <row r="85" spans="2:26" ht="18" x14ac:dyDescent="0.25">
      <c r="B85" s="1230" t="s">
        <v>436</v>
      </c>
      <c r="C85" s="927" t="s">
        <v>3767</v>
      </c>
      <c r="D85" s="1055">
        <v>5.0000000000000001E-4</v>
      </c>
      <c r="E85" s="1055">
        <v>5.0000000000000001E-4</v>
      </c>
      <c r="F85" s="1055">
        <v>5.0000000000000001E-4</v>
      </c>
      <c r="G85" s="1055">
        <v>5.0000000000000001E-4</v>
      </c>
      <c r="H85" s="3023">
        <v>80</v>
      </c>
      <c r="I85" s="1055">
        <v>5.0000000000000001E-4</v>
      </c>
      <c r="J85" s="1055">
        <v>5.0000000000000001E-4</v>
      </c>
      <c r="K85" s="1055">
        <v>5.0000000000000001E-4</v>
      </c>
      <c r="L85" s="1055">
        <v>1.7299999999999999E-2</v>
      </c>
      <c r="M85" s="1055">
        <v>1.7299999999999999E-2</v>
      </c>
      <c r="N85" s="863" t="s">
        <v>3571</v>
      </c>
      <c r="O85" s="863" t="s">
        <v>3572</v>
      </c>
      <c r="P85" s="1225" t="s">
        <v>3669</v>
      </c>
      <c r="Q85" s="863">
        <v>1</v>
      </c>
      <c r="R85" s="863" t="s">
        <v>435</v>
      </c>
      <c r="S85" s="863" t="s">
        <v>257</v>
      </c>
      <c r="T85" s="863" t="s">
        <v>800</v>
      </c>
      <c r="U85" s="1306" t="s">
        <v>148</v>
      </c>
      <c r="V85" s="926"/>
      <c r="W85" s="836"/>
    </row>
    <row r="86" spans="2:26" ht="18" x14ac:dyDescent="0.25">
      <c r="B86" s="1230" t="s">
        <v>437</v>
      </c>
      <c r="C86" s="927" t="s">
        <v>3768</v>
      </c>
      <c r="D86" s="1055" t="s">
        <v>1210</v>
      </c>
      <c r="E86" s="867">
        <v>1E-50</v>
      </c>
      <c r="F86" s="1055" t="s">
        <v>1210</v>
      </c>
      <c r="G86" s="1055" t="s">
        <v>1210</v>
      </c>
      <c r="H86" s="3023">
        <v>0.05</v>
      </c>
      <c r="I86" s="1055" t="s">
        <v>1210</v>
      </c>
      <c r="J86" s="1055" t="s">
        <v>1210</v>
      </c>
      <c r="K86" s="1055" t="s">
        <v>1210</v>
      </c>
      <c r="L86" s="1055">
        <v>7.9000000000000008E-3</v>
      </c>
      <c r="M86" s="1055">
        <v>7.9000000000000008E-3</v>
      </c>
      <c r="N86" s="863" t="s">
        <v>3571</v>
      </c>
      <c r="O86" s="863" t="s">
        <v>3572</v>
      </c>
      <c r="P86" s="1226" t="s">
        <v>3669</v>
      </c>
      <c r="Q86" s="863">
        <v>1</v>
      </c>
      <c r="R86" s="863" t="s">
        <v>435</v>
      </c>
      <c r="S86" s="863" t="s">
        <v>257</v>
      </c>
      <c r="T86" s="863" t="s">
        <v>800</v>
      </c>
      <c r="U86" s="1306" t="s">
        <v>148</v>
      </c>
      <c r="V86" s="926"/>
      <c r="W86" s="836"/>
    </row>
    <row r="87" spans="2:26" ht="18" x14ac:dyDescent="0.25">
      <c r="B87" s="1230" t="s">
        <v>438</v>
      </c>
      <c r="C87" s="926" t="s">
        <v>3769</v>
      </c>
      <c r="D87" s="1222">
        <v>2.9327000000000001</v>
      </c>
      <c r="E87" s="1222">
        <v>2.9327000000000001</v>
      </c>
      <c r="F87" s="1222">
        <v>2.9327000000000001</v>
      </c>
      <c r="G87" s="1222">
        <v>2.9327000000000001</v>
      </c>
      <c r="H87" s="1223" t="s">
        <v>1210</v>
      </c>
      <c r="I87" s="1222">
        <v>2.9327000000000001</v>
      </c>
      <c r="J87" s="1222">
        <v>2.9327000000000001</v>
      </c>
      <c r="K87" s="1222">
        <v>2.9327000000000001</v>
      </c>
      <c r="L87" s="1222">
        <v>2.9916999999999998</v>
      </c>
      <c r="M87" s="1222">
        <v>2.9916999999999998</v>
      </c>
      <c r="N87" s="863" t="s">
        <v>3571</v>
      </c>
      <c r="O87" s="863" t="s">
        <v>3572</v>
      </c>
      <c r="P87" s="1227" t="s">
        <v>3670</v>
      </c>
      <c r="Q87" s="928">
        <v>1</v>
      </c>
      <c r="R87" s="928" t="s">
        <v>435</v>
      </c>
      <c r="S87" s="928" t="s">
        <v>257</v>
      </c>
      <c r="T87" s="928" t="s">
        <v>800</v>
      </c>
      <c r="U87" s="1307" t="s">
        <v>4933</v>
      </c>
      <c r="V87" s="926"/>
      <c r="W87" s="836"/>
    </row>
    <row r="88" spans="2:26" ht="18" x14ac:dyDescent="0.25">
      <c r="B88" s="1230" t="s">
        <v>1048</v>
      </c>
      <c r="C88" s="929" t="s">
        <v>3770</v>
      </c>
      <c r="D88" s="1055" t="s">
        <v>1210</v>
      </c>
      <c r="E88" s="867">
        <v>1E-50</v>
      </c>
      <c r="F88" s="1055" t="s">
        <v>1210</v>
      </c>
      <c r="G88" s="1055" t="s">
        <v>1210</v>
      </c>
      <c r="H88" s="3020">
        <v>4.0000000000000001E-3</v>
      </c>
      <c r="I88" s="1055" t="s">
        <v>1210</v>
      </c>
      <c r="J88" s="1055" t="s">
        <v>1210</v>
      </c>
      <c r="K88" s="1055" t="s">
        <v>1210</v>
      </c>
      <c r="L88" s="1055" t="s">
        <v>1210</v>
      </c>
      <c r="M88" s="1055" t="s">
        <v>1210</v>
      </c>
      <c r="N88" s="863" t="s">
        <v>3571</v>
      </c>
      <c r="O88" s="863" t="s">
        <v>3572</v>
      </c>
      <c r="P88" s="1229" t="s">
        <v>3671</v>
      </c>
      <c r="Q88" s="928">
        <v>1</v>
      </c>
      <c r="R88" s="928" t="s">
        <v>435</v>
      </c>
      <c r="S88" s="928" t="s">
        <v>257</v>
      </c>
      <c r="T88" s="928" t="s">
        <v>800</v>
      </c>
      <c r="U88" s="1306" t="s">
        <v>254</v>
      </c>
      <c r="V88" s="926"/>
      <c r="W88" s="836"/>
    </row>
    <row r="89" spans="2:26" ht="18" x14ac:dyDescent="0.25">
      <c r="B89" s="1230" t="s">
        <v>439</v>
      </c>
      <c r="C89" s="929" t="s">
        <v>3771</v>
      </c>
      <c r="D89" s="1228">
        <v>11.593</v>
      </c>
      <c r="E89" s="1228">
        <v>11.593</v>
      </c>
      <c r="F89" s="1228">
        <v>11.593</v>
      </c>
      <c r="G89" s="1228">
        <v>11.593</v>
      </c>
      <c r="H89" s="3020">
        <v>0.06</v>
      </c>
      <c r="I89" s="1228">
        <v>11.593</v>
      </c>
      <c r="J89" s="1228">
        <v>11.593</v>
      </c>
      <c r="K89" s="1228">
        <v>11.593</v>
      </c>
      <c r="L89" s="1228">
        <v>11.854799999999999</v>
      </c>
      <c r="M89" s="1228">
        <v>11.854799999999999</v>
      </c>
      <c r="N89" s="863" t="s">
        <v>3571</v>
      </c>
      <c r="O89" s="863" t="s">
        <v>3572</v>
      </c>
      <c r="P89" s="1229" t="s">
        <v>3848</v>
      </c>
      <c r="Q89" s="928">
        <v>1</v>
      </c>
      <c r="R89" s="928" t="s">
        <v>435</v>
      </c>
      <c r="S89" s="928" t="s">
        <v>257</v>
      </c>
      <c r="T89" s="928" t="s">
        <v>800</v>
      </c>
      <c r="U89" s="1306" t="s">
        <v>254</v>
      </c>
      <c r="V89" s="926"/>
      <c r="W89" s="836"/>
    </row>
    <row r="90" spans="2:26" ht="18.75" thickBot="1" x14ac:dyDescent="0.3">
      <c r="B90" s="1310" t="s">
        <v>3231</v>
      </c>
      <c r="C90" s="1311" t="s">
        <v>3232</v>
      </c>
      <c r="D90" s="1312" t="s">
        <v>1210</v>
      </c>
      <c r="E90" s="1312">
        <v>1E-50</v>
      </c>
      <c r="F90" s="1312" t="s">
        <v>1210</v>
      </c>
      <c r="G90" s="1312" t="s">
        <v>1210</v>
      </c>
      <c r="H90" s="3021">
        <v>0.24</v>
      </c>
      <c r="I90" s="1312" t="s">
        <v>1210</v>
      </c>
      <c r="J90" s="1312" t="s">
        <v>1210</v>
      </c>
      <c r="K90" s="1312" t="s">
        <v>1210</v>
      </c>
      <c r="L90" s="1312" t="s">
        <v>1210</v>
      </c>
      <c r="M90" s="1312" t="s">
        <v>1210</v>
      </c>
      <c r="N90" s="1313">
        <v>0</v>
      </c>
      <c r="O90" s="1313">
        <v>100</v>
      </c>
      <c r="P90" s="1314" t="s">
        <v>3672</v>
      </c>
      <c r="Q90" s="1315">
        <v>1</v>
      </c>
      <c r="R90" s="1315" t="s">
        <v>435</v>
      </c>
      <c r="S90" s="1315" t="s">
        <v>257</v>
      </c>
      <c r="T90" s="1315" t="s">
        <v>800</v>
      </c>
      <c r="U90" s="1313" t="s">
        <v>257</v>
      </c>
      <c r="V90" s="1316"/>
      <c r="W90" s="1317"/>
    </row>
    <row r="91" spans="2:26" ht="18" x14ac:dyDescent="0.25">
      <c r="B91" s="1318" t="s">
        <v>3662</v>
      </c>
      <c r="C91" s="1319" t="s">
        <v>2915</v>
      </c>
      <c r="D91" s="1320">
        <v>0.04</v>
      </c>
      <c r="E91" s="1320">
        <v>0.04</v>
      </c>
      <c r="F91" s="1320">
        <v>0.04</v>
      </c>
      <c r="G91" s="1320">
        <v>0.04</v>
      </c>
      <c r="H91" s="1320">
        <v>0.04</v>
      </c>
      <c r="I91" s="1320">
        <v>0.04</v>
      </c>
      <c r="J91" s="1320">
        <v>0.04</v>
      </c>
      <c r="K91" s="1320">
        <v>0.04</v>
      </c>
      <c r="L91" s="1320">
        <v>0.04</v>
      </c>
      <c r="M91" s="1320">
        <v>0.04</v>
      </c>
      <c r="N91" s="1309">
        <v>0</v>
      </c>
      <c r="O91" s="1309">
        <v>100</v>
      </c>
      <c r="P91" s="1321" t="s">
        <v>1864</v>
      </c>
      <c r="Q91" s="1322">
        <v>1</v>
      </c>
      <c r="R91" s="1322" t="s">
        <v>435</v>
      </c>
      <c r="S91" s="1322" t="s">
        <v>257</v>
      </c>
      <c r="T91" s="1322" t="s">
        <v>3673</v>
      </c>
      <c r="U91" s="1309" t="s">
        <v>4934</v>
      </c>
      <c r="V91" s="1323"/>
      <c r="W91" s="1324"/>
    </row>
    <row r="92" spans="2:26" ht="18" x14ac:dyDescent="0.25">
      <c r="B92" s="1325" t="s">
        <v>3663</v>
      </c>
      <c r="C92" s="1326" t="s">
        <v>2916</v>
      </c>
      <c r="D92" s="1327" t="s">
        <v>1210</v>
      </c>
      <c r="E92" s="1327">
        <v>1E-50</v>
      </c>
      <c r="F92" s="1327" t="s">
        <v>1210</v>
      </c>
      <c r="G92" s="1327" t="s">
        <v>1210</v>
      </c>
      <c r="H92" s="1327" t="s">
        <v>1210</v>
      </c>
      <c r="I92" s="1327" t="s">
        <v>1210</v>
      </c>
      <c r="J92" s="1327" t="s">
        <v>1210</v>
      </c>
      <c r="K92" s="1327" t="s">
        <v>1210</v>
      </c>
      <c r="L92" s="1327" t="s">
        <v>1210</v>
      </c>
      <c r="M92" s="1327" t="s">
        <v>1210</v>
      </c>
      <c r="N92" s="1306">
        <v>0</v>
      </c>
      <c r="O92" s="1306">
        <v>100</v>
      </c>
      <c r="P92" s="1328" t="s">
        <v>1864</v>
      </c>
      <c r="Q92" s="1307">
        <v>1</v>
      </c>
      <c r="R92" s="1307" t="s">
        <v>435</v>
      </c>
      <c r="S92" s="1307" t="s">
        <v>257</v>
      </c>
      <c r="T92" s="1307" t="s">
        <v>3673</v>
      </c>
      <c r="U92" s="1306" t="s">
        <v>148</v>
      </c>
      <c r="V92" s="1329"/>
      <c r="W92" s="1330"/>
    </row>
    <row r="93" spans="2:26" ht="18" x14ac:dyDescent="0.25">
      <c r="B93" s="1325" t="s">
        <v>3664</v>
      </c>
      <c r="C93" s="1326" t="s">
        <v>2917</v>
      </c>
      <c r="D93" s="1327" t="s">
        <v>1210</v>
      </c>
      <c r="E93" s="1327">
        <v>1E-50</v>
      </c>
      <c r="F93" s="1327" t="s">
        <v>1210</v>
      </c>
      <c r="G93" s="1327" t="s">
        <v>1210</v>
      </c>
      <c r="H93" s="1327" t="s">
        <v>1210</v>
      </c>
      <c r="I93" s="1327" t="s">
        <v>1210</v>
      </c>
      <c r="J93" s="1327" t="s">
        <v>1210</v>
      </c>
      <c r="K93" s="1327" t="s">
        <v>1210</v>
      </c>
      <c r="L93" s="1327" t="s">
        <v>1210</v>
      </c>
      <c r="M93" s="1327" t="s">
        <v>1210</v>
      </c>
      <c r="N93" s="1306">
        <v>0</v>
      </c>
      <c r="O93" s="1306">
        <v>100</v>
      </c>
      <c r="P93" s="1328" t="s">
        <v>1864</v>
      </c>
      <c r="Q93" s="1307">
        <v>1</v>
      </c>
      <c r="R93" s="1307" t="s">
        <v>435</v>
      </c>
      <c r="S93" s="1307" t="s">
        <v>257</v>
      </c>
      <c r="T93" s="1307" t="s">
        <v>3673</v>
      </c>
      <c r="U93" s="1306" t="s">
        <v>148</v>
      </c>
      <c r="V93" s="1329"/>
      <c r="W93" s="1330"/>
    </row>
    <row r="94" spans="2:26" ht="18" x14ac:dyDescent="0.25">
      <c r="B94" s="1325" t="s">
        <v>3665</v>
      </c>
      <c r="C94" s="1326" t="s">
        <v>2918</v>
      </c>
      <c r="D94" s="1327">
        <v>20.95</v>
      </c>
      <c r="E94" s="1327">
        <v>20.95</v>
      </c>
      <c r="F94" s="1327">
        <v>20.95</v>
      </c>
      <c r="G94" s="1327">
        <v>20.95</v>
      </c>
      <c r="H94" s="1327">
        <v>20.95</v>
      </c>
      <c r="I94" s="1327">
        <v>20.95</v>
      </c>
      <c r="J94" s="1327">
        <v>20.95</v>
      </c>
      <c r="K94" s="1327">
        <v>20.95</v>
      </c>
      <c r="L94" s="1327">
        <v>20.95</v>
      </c>
      <c r="M94" s="1327">
        <v>20.95</v>
      </c>
      <c r="N94" s="1306">
        <v>0</v>
      </c>
      <c r="O94" s="1306">
        <v>100</v>
      </c>
      <c r="P94" s="1328" t="s">
        <v>1864</v>
      </c>
      <c r="Q94" s="1307">
        <v>1</v>
      </c>
      <c r="R94" s="1307" t="s">
        <v>435</v>
      </c>
      <c r="S94" s="1307" t="s">
        <v>257</v>
      </c>
      <c r="T94" s="1307" t="s">
        <v>3673</v>
      </c>
      <c r="U94" s="1306" t="s">
        <v>4933</v>
      </c>
      <c r="V94" s="1329"/>
      <c r="W94" s="1330"/>
    </row>
    <row r="95" spans="2:26" ht="18" x14ac:dyDescent="0.25">
      <c r="B95" s="1325" t="s">
        <v>3666</v>
      </c>
      <c r="C95" s="1326" t="s">
        <v>2919</v>
      </c>
      <c r="D95" s="1327" t="s">
        <v>1210</v>
      </c>
      <c r="E95" s="1327">
        <v>1E-50</v>
      </c>
      <c r="F95" s="1327" t="s">
        <v>1210</v>
      </c>
      <c r="G95" s="1327" t="s">
        <v>1210</v>
      </c>
      <c r="H95" s="1327" t="s">
        <v>1210</v>
      </c>
      <c r="I95" s="1327" t="s">
        <v>1210</v>
      </c>
      <c r="J95" s="1327" t="s">
        <v>1210</v>
      </c>
      <c r="K95" s="1327" t="s">
        <v>1210</v>
      </c>
      <c r="L95" s="1327" t="s">
        <v>1210</v>
      </c>
      <c r="M95" s="1327" t="s">
        <v>1210</v>
      </c>
      <c r="N95" s="1306">
        <v>0</v>
      </c>
      <c r="O95" s="1306">
        <v>100</v>
      </c>
      <c r="P95" s="1328" t="s">
        <v>1864</v>
      </c>
      <c r="Q95" s="1307">
        <v>1</v>
      </c>
      <c r="R95" s="1307" t="s">
        <v>435</v>
      </c>
      <c r="S95" s="1307" t="s">
        <v>257</v>
      </c>
      <c r="T95" s="1307" t="s">
        <v>3673</v>
      </c>
      <c r="U95" s="1306" t="s">
        <v>254</v>
      </c>
      <c r="V95" s="1329"/>
      <c r="W95" s="1330"/>
    </row>
    <row r="96" spans="2:26" ht="18" x14ac:dyDescent="0.25">
      <c r="B96" s="1325" t="s">
        <v>3667</v>
      </c>
      <c r="C96" s="1326" t="s">
        <v>2920</v>
      </c>
      <c r="D96" s="1327">
        <v>79.010000000000005</v>
      </c>
      <c r="E96" s="1327">
        <v>79.010000000000005</v>
      </c>
      <c r="F96" s="1327">
        <v>79.010000000000005</v>
      </c>
      <c r="G96" s="1327">
        <v>79.010000000000005</v>
      </c>
      <c r="H96" s="1327">
        <v>79.010000000000005</v>
      </c>
      <c r="I96" s="1327">
        <v>79.010000000000005</v>
      </c>
      <c r="J96" s="1327">
        <v>79.010000000000005</v>
      </c>
      <c r="K96" s="1327">
        <v>79.010000000000005</v>
      </c>
      <c r="L96" s="1327">
        <v>79.010000000000005</v>
      </c>
      <c r="M96" s="1327">
        <v>79.010000000000005</v>
      </c>
      <c r="N96" s="1306">
        <v>0</v>
      </c>
      <c r="O96" s="1306">
        <v>100</v>
      </c>
      <c r="P96" s="1328" t="s">
        <v>1864</v>
      </c>
      <c r="Q96" s="1307">
        <v>1</v>
      </c>
      <c r="R96" s="1307" t="s">
        <v>435</v>
      </c>
      <c r="S96" s="1307" t="s">
        <v>257</v>
      </c>
      <c r="T96" s="1307" t="s">
        <v>3673</v>
      </c>
      <c r="U96" s="1306" t="s">
        <v>254</v>
      </c>
      <c r="V96" s="1329"/>
      <c r="W96" s="1330"/>
    </row>
    <row r="97" spans="2:23" ht="18.75" thickBot="1" x14ac:dyDescent="0.3">
      <c r="B97" s="1331" t="s">
        <v>3655</v>
      </c>
      <c r="C97" s="1332" t="s">
        <v>3232</v>
      </c>
      <c r="D97" s="1333" t="s">
        <v>1210</v>
      </c>
      <c r="E97" s="1333">
        <v>1E-50</v>
      </c>
      <c r="F97" s="1333" t="s">
        <v>1210</v>
      </c>
      <c r="G97" s="1333" t="s">
        <v>1210</v>
      </c>
      <c r="H97" s="1333" t="s">
        <v>1210</v>
      </c>
      <c r="I97" s="1333" t="s">
        <v>1210</v>
      </c>
      <c r="J97" s="1333" t="s">
        <v>1210</v>
      </c>
      <c r="K97" s="1333" t="s">
        <v>1210</v>
      </c>
      <c r="L97" s="1312" t="s">
        <v>1210</v>
      </c>
      <c r="M97" s="1312" t="s">
        <v>1210</v>
      </c>
      <c r="N97" s="1308">
        <v>0</v>
      </c>
      <c r="O97" s="1308">
        <v>100</v>
      </c>
      <c r="P97" s="1334" t="s">
        <v>1864</v>
      </c>
      <c r="Q97" s="1335">
        <v>1</v>
      </c>
      <c r="R97" s="1335" t="s">
        <v>435</v>
      </c>
      <c r="S97" s="1335" t="s">
        <v>257</v>
      </c>
      <c r="T97" s="1335" t="s">
        <v>3673</v>
      </c>
      <c r="U97" s="1308" t="s">
        <v>257</v>
      </c>
      <c r="V97" s="1210"/>
      <c r="W97" s="1336"/>
    </row>
    <row r="98" spans="2:23" ht="18.75" thickBot="1" x14ac:dyDescent="0.3">
      <c r="B98" s="1337" t="s">
        <v>3233</v>
      </c>
      <c r="C98" s="1338" t="s">
        <v>3234</v>
      </c>
      <c r="D98" s="1339" t="s">
        <v>1210</v>
      </c>
      <c r="E98" s="1339">
        <v>0.5</v>
      </c>
      <c r="F98" s="1339" t="s">
        <v>1210</v>
      </c>
      <c r="G98" s="1339">
        <v>0.5</v>
      </c>
      <c r="H98" s="1340">
        <v>1</v>
      </c>
      <c r="I98" s="1339">
        <v>0.5</v>
      </c>
      <c r="J98" s="1339">
        <v>0.5</v>
      </c>
      <c r="K98" s="1339">
        <v>0.5</v>
      </c>
      <c r="L98" s="1339">
        <v>0.5</v>
      </c>
      <c r="M98" s="1339" t="s">
        <v>1210</v>
      </c>
      <c r="N98" s="1341">
        <v>0</v>
      </c>
      <c r="O98" s="1341">
        <v>1</v>
      </c>
      <c r="P98" s="1341" t="s">
        <v>1990</v>
      </c>
      <c r="Q98" s="1341">
        <v>2</v>
      </c>
      <c r="R98" s="1341" t="s">
        <v>256</v>
      </c>
      <c r="S98" s="1341" t="s">
        <v>257</v>
      </c>
      <c r="T98" s="1341" t="s">
        <v>260</v>
      </c>
      <c r="U98" s="1341" t="s">
        <v>4937</v>
      </c>
      <c r="V98" s="1338"/>
      <c r="W98" s="1342"/>
    </row>
  </sheetData>
  <phoneticPr fontId="39" type="noConversion"/>
  <conditionalFormatting sqref="K4:K8 K10:K24">
    <cfRule type="cellIs" dxfId="159" priority="30" operator="equal">
      <formula>0</formula>
    </cfRule>
    <cfRule type="cellIs" dxfId="158" priority="31" operator="equal">
      <formula>0</formula>
    </cfRule>
    <cfRule type="cellIs" dxfId="157" priority="32" operator="equal">
      <formula>0</formula>
    </cfRule>
  </conditionalFormatting>
  <conditionalFormatting sqref="K25">
    <cfRule type="cellIs" dxfId="156" priority="24" operator="equal">
      <formula>0</formula>
    </cfRule>
    <cfRule type="cellIs" dxfId="155" priority="25" operator="equal">
      <formula>0</formula>
    </cfRule>
    <cfRule type="cellIs" dxfId="154" priority="26" operator="equal">
      <formula>0</formula>
    </cfRule>
  </conditionalFormatting>
  <conditionalFormatting sqref="K26:K27">
    <cfRule type="cellIs" dxfId="153" priority="21" operator="equal">
      <formula>0</formula>
    </cfRule>
    <cfRule type="cellIs" dxfId="152" priority="22" operator="equal">
      <formula>0</formula>
    </cfRule>
    <cfRule type="cellIs" dxfId="151" priority="23" operator="equal">
      <formula>0</formula>
    </cfRule>
  </conditionalFormatting>
  <conditionalFormatting sqref="C64 C66 C68 C70">
    <cfRule type="cellIs" dxfId="150" priority="20" operator="equal">
      <formula>0</formula>
    </cfRule>
  </conditionalFormatting>
  <conditionalFormatting sqref="C65 C67 C69">
    <cfRule type="cellIs" dxfId="149" priority="19" operator="equal">
      <formula>0</formula>
    </cfRule>
  </conditionalFormatting>
  <conditionalFormatting sqref="L4:L8 L10:L24">
    <cfRule type="cellIs" dxfId="148" priority="16" operator="equal">
      <formula>0</formula>
    </cfRule>
    <cfRule type="cellIs" dxfId="147" priority="17" operator="equal">
      <formula>0</formula>
    </cfRule>
    <cfRule type="cellIs" dxfId="146" priority="18" operator="equal">
      <formula>0</formula>
    </cfRule>
  </conditionalFormatting>
  <conditionalFormatting sqref="M4:M8 M10:M24">
    <cfRule type="cellIs" dxfId="145" priority="7" operator="equal">
      <formula>0</formula>
    </cfRule>
    <cfRule type="cellIs" dxfId="144" priority="8" operator="equal">
      <formula>0</formula>
    </cfRule>
    <cfRule type="cellIs" dxfId="143" priority="9" operator="equal">
      <formula>0</formula>
    </cfRule>
  </conditionalFormatting>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Munka5"/>
  <dimension ref="B1:G4"/>
  <sheetViews>
    <sheetView showGridLines="0" workbookViewId="0">
      <selection activeCell="D23" sqref="D23"/>
    </sheetView>
  </sheetViews>
  <sheetFormatPr baseColWidth="10" defaultColWidth="9.140625" defaultRowHeight="15" x14ac:dyDescent="0.25"/>
  <cols>
    <col min="1" max="1" width="16.7109375" customWidth="1"/>
    <col min="2" max="2" width="7.5703125" bestFit="1" customWidth="1"/>
    <col min="3" max="3" width="19.28515625" customWidth="1"/>
    <col min="4" max="4" width="51.7109375" customWidth="1"/>
    <col min="5" max="5" width="4.7109375" bestFit="1" customWidth="1"/>
    <col min="6" max="6" width="5" bestFit="1" customWidth="1"/>
    <col min="7" max="7" width="22.28515625" customWidth="1"/>
  </cols>
  <sheetData>
    <row r="1" spans="2:7" s="46" customFormat="1" ht="57.75" customHeight="1" thickBot="1" x14ac:dyDescent="0.3"/>
    <row r="2" spans="2:7" ht="15.75" thickBot="1" x14ac:dyDescent="0.3">
      <c r="B2" s="4"/>
      <c r="C2" s="58" t="s">
        <v>115</v>
      </c>
      <c r="D2" s="59" t="s">
        <v>118</v>
      </c>
      <c r="E2" s="4"/>
      <c r="F2" s="4"/>
      <c r="G2" s="4"/>
    </row>
    <row r="3" spans="2:7" x14ac:dyDescent="0.25">
      <c r="B3" s="53" t="s">
        <v>0</v>
      </c>
      <c r="C3" s="54" t="s">
        <v>1</v>
      </c>
      <c r="D3" s="54" t="s">
        <v>5</v>
      </c>
      <c r="E3" s="55" t="s">
        <v>2</v>
      </c>
      <c r="F3" s="56" t="s">
        <v>116</v>
      </c>
      <c r="G3" s="57" t="s">
        <v>117</v>
      </c>
    </row>
    <row r="4" spans="2:7" x14ac:dyDescent="0.25">
      <c r="B4" s="5"/>
      <c r="C4" s="5"/>
      <c r="D4" s="5"/>
      <c r="E4" s="5"/>
      <c r="F4" s="5"/>
      <c r="G4" s="5"/>
    </row>
  </sheetData>
  <phoneticPr fontId="39" type="noConversion"/>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Munka6"/>
  <dimension ref="B1:G4"/>
  <sheetViews>
    <sheetView showGridLines="0" workbookViewId="0">
      <selection activeCell="C2" sqref="C2"/>
    </sheetView>
  </sheetViews>
  <sheetFormatPr baseColWidth="10" defaultColWidth="9.140625" defaultRowHeight="15" x14ac:dyDescent="0.25"/>
  <cols>
    <col min="2" max="2" width="15.140625" customWidth="1"/>
    <col min="3" max="3" width="24.7109375" customWidth="1"/>
    <col min="4" max="4" width="20.7109375" customWidth="1"/>
    <col min="7" max="7" width="23.28515625" customWidth="1"/>
  </cols>
  <sheetData>
    <row r="1" spans="2:7" s="46" customFormat="1" ht="43.5" customHeight="1" thickBot="1" x14ac:dyDescent="0.3"/>
    <row r="2" spans="2:7" ht="15.75" thickBot="1" x14ac:dyDescent="0.3">
      <c r="B2" s="4"/>
      <c r="C2" s="2" t="s">
        <v>115</v>
      </c>
      <c r="D2" s="13"/>
      <c r="E2" s="4"/>
      <c r="F2" s="4"/>
      <c r="G2" s="4"/>
    </row>
    <row r="3" spans="2:7" x14ac:dyDescent="0.25">
      <c r="B3" s="14" t="s">
        <v>0</v>
      </c>
      <c r="C3" s="15" t="s">
        <v>1</v>
      </c>
      <c r="D3" s="15" t="s">
        <v>5</v>
      </c>
      <c r="E3" s="16" t="s">
        <v>2</v>
      </c>
      <c r="F3" s="17" t="s">
        <v>116</v>
      </c>
      <c r="G3" s="18" t="s">
        <v>117</v>
      </c>
    </row>
    <row r="4" spans="2:7" x14ac:dyDescent="0.25">
      <c r="B4" s="5"/>
      <c r="C4" s="5"/>
      <c r="D4" s="5"/>
      <c r="E4" s="5"/>
      <c r="F4" s="5"/>
      <c r="G4" s="5"/>
    </row>
  </sheetData>
  <phoneticPr fontId="39"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Munka9"/>
  <dimension ref="A1:N957"/>
  <sheetViews>
    <sheetView showGridLines="0" zoomScaleNormal="100" workbookViewId="0">
      <pane ySplit="1" topLeftCell="A2" activePane="bottomLeft" state="frozen"/>
      <selection pane="bottomLeft"/>
    </sheetView>
  </sheetViews>
  <sheetFormatPr baseColWidth="10" defaultColWidth="9.140625" defaultRowHeight="15" outlineLevelRow="1" x14ac:dyDescent="0.25"/>
  <cols>
    <col min="1" max="1" width="3.5703125" style="115" customWidth="1"/>
    <col min="2" max="2" width="22.7109375" style="115" customWidth="1"/>
    <col min="3" max="3" width="69" style="115" customWidth="1"/>
    <col min="4" max="4" width="82.28515625" style="115" customWidth="1"/>
    <col min="5" max="5" width="13.7109375" style="417" customWidth="1"/>
    <col min="6" max="6" width="14.140625" style="115" bestFit="1" customWidth="1"/>
    <col min="7" max="7" width="10" style="115" bestFit="1" customWidth="1"/>
    <col min="8" max="8" width="58.140625" style="502" bestFit="1" customWidth="1"/>
    <col min="9" max="9" width="55.140625" style="115" bestFit="1" customWidth="1"/>
    <col min="10" max="10" width="33.140625" style="115" bestFit="1" customWidth="1"/>
    <col min="11" max="11" width="29.28515625" style="115" bestFit="1" customWidth="1"/>
    <col min="12" max="12" width="26.28515625" style="115" customWidth="1"/>
    <col min="13" max="16384" width="9.140625" style="115"/>
  </cols>
  <sheetData>
    <row r="1" spans="1:9" s="154" customFormat="1" ht="62.25" customHeight="1" thickBot="1" x14ac:dyDescent="0.3">
      <c r="A1" s="154" t="s">
        <v>1217</v>
      </c>
      <c r="E1" s="365"/>
      <c r="H1" s="1343"/>
    </row>
    <row r="2" spans="1:9" ht="15.75" thickBot="1" x14ac:dyDescent="0.3">
      <c r="C2" s="898" t="s">
        <v>318</v>
      </c>
      <c r="D2" s="119" t="s">
        <v>315</v>
      </c>
      <c r="E2" s="366"/>
    </row>
    <row r="3" spans="1:9" s="4" customFormat="1" ht="15.75" thickBot="1" x14ac:dyDescent="0.3">
      <c r="B3" s="1234" t="s">
        <v>0</v>
      </c>
      <c r="C3" s="2125" t="s">
        <v>1</v>
      </c>
      <c r="D3" s="1200" t="s">
        <v>5</v>
      </c>
      <c r="E3" s="1200" t="s">
        <v>152</v>
      </c>
      <c r="F3" s="1200" t="s">
        <v>2</v>
      </c>
      <c r="G3" s="1200" t="s">
        <v>298</v>
      </c>
      <c r="H3" s="2541" t="s">
        <v>116</v>
      </c>
      <c r="I3" s="1201" t="s">
        <v>117</v>
      </c>
    </row>
    <row r="4" spans="1:9" ht="18" outlineLevel="1" x14ac:dyDescent="0.25">
      <c r="B4" s="583" t="s">
        <v>1743</v>
      </c>
      <c r="C4" s="1286" t="s">
        <v>281</v>
      </c>
      <c r="D4" s="1286" t="s">
        <v>5939</v>
      </c>
      <c r="E4" s="584">
        <f>X_OHO+X_CASTO+X_MEOLO+X_AOB+X_NOB+X_AMX+X_AMETO+X_HMETO+X_ASRO+X_HSRO+X_SOO+X_ALGAE</f>
        <v>1241.5</v>
      </c>
      <c r="F4" s="555" t="s">
        <v>1180</v>
      </c>
      <c r="G4" s="555">
        <v>1</v>
      </c>
      <c r="H4" s="2542"/>
      <c r="I4" s="585"/>
    </row>
    <row r="5" spans="1:9" ht="18" outlineLevel="1" x14ac:dyDescent="0.25">
      <c r="B5" s="2531" t="s">
        <v>5307</v>
      </c>
      <c r="C5" s="1974" t="s">
        <v>5308</v>
      </c>
      <c r="D5" s="1974" t="s">
        <v>5315</v>
      </c>
      <c r="E5" s="2532">
        <f>X_OHO+X_CASTO+X_AMETO</f>
        <v>1000.3</v>
      </c>
      <c r="F5" s="2533" t="s">
        <v>1180</v>
      </c>
      <c r="G5" s="2533">
        <v>1</v>
      </c>
      <c r="H5" s="2543"/>
      <c r="I5" s="1824"/>
    </row>
    <row r="6" spans="1:9" ht="18" outlineLevel="1" x14ac:dyDescent="0.25">
      <c r="A6" s="4"/>
      <c r="B6" s="588" t="s">
        <v>1744</v>
      </c>
      <c r="C6" s="460" t="s">
        <v>2635</v>
      </c>
      <c r="D6" s="3041" t="s">
        <v>5902</v>
      </c>
      <c r="E6" s="586">
        <f>X_BIO+X_B+X_B_e+X_U+X_PHA_PAO+X_PHA_GAO+X_E_ana+X_E</f>
        <v>2643.6</v>
      </c>
      <c r="F6" s="462" t="s">
        <v>1180</v>
      </c>
      <c r="G6" s="462">
        <v>1</v>
      </c>
      <c r="H6" s="505"/>
      <c r="I6" s="587"/>
    </row>
    <row r="7" spans="1:9" s="4" customFormat="1" ht="18" outlineLevel="1" x14ac:dyDescent="0.25">
      <c r="B7" s="589" t="s">
        <v>2949</v>
      </c>
      <c r="C7" s="1288" t="s">
        <v>2950</v>
      </c>
      <c r="D7" s="1287" t="s">
        <v>2956</v>
      </c>
      <c r="E7" s="591">
        <f>S_B+S_VFA+S_MEOL</f>
        <v>1.01</v>
      </c>
      <c r="F7" s="462" t="s">
        <v>1180</v>
      </c>
      <c r="G7" s="829">
        <v>1</v>
      </c>
      <c r="H7" s="2544"/>
      <c r="I7" s="836"/>
    </row>
    <row r="8" spans="1:9" s="4" customFormat="1" ht="18" outlineLevel="1" x14ac:dyDescent="0.25">
      <c r="B8" s="589" t="s">
        <v>2951</v>
      </c>
      <c r="C8" s="1288" t="s">
        <v>2952</v>
      </c>
      <c r="D8" s="1288" t="s">
        <v>6034</v>
      </c>
      <c r="E8" s="591">
        <f>X_B+X_B_e+C_B</f>
        <v>79.010000000000005</v>
      </c>
      <c r="F8" s="462" t="s">
        <v>1180</v>
      </c>
      <c r="G8" s="829">
        <v>1</v>
      </c>
      <c r="H8" s="2544"/>
      <c r="I8" s="836"/>
    </row>
    <row r="9" spans="1:9" ht="18" outlineLevel="1" x14ac:dyDescent="0.25">
      <c r="B9" s="588" t="s">
        <v>1745</v>
      </c>
      <c r="C9" s="460" t="s">
        <v>2636</v>
      </c>
      <c r="D9" s="460" t="s">
        <v>1746</v>
      </c>
      <c r="E9" s="586">
        <f>X_BIO/i_CV_BIO</f>
        <v>874.29577464788736</v>
      </c>
      <c r="F9" s="462" t="s">
        <v>1747</v>
      </c>
      <c r="G9" s="462">
        <v>1</v>
      </c>
      <c r="H9" s="505"/>
      <c r="I9" s="587"/>
    </row>
    <row r="10" spans="1:9" ht="36" outlineLevel="1" x14ac:dyDescent="0.25">
      <c r="A10" s="4"/>
      <c r="B10" s="588" t="s">
        <v>1748</v>
      </c>
      <c r="C10" s="460" t="s">
        <v>2095</v>
      </c>
      <c r="D10" s="1289" t="s">
        <v>5903</v>
      </c>
      <c r="E10" s="586">
        <f>X_VSS_BIO+X_B/i_CV_XB+X_B_e/i_CV_XBe+X_U/i_CV_XU+X_PHA_PAO/i_CV_PHA+X_PHA_GAO/i_CV_PHA+X_E_ana/i_CV_XE+X_E/i_CV_XE+f_H2O_HFO_VSS*X_HFO*M_MFeOH3/A_MFe+f_H2O_HAO_VSS*X_HAO*M_MAlOH3/A_MAl+X_S</f>
        <v>1922.2143070687055</v>
      </c>
      <c r="F10" s="462" t="s">
        <v>1747</v>
      </c>
      <c r="G10" s="462">
        <v>1</v>
      </c>
      <c r="H10" s="505"/>
      <c r="I10" s="587"/>
    </row>
    <row r="11" spans="1:9" ht="18" outlineLevel="1" x14ac:dyDescent="0.25">
      <c r="B11" s="588" t="s">
        <v>1751</v>
      </c>
      <c r="C11" s="460" t="s">
        <v>2094</v>
      </c>
      <c r="D11" s="2241" t="s">
        <v>5940</v>
      </c>
      <c r="E11" s="586">
        <f>X_VSS+S_U/i_CV_SU+S_B/i_CV_SB+f_VFA_DM*S_VFA/i_CV_VFA+C_B/i_CV_CB+C_U/i_CV_CU</f>
        <v>1930.729726915793</v>
      </c>
      <c r="F11" s="462" t="s">
        <v>1752</v>
      </c>
      <c r="G11" s="462">
        <v>1</v>
      </c>
      <c r="H11" s="505"/>
      <c r="I11" s="587"/>
    </row>
    <row r="12" spans="1:9" ht="18" outlineLevel="1" x14ac:dyDescent="0.25">
      <c r="B12" s="588" t="s">
        <v>2096</v>
      </c>
      <c r="C12" s="460" t="s">
        <v>2637</v>
      </c>
      <c r="D12" s="460" t="s">
        <v>2628</v>
      </c>
      <c r="E12" s="586">
        <f>X_U/i_CV_XU+S_U/i_CV_SU+C_U/i_CV_CU</f>
        <v>776.79785678684163</v>
      </c>
      <c r="F12" s="462" t="s">
        <v>1752</v>
      </c>
      <c r="G12" s="462">
        <v>1</v>
      </c>
      <c r="H12" s="505"/>
      <c r="I12" s="587"/>
    </row>
    <row r="13" spans="1:9" ht="18" outlineLevel="1" x14ac:dyDescent="0.25">
      <c r="B13" s="588" t="s">
        <v>2002</v>
      </c>
      <c r="C13" s="460" t="s">
        <v>2136</v>
      </c>
      <c r="D13" s="460" t="s">
        <v>4554</v>
      </c>
      <c r="E13" s="586">
        <f>X_CaCO3+X_ACP+X_STR+X_Vivi+X_FeS+X_BSH</f>
        <v>5.9999999999999998E-50</v>
      </c>
      <c r="F13" s="462" t="s">
        <v>1750</v>
      </c>
      <c r="G13" s="462">
        <v>1</v>
      </c>
      <c r="H13" s="505"/>
      <c r="I13" s="587"/>
    </row>
    <row r="14" spans="1:9" ht="36" outlineLevel="1" x14ac:dyDescent="0.25">
      <c r="B14" s="2240" t="s">
        <v>5137</v>
      </c>
      <c r="C14" s="2241" t="s">
        <v>5138</v>
      </c>
      <c r="D14" s="2241" t="s">
        <v>5139</v>
      </c>
      <c r="E14" s="2242">
        <f>(1-f_H2O_HFO_VSS)*X_HFO*M_MFeOH3/A_MFe+(X_HFO_L_P+X_HFO_L_P_old)*A_SFHFO_L*(M_MPO4/A_MFe)+(X_HFO_H_P+X_HFO_H_P_old)*A_SFHFO_H*(M_MPO4/A_MFe)</f>
        <v>1.4297448294386249E-2</v>
      </c>
      <c r="F14" s="462" t="s">
        <v>1750</v>
      </c>
      <c r="G14" s="2243">
        <v>1</v>
      </c>
      <c r="H14" s="2545"/>
      <c r="I14" s="2244"/>
    </row>
    <row r="15" spans="1:9" s="102" customFormat="1" ht="36" outlineLevel="1" x14ac:dyDescent="0.25">
      <c r="A15" s="115"/>
      <c r="B15" s="2240" t="s">
        <v>5140</v>
      </c>
      <c r="C15" s="2241" t="s">
        <v>5141</v>
      </c>
      <c r="D15" s="2241" t="s">
        <v>5142</v>
      </c>
      <c r="E15" s="2242">
        <f>(1-f_H2O_HAO_VSS)*X_HAO*M_MAlOH3/A_MAl+(X_HAO_L_P+X_HAO_L_P_old)*A_SFHAO_L*(M_MPO4/A_MAl)+(X_HAO_H_P+X_HAO_H_P_old)*A_SFHAO_H*(M_MPO4/A_MAl)</f>
        <v>1.8894650037988993E-2</v>
      </c>
      <c r="F15" s="462" t="s">
        <v>1750</v>
      </c>
      <c r="G15" s="2243">
        <v>1</v>
      </c>
      <c r="H15" s="2545"/>
      <c r="I15" s="2244"/>
    </row>
    <row r="16" spans="1:9" s="102" customFormat="1" ht="18" outlineLevel="1" x14ac:dyDescent="0.25">
      <c r="A16" s="115"/>
      <c r="B16" s="2240" t="s">
        <v>5143</v>
      </c>
      <c r="C16" s="2241" t="s">
        <v>5144</v>
      </c>
      <c r="D16" s="2241" t="s">
        <v>5145</v>
      </c>
      <c r="E16" s="2242">
        <f>X_HFO_ISS+X_HAO_ISS</f>
        <v>3.3192098332375242E-2</v>
      </c>
      <c r="F16" s="462" t="s">
        <v>1750</v>
      </c>
      <c r="G16" s="2243">
        <v>1</v>
      </c>
      <c r="H16" s="2545"/>
      <c r="I16" s="2244"/>
    </row>
    <row r="17" spans="2:9" s="102" customFormat="1" ht="18" outlineLevel="1" x14ac:dyDescent="0.25">
      <c r="B17" s="2240" t="s">
        <v>5146</v>
      </c>
      <c r="C17" s="2243" t="s">
        <v>5147</v>
      </c>
      <c r="D17" s="2241" t="s">
        <v>5152</v>
      </c>
      <c r="E17" s="2242">
        <f>(f_H2O_HFO_VSS-f_H2O_HFO_TSS)*X_HFO*M_MFeOH3/A_MFe+(f_H2O_HAO_VSS-f_H2O_HAO_TSS)*X_HAO*M_MAlOH3/A_MAl</f>
        <v>9.9865764606091728E-3</v>
      </c>
      <c r="F17" s="2243" t="s">
        <v>1747</v>
      </c>
      <c r="G17" s="2243">
        <v>1</v>
      </c>
      <c r="H17" s="2545"/>
      <c r="I17" s="2245"/>
    </row>
    <row r="18" spans="2:9" ht="36" outlineLevel="1" x14ac:dyDescent="0.25">
      <c r="B18" s="588" t="s">
        <v>2003</v>
      </c>
      <c r="C18" s="460" t="s">
        <v>2004</v>
      </c>
      <c r="D18" s="1123" t="s">
        <v>4555</v>
      </c>
      <c r="E18" s="586">
        <f>(1-f_H2O_HFO_TSS)*X_HFO*M_MFeOH3/A_MFe+(X_HFO_L_P+X_HFO_L_P_old)*A_SFHFO_L*(M_MPO4/A_MFe)+(X_HFO_H_P+X_HFO_H_P_old)*A_SFHFO_H*(M_MPO4/A_MFe)</f>
        <v>1.7549958643029814E-2</v>
      </c>
      <c r="F18" s="462" t="s">
        <v>1750</v>
      </c>
      <c r="G18" s="462">
        <v>1</v>
      </c>
      <c r="H18" s="505"/>
      <c r="I18" s="587"/>
    </row>
    <row r="19" spans="2:9" ht="36" outlineLevel="1" x14ac:dyDescent="0.25">
      <c r="B19" s="1027" t="s">
        <v>4557</v>
      </c>
      <c r="C19" s="1123" t="s">
        <v>4558</v>
      </c>
      <c r="D19" s="1123" t="s">
        <v>4556</v>
      </c>
      <c r="E19" s="599">
        <f>(1-f_H2O_HAO_TSS)*X_HAO*M_MAlOH3/A_MAl+(X_HAO_L_P+X_HAO_L_P_old)*A_SFHAO_L*(M_MPO4/A_MAl)+(X_HAO_H_P+X_HAO_H_P_old)*A_SFHAO_H*(M_MPO4/A_MAl)</f>
        <v>2.5628716149954593E-2</v>
      </c>
      <c r="F19" s="597" t="s">
        <v>1750</v>
      </c>
      <c r="G19" s="597">
        <v>1</v>
      </c>
      <c r="H19" s="1585"/>
      <c r="I19" s="587"/>
    </row>
    <row r="20" spans="2:9" s="102" customFormat="1" ht="18" outlineLevel="1" x14ac:dyDescent="0.25">
      <c r="B20" s="2240" t="s">
        <v>5148</v>
      </c>
      <c r="C20" s="2243" t="s">
        <v>5149</v>
      </c>
      <c r="D20" s="2241" t="s">
        <v>5151</v>
      </c>
      <c r="E20" s="2242">
        <f>f_H2O_HFO_TSS*X_HFO*M_MFeOH3/A_MFe+f_H2O_HAO_TSS*X_HAO*M_MAlOH3/A_MAl</f>
        <v>4.8676896521996213E-3</v>
      </c>
      <c r="F20" s="2243" t="s">
        <v>1747</v>
      </c>
      <c r="G20" s="2243">
        <v>1</v>
      </c>
      <c r="H20" s="2545"/>
      <c r="I20" s="2245"/>
    </row>
    <row r="21" spans="2:9" ht="18" outlineLevel="1" x14ac:dyDescent="0.25">
      <c r="B21" s="588" t="s">
        <v>2980</v>
      </c>
      <c r="C21" s="1289" t="s">
        <v>2981</v>
      </c>
      <c r="D21" s="1123" t="s">
        <v>4559</v>
      </c>
      <c r="E21" s="599">
        <f>X_HFO_TSS+X_HAO_TSS</f>
        <v>4.3178674792984408E-2</v>
      </c>
      <c r="F21" s="597" t="s">
        <v>1750</v>
      </c>
      <c r="G21" s="597">
        <v>1</v>
      </c>
      <c r="H21" s="1585"/>
      <c r="I21" s="587"/>
    </row>
    <row r="22" spans="2:9" ht="18" outlineLevel="1" x14ac:dyDescent="0.25">
      <c r="B22" s="588" t="s">
        <v>2001</v>
      </c>
      <c r="C22" s="460" t="s">
        <v>2638</v>
      </c>
      <c r="D22" s="460" t="s">
        <v>5165</v>
      </c>
      <c r="E22" s="586">
        <f>X_Me_ISS+X_precip+X_INORG+i_TSS_PP*X_PP</f>
        <v>671.00093403381629</v>
      </c>
      <c r="F22" s="462" t="s">
        <v>1750</v>
      </c>
      <c r="G22" s="462">
        <v>1</v>
      </c>
      <c r="H22" s="505"/>
      <c r="I22" s="587"/>
    </row>
    <row r="23" spans="2:9" ht="18" outlineLevel="1" x14ac:dyDescent="0.25">
      <c r="B23" s="588" t="s">
        <v>1749</v>
      </c>
      <c r="C23" s="460" t="s">
        <v>2639</v>
      </c>
      <c r="D23" s="2241" t="s">
        <v>5150</v>
      </c>
      <c r="E23" s="586">
        <f>X_VSS+X_ISS-X_Me_H2O_TSS</f>
        <v>2593.2103734128696</v>
      </c>
      <c r="F23" s="462" t="s">
        <v>1750</v>
      </c>
      <c r="G23" s="462">
        <v>1</v>
      </c>
      <c r="H23" s="505"/>
      <c r="I23" s="587"/>
    </row>
    <row r="24" spans="2:9" ht="36" outlineLevel="1" x14ac:dyDescent="0.25">
      <c r="B24" s="588" t="s">
        <v>2006</v>
      </c>
      <c r="C24" s="1971" t="s">
        <v>2005</v>
      </c>
      <c r="D24" s="460" t="s">
        <v>4178</v>
      </c>
      <c r="E24" s="586">
        <f>X_TSS+S_U/i_CV_SU+S_B/i_CV_SB+f_VFA_DM*S_VFA/i_CV_VFA+C_B/i_CV_CB+C_U/i_CV_CU+S_NO3*M_MNO3/A_MN+S_NO2*M_MNO2/A_MN+S_PO4*M_MPO4/A_MP+S_SO4*M_MSO4/A_MS+S_CAT+S_AN+S_Ca+S_Mg+S_K+S_Fe2</f>
        <v>3041.6511600505319</v>
      </c>
      <c r="F24" s="462" t="s">
        <v>4211</v>
      </c>
      <c r="G24" s="462">
        <v>1</v>
      </c>
      <c r="H24" s="505"/>
      <c r="I24" s="587"/>
    </row>
    <row r="25" spans="2:9" ht="18" outlineLevel="1" x14ac:dyDescent="0.25">
      <c r="B25" s="588" t="s">
        <v>2098</v>
      </c>
      <c r="C25" s="460" t="s">
        <v>2640</v>
      </c>
      <c r="D25" s="460" t="s">
        <v>2101</v>
      </c>
      <c r="E25" s="586">
        <f>Y_BOD_ult*(S_VFA+S_B+S_MEOL+C_B)</f>
        <v>0.96899999999999997</v>
      </c>
      <c r="F25" s="829" t="s">
        <v>827</v>
      </c>
      <c r="G25" s="462">
        <v>1</v>
      </c>
      <c r="H25" s="505"/>
      <c r="I25" s="587"/>
    </row>
    <row r="26" spans="2:9" ht="18" outlineLevel="1" x14ac:dyDescent="0.25">
      <c r="B26" s="588" t="s">
        <v>2099</v>
      </c>
      <c r="C26" s="460" t="s">
        <v>320</v>
      </c>
      <c r="D26" s="3041" t="s">
        <v>5904</v>
      </c>
      <c r="E26" s="586">
        <f>Y_BOD_ult*(X_BIO+X_B+X_B_e+X_PHA_PAO+X_PHA_GAO)</f>
        <v>1276.325</v>
      </c>
      <c r="F26" s="829" t="s">
        <v>827</v>
      </c>
      <c r="G26" s="462">
        <v>1</v>
      </c>
      <c r="H26" s="505"/>
      <c r="I26" s="587"/>
    </row>
    <row r="27" spans="2:9" ht="18" outlineLevel="1" x14ac:dyDescent="0.25">
      <c r="B27" s="588" t="s">
        <v>2100</v>
      </c>
      <c r="C27" s="460" t="s">
        <v>321</v>
      </c>
      <c r="D27" s="460" t="s">
        <v>2102</v>
      </c>
      <c r="E27" s="586">
        <f>S_BOD_ult+X_BOD_ult</f>
        <v>1277.2940000000001</v>
      </c>
      <c r="F27" s="829" t="s">
        <v>827</v>
      </c>
      <c r="G27" s="462">
        <v>1</v>
      </c>
      <c r="H27" s="505"/>
      <c r="I27" s="587"/>
    </row>
    <row r="28" spans="2:9" ht="18" outlineLevel="1" x14ac:dyDescent="0.25">
      <c r="B28" s="588" t="s">
        <v>322</v>
      </c>
      <c r="C28" s="460" t="s">
        <v>2641</v>
      </c>
      <c r="D28" s="460" t="s">
        <v>2947</v>
      </c>
      <c r="E28" s="586">
        <f>Y_BOD_ult*(S_VFA+S_B+S_MEOL)*f_S_BOD5_BODult+Y_BOD_ult*C_B*f_C_BOD5_BODult</f>
        <v>0.86924999999999997</v>
      </c>
      <c r="F28" s="829" t="s">
        <v>827</v>
      </c>
      <c r="G28" s="462">
        <v>1</v>
      </c>
      <c r="H28" s="505"/>
      <c r="I28" s="587"/>
    </row>
    <row r="29" spans="2:9" ht="18" outlineLevel="1" x14ac:dyDescent="0.25">
      <c r="B29" s="588" t="s">
        <v>323</v>
      </c>
      <c r="C29" s="460" t="s">
        <v>347</v>
      </c>
      <c r="D29" s="460" t="s">
        <v>2948</v>
      </c>
      <c r="E29" s="586">
        <f>X_BOD_ult*f_X_BOD5_BODult</f>
        <v>638.16250000000002</v>
      </c>
      <c r="F29" s="829" t="s">
        <v>827</v>
      </c>
      <c r="G29" s="462">
        <v>1</v>
      </c>
      <c r="H29" s="505"/>
      <c r="I29" s="587"/>
    </row>
    <row r="30" spans="2:9" ht="18" outlineLevel="1" x14ac:dyDescent="0.25">
      <c r="B30" s="588" t="s">
        <v>324</v>
      </c>
      <c r="C30" s="460" t="s">
        <v>348</v>
      </c>
      <c r="D30" s="460" t="s">
        <v>2969</v>
      </c>
      <c r="E30" s="586">
        <f>S_BOD_5+X_BOD_5</f>
        <v>639.03174999999999</v>
      </c>
      <c r="F30" s="829" t="s">
        <v>827</v>
      </c>
      <c r="G30" s="462">
        <v>1</v>
      </c>
      <c r="H30" s="505"/>
      <c r="I30" s="587"/>
    </row>
    <row r="31" spans="2:9" ht="18" outlineLevel="1" x14ac:dyDescent="0.25">
      <c r="B31" s="588" t="s">
        <v>325</v>
      </c>
      <c r="C31" s="460" t="s">
        <v>350</v>
      </c>
      <c r="D31" s="460" t="s">
        <v>1702</v>
      </c>
      <c r="E31" s="586">
        <f>S_U+S_B+S_VFA+S_MEOL</f>
        <v>8.01</v>
      </c>
      <c r="F31" s="462" t="s">
        <v>1180</v>
      </c>
      <c r="G31" s="462">
        <v>1</v>
      </c>
      <c r="H31" s="505"/>
      <c r="I31" s="587"/>
    </row>
    <row r="32" spans="2:9" ht="18" outlineLevel="1" x14ac:dyDescent="0.25">
      <c r="B32" s="588" t="s">
        <v>349</v>
      </c>
      <c r="C32" s="460" t="s">
        <v>2642</v>
      </c>
      <c r="D32" s="460" t="s">
        <v>942</v>
      </c>
      <c r="E32" s="586">
        <f>S_COD+C_B+C_U</f>
        <v>8.0299999999999994</v>
      </c>
      <c r="F32" s="462" t="s">
        <v>1180</v>
      </c>
      <c r="G32" s="462">
        <v>1</v>
      </c>
      <c r="H32" s="505"/>
      <c r="I32" s="587"/>
    </row>
    <row r="33" spans="2:9" ht="18" outlineLevel="1" x14ac:dyDescent="0.25">
      <c r="B33" s="588" t="s">
        <v>1753</v>
      </c>
      <c r="C33" s="460" t="s">
        <v>326</v>
      </c>
      <c r="D33" s="460" t="s">
        <v>1754</v>
      </c>
      <c r="E33" s="586">
        <f>S_CCOD+X_COD</f>
        <v>2651.63</v>
      </c>
      <c r="F33" s="462" t="s">
        <v>1180</v>
      </c>
      <c r="G33" s="462">
        <v>1</v>
      </c>
      <c r="H33" s="505"/>
      <c r="I33" s="587"/>
    </row>
    <row r="34" spans="2:9" ht="54" outlineLevel="1" x14ac:dyDescent="0.25">
      <c r="B34" s="588" t="s">
        <v>2435</v>
      </c>
      <c r="C34" s="460" t="s">
        <v>2436</v>
      </c>
      <c r="D34" s="460" t="s">
        <v>3550</v>
      </c>
      <c r="E34" s="586">
        <f>T_COD+S_H2+S_CH4+E_EQH2S*S_H2S+E_EQS*X_S+E_EQFe2*S_Fe2+(3*A_MFe/M_MVivi*E_EQFe2)*X_Vivi+(A_MS/M_MFeS*E_EQH2S+A_MFe/M_MFeS*E_EQFe2)*X_FeS-E_EQNO3*S_NO3-E_EQNO2*S_NO2-E_EQN2*S_N2-S_O2</f>
        <v>2595.6556688858368</v>
      </c>
      <c r="F34" s="462" t="s">
        <v>1180</v>
      </c>
      <c r="G34" s="462">
        <v>1</v>
      </c>
      <c r="H34" s="505"/>
      <c r="I34" s="587"/>
    </row>
    <row r="35" spans="2:9" ht="36" outlineLevel="1" x14ac:dyDescent="0.25">
      <c r="B35" s="588" t="s">
        <v>1755</v>
      </c>
      <c r="C35" s="460" t="s">
        <v>333</v>
      </c>
      <c r="D35" s="460" t="s">
        <v>5975</v>
      </c>
      <c r="E35" s="586">
        <f>S_NHx+S_N_B+i_N_CB*C_B+X_N_B+X_N_Be+i_N_SU*S_U+i_N_CU*C_U+X_N_U+i_N_BIO*X_BIO+i_N_XE*(X_E_ana+X_E)+i_N_XSTR*X_STR</f>
        <v>121.98120000000002</v>
      </c>
      <c r="F35" s="462" t="s">
        <v>884</v>
      </c>
      <c r="G35" s="462">
        <v>1</v>
      </c>
      <c r="H35" s="505"/>
      <c r="I35" s="587"/>
    </row>
    <row r="36" spans="2:9" ht="18" outlineLevel="1" x14ac:dyDescent="0.25">
      <c r="B36" s="588" t="s">
        <v>3551</v>
      </c>
      <c r="C36" s="460" t="s">
        <v>3552</v>
      </c>
      <c r="D36" s="460" t="s">
        <v>5976</v>
      </c>
      <c r="E36" s="586">
        <f>S_N_B+i_N_CB*C_B+X_N_B+X_N_Be+i_N_BIO*X_BIO</f>
        <v>92.905100000000019</v>
      </c>
      <c r="F36" s="462" t="s">
        <v>884</v>
      </c>
      <c r="G36" s="462">
        <v>1</v>
      </c>
      <c r="H36" s="505"/>
      <c r="I36" s="587"/>
    </row>
    <row r="37" spans="2:9" s="4" customFormat="1" ht="18" outlineLevel="1" x14ac:dyDescent="0.25">
      <c r="B37" s="1126" t="s">
        <v>4699</v>
      </c>
      <c r="C37" s="1290" t="s">
        <v>4700</v>
      </c>
      <c r="D37" s="1290" t="s">
        <v>4701</v>
      </c>
      <c r="E37" s="1183">
        <f>S_NHx+S_NOx</f>
        <v>6.1</v>
      </c>
      <c r="F37" s="829" t="s">
        <v>334</v>
      </c>
      <c r="G37" s="829">
        <v>1</v>
      </c>
      <c r="H37" s="2634"/>
      <c r="I37" s="1068"/>
    </row>
    <row r="38" spans="2:9" ht="18" outlineLevel="1" x14ac:dyDescent="0.25">
      <c r="B38" s="588" t="s">
        <v>1756</v>
      </c>
      <c r="C38" s="1973" t="s">
        <v>335</v>
      </c>
      <c r="D38" s="460" t="s">
        <v>4702</v>
      </c>
      <c r="E38" s="586">
        <f>T_KN+S_NOx</f>
        <v>127.08120000000001</v>
      </c>
      <c r="F38" s="462" t="s">
        <v>884</v>
      </c>
      <c r="G38" s="462">
        <v>1</v>
      </c>
      <c r="H38" s="505"/>
      <c r="I38" s="587"/>
    </row>
    <row r="39" spans="2:9" ht="18" outlineLevel="1" x14ac:dyDescent="0.25">
      <c r="B39" s="2531" t="s">
        <v>5380</v>
      </c>
      <c r="C39" s="2241" t="s">
        <v>5375</v>
      </c>
      <c r="D39" s="2241" t="s">
        <v>5376</v>
      </c>
      <c r="E39" s="2242">
        <f>T_KN-S_KN</f>
        <v>120.41100000000002</v>
      </c>
      <c r="F39" s="2243" t="s">
        <v>884</v>
      </c>
      <c r="G39" s="2243">
        <v>1</v>
      </c>
      <c r="H39" s="2243"/>
      <c r="I39" s="2537"/>
    </row>
    <row r="40" spans="2:9" ht="18" outlineLevel="1" x14ac:dyDescent="0.25">
      <c r="B40" s="996" t="s">
        <v>4028</v>
      </c>
      <c r="C40" s="1011" t="s">
        <v>4029</v>
      </c>
      <c r="D40" s="1011" t="s">
        <v>4030</v>
      </c>
      <c r="E40" s="1010">
        <f>S_NHx+S_N_B+i_N_CB*C_B+i_N_SU*S_U+i_N_CU*C_U</f>
        <v>1.5702</v>
      </c>
      <c r="F40" s="1009" t="s">
        <v>884</v>
      </c>
      <c r="G40" s="1009">
        <v>1</v>
      </c>
      <c r="H40" s="1036"/>
      <c r="I40" s="587"/>
    </row>
    <row r="41" spans="2:9" ht="18" outlineLevel="1" x14ac:dyDescent="0.25">
      <c r="B41" s="1823" t="s">
        <v>4959</v>
      </c>
      <c r="C41" s="1123" t="s">
        <v>4960</v>
      </c>
      <c r="D41" s="1123" t="s">
        <v>4961</v>
      </c>
      <c r="E41" s="1125">
        <f>S_U*i_N_SU</f>
        <v>7.0000000000000007E-2</v>
      </c>
      <c r="F41" s="1124" t="s">
        <v>884</v>
      </c>
      <c r="G41" s="1124">
        <v>1</v>
      </c>
      <c r="H41" s="2546" t="s">
        <v>4581</v>
      </c>
      <c r="I41" s="1824"/>
    </row>
    <row r="42" spans="2:9" s="4" customFormat="1" ht="18" outlineLevel="1" x14ac:dyDescent="0.25">
      <c r="B42" s="589" t="s">
        <v>2284</v>
      </c>
      <c r="C42" s="1972" t="s">
        <v>2643</v>
      </c>
      <c r="D42" s="1288" t="s">
        <v>4703</v>
      </c>
      <c r="E42" s="591">
        <f>S_NO2+S_NO3</f>
        <v>5.0999999999999996</v>
      </c>
      <c r="F42" s="829" t="s">
        <v>334</v>
      </c>
      <c r="G42" s="829">
        <v>1</v>
      </c>
      <c r="H42" s="2544"/>
      <c r="I42" s="836"/>
    </row>
    <row r="43" spans="2:9" ht="36" outlineLevel="1" x14ac:dyDescent="0.25">
      <c r="B43" s="588" t="s">
        <v>1757</v>
      </c>
      <c r="C43" s="460" t="s">
        <v>789</v>
      </c>
      <c r="D43" s="1123" t="s">
        <v>5974</v>
      </c>
      <c r="E43" s="586">
        <f>i_P_BIO*(X_BIO+X_E_ana+X_E)+S_PO4+S_P_B+i_P_CB*C_B+X_P_B+X_P_Be+i_P_SU*S_U+X_P_U+i_P_CU*C_U+X_PP+i_P_XSTR*X_STR+X_HFO_P+X_HAO_P+i_P_XACP*X_ACP+i_P_XVivi*X_Vivi+i_P_XBSH*X_BSH</f>
        <v>94.456040000000002</v>
      </c>
      <c r="F43" s="462" t="s">
        <v>886</v>
      </c>
      <c r="G43" s="462">
        <v>1</v>
      </c>
      <c r="H43" s="505"/>
      <c r="I43" s="587"/>
    </row>
    <row r="44" spans="2:9" ht="18" outlineLevel="1" x14ac:dyDescent="0.25">
      <c r="B44" s="2531" t="s">
        <v>5377</v>
      </c>
      <c r="C44" s="2241" t="s">
        <v>5378</v>
      </c>
      <c r="D44" s="2241" t="s">
        <v>5379</v>
      </c>
      <c r="E44" s="2242">
        <f>T_P-S_P</f>
        <v>93.932000000000002</v>
      </c>
      <c r="F44" s="2243" t="s">
        <v>886</v>
      </c>
      <c r="G44" s="2243">
        <v>1</v>
      </c>
      <c r="H44" s="2243"/>
      <c r="I44" s="2537"/>
    </row>
    <row r="45" spans="2:9" ht="18" outlineLevel="1" x14ac:dyDescent="0.25">
      <c r="B45" s="996" t="s">
        <v>4031</v>
      </c>
      <c r="C45" s="1011" t="s">
        <v>4032</v>
      </c>
      <c r="D45" s="1011" t="s">
        <v>4033</v>
      </c>
      <c r="E45" s="1010">
        <f>S_PO4+S_P_B+i_P_CB*C_B+i_P_SU*S_U+i_P_CU*C_U</f>
        <v>0.52404000000000006</v>
      </c>
      <c r="F45" s="1009" t="s">
        <v>886</v>
      </c>
      <c r="G45" s="1009">
        <v>1</v>
      </c>
      <c r="H45" s="1036"/>
      <c r="I45" s="587"/>
    </row>
    <row r="46" spans="2:9" ht="36" outlineLevel="1" x14ac:dyDescent="0.25">
      <c r="B46" s="588" t="s">
        <v>3351</v>
      </c>
      <c r="C46" s="460" t="s">
        <v>3352</v>
      </c>
      <c r="D46" s="460" t="s">
        <v>5054</v>
      </c>
      <c r="E46" s="586">
        <f>i_S_BIO*(X_BIO+X_E_ana+X_E)+i_S_SB*S_B+i_S_CB*C_B+i_S_XB*X_B+i_S_SU*S_U+i_S_XU*X_U+i_S_CU*C_U+i_S_FeS*X_FeS+S_H2S+S_SO4+X_S</f>
        <v>33.969029999999997</v>
      </c>
      <c r="F46" s="462" t="s">
        <v>3140</v>
      </c>
      <c r="G46" s="462">
        <v>1</v>
      </c>
      <c r="H46" s="505"/>
      <c r="I46" s="587"/>
    </row>
    <row r="47" spans="2:9" ht="18" outlineLevel="1" x14ac:dyDescent="0.25">
      <c r="B47" s="588" t="s">
        <v>1758</v>
      </c>
      <c r="C47" s="460" t="s">
        <v>467</v>
      </c>
      <c r="D47" s="460" t="s">
        <v>1759</v>
      </c>
      <c r="E47" s="765">
        <f>X_HFO_H+X_HFO_L+X_HFO_L_P+X_HFO_H_P+X_HFO_old+X_HFO_L_P_old+X_HFO_H_P_old</f>
        <v>0.01</v>
      </c>
      <c r="F47" s="462" t="s">
        <v>1940</v>
      </c>
      <c r="G47" s="462">
        <v>1</v>
      </c>
      <c r="H47" s="505"/>
      <c r="I47" s="587"/>
    </row>
    <row r="48" spans="2:9" ht="18" outlineLevel="1" x14ac:dyDescent="0.25">
      <c r="B48" s="588" t="s">
        <v>1760</v>
      </c>
      <c r="C48" s="460" t="s">
        <v>1599</v>
      </c>
      <c r="D48" s="460" t="s">
        <v>3353</v>
      </c>
      <c r="E48" s="586">
        <f>X_HFO+S_Fe2+X_FeS*A_MFe/M_MFeS+X_Vivi*3*A_MFe/M_MVivi</f>
        <v>0.01</v>
      </c>
      <c r="F48" s="462" t="s">
        <v>1940</v>
      </c>
      <c r="G48" s="462">
        <v>1</v>
      </c>
      <c r="H48" s="505"/>
      <c r="I48" s="587"/>
    </row>
    <row r="49" spans="1:14" ht="18" outlineLevel="1" x14ac:dyDescent="0.25">
      <c r="B49" s="1027" t="s">
        <v>4560</v>
      </c>
      <c r="C49" s="1123" t="s">
        <v>4561</v>
      </c>
      <c r="D49" s="1123" t="s">
        <v>4562</v>
      </c>
      <c r="E49" s="1232">
        <f>X_HAO_H+X_HAO_L+X_HAO_L_P+X_HAO_H_P+X_HAO_old+X_HAO_L_P_old+X_HAO_H_P_old</f>
        <v>0.01</v>
      </c>
      <c r="F49" s="1124" t="s">
        <v>4563</v>
      </c>
      <c r="G49" s="1124">
        <v>1</v>
      </c>
      <c r="H49" s="2546"/>
      <c r="I49" s="1050"/>
    </row>
    <row r="50" spans="1:14" ht="18" outlineLevel="1" x14ac:dyDescent="0.25">
      <c r="B50" s="1027" t="s">
        <v>4568</v>
      </c>
      <c r="C50" s="1123" t="s">
        <v>4569</v>
      </c>
      <c r="D50" s="1123" t="s">
        <v>4570</v>
      </c>
      <c r="E50" s="1125">
        <f>X_HAO</f>
        <v>0.01</v>
      </c>
      <c r="F50" s="1124" t="s">
        <v>4563</v>
      </c>
      <c r="G50" s="1124">
        <v>1</v>
      </c>
      <c r="H50" s="2546"/>
      <c r="I50" s="1050"/>
    </row>
    <row r="51" spans="1:14" ht="36" outlineLevel="1" x14ac:dyDescent="0.25">
      <c r="B51" s="1027" t="s">
        <v>4571</v>
      </c>
      <c r="C51" s="1123" t="s">
        <v>4572</v>
      </c>
      <c r="D51" s="1123" t="s">
        <v>4573</v>
      </c>
      <c r="E51" s="1125">
        <f>S_Ca+i_Ca_PP*A_MCa/A_MP*X_PP+i_Ca_INORG*X_INORG+X_ACP*3*A_MCa/M_MACP+X_CaCO3*A_MCa/M_MCaCO3+X_BSH*A_MCa/M_MBSH</f>
        <v>180.76360322156796</v>
      </c>
      <c r="F51" s="78" t="s">
        <v>984</v>
      </c>
      <c r="G51" s="78">
        <v>1</v>
      </c>
      <c r="H51" s="2546"/>
      <c r="I51" s="1050"/>
    </row>
    <row r="52" spans="1:14" ht="18" outlineLevel="1" x14ac:dyDescent="0.25">
      <c r="B52" s="1027" t="s">
        <v>4574</v>
      </c>
      <c r="C52" s="1123" t="s">
        <v>4575</v>
      </c>
      <c r="D52" s="1123" t="s">
        <v>4576</v>
      </c>
      <c r="E52" s="1125">
        <f>S_Mg+i_Mg_PP*A_MMg/A_MP*X_PP+i_Mg_INORG*X_INORG+X_STR*A_MMg/M_MSTR</f>
        <v>54.478624608282161</v>
      </c>
      <c r="F52" s="78" t="s">
        <v>833</v>
      </c>
      <c r="G52" s="78">
        <v>1</v>
      </c>
      <c r="H52" s="2546"/>
      <c r="I52" s="1050"/>
    </row>
    <row r="53" spans="1:14" ht="18" outlineLevel="1" x14ac:dyDescent="0.25">
      <c r="B53" s="588" t="s">
        <v>1761</v>
      </c>
      <c r="C53" s="460" t="s">
        <v>2644</v>
      </c>
      <c r="D53" s="1123" t="s">
        <v>4564</v>
      </c>
      <c r="E53" s="586">
        <f>(X_HFO_L_P+X_HFO_L_P_old)*A_SFHFO_L*(A_MP/A_MFe)+(X_HFO_H_P+X_HFO_H_P_old)*A_SFHFO_H*(A_MP/A_MFe)</f>
        <v>1.5529865549288207E-50</v>
      </c>
      <c r="F53" s="462" t="s">
        <v>886</v>
      </c>
      <c r="G53" s="462">
        <v>1</v>
      </c>
      <c r="H53" s="505"/>
      <c r="I53" s="587"/>
    </row>
    <row r="54" spans="1:14" ht="18" outlineLevel="1" x14ac:dyDescent="0.25">
      <c r="B54" s="1027" t="s">
        <v>4565</v>
      </c>
      <c r="C54" s="1123" t="s">
        <v>4566</v>
      </c>
      <c r="D54" s="1123" t="s">
        <v>4567</v>
      </c>
      <c r="E54" s="1125">
        <f>(X_HAO_L_P+X_HAO_L_P_old)*A_SFHAO_L*(A_MP/A_MAl)+(X_HAO_H_P+X_HAO_H_P_old)*A_SFHAO_H*(A_MP/A_MAl)</f>
        <v>2.5255184789578044E-50</v>
      </c>
      <c r="F54" s="1124" t="s">
        <v>886</v>
      </c>
      <c r="G54" s="1124">
        <v>1</v>
      </c>
      <c r="H54" s="2546"/>
      <c r="I54" s="1050"/>
    </row>
    <row r="55" spans="1:14" ht="18" outlineLevel="1" x14ac:dyDescent="0.25">
      <c r="B55" s="1052" t="s">
        <v>4206</v>
      </c>
      <c r="C55" s="1175" t="s">
        <v>4207</v>
      </c>
      <c r="D55" s="1175" t="s">
        <v>4208</v>
      </c>
      <c r="E55" s="434">
        <f>S_NHx-S_NOx</f>
        <v>-4.0999999999999996</v>
      </c>
      <c r="F55" s="1040" t="s">
        <v>884</v>
      </c>
      <c r="G55" s="1040">
        <v>1</v>
      </c>
      <c r="H55" s="2555"/>
      <c r="I55" s="1053"/>
    </row>
    <row r="56" spans="1:14" ht="18" outlineLevel="1" x14ac:dyDescent="0.25">
      <c r="A56" s="4"/>
      <c r="B56" s="1052" t="s">
        <v>2629</v>
      </c>
      <c r="C56" s="1175" t="s">
        <v>1949</v>
      </c>
      <c r="D56" s="1175" t="s">
        <v>1950</v>
      </c>
      <c r="E56" s="434">
        <f>X_VSS/X_TSS</f>
        <v>0.7412488885500329</v>
      </c>
      <c r="F56" s="1040" t="s">
        <v>4216</v>
      </c>
      <c r="G56" s="1040">
        <v>2</v>
      </c>
      <c r="H56" s="2555"/>
      <c r="I56" s="1053"/>
      <c r="J56" s="4"/>
      <c r="K56" s="4"/>
      <c r="L56" s="4"/>
      <c r="M56" s="4"/>
      <c r="N56" s="4"/>
    </row>
    <row r="57" spans="1:14" ht="18" outlineLevel="1" x14ac:dyDescent="0.25">
      <c r="B57" s="1052" t="s">
        <v>4217</v>
      </c>
      <c r="C57" s="2288" t="s">
        <v>393</v>
      </c>
      <c r="D57" s="1175" t="s">
        <v>1280</v>
      </c>
      <c r="E57" s="434">
        <f>S_ALK</f>
        <v>5.5301651895425527E-3</v>
      </c>
      <c r="F57" s="1040" t="s">
        <v>1880</v>
      </c>
      <c r="G57" s="1040">
        <v>1</v>
      </c>
      <c r="H57" s="2555" t="s">
        <v>11</v>
      </c>
      <c r="I57" s="1053"/>
    </row>
    <row r="58" spans="1:14" s="4" customFormat="1" ht="18" outlineLevel="1" x14ac:dyDescent="0.25">
      <c r="B58" s="1126" t="s">
        <v>4577</v>
      </c>
      <c r="C58" s="1970" t="s">
        <v>4578</v>
      </c>
      <c r="D58" s="1291" t="s">
        <v>4579</v>
      </c>
      <c r="E58" s="1128">
        <f>MAX(0,f_TOC_1*T_COD-f_TOC_2)</f>
        <v>884.40760024000008</v>
      </c>
      <c r="F58" s="1127" t="s">
        <v>4580</v>
      </c>
      <c r="G58" s="1127">
        <v>1</v>
      </c>
      <c r="H58" s="2549" t="s">
        <v>4581</v>
      </c>
      <c r="I58" s="1068"/>
    </row>
    <row r="59" spans="1:14" s="4" customFormat="1" ht="72" outlineLevel="1" x14ac:dyDescent="0.25">
      <c r="B59" s="2774" t="s">
        <v>4239</v>
      </c>
      <c r="C59" s="2763" t="s">
        <v>4240</v>
      </c>
      <c r="D59" s="3042" t="s">
        <v>5929</v>
      </c>
      <c r="E59" s="2775">
        <f>(X_VSS_BIO*(i_vw_BIO+i_iw_BIO+i_wh_BIO)+X_VSS_BIO*(i_vw_EPS+i_wh_EPS)+X_E/i_CV_XE*(i_vw_XE+i_wh_XE)+X_E/i_CV_XE*(i_vw_EPS+i_wh_EPS)+X_B/i_CV_XB*(i_vw_XB+i_wh_XB)+X_B_e/i_CV_XBe*(i_vw_XBe+i_wh_XBe)+X_U/i_CV_XU*(i_vw_XU+i_wh_XU)+X_PHA_PAO/i_CV_PHA*(i_vw_PHA+i_wh_PHA)+X_PHA_GAO/i_CV_PHA*(i_vw_PHA+i_wh_PHA)+C_B/i_CV_CB*i_vw_CB+C_U/i_CV_CU*i_vw_CU)/X_VSS</f>
        <v>2.1975066013311948</v>
      </c>
      <c r="F59" s="2776" t="s">
        <v>4241</v>
      </c>
      <c r="G59" s="2776">
        <v>1</v>
      </c>
      <c r="H59" s="2776"/>
      <c r="I59" s="2777"/>
    </row>
    <row r="60" spans="1:14" s="4" customFormat="1" ht="18" outlineLevel="1" x14ac:dyDescent="0.25">
      <c r="B60" s="3077" t="s">
        <v>5883</v>
      </c>
      <c r="C60" s="3041" t="s">
        <v>5884</v>
      </c>
      <c r="D60" s="3078" t="s">
        <v>5980</v>
      </c>
      <c r="E60" s="3079">
        <f>(i_CV_BIO-i_CV_XE*f_E)/(1-f_E)</f>
        <v>1.42</v>
      </c>
      <c r="F60" s="3041" t="s">
        <v>1891</v>
      </c>
      <c r="G60" s="3041">
        <v>2</v>
      </c>
      <c r="H60" s="3041"/>
      <c r="I60" s="3080"/>
    </row>
    <row r="61" spans="1:14" s="6" customFormat="1" ht="18" outlineLevel="1" x14ac:dyDescent="0.25">
      <c r="B61" s="2762" t="s">
        <v>5497</v>
      </c>
      <c r="C61" s="2763" t="s">
        <v>5498</v>
      </c>
      <c r="D61" s="2764" t="s">
        <v>5499</v>
      </c>
      <c r="E61" s="2765">
        <f>S_PFOA+X_PFOA</f>
        <v>1.9999999999999999E-6</v>
      </c>
      <c r="F61" s="2766" t="s">
        <v>5500</v>
      </c>
      <c r="G61" s="2763">
        <v>4</v>
      </c>
      <c r="H61" s="2763" t="s">
        <v>5507</v>
      </c>
      <c r="I61" s="2767"/>
    </row>
    <row r="62" spans="1:14" s="6" customFormat="1" ht="18.75" outlineLevel="1" thickBot="1" x14ac:dyDescent="0.3">
      <c r="B62" s="2768" t="s">
        <v>5501</v>
      </c>
      <c r="C62" s="2769" t="s">
        <v>5502</v>
      </c>
      <c r="D62" s="2770" t="s">
        <v>5503</v>
      </c>
      <c r="E62" s="2771">
        <f>S_PFOS+X_PFOS</f>
        <v>1.9999999999999999E-6</v>
      </c>
      <c r="F62" s="2772" t="s">
        <v>5500</v>
      </c>
      <c r="G62" s="2769">
        <v>4</v>
      </c>
      <c r="H62" s="2769" t="s">
        <v>5507</v>
      </c>
      <c r="I62" s="2773"/>
    </row>
    <row r="63" spans="1:14" s="4" customFormat="1" ht="15.75" thickBot="1" x14ac:dyDescent="0.3">
      <c r="B63" s="702"/>
      <c r="C63" s="702"/>
      <c r="E63" s="381"/>
      <c r="F63" s="702"/>
      <c r="G63" s="702"/>
      <c r="H63" s="2550"/>
      <c r="I63" s="702"/>
    </row>
    <row r="64" spans="1:14" s="4" customFormat="1" ht="15.75" thickBot="1" x14ac:dyDescent="0.3">
      <c r="B64" s="115"/>
      <c r="C64" s="1179" t="s">
        <v>4753</v>
      </c>
      <c r="D64" s="13" t="s">
        <v>299</v>
      </c>
      <c r="E64" s="115"/>
      <c r="F64" s="115"/>
      <c r="G64" s="115"/>
      <c r="H64" s="502"/>
      <c r="I64" s="115"/>
    </row>
    <row r="65" spans="1:9" s="4" customFormat="1" ht="15.75" thickBot="1" x14ac:dyDescent="0.3">
      <c r="B65" s="1234" t="s">
        <v>0</v>
      </c>
      <c r="C65" s="2125" t="s">
        <v>1</v>
      </c>
      <c r="D65" s="1200" t="s">
        <v>5</v>
      </c>
      <c r="E65" s="1200" t="s">
        <v>152</v>
      </c>
      <c r="F65" s="1200" t="s">
        <v>2</v>
      </c>
      <c r="G65" s="1200" t="s">
        <v>298</v>
      </c>
      <c r="H65" s="2541" t="s">
        <v>116</v>
      </c>
      <c r="I65" s="1201" t="s">
        <v>117</v>
      </c>
    </row>
    <row r="66" spans="1:9" ht="18" customHeight="1" outlineLevel="1" x14ac:dyDescent="0.25">
      <c r="A66" s="3"/>
      <c r="B66" s="2854" t="s">
        <v>5818</v>
      </c>
      <c r="C66" s="1974" t="s">
        <v>5819</v>
      </c>
      <c r="D66" s="1974" t="s">
        <v>5820</v>
      </c>
      <c r="E66" s="2532">
        <f>X_PHA_PAO+X_PHA_GAO</f>
        <v>23</v>
      </c>
      <c r="F66" s="2533" t="s">
        <v>1180</v>
      </c>
      <c r="G66" s="2533">
        <v>1</v>
      </c>
      <c r="H66" s="2533"/>
      <c r="I66" s="2537"/>
    </row>
    <row r="67" spans="1:9" ht="18" outlineLevel="1" x14ac:dyDescent="0.25">
      <c r="A67" s="4"/>
      <c r="B67" s="1202" t="s">
        <v>4754</v>
      </c>
      <c r="C67" s="1974" t="s">
        <v>5821</v>
      </c>
      <c r="D67" s="1974" t="s">
        <v>5818</v>
      </c>
      <c r="E67" s="1125">
        <f>X_PHA_CASTO</f>
        <v>23</v>
      </c>
      <c r="F67" s="1124" t="s">
        <v>1180</v>
      </c>
      <c r="G67" s="1124">
        <v>1</v>
      </c>
      <c r="H67" s="2546"/>
      <c r="I67" s="1203"/>
    </row>
    <row r="68" spans="1:9" s="4" customFormat="1" ht="18" outlineLevel="1" x14ac:dyDescent="0.25">
      <c r="B68" s="1204" t="s">
        <v>4755</v>
      </c>
      <c r="C68" s="1970" t="s">
        <v>4756</v>
      </c>
      <c r="D68" s="2120" t="s">
        <v>5822</v>
      </c>
      <c r="E68" s="1128">
        <f>X_PHA_PAO/X_STC</f>
        <v>0.86956521739130432</v>
      </c>
      <c r="F68" s="1124" t="s">
        <v>282</v>
      </c>
      <c r="G68" s="1127">
        <v>1</v>
      </c>
      <c r="H68" s="2549"/>
      <c r="I68" s="1911"/>
    </row>
    <row r="69" spans="1:9" s="4" customFormat="1" ht="18" outlineLevel="1" x14ac:dyDescent="0.25">
      <c r="B69" s="1204" t="s">
        <v>4757</v>
      </c>
      <c r="C69" s="1970" t="s">
        <v>4758</v>
      </c>
      <c r="D69" s="2120" t="s">
        <v>5823</v>
      </c>
      <c r="E69" s="1128">
        <f>X_PHA_GAO/X_STC</f>
        <v>0.13043478260869565</v>
      </c>
      <c r="F69" s="1124" t="s">
        <v>282</v>
      </c>
      <c r="G69" s="1127">
        <v>1</v>
      </c>
      <c r="H69" s="2549"/>
      <c r="I69" s="1911"/>
    </row>
    <row r="70" spans="1:9" ht="18" outlineLevel="1" x14ac:dyDescent="0.25">
      <c r="A70" s="4"/>
      <c r="B70" s="1202" t="s">
        <v>4759</v>
      </c>
      <c r="C70" s="3041" t="s">
        <v>5978</v>
      </c>
      <c r="D70" s="1123" t="s">
        <v>4760</v>
      </c>
      <c r="E70" s="1125">
        <f>actPAO*X_CASTO</f>
        <v>434.78260869565219</v>
      </c>
      <c r="F70" s="1124" t="s">
        <v>1180</v>
      </c>
      <c r="G70" s="1124">
        <v>1</v>
      </c>
      <c r="H70" s="2546"/>
      <c r="I70" s="1203"/>
    </row>
    <row r="71" spans="1:9" ht="18" outlineLevel="1" x14ac:dyDescent="0.25">
      <c r="A71" s="4"/>
      <c r="B71" s="1202" t="s">
        <v>4761</v>
      </c>
      <c r="C71" s="3041" t="s">
        <v>5979</v>
      </c>
      <c r="D71" s="1123" t="s">
        <v>4762</v>
      </c>
      <c r="E71" s="1125">
        <f>actGAO*X_CASTO</f>
        <v>65.217391304347828</v>
      </c>
      <c r="F71" s="1124" t="s">
        <v>1180</v>
      </c>
      <c r="G71" s="1124">
        <v>1</v>
      </c>
      <c r="H71" s="2546"/>
      <c r="I71" s="1203"/>
    </row>
    <row r="72" spans="1:9" s="4" customFormat="1" ht="18" outlineLevel="1" x14ac:dyDescent="0.25">
      <c r="B72" s="1204" t="s">
        <v>4763</v>
      </c>
      <c r="C72" s="1970" t="s">
        <v>4764</v>
      </c>
      <c r="D72" s="2120" t="s">
        <v>4765</v>
      </c>
      <c r="E72" s="1128">
        <f>L_ogsatORP_GAO_T</f>
        <v>0.94784643692158232</v>
      </c>
      <c r="F72" s="1124" t="s">
        <v>282</v>
      </c>
      <c r="G72" s="1127">
        <v>1</v>
      </c>
      <c r="H72" s="2549"/>
      <c r="I72" s="1911"/>
    </row>
    <row r="73" spans="1:9" s="4" customFormat="1" ht="18" outlineLevel="1" x14ac:dyDescent="0.25">
      <c r="B73" s="1204" t="s">
        <v>4766</v>
      </c>
      <c r="C73" s="1970" t="s">
        <v>4767</v>
      </c>
      <c r="D73" s="2124" t="s">
        <v>4768</v>
      </c>
      <c r="E73" s="1128">
        <f>(1-L_ogsatORP_GAO_T)</f>
        <v>5.2153563078417675E-2</v>
      </c>
      <c r="F73" s="1124" t="s">
        <v>282</v>
      </c>
      <c r="G73" s="1127">
        <v>1</v>
      </c>
      <c r="H73" s="2549"/>
      <c r="I73" s="1911"/>
    </row>
    <row r="74" spans="1:9" s="4" customFormat="1" ht="18" outlineLevel="1" x14ac:dyDescent="0.25">
      <c r="B74" s="1204" t="s">
        <v>4769</v>
      </c>
      <c r="C74" s="1970" t="s">
        <v>4770</v>
      </c>
      <c r="D74" s="2120" t="s">
        <v>4771</v>
      </c>
      <c r="E74" s="1128">
        <f>(1-L_ogsatORP_GAO_T)*L_oginhORP_PAO</f>
        <v>1.0749650524059162E-10</v>
      </c>
      <c r="F74" s="1124" t="s">
        <v>282</v>
      </c>
      <c r="G74" s="1127">
        <v>1</v>
      </c>
      <c r="H74" s="2549"/>
      <c r="I74" s="1911"/>
    </row>
    <row r="75" spans="1:9" s="1925" customFormat="1" ht="18.75" outlineLevel="1" x14ac:dyDescent="0.25">
      <c r="A75" s="115"/>
      <c r="B75" s="1202" t="s">
        <v>4773</v>
      </c>
      <c r="C75" s="1974" t="s">
        <v>5824</v>
      </c>
      <c r="D75" s="1123" t="s">
        <v>5826</v>
      </c>
      <c r="E75" s="1232">
        <f>(Y_PAO_PHA_ox*X_PHA_PAO+Y_GAO_PHA_ox*X_PHA_GAO)/X_STC</f>
        <v>0.63391304347826094</v>
      </c>
      <c r="F75" s="1123" t="s">
        <v>4774</v>
      </c>
      <c r="G75" s="1205">
        <v>2</v>
      </c>
      <c r="H75" s="2546"/>
      <c r="I75" s="1203"/>
    </row>
    <row r="76" spans="1:9" s="1925" customFormat="1" ht="18.75" outlineLevel="1" x14ac:dyDescent="0.25">
      <c r="A76" s="115"/>
      <c r="B76" s="1206" t="s">
        <v>4775</v>
      </c>
      <c r="C76" s="1974" t="s">
        <v>5825</v>
      </c>
      <c r="D76" s="1123" t="s">
        <v>5827</v>
      </c>
      <c r="E76" s="1232">
        <f>(Y_PAO_PHA_anox*X_PHA_PAO+Y_GAO_PHA_anox*X_PHA_GAO)/X_STC</f>
        <v>0.5173913043478261</v>
      </c>
      <c r="F76" s="1123" t="s">
        <v>4774</v>
      </c>
      <c r="G76" s="1205">
        <v>2</v>
      </c>
      <c r="H76" s="2546"/>
      <c r="I76" s="1203"/>
    </row>
    <row r="77" spans="1:9" s="1925" customFormat="1" ht="18.75" outlineLevel="1" thickBot="1" x14ac:dyDescent="0.3">
      <c r="A77" s="115"/>
      <c r="B77" s="1207" t="s">
        <v>4776</v>
      </c>
      <c r="C77" s="1975" t="s">
        <v>4777</v>
      </c>
      <c r="D77" s="1208" t="s">
        <v>5930</v>
      </c>
      <c r="E77" s="1233">
        <f>(i_CIT_PHA*X_PHA_PAO+i_CIT_PHA*X_PHA_GAO)/X_STC</f>
        <v>0.33300000000000002</v>
      </c>
      <c r="F77" s="1210" t="s">
        <v>1893</v>
      </c>
      <c r="G77" s="1209">
        <v>2</v>
      </c>
      <c r="H77" s="1607"/>
      <c r="I77" s="1722"/>
    </row>
    <row r="78" spans="1:9" s="4" customFormat="1" ht="15.75" thickBot="1" x14ac:dyDescent="0.3">
      <c r="B78" s="702"/>
      <c r="C78" s="702"/>
      <c r="D78" s="1059"/>
      <c r="E78" s="381"/>
      <c r="F78" s="702"/>
      <c r="G78" s="702"/>
      <c r="H78" s="2550"/>
      <c r="I78" s="702"/>
    </row>
    <row r="79" spans="1:9" s="4" customFormat="1" ht="15.75" thickBot="1" x14ac:dyDescent="0.3">
      <c r="B79" s="115"/>
      <c r="C79" s="914" t="s">
        <v>2150</v>
      </c>
      <c r="D79" s="13" t="s">
        <v>299</v>
      </c>
      <c r="E79" s="13"/>
      <c r="F79" s="115"/>
      <c r="G79" s="115"/>
      <c r="H79" s="502"/>
      <c r="I79" s="115"/>
    </row>
    <row r="80" spans="1:9" s="4" customFormat="1" ht="15.75" thickBot="1" x14ac:dyDescent="0.3">
      <c r="B80" s="441" t="s">
        <v>0</v>
      </c>
      <c r="C80" s="2126" t="s">
        <v>1</v>
      </c>
      <c r="D80" s="369" t="s">
        <v>5</v>
      </c>
      <c r="E80" s="561" t="s">
        <v>152</v>
      </c>
      <c r="F80" s="561" t="s">
        <v>2</v>
      </c>
      <c r="G80" s="561" t="s">
        <v>298</v>
      </c>
      <c r="H80" s="2551" t="s">
        <v>116</v>
      </c>
      <c r="I80" s="443" t="s">
        <v>117</v>
      </c>
    </row>
    <row r="81" spans="1:10" s="4" customFormat="1" ht="18" outlineLevel="1" x14ac:dyDescent="0.25">
      <c r="B81" s="148" t="s">
        <v>2151</v>
      </c>
      <c r="C81" s="1976" t="s">
        <v>2184</v>
      </c>
      <c r="D81" s="2123" t="s">
        <v>2182</v>
      </c>
      <c r="E81" s="791">
        <f>O_RPbase+(O_RPmax_SO2-O_RPbase)*S_O2/(K_ORP_SO2+S_O2)</f>
        <v>285.36585365853659</v>
      </c>
      <c r="F81" s="83" t="s">
        <v>2145</v>
      </c>
      <c r="G81" s="83">
        <v>1</v>
      </c>
      <c r="H81" s="2552"/>
      <c r="I81" s="1231"/>
    </row>
    <row r="82" spans="1:10" s="4" customFormat="1" ht="18" outlineLevel="1" x14ac:dyDescent="0.25">
      <c r="B82" s="468" t="s">
        <v>2152</v>
      </c>
      <c r="C82" s="1977" t="s">
        <v>2185</v>
      </c>
      <c r="D82" s="2123" t="s">
        <v>2183</v>
      </c>
      <c r="E82" s="792">
        <f>O_RPbase+(O_RPmax_SNOx-O_RPbase)*S_NOx/(K_ORP_SNOx+S_NOx)</f>
        <v>62.884615384615415</v>
      </c>
      <c r="F82" s="78" t="s">
        <v>2145</v>
      </c>
      <c r="G82" s="78">
        <v>1</v>
      </c>
      <c r="H82" s="2547"/>
      <c r="I82" s="204"/>
    </row>
    <row r="83" spans="1:10" s="3" customFormat="1" ht="18" outlineLevel="1" x14ac:dyDescent="0.25">
      <c r="A83" s="4"/>
      <c r="B83" s="2774" t="s">
        <v>6020</v>
      </c>
      <c r="C83" s="2763" t="s">
        <v>6021</v>
      </c>
      <c r="D83" s="2120" t="s">
        <v>6022</v>
      </c>
      <c r="E83" s="2775">
        <f>A_AR/r_bCODDR</f>
        <v>3.0993194271095422E-4</v>
      </c>
      <c r="F83" s="2766" t="s">
        <v>282</v>
      </c>
      <c r="G83" s="2776">
        <v>1</v>
      </c>
      <c r="H83" s="2776"/>
      <c r="I83" s="2777"/>
    </row>
    <row r="84" spans="1:10" s="3" customFormat="1" ht="18" outlineLevel="1" x14ac:dyDescent="0.25">
      <c r="A84" s="4"/>
      <c r="B84" s="2774" t="s">
        <v>6023</v>
      </c>
      <c r="C84" s="2763" t="s">
        <v>6024</v>
      </c>
      <c r="D84" s="2120" t="s">
        <v>6025</v>
      </c>
      <c r="E84" s="2775">
        <f>O_RPbase*(r_atioAAR_rbCODDR)/(K_ORP_ana+r_atioAAR_rbCODDR)</f>
        <v>-1.8481357303198935</v>
      </c>
      <c r="F84" s="2776" t="s">
        <v>2145</v>
      </c>
      <c r="G84" s="2776">
        <v>1</v>
      </c>
      <c r="H84" s="2776"/>
      <c r="I84" s="2777"/>
    </row>
    <row r="85" spans="1:10" s="3" customFormat="1" ht="18.75" outlineLevel="1" thickBot="1" x14ac:dyDescent="0.3">
      <c r="A85" s="4"/>
      <c r="B85" s="293" t="s">
        <v>2153</v>
      </c>
      <c r="C85" s="2769" t="s">
        <v>2150</v>
      </c>
      <c r="D85" s="2770" t="s">
        <v>6026</v>
      </c>
      <c r="E85" s="3082">
        <f>MAX(O_RPO2,O_RPNOx,O_RPana)</f>
        <v>285.36585365853659</v>
      </c>
      <c r="F85" s="3083" t="s">
        <v>2145</v>
      </c>
      <c r="G85" s="3083">
        <v>1</v>
      </c>
      <c r="H85" s="3083"/>
      <c r="I85" s="1336"/>
    </row>
    <row r="86" spans="1:10" ht="15.75" thickBot="1" x14ac:dyDescent="0.3">
      <c r="B86" s="151"/>
      <c r="C86" s="151"/>
      <c r="D86" s="151"/>
      <c r="E86" s="719"/>
      <c r="F86" s="151"/>
      <c r="G86" s="151"/>
      <c r="H86" s="44"/>
      <c r="I86" s="151"/>
    </row>
    <row r="87" spans="1:10" s="4" customFormat="1" ht="15.75" thickBot="1" x14ac:dyDescent="0.3">
      <c r="B87" s="115"/>
      <c r="C87" s="1179" t="s">
        <v>4778</v>
      </c>
      <c r="D87" s="13" t="s">
        <v>299</v>
      </c>
      <c r="E87" s="115"/>
      <c r="F87" s="115"/>
      <c r="G87" s="115"/>
      <c r="H87" s="502"/>
      <c r="I87" s="115"/>
    </row>
    <row r="88" spans="1:10" s="4" customFormat="1" ht="15.75" thickBot="1" x14ac:dyDescent="0.3">
      <c r="B88" s="1234" t="s">
        <v>0</v>
      </c>
      <c r="C88" s="2125" t="s">
        <v>1</v>
      </c>
      <c r="D88" s="1200" t="s">
        <v>5</v>
      </c>
      <c r="E88" s="1200" t="s">
        <v>152</v>
      </c>
      <c r="F88" s="1200" t="s">
        <v>2</v>
      </c>
      <c r="G88" s="1200" t="s">
        <v>298</v>
      </c>
      <c r="H88" s="2541" t="s">
        <v>116</v>
      </c>
      <c r="I88" s="1201" t="s">
        <v>117</v>
      </c>
    </row>
    <row r="89" spans="1:10" s="4" customFormat="1" ht="18" outlineLevel="1" x14ac:dyDescent="0.25">
      <c r="B89" s="589" t="s">
        <v>2725</v>
      </c>
      <c r="C89" s="1288" t="s">
        <v>2726</v>
      </c>
      <c r="D89" s="2120" t="s">
        <v>5125</v>
      </c>
      <c r="E89" s="832">
        <f>(1/(1+EXP(((S_ORPswitch-o_ffsetORPswitch)-(L_ogsatORP_PAO_Half))*(L_ogsatORP_PAO_Slope))))</f>
        <v>2.0611536181902037E-9</v>
      </c>
      <c r="F89" s="820" t="s">
        <v>282</v>
      </c>
      <c r="G89" s="820">
        <v>2</v>
      </c>
      <c r="H89" s="2544"/>
      <c r="I89" s="836"/>
      <c r="J89" s="115"/>
    </row>
    <row r="90" spans="1:10" s="4" customFormat="1" ht="30" outlineLevel="1" x14ac:dyDescent="0.25">
      <c r="B90" s="1162" t="s">
        <v>4779</v>
      </c>
      <c r="C90" s="1978" t="s">
        <v>4780</v>
      </c>
      <c r="D90" s="2120" t="s">
        <v>4781</v>
      </c>
      <c r="E90" s="1213">
        <f>(L_ogsatORP_GAO_Half_25-L_ogsatORP_GAO_Half_15)/(25-15)</f>
        <v>-5</v>
      </c>
      <c r="F90" s="1214" t="s">
        <v>4896</v>
      </c>
      <c r="G90" s="1214">
        <v>1</v>
      </c>
      <c r="H90" s="2553"/>
      <c r="I90" s="1912"/>
    </row>
    <row r="91" spans="1:10" s="4" customFormat="1" ht="30" outlineLevel="1" x14ac:dyDescent="0.25">
      <c r="B91" s="1162" t="s">
        <v>4905</v>
      </c>
      <c r="C91" s="1978" t="s">
        <v>4907</v>
      </c>
      <c r="D91" s="2120" t="s">
        <v>4782</v>
      </c>
      <c r="E91" s="1213">
        <f>L_ogsatORP_GAO_Half_25-s_lORP_GAO_Half_T*25</f>
        <v>-45</v>
      </c>
      <c r="F91" s="1214" t="s">
        <v>2145</v>
      </c>
      <c r="G91" s="1214">
        <v>1</v>
      </c>
      <c r="H91" s="2553"/>
      <c r="I91" s="1912"/>
    </row>
    <row r="92" spans="1:10" s="4" customFormat="1" ht="18" outlineLevel="1" x14ac:dyDescent="0.25">
      <c r="B92" s="1204" t="s">
        <v>4783</v>
      </c>
      <c r="C92" s="1978" t="s">
        <v>5848</v>
      </c>
      <c r="D92" s="2121" t="s">
        <v>4906</v>
      </c>
      <c r="E92" s="1215">
        <f>s_lORP_GAO_Half_T*T__+y_ORP_GAO_Half_T</f>
        <v>-145</v>
      </c>
      <c r="F92" s="1215" t="s">
        <v>2145</v>
      </c>
      <c r="G92" s="1215">
        <v>2</v>
      </c>
      <c r="H92" s="2549"/>
      <c r="I92" s="1911"/>
      <c r="J92" s="115"/>
    </row>
    <row r="93" spans="1:10" s="4" customFormat="1" ht="18" outlineLevel="1" x14ac:dyDescent="0.25">
      <c r="B93" s="1204" t="s">
        <v>4784</v>
      </c>
      <c r="C93" s="1978" t="s">
        <v>5849</v>
      </c>
      <c r="D93" s="2221" t="s">
        <v>5126</v>
      </c>
      <c r="E93" s="1199">
        <f>(1/(1+EXP(((L_ogsatORP_GAO_Half_T)-(S_ORPswitch-o_ffsetORPswitch))*(L_ogsatORP_GAO_Slope))))</f>
        <v>0.94784643692158232</v>
      </c>
      <c r="F93" s="1215" t="s">
        <v>282</v>
      </c>
      <c r="G93" s="1215">
        <v>2</v>
      </c>
      <c r="H93" s="2549"/>
      <c r="I93" s="1911"/>
      <c r="J93" s="115"/>
    </row>
    <row r="94" spans="1:10" s="4" customFormat="1" ht="18" outlineLevel="1" x14ac:dyDescent="0.25">
      <c r="B94" s="589" t="s">
        <v>3080</v>
      </c>
      <c r="C94" s="1288" t="s">
        <v>3081</v>
      </c>
      <c r="D94" s="2119" t="s">
        <v>4962</v>
      </c>
      <c r="E94" s="832">
        <f>(1/(1+EXP(((O_RP)-(L_ogsatORP_HFO_Half))*(L_ogsatORP_HFO_Slope))))</f>
        <v>1.8355812980967403E-17</v>
      </c>
      <c r="F94" s="820" t="s">
        <v>282</v>
      </c>
      <c r="G94" s="820">
        <v>2</v>
      </c>
      <c r="H94" s="2544"/>
      <c r="I94" s="836"/>
      <c r="J94" s="115"/>
    </row>
    <row r="95" spans="1:10" s="4" customFormat="1" ht="18.75" outlineLevel="1" thickBot="1" x14ac:dyDescent="0.3">
      <c r="B95" s="293" t="s">
        <v>3564</v>
      </c>
      <c r="C95" s="1979" t="s">
        <v>3563</v>
      </c>
      <c r="D95" s="2122" t="s">
        <v>4963</v>
      </c>
      <c r="E95" s="821">
        <f>(1/(1+EXP(((O_RP)-(L_ogsatORP_MM_Half))*(L_ogsatORP_MM_Slope))))</f>
        <v>1.8355812980967403E-17</v>
      </c>
      <c r="F95" s="822" t="s">
        <v>282</v>
      </c>
      <c r="G95" s="822">
        <v>2</v>
      </c>
      <c r="H95" s="2635"/>
      <c r="I95" s="1336"/>
      <c r="J95" s="115"/>
    </row>
    <row r="96" spans="1:10" s="4" customFormat="1" ht="15.75" thickBot="1" x14ac:dyDescent="0.3">
      <c r="B96" s="702"/>
      <c r="C96" s="702"/>
      <c r="D96" s="1211"/>
      <c r="E96" s="1212"/>
      <c r="F96" s="1211"/>
      <c r="G96" s="1211"/>
      <c r="H96" s="2550"/>
      <c r="I96" s="702"/>
      <c r="J96" s="115"/>
    </row>
    <row r="97" spans="2:9" ht="15.75" thickBot="1" x14ac:dyDescent="0.3">
      <c r="C97" s="899" t="s">
        <v>3354</v>
      </c>
      <c r="D97" s="13" t="s">
        <v>299</v>
      </c>
      <c r="E97" s="13"/>
    </row>
    <row r="98" spans="2:9" ht="15.75" thickBot="1" x14ac:dyDescent="0.3">
      <c r="B98" s="747" t="s">
        <v>0</v>
      </c>
      <c r="C98" s="2126" t="s">
        <v>1</v>
      </c>
      <c r="D98" s="369" t="s">
        <v>5</v>
      </c>
      <c r="E98" s="561" t="s">
        <v>152</v>
      </c>
      <c r="F98" s="561" t="s">
        <v>2</v>
      </c>
      <c r="G98" s="561" t="s">
        <v>298</v>
      </c>
      <c r="H98" s="2551" t="s">
        <v>116</v>
      </c>
      <c r="I98" s="748" t="s">
        <v>117</v>
      </c>
    </row>
    <row r="99" spans="2:9" ht="18" outlineLevel="1" x14ac:dyDescent="0.25">
      <c r="B99" s="588" t="s">
        <v>3355</v>
      </c>
      <c r="C99" s="1175" t="s">
        <v>3356</v>
      </c>
      <c r="D99" s="2118" t="s">
        <v>3357</v>
      </c>
      <c r="E99" s="906">
        <f>MIN(MAX(G_H2S/G_H2S_odor_lim,0)*10,10)</f>
        <v>9.9999999999999997E-48</v>
      </c>
      <c r="F99" s="906" t="s">
        <v>1990</v>
      </c>
      <c r="G99" s="737">
        <v>0</v>
      </c>
      <c r="H99" s="2555"/>
      <c r="I99" s="1053"/>
    </row>
    <row r="100" spans="2:9" ht="18" outlineLevel="1" x14ac:dyDescent="0.25">
      <c r="B100" s="588" t="s">
        <v>3358</v>
      </c>
      <c r="C100" s="1175" t="s">
        <v>3359</v>
      </c>
      <c r="D100" s="2118" t="s">
        <v>5304</v>
      </c>
      <c r="E100" s="906">
        <f>MIN(MAX(r_127/r_transfer_MM_lim,0)*10,10)</f>
        <v>10</v>
      </c>
      <c r="F100" s="906" t="s">
        <v>1990</v>
      </c>
      <c r="G100" s="737">
        <v>0</v>
      </c>
      <c r="H100" s="2555"/>
      <c r="I100" s="1053"/>
    </row>
    <row r="101" spans="2:9" ht="18" outlineLevel="1" x14ac:dyDescent="0.25">
      <c r="B101" s="588" t="s">
        <v>3360</v>
      </c>
      <c r="C101" s="1175" t="s">
        <v>3361</v>
      </c>
      <c r="D101" s="2118" t="s">
        <v>3362</v>
      </c>
      <c r="E101" s="906">
        <f>n_H2S_odor*O_dorH2S+(1-n_H2S_odor)*O_dorMM</f>
        <v>6.6999999999999993</v>
      </c>
      <c r="F101" s="906" t="s">
        <v>1990</v>
      </c>
      <c r="G101" s="737">
        <v>0</v>
      </c>
      <c r="H101" s="2555"/>
      <c r="I101" s="1053"/>
    </row>
    <row r="102" spans="2:9" ht="69.75" outlineLevel="1" thickBot="1" x14ac:dyDescent="0.3">
      <c r="B102" s="900" t="s">
        <v>5184</v>
      </c>
      <c r="C102" s="1660" t="s">
        <v>5180</v>
      </c>
      <c r="D102" s="2279" t="s">
        <v>5970</v>
      </c>
      <c r="E102" s="830">
        <f>-(v_114_GCO2*r_114/M_MEQ_GCO2+v_115_GCH4*r_115/M_MEQ_GCH4+v_116_GH2*r_116/M_MEQ_GH2+v_117_GO2*r_117/M_MEQ_GO2+v_118_GNH3*r_118/M_MEQ_GNH3+v_119_GN2/M_MEQ_GN2*r_119+v_120_GH2S*r_120/M_MEQ_GH2S)</f>
        <v>9186.0178652267969</v>
      </c>
      <c r="F102" s="830" t="s">
        <v>5181</v>
      </c>
      <c r="G102" s="721"/>
      <c r="H102" s="897"/>
      <c r="I102" s="1722"/>
    </row>
    <row r="103" spans="2:9" ht="15.75" thickBot="1" x14ac:dyDescent="0.3">
      <c r="B103" s="151"/>
      <c r="C103" s="151"/>
      <c r="D103" s="719"/>
      <c r="E103" s="719"/>
      <c r="F103" s="151"/>
      <c r="G103" s="151"/>
      <c r="H103" s="44"/>
      <c r="I103" s="151"/>
    </row>
    <row r="104" spans="2:9" s="1154" customFormat="1" ht="15.75" thickBot="1" x14ac:dyDescent="0.3">
      <c r="B104" s="4"/>
      <c r="C104" s="2291" t="s">
        <v>5241</v>
      </c>
      <c r="D104" s="13" t="s">
        <v>299</v>
      </c>
      <c r="E104" s="391"/>
      <c r="F104" s="4"/>
      <c r="G104" s="4"/>
      <c r="I104" s="4"/>
    </row>
    <row r="105" spans="2:9" ht="15.75" thickBot="1" x14ac:dyDescent="0.3">
      <c r="B105" s="747" t="s">
        <v>0</v>
      </c>
      <c r="C105" s="2126" t="s">
        <v>1</v>
      </c>
      <c r="D105" s="369" t="s">
        <v>5</v>
      </c>
      <c r="E105" s="561" t="s">
        <v>152</v>
      </c>
      <c r="F105" s="561" t="s">
        <v>2</v>
      </c>
      <c r="G105" s="561" t="s">
        <v>298</v>
      </c>
      <c r="H105" s="2551" t="s">
        <v>116</v>
      </c>
      <c r="I105" s="748" t="s">
        <v>117</v>
      </c>
    </row>
    <row r="106" spans="2:9" s="1154" customFormat="1" ht="18.75" outlineLevel="1" thickBot="1" x14ac:dyDescent="0.3">
      <c r="B106" s="2623" t="s">
        <v>5242</v>
      </c>
      <c r="C106" s="1338" t="s">
        <v>5243</v>
      </c>
      <c r="D106" s="2624" t="s">
        <v>5350</v>
      </c>
      <c r="E106" s="1338">
        <f>(1/(1+EXP(((X_TSS/K_XTSS_lightextinction)-(1))*(100))))*(1/(1+EXP(((1)-(J_photosynt_solar/J_photosynt_solar_opt))*(100))))</f>
        <v>6.4232175508263598E-70</v>
      </c>
      <c r="F106" s="2666" t="s">
        <v>282</v>
      </c>
      <c r="G106" s="1338">
        <v>2</v>
      </c>
      <c r="H106" s="2636" t="s">
        <v>5245</v>
      </c>
      <c r="I106" s="2625"/>
    </row>
    <row r="107" spans="2:9" s="1154" customFormat="1" ht="15.75" thickBot="1" x14ac:dyDescent="0.3">
      <c r="B107" s="4"/>
      <c r="C107" s="4"/>
      <c r="D107" s="4"/>
      <c r="E107" s="4"/>
      <c r="F107" s="4"/>
      <c r="G107" s="4"/>
      <c r="H107" s="44"/>
      <c r="I107" s="4"/>
    </row>
    <row r="108" spans="2:9" ht="15.75" thickBot="1" x14ac:dyDescent="0.3">
      <c r="C108" s="901" t="s">
        <v>1208</v>
      </c>
      <c r="D108" s="13" t="s">
        <v>299</v>
      </c>
      <c r="E108" s="13"/>
    </row>
    <row r="109" spans="2:9" ht="15.75" thickBot="1" x14ac:dyDescent="0.3">
      <c r="B109" s="296" t="s">
        <v>0</v>
      </c>
      <c r="C109" s="2126" t="s">
        <v>1</v>
      </c>
      <c r="D109" s="369" t="s">
        <v>5</v>
      </c>
      <c r="E109" s="307" t="s">
        <v>152</v>
      </c>
      <c r="F109" s="307" t="s">
        <v>2</v>
      </c>
      <c r="G109" s="307" t="s">
        <v>298</v>
      </c>
      <c r="H109" s="2556" t="s">
        <v>116</v>
      </c>
      <c r="I109" s="309" t="s">
        <v>117</v>
      </c>
    </row>
    <row r="110" spans="2:9" ht="18.75" outlineLevel="1" x14ac:dyDescent="0.25">
      <c r="B110" s="1235" t="s">
        <v>1762</v>
      </c>
      <c r="C110" s="1980" t="s">
        <v>2645</v>
      </c>
      <c r="D110" s="1980" t="s">
        <v>1763</v>
      </c>
      <c r="E110" s="1236">
        <f>((conc_Mg2p_I^(1/3)*conc_NH4p_I^(1/3)*conc_PO43m_I^(1/3)-K_sp_STR^(1/3))/K_sp_STR^(1/3))</f>
        <v>-0.96443559715132532</v>
      </c>
      <c r="F110" s="1926" t="s">
        <v>1990</v>
      </c>
      <c r="G110" s="902">
        <v>2</v>
      </c>
      <c r="H110" s="2700" t="s">
        <v>1613</v>
      </c>
      <c r="I110" s="1927"/>
    </row>
    <row r="111" spans="2:9" ht="18.75" outlineLevel="1" x14ac:dyDescent="0.25">
      <c r="B111" s="556" t="s">
        <v>1762</v>
      </c>
      <c r="C111" s="1981" t="s">
        <v>2645</v>
      </c>
      <c r="D111" s="1981" t="s">
        <v>1763</v>
      </c>
      <c r="E111" s="903">
        <f>((conc_Mg2p_I^(1/3)*conc_NH4p_I^(1/3)*conc_PO43m_I^(1/3)-K_sp_STR^(1/3))/K_sp_STR^(1/3))</f>
        <v>-0.96443559715132532</v>
      </c>
      <c r="F111" s="1928" t="s">
        <v>1990</v>
      </c>
      <c r="G111" s="903">
        <v>2</v>
      </c>
      <c r="H111" s="2761" t="s">
        <v>5487</v>
      </c>
      <c r="I111" s="1929"/>
    </row>
    <row r="112" spans="2:9" ht="18" outlineLevel="1" x14ac:dyDescent="0.25">
      <c r="B112" s="556" t="s">
        <v>1762</v>
      </c>
      <c r="C112" s="1981" t="s">
        <v>2645</v>
      </c>
      <c r="D112" s="1981">
        <v>0</v>
      </c>
      <c r="E112" s="903">
        <f>0</f>
        <v>0</v>
      </c>
      <c r="F112" s="1928" t="s">
        <v>1990</v>
      </c>
      <c r="G112" s="903">
        <v>0</v>
      </c>
      <c r="H112" s="2761" t="s">
        <v>5488</v>
      </c>
      <c r="I112" s="1929"/>
    </row>
    <row r="113" spans="2:9" ht="18" outlineLevel="1" x14ac:dyDescent="0.25">
      <c r="B113" s="556" t="s">
        <v>1367</v>
      </c>
      <c r="C113" s="1981" t="s">
        <v>2532</v>
      </c>
      <c r="D113" s="2115" t="s">
        <v>2646</v>
      </c>
      <c r="E113" s="903">
        <f>IF(P_recipDrivingForceSTR&gt;0,q_STR_PREC,q_STR_DISS*M_satXSTR_KSTR_DISS)</f>
        <v>0</v>
      </c>
      <c r="F113" s="903" t="s">
        <v>1314</v>
      </c>
      <c r="G113" s="903">
        <v>0</v>
      </c>
      <c r="H113" s="2701"/>
      <c r="I113" s="1929"/>
    </row>
    <row r="114" spans="2:9" ht="18.75" outlineLevel="1" x14ac:dyDescent="0.25">
      <c r="B114" s="557" t="s">
        <v>1600</v>
      </c>
      <c r="C114" s="1982" t="s">
        <v>2647</v>
      </c>
      <c r="D114" s="1982" t="s">
        <v>1764</v>
      </c>
      <c r="E114" s="904">
        <f>(conc_Ca2p_I^(3/5)*conc_PO43m_I^(2/5)-K_sp_ACP^(1/5))/K_sp_ACP^(1/5)</f>
        <v>-0.58898459210680687</v>
      </c>
      <c r="F114" s="1928" t="s">
        <v>1990</v>
      </c>
      <c r="G114" s="905">
        <v>2</v>
      </c>
      <c r="H114" s="2702" t="s">
        <v>1613</v>
      </c>
      <c r="I114" s="1930"/>
    </row>
    <row r="115" spans="2:9" ht="18.75" outlineLevel="1" x14ac:dyDescent="0.25">
      <c r="B115" s="557" t="s">
        <v>1600</v>
      </c>
      <c r="C115" s="1982" t="s">
        <v>2647</v>
      </c>
      <c r="D115" s="1982" t="s">
        <v>1764</v>
      </c>
      <c r="E115" s="904">
        <f>(conc_Ca2p_I^(3/5)*conc_PO43m_I^(2/5)-K_sp_ACP^(1/5))/K_sp_ACP^(1/5)</f>
        <v>-0.58898459210680687</v>
      </c>
      <c r="F115" s="1928" t="s">
        <v>1990</v>
      </c>
      <c r="G115" s="905">
        <v>2</v>
      </c>
      <c r="H115" s="2761" t="s">
        <v>5487</v>
      </c>
      <c r="I115" s="1930"/>
    </row>
    <row r="116" spans="2:9" ht="18" outlineLevel="1" x14ac:dyDescent="0.25">
      <c r="B116" s="556" t="s">
        <v>1600</v>
      </c>
      <c r="C116" s="1981" t="s">
        <v>2647</v>
      </c>
      <c r="D116" s="1981">
        <v>0</v>
      </c>
      <c r="E116" s="903">
        <f>0</f>
        <v>0</v>
      </c>
      <c r="F116" s="1928" t="s">
        <v>1990</v>
      </c>
      <c r="G116" s="903">
        <v>0</v>
      </c>
      <c r="H116" s="2761" t="s">
        <v>5488</v>
      </c>
      <c r="I116" s="1929"/>
    </row>
    <row r="117" spans="2:9" ht="18" outlineLevel="1" x14ac:dyDescent="0.25">
      <c r="B117" s="556" t="s">
        <v>1368</v>
      </c>
      <c r="C117" s="1981" t="s">
        <v>2534</v>
      </c>
      <c r="D117" s="2115" t="s">
        <v>2648</v>
      </c>
      <c r="E117" s="903">
        <f>IF(P_recipDrivingForceACP&gt;0,q_ACP_PREC,-q_ACP_DISS*M_satXACP_KACP_DISS)</f>
        <v>0</v>
      </c>
      <c r="F117" s="903" t="s">
        <v>1314</v>
      </c>
      <c r="G117" s="903">
        <v>0</v>
      </c>
      <c r="H117" s="2701"/>
      <c r="I117" s="1929"/>
    </row>
    <row r="118" spans="2:9" ht="18.75" outlineLevel="1" x14ac:dyDescent="0.25">
      <c r="B118" s="1129" t="s">
        <v>4582</v>
      </c>
      <c r="C118" s="1131" t="s">
        <v>4583</v>
      </c>
      <c r="D118" s="1131" t="s">
        <v>4584</v>
      </c>
      <c r="E118" s="1130">
        <f>(conc_Ca2p_I^(1/2)*conc_HPO42m_I^(1/2)-K_sp_BSH^(1/2))/K_sp_BSH^(1/2)</f>
        <v>-0.70194703022622273</v>
      </c>
      <c r="F118" s="1931" t="s">
        <v>1990</v>
      </c>
      <c r="G118" s="1131">
        <v>2</v>
      </c>
      <c r="H118" s="2702" t="s">
        <v>1613</v>
      </c>
      <c r="I118" s="1932"/>
    </row>
    <row r="119" spans="2:9" ht="18.75" outlineLevel="1" x14ac:dyDescent="0.25">
      <c r="B119" s="1129" t="s">
        <v>4582</v>
      </c>
      <c r="C119" s="1131" t="s">
        <v>4583</v>
      </c>
      <c r="D119" s="1131" t="s">
        <v>4584</v>
      </c>
      <c r="E119" s="1130">
        <f>(conc_Ca2p_I^(1/2)*conc_HPO42m_I^(1/2)-K_sp_BSH^(1/2))/K_sp_BSH^(1/2)</f>
        <v>-0.70194703022622273</v>
      </c>
      <c r="F119" s="1931" t="s">
        <v>1990</v>
      </c>
      <c r="G119" s="1131">
        <v>2</v>
      </c>
      <c r="H119" s="2761" t="s">
        <v>5487</v>
      </c>
      <c r="I119" s="1932"/>
    </row>
    <row r="120" spans="2:9" ht="18" outlineLevel="1" x14ac:dyDescent="0.25">
      <c r="B120" s="1132" t="s">
        <v>4582</v>
      </c>
      <c r="C120" s="1133" t="s">
        <v>4583</v>
      </c>
      <c r="D120" s="1133">
        <v>0</v>
      </c>
      <c r="E120" s="1133">
        <f>0</f>
        <v>0</v>
      </c>
      <c r="F120" s="1931" t="s">
        <v>1990</v>
      </c>
      <c r="G120" s="1133">
        <v>0</v>
      </c>
      <c r="H120" s="2761" t="s">
        <v>5488</v>
      </c>
      <c r="I120" s="1933"/>
    </row>
    <row r="121" spans="2:9" ht="18" outlineLevel="1" x14ac:dyDescent="0.25">
      <c r="B121" s="1132" t="s">
        <v>4585</v>
      </c>
      <c r="C121" s="1133" t="s">
        <v>4353</v>
      </c>
      <c r="D121" s="1133" t="s">
        <v>4586</v>
      </c>
      <c r="E121" s="1133">
        <f>IF(P_recipDrivingForceBSH&gt;0,q_BSH_PREC,-q_BSH_DISS*M_satXBSH_KBSH_DISS)</f>
        <v>0</v>
      </c>
      <c r="F121" s="1133" t="s">
        <v>4587</v>
      </c>
      <c r="G121" s="1133">
        <v>0</v>
      </c>
      <c r="H121" s="2701"/>
      <c r="I121" s="1933"/>
    </row>
    <row r="122" spans="2:9" ht="18.75" outlineLevel="1" x14ac:dyDescent="0.25">
      <c r="B122" s="557" t="s">
        <v>1601</v>
      </c>
      <c r="C122" s="1982" t="s">
        <v>2649</v>
      </c>
      <c r="D122" s="1982" t="s">
        <v>1765</v>
      </c>
      <c r="E122" s="904">
        <f>(conc_Ca2p_I^(1/2)*conc_CO32m_I^(1/2)-K_sp_CaCO3^(1/2))/K_sp_CaCO3^(1/2)</f>
        <v>-0.82475976089429781</v>
      </c>
      <c r="F122" s="1928" t="s">
        <v>1990</v>
      </c>
      <c r="G122" s="905">
        <v>2</v>
      </c>
      <c r="H122" s="2702" t="s">
        <v>1613</v>
      </c>
      <c r="I122" s="1930"/>
    </row>
    <row r="123" spans="2:9" ht="18.75" outlineLevel="1" x14ac:dyDescent="0.25">
      <c r="B123" s="557" t="s">
        <v>1601</v>
      </c>
      <c r="C123" s="1982" t="s">
        <v>2649</v>
      </c>
      <c r="D123" s="1982" t="s">
        <v>1765</v>
      </c>
      <c r="E123" s="904">
        <f>(conc_Ca2p_I^(1/2)*conc_CO32m_I^(1/2)-K_sp_CaCO3^(1/2))/K_sp_CaCO3^(1/2)</f>
        <v>-0.82475976089429781</v>
      </c>
      <c r="F123" s="1928" t="s">
        <v>1990</v>
      </c>
      <c r="G123" s="905">
        <v>2</v>
      </c>
      <c r="H123" s="2761" t="s">
        <v>5487</v>
      </c>
      <c r="I123" s="1930"/>
    </row>
    <row r="124" spans="2:9" ht="18" outlineLevel="1" x14ac:dyDescent="0.25">
      <c r="B124" s="556" t="s">
        <v>1601</v>
      </c>
      <c r="C124" s="1981" t="s">
        <v>2649</v>
      </c>
      <c r="D124" s="1981">
        <v>0</v>
      </c>
      <c r="E124" s="903">
        <f>0</f>
        <v>0</v>
      </c>
      <c r="F124" s="1928" t="s">
        <v>1990</v>
      </c>
      <c r="G124" s="903">
        <v>0</v>
      </c>
      <c r="H124" s="2761" t="s">
        <v>5488</v>
      </c>
      <c r="I124" s="1929"/>
    </row>
    <row r="125" spans="2:9" ht="18" outlineLevel="1" x14ac:dyDescent="0.25">
      <c r="B125" s="556" t="s">
        <v>1369</v>
      </c>
      <c r="C125" s="1981" t="s">
        <v>2530</v>
      </c>
      <c r="D125" s="2115" t="s">
        <v>2650</v>
      </c>
      <c r="E125" s="903">
        <f>IF(P_recipDrivingForceCaCO3&gt;0,q_CaCO3_PREC,-q_CaCO3_DISS*M_satXCaCO3_KCaCO3_DISS)</f>
        <v>0</v>
      </c>
      <c r="F125" s="903" t="s">
        <v>1314</v>
      </c>
      <c r="G125" s="903">
        <v>0</v>
      </c>
      <c r="H125" s="2701"/>
      <c r="I125" s="1929"/>
    </row>
    <row r="126" spans="2:9" ht="18.75" outlineLevel="1" x14ac:dyDescent="0.25">
      <c r="B126" s="1237" t="s">
        <v>3363</v>
      </c>
      <c r="C126" s="1983" t="s">
        <v>3364</v>
      </c>
      <c r="D126" s="2116" t="s">
        <v>4237</v>
      </c>
      <c r="E126" s="1238">
        <f>(conc_Fe2p_I^(0.5)*conc_HSm_I^(0.5)-K_sp_FeS^(0.5))/K_sp_FeS^(0.5)</f>
        <v>-1</v>
      </c>
      <c r="F126" s="906" t="s">
        <v>1990</v>
      </c>
      <c r="G126" s="907">
        <v>2</v>
      </c>
      <c r="H126" s="2702" t="s">
        <v>1613</v>
      </c>
      <c r="I126" s="1934"/>
    </row>
    <row r="127" spans="2:9" ht="18.75" outlineLevel="1" x14ac:dyDescent="0.25">
      <c r="B127" s="1237" t="s">
        <v>3363</v>
      </c>
      <c r="C127" s="1983" t="s">
        <v>3364</v>
      </c>
      <c r="D127" s="2116" t="s">
        <v>4237</v>
      </c>
      <c r="E127" s="1238">
        <f>(conc_Fe2p_I^(0.5)*conc_HSm_I^(0.5)-K_sp_FeS^(0.5))/K_sp_FeS^(0.5)</f>
        <v>-1</v>
      </c>
      <c r="F127" s="906" t="s">
        <v>1990</v>
      </c>
      <c r="G127" s="907">
        <v>2</v>
      </c>
      <c r="H127" s="2761" t="s">
        <v>5487</v>
      </c>
      <c r="I127" s="1934"/>
    </row>
    <row r="128" spans="2:9" ht="18" outlineLevel="1" x14ac:dyDescent="0.25">
      <c r="B128" s="616" t="s">
        <v>3363</v>
      </c>
      <c r="C128" s="1983" t="s">
        <v>3364</v>
      </c>
      <c r="D128" s="1983">
        <v>0</v>
      </c>
      <c r="E128" s="906">
        <f>0</f>
        <v>0</v>
      </c>
      <c r="F128" s="906" t="s">
        <v>1990</v>
      </c>
      <c r="G128" s="906">
        <v>0</v>
      </c>
      <c r="H128" s="2761" t="s">
        <v>5488</v>
      </c>
      <c r="I128" s="1935"/>
    </row>
    <row r="129" spans="2:9" ht="18" outlineLevel="1" x14ac:dyDescent="0.25">
      <c r="B129" s="616" t="s">
        <v>3365</v>
      </c>
      <c r="C129" s="1983" t="s">
        <v>3150</v>
      </c>
      <c r="D129" s="2115" t="s">
        <v>3366</v>
      </c>
      <c r="E129" s="908">
        <f>IF(P_recipDrivingForceFeS&gt;0,q_FeS_PREC,-q_FeS_DISS*M_satXFeS_KFeS_DISS)</f>
        <v>0</v>
      </c>
      <c r="F129" s="906" t="s">
        <v>1314</v>
      </c>
      <c r="G129" s="906">
        <v>0</v>
      </c>
      <c r="H129" s="2554"/>
      <c r="I129" s="1935"/>
    </row>
    <row r="130" spans="2:9" ht="18.75" outlineLevel="1" x14ac:dyDescent="0.25">
      <c r="B130" s="557" t="s">
        <v>1766</v>
      </c>
      <c r="C130" s="1982" t="s">
        <v>2651</v>
      </c>
      <c r="D130" s="1982" t="s">
        <v>1767</v>
      </c>
      <c r="E130" s="1239">
        <f>((conc_Fe2p_I^(3/5)*conc_PO43m_I^(2/5)-K_sp_Vivi^(1/5))/K_sp_Vivi^(1/5))</f>
        <v>-1</v>
      </c>
      <c r="F130" s="910" t="s">
        <v>1990</v>
      </c>
      <c r="G130" s="909">
        <v>2</v>
      </c>
      <c r="H130" s="2702" t="s">
        <v>1613</v>
      </c>
      <c r="I130" s="1930"/>
    </row>
    <row r="131" spans="2:9" ht="18.75" outlineLevel="1" x14ac:dyDescent="0.25">
      <c r="B131" s="557" t="s">
        <v>1766</v>
      </c>
      <c r="C131" s="1982" t="s">
        <v>2651</v>
      </c>
      <c r="D131" s="1982" t="s">
        <v>1767</v>
      </c>
      <c r="E131" s="1239">
        <f>((conc_Fe2p_I^(3/5)*conc_PO43m_I^(2/5)-K_sp_Vivi^(1/5))/K_sp_Vivi^(1/5))</f>
        <v>-1</v>
      </c>
      <c r="F131" s="910" t="s">
        <v>1990</v>
      </c>
      <c r="G131" s="909">
        <v>2</v>
      </c>
      <c r="H131" s="2761" t="s">
        <v>5487</v>
      </c>
      <c r="I131" s="1930"/>
    </row>
    <row r="132" spans="2:9" ht="18" outlineLevel="1" x14ac:dyDescent="0.25">
      <c r="B132" s="556" t="s">
        <v>1766</v>
      </c>
      <c r="C132" s="1981" t="s">
        <v>2651</v>
      </c>
      <c r="D132" s="1981">
        <v>0</v>
      </c>
      <c r="E132" s="910">
        <f>0</f>
        <v>0</v>
      </c>
      <c r="F132" s="910" t="s">
        <v>1990</v>
      </c>
      <c r="G132" s="910">
        <v>0</v>
      </c>
      <c r="H132" s="2761" t="s">
        <v>5488</v>
      </c>
      <c r="I132" s="1929"/>
    </row>
    <row r="133" spans="2:9" ht="18.75" outlineLevel="1" thickBot="1" x14ac:dyDescent="0.3">
      <c r="B133" s="558" t="s">
        <v>1370</v>
      </c>
      <c r="C133" s="1984" t="s">
        <v>2536</v>
      </c>
      <c r="D133" s="2117" t="s">
        <v>2652</v>
      </c>
      <c r="E133" s="911">
        <f>IF(P_recipDrivingForceVivi&gt;0,q_Vivi_PREC,-q_Vivi_DISS*M_satXVivi_KVivi_DISS)</f>
        <v>0</v>
      </c>
      <c r="F133" s="911" t="s">
        <v>1314</v>
      </c>
      <c r="G133" s="911">
        <v>0</v>
      </c>
      <c r="H133" s="2557"/>
      <c r="I133" s="1936"/>
    </row>
    <row r="134" spans="2:9" ht="15.75" thickBot="1" x14ac:dyDescent="0.3"/>
    <row r="135" spans="2:9" ht="15.75" thickBot="1" x14ac:dyDescent="0.3">
      <c r="C135" s="898" t="s">
        <v>327</v>
      </c>
      <c r="D135" s="13" t="s">
        <v>299</v>
      </c>
      <c r="E135" s="720"/>
    </row>
    <row r="136" spans="2:9" ht="15.75" thickBot="1" x14ac:dyDescent="0.3">
      <c r="B136" s="368" t="s">
        <v>0</v>
      </c>
      <c r="C136" s="2126" t="s">
        <v>1</v>
      </c>
      <c r="D136" s="369" t="s">
        <v>5</v>
      </c>
      <c r="E136" s="369" t="s">
        <v>152</v>
      </c>
      <c r="F136" s="369" t="s">
        <v>2</v>
      </c>
      <c r="G136" s="369" t="s">
        <v>298</v>
      </c>
      <c r="H136" s="2752" t="s">
        <v>116</v>
      </c>
      <c r="I136" s="370" t="s">
        <v>117</v>
      </c>
    </row>
    <row r="137" spans="2:9" ht="36" outlineLevel="1" x14ac:dyDescent="0.25">
      <c r="B137" s="1099" t="s">
        <v>328</v>
      </c>
      <c r="C137" s="1985" t="s">
        <v>2953</v>
      </c>
      <c r="D137" s="1219" t="s">
        <v>5942</v>
      </c>
      <c r="E137" s="1159">
        <f>C_OUR+N_OUR-(v_58_SO2*r_58+v_61_SO2*r_61+v_84_SO2*r_84+v_85_SO2*r_85+v_103_SO2*r_103+v_104_SO2*r_104)</f>
        <v>826.85906928169209</v>
      </c>
      <c r="F137" s="1160" t="s">
        <v>351</v>
      </c>
      <c r="G137" s="1160">
        <v>1</v>
      </c>
      <c r="H137" s="3086" t="s">
        <v>2107</v>
      </c>
      <c r="I137" s="1161"/>
    </row>
    <row r="138" spans="2:9" ht="36" outlineLevel="1" x14ac:dyDescent="0.25">
      <c r="B138" s="1162" t="s">
        <v>2103</v>
      </c>
      <c r="C138" s="1123" t="s">
        <v>2655</v>
      </c>
      <c r="D138" s="1148" t="s">
        <v>4912</v>
      </c>
      <c r="E138" s="438">
        <f>-(v_1_SO2*r_1+v_4_SO2*r_4+v_9_SO2*r_9+v_16_SO2*r_16+v_19_SO2*r_19+v_22_SO2*r_22+v_27_SO2*r_27)</f>
        <v>372.45328129118167</v>
      </c>
      <c r="F138" s="1124" t="s">
        <v>351</v>
      </c>
      <c r="G138" s="1124">
        <v>1</v>
      </c>
      <c r="H138" s="2766" t="s">
        <v>2107</v>
      </c>
      <c r="I138" s="1163"/>
    </row>
    <row r="139" spans="2:9" ht="18" outlineLevel="1" x14ac:dyDescent="0.25">
      <c r="B139" s="1162" t="s">
        <v>2104</v>
      </c>
      <c r="C139" s="461" t="s">
        <v>2656</v>
      </c>
      <c r="D139" s="1148" t="s">
        <v>5132</v>
      </c>
      <c r="E139" s="438">
        <f>-(v_37_SO2*r_37+v_40_SO2*r_40)</f>
        <v>356.6185267817163</v>
      </c>
      <c r="F139" s="593" t="s">
        <v>351</v>
      </c>
      <c r="G139" s="1124">
        <v>1</v>
      </c>
      <c r="H139" s="2766" t="s">
        <v>2107</v>
      </c>
      <c r="I139" s="1163"/>
    </row>
    <row r="140" spans="2:9" ht="36" outlineLevel="1" x14ac:dyDescent="0.25">
      <c r="B140" s="1027" t="s">
        <v>2653</v>
      </c>
      <c r="C140" s="1123" t="s">
        <v>330</v>
      </c>
      <c r="D140" s="1149" t="s">
        <v>5943</v>
      </c>
      <c r="E140" s="438">
        <f>-(v_3_SNO3*r_3+v_6_SNO3*r_6+v_13_SNO3*r_13+v_18_SNO3*r_18+v_21_SNO3*r_21+v_24_SNO3*r_24+v_29_SNO3*r_29+v_60_SNO3*r_60+v_63_SNO3*r_63+v_83_SNO3*r_83)</f>
        <v>14.489842812236773</v>
      </c>
      <c r="F140" s="1124" t="s">
        <v>1768</v>
      </c>
      <c r="G140" s="1124">
        <v>1</v>
      </c>
      <c r="H140" s="2766" t="s">
        <v>2107</v>
      </c>
      <c r="I140" s="1164"/>
    </row>
    <row r="141" spans="2:9" ht="54" outlineLevel="1" x14ac:dyDescent="0.25">
      <c r="B141" s="1027" t="s">
        <v>2654</v>
      </c>
      <c r="C141" s="1123" t="s">
        <v>2285</v>
      </c>
      <c r="D141" s="1149" t="s">
        <v>5944</v>
      </c>
      <c r="E141" s="1125">
        <f>-(v_2_SNO2*r_2+v_5_SNO2*r_5+v_12_SNO2*r_12+v_17_SNO2*r_17+v_20_SNO2*r_20+v_23_SNO2*r_23+v_28_SNO2*r_28+v_40_SNO2*r_40+v_43_SNO2*r_43+v_59_SNO2*r_59+v_62_SNO2*r_62+v_82_SNO2*r_82)</f>
        <v>65.845652646475244</v>
      </c>
      <c r="F141" s="1124" t="s">
        <v>1768</v>
      </c>
      <c r="G141" s="1124">
        <v>1</v>
      </c>
      <c r="H141" s="2766" t="s">
        <v>2107</v>
      </c>
      <c r="I141" s="1164"/>
    </row>
    <row r="142" spans="2:9" ht="54" outlineLevel="1" x14ac:dyDescent="0.25">
      <c r="B142" s="1027" t="s">
        <v>331</v>
      </c>
      <c r="C142" s="1123" t="s">
        <v>332</v>
      </c>
      <c r="D142" s="1149" t="s">
        <v>5945</v>
      </c>
      <c r="E142" s="1125">
        <f>i_N_BIO*(r_1+r_2+r_3+r_4+r_5+r_6+r_7+r_8+r_9+r_12+r_13+r_16+r_17+r_18+r_22+r_23+r_24+r_32+r_33+r_40+r_46+r_49+r_52+r_55+r_58+r_59+r_60+r_61+r_62+r_63)-(v_37_SNHx*r_37+v_43_SNHx*r_43+v_108_SNHx*r_108)</f>
        <v>128.59286679060281</v>
      </c>
      <c r="F142" s="1124" t="s">
        <v>1768</v>
      </c>
      <c r="G142" s="1124">
        <v>1</v>
      </c>
      <c r="H142" s="2766" t="s">
        <v>2107</v>
      </c>
      <c r="I142" s="1164"/>
    </row>
    <row r="143" spans="2:9" ht="18" outlineLevel="1" x14ac:dyDescent="0.25">
      <c r="B143" s="2240" t="s">
        <v>5155</v>
      </c>
      <c r="C143" s="2241" t="s">
        <v>5156</v>
      </c>
      <c r="D143" s="2250" t="s">
        <v>5157</v>
      </c>
      <c r="E143" s="434">
        <f>-(v_43_SNHx*r_43+v_43_SNO2*r_43)</f>
        <v>6.7061638104010859E-3</v>
      </c>
      <c r="F143" s="2243" t="s">
        <v>1768</v>
      </c>
      <c r="G143" s="2243">
        <v>1</v>
      </c>
      <c r="H143" s="2766" t="s">
        <v>2107</v>
      </c>
      <c r="I143" s="2251"/>
    </row>
    <row r="144" spans="2:9" ht="18" outlineLevel="1" x14ac:dyDescent="0.25">
      <c r="B144" s="1027" t="s">
        <v>1882</v>
      </c>
      <c r="C144" s="1123" t="s">
        <v>1883</v>
      </c>
      <c r="D144" s="1149" t="s">
        <v>4913</v>
      </c>
      <c r="E144" s="434">
        <f>P_URBIO+P_URCHEM</f>
        <v>320.54910847367569</v>
      </c>
      <c r="F144" s="1124" t="s">
        <v>1884</v>
      </c>
      <c r="G144" s="1124">
        <v>1</v>
      </c>
      <c r="H144" s="2766" t="s">
        <v>2107</v>
      </c>
      <c r="I144" s="1164"/>
    </row>
    <row r="145" spans="1:10" ht="35.25" customHeight="1" outlineLevel="1" x14ac:dyDescent="0.25">
      <c r="B145" s="1027" t="s">
        <v>1885</v>
      </c>
      <c r="C145" s="1175" t="s">
        <v>2954</v>
      </c>
      <c r="D145" s="1149" t="s">
        <v>5133</v>
      </c>
      <c r="E145" s="434">
        <f>i_P_BIO*(r_1+r_2+r_3+r_4+r_5+r_6+r_7+r_8+r_9+r_12+r_13+r_16+r_17+r_18+r_32+r_33+r_37+r_40+r_43+r_46+r_49+r_52+r_55+r_58+r_59+r_60+r_61+r_62+r_63)+P_URBIOP</f>
        <v>320.54910847367569</v>
      </c>
      <c r="F145" s="1124" t="s">
        <v>1884</v>
      </c>
      <c r="G145" s="1124">
        <v>1</v>
      </c>
      <c r="H145" s="2766" t="s">
        <v>2107</v>
      </c>
      <c r="I145" s="1164"/>
    </row>
    <row r="146" spans="1:10" ht="18" outlineLevel="1" x14ac:dyDescent="0.25">
      <c r="B146" s="1027" t="s">
        <v>4916</v>
      </c>
      <c r="C146" s="1974" t="s">
        <v>4915</v>
      </c>
      <c r="D146" s="1149" t="s">
        <v>4914</v>
      </c>
      <c r="E146" s="434">
        <f>-(v_19_SPO4*r_19+v_20_SPO4*r_20+v_21_SPO4*r_21)</f>
        <v>309.7956737158944</v>
      </c>
      <c r="F146" s="1124" t="s">
        <v>1884</v>
      </c>
      <c r="G146" s="1124">
        <v>1</v>
      </c>
      <c r="H146" s="2766" t="s">
        <v>2107</v>
      </c>
      <c r="I146" s="1164"/>
    </row>
    <row r="147" spans="1:10" ht="36" outlineLevel="1" x14ac:dyDescent="0.25">
      <c r="B147" s="1027" t="s">
        <v>1886</v>
      </c>
      <c r="C147" s="1175" t="s">
        <v>2955</v>
      </c>
      <c r="D147" s="1149" t="s">
        <v>5946</v>
      </c>
      <c r="E147" s="434">
        <f>-(v_89_SPO4*r_89+v_90_SPO4*r_90+v_96_SPO4*r_96+v_97_SPO4*r_97+v_106_SPO4*r_106+v_107_SPO4*r_107+v_108_SPO4*r_108+v_109_SPO4*r_109)</f>
        <v>2.725E-48</v>
      </c>
      <c r="F147" s="1124" t="s">
        <v>1884</v>
      </c>
      <c r="G147" s="1124">
        <v>1</v>
      </c>
      <c r="H147" s="2766" t="s">
        <v>2107</v>
      </c>
      <c r="I147" s="1164"/>
    </row>
    <row r="148" spans="1:10" ht="54" outlineLevel="1" x14ac:dyDescent="0.25">
      <c r="B148" s="1027" t="s">
        <v>1887</v>
      </c>
      <c r="C148" s="1123" t="s">
        <v>1888</v>
      </c>
      <c r="D148" s="1149" t="s">
        <v>5947</v>
      </c>
      <c r="E148" s="434">
        <f>v_25_SPO4*r_25+v_31_SPO4*r_31+v_34_SPO4*r_34+v_35_SPO4*r_35+v_77_SPO4*r_77+v_82_SPO4*r_82+v_83_SPO4*r_83+v_91_SPO4*r_91+v_92_SPO4*r_92+v_93_SPO4*r_93+v_98_SPO4*r_98+v_99_SPO4*r_99+v_100_SPO4*r_100+v_101_SPO4*r_101+v_102_SPO4*r_102</f>
        <v>8.8698807840380773</v>
      </c>
      <c r="F148" s="1124" t="s">
        <v>1884</v>
      </c>
      <c r="G148" s="1124">
        <v>1</v>
      </c>
      <c r="H148" s="2766" t="s">
        <v>2107</v>
      </c>
      <c r="I148" s="1164"/>
    </row>
    <row r="149" spans="1:10" ht="18" outlineLevel="1" x14ac:dyDescent="0.25">
      <c r="B149" s="1027" t="s">
        <v>4209</v>
      </c>
      <c r="C149" s="1123" t="s">
        <v>4210</v>
      </c>
      <c r="D149" s="1148" t="s">
        <v>5948</v>
      </c>
      <c r="E149" s="434">
        <f>-(v_58_SH2S*r_58+v_59_SH2S*r_59+v_60_SH2S*r_60+v_84_SH2S*r_84+v_86_SH2S*r_86)</f>
        <v>107.12015563391645</v>
      </c>
      <c r="F149" s="1124" t="s">
        <v>4212</v>
      </c>
      <c r="G149" s="1124">
        <v>1</v>
      </c>
      <c r="H149" s="2766" t="s">
        <v>2107</v>
      </c>
      <c r="I149" s="1164"/>
    </row>
    <row r="150" spans="1:10" ht="54.75" outlineLevel="1" thickBot="1" x14ac:dyDescent="0.3">
      <c r="B150" s="149" t="s">
        <v>3963</v>
      </c>
      <c r="C150" s="1986" t="s">
        <v>3962</v>
      </c>
      <c r="D150" s="1220" t="s">
        <v>5949</v>
      </c>
      <c r="E150" s="1165">
        <f>i_S_BIO*(r_1+r_2+r_3+r_9+r_12+r_13+r_16+r_17+r_18+r_22+r_23+r_24+r_37+r_40+r_43+r_46+r_49+r_58+r_59+r_60)-(v_4_SSO4*r_4+v_5_SSO4*r_5+v_6_SSO4*r_6+v_7_SSO4*r_7+v_8_SSO4*r_8+v_52_SSO4*r_52+v_55_SSO4*r_55+v_78_SSO4*r_78+v_79_SSO4*r_79)</f>
        <v>4.6282275975442726</v>
      </c>
      <c r="F150" s="1028" t="s">
        <v>4212</v>
      </c>
      <c r="G150" s="1028">
        <v>1</v>
      </c>
      <c r="H150" s="2766" t="s">
        <v>2107</v>
      </c>
      <c r="I150" s="1166"/>
    </row>
    <row r="151" spans="1:10" ht="54" outlineLevel="1" x14ac:dyDescent="0.25">
      <c r="A151" s="4"/>
      <c r="B151" s="2854" t="s">
        <v>6027</v>
      </c>
      <c r="C151" s="3041" t="s">
        <v>6028</v>
      </c>
      <c r="D151" s="2855" t="s">
        <v>6033</v>
      </c>
      <c r="E151" s="3084">
        <f>-(v_1_SVFA*r_1+v_2_SVFA*r_2+v_3_SVFA*r_3+v_25_SVFA*25+v_26_SVFA*r_26+v_46_SVFA*r_46+v_52_SVFA*r_52+v_4_SB*r_4+v_5_SB*r_5+v_6_SB*r_6+v_7_SB*r_7+v_8_SB*r_8+v_32_SB*r_32+v_33_SB*r_33+v_9_SMEOL*r_9+v_12_SMEOL*r_12+v_13_SMEOL*r_13)</f>
        <v>564.92455496059938</v>
      </c>
      <c r="F151" s="2766" t="s">
        <v>6029</v>
      </c>
      <c r="G151" s="2766">
        <v>1</v>
      </c>
      <c r="H151" s="2766"/>
      <c r="I151" s="3085"/>
      <c r="J151" s="1154"/>
    </row>
    <row r="152" spans="1:10" ht="33" outlineLevel="1" x14ac:dyDescent="0.25">
      <c r="A152" s="4"/>
      <c r="B152" s="2854" t="s">
        <v>6030</v>
      </c>
      <c r="C152" s="3041" t="s">
        <v>6031</v>
      </c>
      <c r="D152" s="2855" t="s">
        <v>6032</v>
      </c>
      <c r="E152" s="3084">
        <f>v_7_SH2*r_7+v_8_SH2*r_8+v_32_SH2*r_32+v_33_SH2*r_33+v_46_SCH4*r_46+v_49_SCH4*r_49+v_52_SH2S*r_52+v_55_SH2S*r_55</f>
        <v>0.17508816480405978</v>
      </c>
      <c r="F152" s="2766" t="s">
        <v>6029</v>
      </c>
      <c r="G152" s="2766">
        <v>1</v>
      </c>
      <c r="H152" s="2766"/>
      <c r="I152" s="3085"/>
      <c r="J152" s="1154"/>
    </row>
    <row r="153" spans="1:10" ht="15.75" thickBot="1" x14ac:dyDescent="0.3"/>
    <row r="154" spans="1:10" ht="15.75" thickBot="1" x14ac:dyDescent="0.3">
      <c r="C154" s="912" t="s">
        <v>2140</v>
      </c>
      <c r="D154" s="13" t="s">
        <v>299</v>
      </c>
      <c r="E154" s="720"/>
    </row>
    <row r="155" spans="1:10" ht="15.75" thickBot="1" x14ac:dyDescent="0.3">
      <c r="B155" s="441" t="s">
        <v>0</v>
      </c>
      <c r="C155" s="2127" t="s">
        <v>1</v>
      </c>
      <c r="D155" s="442" t="s">
        <v>5</v>
      </c>
      <c r="E155" s="442" t="s">
        <v>152</v>
      </c>
      <c r="F155" s="442" t="s">
        <v>2</v>
      </c>
      <c r="G155" s="442" t="s">
        <v>298</v>
      </c>
      <c r="H155" s="2559" t="s">
        <v>116</v>
      </c>
      <c r="I155" s="443" t="s">
        <v>117</v>
      </c>
    </row>
    <row r="156" spans="1:10" s="119" customFormat="1" ht="18" outlineLevel="1" x14ac:dyDescent="0.25">
      <c r="B156" s="1240" t="s">
        <v>1989</v>
      </c>
      <c r="C156" s="1286" t="s">
        <v>2657</v>
      </c>
      <c r="D156" s="839" t="s">
        <v>2106</v>
      </c>
      <c r="E156" s="816">
        <f>m_tox_ana_max</f>
        <v>10</v>
      </c>
      <c r="F156" s="382" t="s">
        <v>1990</v>
      </c>
      <c r="G156" s="382">
        <v>1</v>
      </c>
      <c r="H156" s="2560" t="s">
        <v>1209</v>
      </c>
      <c r="I156" s="1913"/>
      <c r="J156" s="151"/>
    </row>
    <row r="157" spans="1:10" s="119" customFormat="1" ht="18.75" outlineLevel="1" thickBot="1" x14ac:dyDescent="0.3">
      <c r="B157" s="149" t="s">
        <v>1989</v>
      </c>
      <c r="C157" s="1987" t="s">
        <v>2658</v>
      </c>
      <c r="D157" s="124">
        <v>0</v>
      </c>
      <c r="E157" s="124">
        <f>0</f>
        <v>0</v>
      </c>
      <c r="F157" s="913" t="s">
        <v>1990</v>
      </c>
      <c r="G157" s="913">
        <v>1</v>
      </c>
      <c r="H157" s="1507" t="s">
        <v>2107</v>
      </c>
      <c r="I157" s="1722"/>
      <c r="J157" s="151"/>
    </row>
    <row r="158" spans="1:10" s="4" customFormat="1" ht="15.75" thickBot="1" x14ac:dyDescent="0.3">
      <c r="B158" s="702"/>
      <c r="C158" s="702"/>
      <c r="D158" s="702"/>
      <c r="E158" s="381"/>
      <c r="F158" s="702"/>
      <c r="G158" s="702"/>
      <c r="H158" s="2550"/>
      <c r="I158" s="702"/>
    </row>
    <row r="159" spans="1:10" s="4" customFormat="1" ht="15.75" thickBot="1" x14ac:dyDescent="0.3">
      <c r="C159" s="914" t="s">
        <v>2929</v>
      </c>
      <c r="D159" s="13" t="s">
        <v>299</v>
      </c>
      <c r="E159" s="13"/>
      <c r="H159" s="1154"/>
    </row>
    <row r="160" spans="1:10" s="4" customFormat="1" ht="15.75" thickBot="1" x14ac:dyDescent="0.3">
      <c r="B160" s="844" t="s">
        <v>0</v>
      </c>
      <c r="C160" s="2128" t="s">
        <v>1</v>
      </c>
      <c r="D160" s="442" t="s">
        <v>5</v>
      </c>
      <c r="E160" s="442" t="s">
        <v>152</v>
      </c>
      <c r="F160" s="442" t="s">
        <v>2</v>
      </c>
      <c r="G160" s="442" t="s">
        <v>298</v>
      </c>
      <c r="H160" s="2559" t="s">
        <v>116</v>
      </c>
      <c r="I160" s="845" t="s">
        <v>117</v>
      </c>
    </row>
    <row r="161" spans="2:9" s="1938" customFormat="1" ht="18" outlineLevel="1" x14ac:dyDescent="0.25">
      <c r="B161" s="493" t="s">
        <v>2286</v>
      </c>
      <c r="C161" s="1988" t="s">
        <v>2659</v>
      </c>
      <c r="D161" s="1988" t="s">
        <v>2287</v>
      </c>
      <c r="E161" s="1243">
        <f>K_NHx_AOB_AS</f>
        <v>0.7</v>
      </c>
      <c r="F161" s="498" t="s">
        <v>334</v>
      </c>
      <c r="G161" s="498">
        <v>2</v>
      </c>
      <c r="H161" s="2637" t="s">
        <v>1248</v>
      </c>
      <c r="I161" s="1937"/>
    </row>
    <row r="162" spans="2:9" s="1938" customFormat="1" ht="18" outlineLevel="1" x14ac:dyDescent="0.25">
      <c r="B162" s="187" t="s">
        <v>2286</v>
      </c>
      <c r="C162" s="1989" t="s">
        <v>2659</v>
      </c>
      <c r="D162" s="2087" t="s">
        <v>3965</v>
      </c>
      <c r="E162" s="769">
        <f>K_NHx_AOB_AS*f_KS_biofilm</f>
        <v>0.27999999999999997</v>
      </c>
      <c r="F162" s="431" t="s">
        <v>334</v>
      </c>
      <c r="G162" s="431">
        <v>2</v>
      </c>
      <c r="H162" s="2638" t="s">
        <v>1175</v>
      </c>
      <c r="I162" s="1939" t="s">
        <v>4027</v>
      </c>
    </row>
    <row r="163" spans="2:9" s="1938" customFormat="1" ht="18" outlineLevel="1" x14ac:dyDescent="0.25">
      <c r="B163" s="187" t="s">
        <v>2288</v>
      </c>
      <c r="C163" s="1989" t="s">
        <v>2660</v>
      </c>
      <c r="D163" s="2087" t="s">
        <v>2289</v>
      </c>
      <c r="E163" s="769">
        <f>K_CO2_AOB_pH_AS</f>
        <v>1E-3</v>
      </c>
      <c r="F163" s="769" t="s">
        <v>1941</v>
      </c>
      <c r="G163" s="431">
        <v>2</v>
      </c>
      <c r="H163" s="2638" t="s">
        <v>5489</v>
      </c>
      <c r="I163" s="1939"/>
    </row>
    <row r="164" spans="2:9" s="1938" customFormat="1" ht="18" outlineLevel="1" x14ac:dyDescent="0.25">
      <c r="B164" s="187" t="s">
        <v>2288</v>
      </c>
      <c r="C164" s="1989" t="s">
        <v>2660</v>
      </c>
      <c r="D164" s="2087" t="s">
        <v>2290</v>
      </c>
      <c r="E164" s="769">
        <f>K_CO2_AOB_pH_sidestream</f>
        <v>4.0000000000000001E-3</v>
      </c>
      <c r="F164" s="769" t="s">
        <v>1941</v>
      </c>
      <c r="G164" s="431">
        <v>2</v>
      </c>
      <c r="H164" s="2638" t="s">
        <v>1602</v>
      </c>
      <c r="I164" s="1939"/>
    </row>
    <row r="165" spans="2:9" s="1938" customFormat="1" ht="18" outlineLevel="1" x14ac:dyDescent="0.25">
      <c r="B165" s="187" t="s">
        <v>2291</v>
      </c>
      <c r="C165" s="1989" t="s">
        <v>2661</v>
      </c>
      <c r="D165" s="2087" t="s">
        <v>2292</v>
      </c>
      <c r="E165" s="769">
        <f>K_O2_AOB_AS</f>
        <v>0.5</v>
      </c>
      <c r="F165" s="769" t="s">
        <v>1179</v>
      </c>
      <c r="G165" s="431">
        <v>2</v>
      </c>
      <c r="H165" s="2638" t="s">
        <v>1605</v>
      </c>
      <c r="I165" s="1939"/>
    </row>
    <row r="166" spans="2:9" s="1938" customFormat="1" ht="18" outlineLevel="1" x14ac:dyDescent="0.25">
      <c r="B166" s="187" t="s">
        <v>2291</v>
      </c>
      <c r="C166" s="1989" t="s">
        <v>2661</v>
      </c>
      <c r="D166" s="2087" t="s">
        <v>2293</v>
      </c>
      <c r="E166" s="769">
        <f>K_O2_AOB_sidestream</f>
        <v>0.5</v>
      </c>
      <c r="F166" s="769" t="s">
        <v>1179</v>
      </c>
      <c r="G166" s="431">
        <v>2</v>
      </c>
      <c r="H166" s="2638" t="s">
        <v>1602</v>
      </c>
      <c r="I166" s="1939"/>
    </row>
    <row r="167" spans="2:9" s="1938" customFormat="1" ht="18" outlineLevel="1" x14ac:dyDescent="0.25">
      <c r="B167" s="187" t="s">
        <v>2291</v>
      </c>
      <c r="C167" s="1989" t="s">
        <v>2661</v>
      </c>
      <c r="D167" s="2087" t="s">
        <v>3966</v>
      </c>
      <c r="E167" s="769">
        <f>K_O2_AOB_AS*f_KS_biofilm</f>
        <v>0.2</v>
      </c>
      <c r="F167" s="769" t="s">
        <v>1179</v>
      </c>
      <c r="G167" s="431">
        <v>2</v>
      </c>
      <c r="H167" s="2638" t="s">
        <v>1606</v>
      </c>
      <c r="I167" s="1939" t="s">
        <v>4027</v>
      </c>
    </row>
    <row r="168" spans="2:9" s="1938" customFormat="1" ht="18" outlineLevel="1" x14ac:dyDescent="0.25">
      <c r="B168" s="187" t="s">
        <v>2294</v>
      </c>
      <c r="C168" s="1989" t="s">
        <v>2662</v>
      </c>
      <c r="D168" s="2087" t="s">
        <v>2295</v>
      </c>
      <c r="E168" s="793">
        <f>K_NOx_AOB_AS</f>
        <v>0.03</v>
      </c>
      <c r="F168" s="769" t="s">
        <v>884</v>
      </c>
      <c r="G168" s="431">
        <v>2</v>
      </c>
      <c r="H168" s="2638" t="s">
        <v>1248</v>
      </c>
      <c r="I168" s="1939"/>
    </row>
    <row r="169" spans="2:9" s="1938" customFormat="1" ht="18" outlineLevel="1" x14ac:dyDescent="0.25">
      <c r="B169" s="187" t="s">
        <v>2294</v>
      </c>
      <c r="C169" s="1989" t="s">
        <v>2662</v>
      </c>
      <c r="D169" s="2087" t="s">
        <v>3967</v>
      </c>
      <c r="E169" s="793">
        <f>K_NOx_AOB_AS*f_KS_biofilm</f>
        <v>1.2E-2</v>
      </c>
      <c r="F169" s="769" t="s">
        <v>884</v>
      </c>
      <c r="G169" s="431">
        <v>2</v>
      </c>
      <c r="H169" s="2638" t="s">
        <v>1175</v>
      </c>
      <c r="I169" s="1939" t="s">
        <v>4027</v>
      </c>
    </row>
    <row r="170" spans="2:9" s="1938" customFormat="1" ht="18" outlineLevel="1" x14ac:dyDescent="0.25">
      <c r="B170" s="1244" t="s">
        <v>2664</v>
      </c>
      <c r="C170" s="1989" t="s">
        <v>2663</v>
      </c>
      <c r="D170" s="1989" t="s">
        <v>2665</v>
      </c>
      <c r="E170" s="793">
        <f>K_iHNO2_AOB_pH_AS</f>
        <v>9999</v>
      </c>
      <c r="F170" s="794" t="s">
        <v>2934</v>
      </c>
      <c r="G170" s="431">
        <v>2</v>
      </c>
      <c r="H170" s="2638" t="s">
        <v>1248</v>
      </c>
      <c r="I170" s="1939"/>
    </row>
    <row r="171" spans="2:9" s="1938" customFormat="1" ht="18.75" outlineLevel="1" thickBot="1" x14ac:dyDescent="0.3">
      <c r="B171" s="1245" t="s">
        <v>2664</v>
      </c>
      <c r="C171" s="1990" t="s">
        <v>2663</v>
      </c>
      <c r="D171" s="1990" t="s">
        <v>3968</v>
      </c>
      <c r="E171" s="795">
        <f>K_iHNO2_AOB_pH_AS*f_KS_biofilm</f>
        <v>3999.6000000000004</v>
      </c>
      <c r="F171" s="796" t="s">
        <v>2934</v>
      </c>
      <c r="G171" s="499">
        <v>2</v>
      </c>
      <c r="H171" s="2639" t="s">
        <v>1175</v>
      </c>
      <c r="I171" s="1940" t="s">
        <v>4027</v>
      </c>
    </row>
    <row r="172" spans="2:9" s="4" customFormat="1" ht="15.75" thickBot="1" x14ac:dyDescent="0.3">
      <c r="B172" s="702"/>
      <c r="C172" s="702"/>
      <c r="D172" s="702"/>
      <c r="E172" s="381"/>
      <c r="F172" s="702"/>
      <c r="G172" s="702"/>
      <c r="H172" s="2550"/>
      <c r="I172" s="702"/>
    </row>
    <row r="173" spans="2:9" s="4" customFormat="1" ht="15.75" thickBot="1" x14ac:dyDescent="0.3">
      <c r="C173" s="915" t="s">
        <v>2673</v>
      </c>
      <c r="D173" s="13" t="s">
        <v>299</v>
      </c>
      <c r="E173" s="13"/>
      <c r="H173" s="1154"/>
    </row>
    <row r="174" spans="2:9" s="4" customFormat="1" ht="15.75" thickBot="1" x14ac:dyDescent="0.3">
      <c r="B174" s="844" t="s">
        <v>0</v>
      </c>
      <c r="C174" s="2128" t="s">
        <v>1</v>
      </c>
      <c r="D174" s="442" t="s">
        <v>5</v>
      </c>
      <c r="E174" s="442" t="s">
        <v>152</v>
      </c>
      <c r="F174" s="442" t="s">
        <v>2</v>
      </c>
      <c r="G174" s="442" t="s">
        <v>298</v>
      </c>
      <c r="H174" s="2559" t="s">
        <v>116</v>
      </c>
      <c r="I174" s="845" t="s">
        <v>117</v>
      </c>
    </row>
    <row r="175" spans="2:9" s="1938" customFormat="1" ht="18" outlineLevel="1" x14ac:dyDescent="0.25">
      <c r="B175" s="493" t="s">
        <v>2296</v>
      </c>
      <c r="C175" s="1988" t="s">
        <v>2669</v>
      </c>
      <c r="D175" s="1988" t="s">
        <v>2297</v>
      </c>
      <c r="E175" s="1243">
        <f>K_NO2_NOB_AS</f>
        <v>0.1</v>
      </c>
      <c r="F175" s="498" t="s">
        <v>334</v>
      </c>
      <c r="G175" s="498">
        <v>2</v>
      </c>
      <c r="H175" s="2637" t="s">
        <v>1248</v>
      </c>
      <c r="I175" s="1937"/>
    </row>
    <row r="176" spans="2:9" s="1938" customFormat="1" ht="18" outlineLevel="1" x14ac:dyDescent="0.25">
      <c r="B176" s="187" t="s">
        <v>2296</v>
      </c>
      <c r="C176" s="1989" t="s">
        <v>2669</v>
      </c>
      <c r="D176" s="2087" t="s">
        <v>3969</v>
      </c>
      <c r="E176" s="769">
        <f>K_NO2_NOB_AS*f_KS_biofilm</f>
        <v>4.0000000000000008E-2</v>
      </c>
      <c r="F176" s="431" t="s">
        <v>334</v>
      </c>
      <c r="G176" s="431">
        <v>2</v>
      </c>
      <c r="H176" s="2638" t="s">
        <v>1175</v>
      </c>
      <c r="I176" s="1939" t="s">
        <v>4027</v>
      </c>
    </row>
    <row r="177" spans="2:9" s="1938" customFormat="1" ht="18" outlineLevel="1" x14ac:dyDescent="0.25">
      <c r="B177" s="187" t="s">
        <v>2298</v>
      </c>
      <c r="C177" s="1989" t="s">
        <v>2670</v>
      </c>
      <c r="D177" s="2087" t="s">
        <v>2299</v>
      </c>
      <c r="E177" s="769">
        <f>K_CO2_NOB_pH_AS</f>
        <v>2.0000000000000002E-5</v>
      </c>
      <c r="F177" s="769" t="s">
        <v>1941</v>
      </c>
      <c r="G177" s="431">
        <v>2</v>
      </c>
      <c r="H177" s="2638"/>
      <c r="I177" s="1939"/>
    </row>
    <row r="178" spans="2:9" s="1938" customFormat="1" ht="18" outlineLevel="1" x14ac:dyDescent="0.25">
      <c r="B178" s="187" t="s">
        <v>2300</v>
      </c>
      <c r="C178" s="1989" t="s">
        <v>2671</v>
      </c>
      <c r="D178" s="2087" t="s">
        <v>2301</v>
      </c>
      <c r="E178" s="769">
        <f>K_O2_NOB_AS</f>
        <v>0.5</v>
      </c>
      <c r="F178" s="769" t="s">
        <v>1179</v>
      </c>
      <c r="G178" s="431">
        <v>2</v>
      </c>
      <c r="H178" s="2638" t="s">
        <v>1605</v>
      </c>
      <c r="I178" s="1939"/>
    </row>
    <row r="179" spans="2:9" s="1938" customFormat="1" ht="18" outlineLevel="1" x14ac:dyDescent="0.25">
      <c r="B179" s="187" t="s">
        <v>2300</v>
      </c>
      <c r="C179" s="1989" t="s">
        <v>2671</v>
      </c>
      <c r="D179" s="2087" t="s">
        <v>2302</v>
      </c>
      <c r="E179" s="769">
        <f>K_O2_NOB_sidestream</f>
        <v>0.5</v>
      </c>
      <c r="F179" s="769" t="s">
        <v>1179</v>
      </c>
      <c r="G179" s="431">
        <v>2</v>
      </c>
      <c r="H179" s="2638" t="s">
        <v>1602</v>
      </c>
      <c r="I179" s="1939"/>
    </row>
    <row r="180" spans="2:9" s="1938" customFormat="1" ht="18" outlineLevel="1" x14ac:dyDescent="0.25">
      <c r="B180" s="187" t="s">
        <v>2300</v>
      </c>
      <c r="C180" s="1989" t="s">
        <v>2671</v>
      </c>
      <c r="D180" s="2087" t="s">
        <v>3970</v>
      </c>
      <c r="E180" s="769">
        <f>K_O2_NOB_AS*f_KS_biofilm</f>
        <v>0.2</v>
      </c>
      <c r="F180" s="769" t="s">
        <v>1179</v>
      </c>
      <c r="G180" s="431">
        <v>2</v>
      </c>
      <c r="H180" s="2638" t="s">
        <v>1606</v>
      </c>
      <c r="I180" s="1939" t="s">
        <v>4027</v>
      </c>
    </row>
    <row r="181" spans="2:9" s="1938" customFormat="1" ht="18" outlineLevel="1" x14ac:dyDescent="0.25">
      <c r="B181" s="187" t="s">
        <v>2303</v>
      </c>
      <c r="C181" s="1989" t="s">
        <v>2672</v>
      </c>
      <c r="D181" s="2087" t="s">
        <v>2304</v>
      </c>
      <c r="E181" s="793">
        <f>K_NOx_NOB_AS</f>
        <v>0.03</v>
      </c>
      <c r="F181" s="769" t="s">
        <v>884</v>
      </c>
      <c r="G181" s="431">
        <v>2</v>
      </c>
      <c r="H181" s="2638" t="s">
        <v>1248</v>
      </c>
      <c r="I181" s="1939"/>
    </row>
    <row r="182" spans="2:9" s="1938" customFormat="1" ht="18" outlineLevel="1" x14ac:dyDescent="0.25">
      <c r="B182" s="187" t="s">
        <v>2303</v>
      </c>
      <c r="C182" s="1989" t="s">
        <v>2672</v>
      </c>
      <c r="D182" s="2087" t="s">
        <v>3971</v>
      </c>
      <c r="E182" s="793">
        <f>K_NOx_NOB_AS*f_KS_biofilm</f>
        <v>1.2E-2</v>
      </c>
      <c r="F182" s="769" t="s">
        <v>884</v>
      </c>
      <c r="G182" s="431">
        <v>2</v>
      </c>
      <c r="H182" s="2638" t="s">
        <v>1175</v>
      </c>
      <c r="I182" s="1939" t="s">
        <v>4027</v>
      </c>
    </row>
    <row r="183" spans="2:9" s="1938" customFormat="1" ht="18" outlineLevel="1" x14ac:dyDescent="0.25">
      <c r="B183" s="1244" t="s">
        <v>2666</v>
      </c>
      <c r="C183" s="1989" t="s">
        <v>2667</v>
      </c>
      <c r="D183" s="1989" t="s">
        <v>2668</v>
      </c>
      <c r="E183" s="793">
        <f>K_iNH3_NOB_pH_AS</f>
        <v>9999</v>
      </c>
      <c r="F183" s="794" t="s">
        <v>2175</v>
      </c>
      <c r="G183" s="431">
        <v>2</v>
      </c>
      <c r="H183" s="2638" t="s">
        <v>1248</v>
      </c>
      <c r="I183" s="1939"/>
    </row>
    <row r="184" spans="2:9" s="1938" customFormat="1" ht="18.75" outlineLevel="1" thickBot="1" x14ac:dyDescent="0.3">
      <c r="B184" s="1245" t="s">
        <v>2666</v>
      </c>
      <c r="C184" s="1990" t="s">
        <v>2667</v>
      </c>
      <c r="D184" s="1990" t="s">
        <v>3972</v>
      </c>
      <c r="E184" s="795">
        <f>K_iNH3_NOB_pH_AS*f_KS_biofilm</f>
        <v>3999.6000000000004</v>
      </c>
      <c r="F184" s="796" t="s">
        <v>2175</v>
      </c>
      <c r="G184" s="499">
        <v>2</v>
      </c>
      <c r="H184" s="2639" t="s">
        <v>1175</v>
      </c>
      <c r="I184" s="1940" t="s">
        <v>4027</v>
      </c>
    </row>
    <row r="185" spans="2:9" s="4" customFormat="1" ht="15.75" thickBot="1" x14ac:dyDescent="0.3">
      <c r="B185" s="702"/>
      <c r="C185" s="702"/>
      <c r="D185" s="702"/>
      <c r="E185" s="381"/>
      <c r="F185" s="702"/>
      <c r="G185" s="702"/>
      <c r="H185" s="2550"/>
      <c r="I185" s="702"/>
    </row>
    <row r="186" spans="2:9" s="4" customFormat="1" ht="15.75" thickBot="1" x14ac:dyDescent="0.3">
      <c r="C186" s="915" t="s">
        <v>2674</v>
      </c>
      <c r="D186" s="13" t="s">
        <v>299</v>
      </c>
      <c r="E186" s="13"/>
      <c r="H186" s="1154"/>
    </row>
    <row r="187" spans="2:9" s="4" customFormat="1" ht="15.75" thickBot="1" x14ac:dyDescent="0.3">
      <c r="B187" s="844" t="s">
        <v>0</v>
      </c>
      <c r="C187" s="2128" t="s">
        <v>1</v>
      </c>
      <c r="D187" s="442" t="s">
        <v>5</v>
      </c>
      <c r="E187" s="442" t="s">
        <v>152</v>
      </c>
      <c r="F187" s="442" t="s">
        <v>2</v>
      </c>
      <c r="G187" s="442" t="s">
        <v>298</v>
      </c>
      <c r="H187" s="2559" t="s">
        <v>116</v>
      </c>
      <c r="I187" s="845" t="s">
        <v>117</v>
      </c>
    </row>
    <row r="188" spans="2:9" s="1938" customFormat="1" ht="18" outlineLevel="1" x14ac:dyDescent="0.25">
      <c r="B188" s="1941" t="s">
        <v>2305</v>
      </c>
      <c r="C188" s="1991" t="s">
        <v>2513</v>
      </c>
      <c r="D188" s="2112" t="s">
        <v>2306</v>
      </c>
      <c r="E188" s="1942">
        <f>K_NHx_AMX_AS</f>
        <v>2</v>
      </c>
      <c r="F188" s="500" t="s">
        <v>334</v>
      </c>
      <c r="G188" s="500">
        <v>2</v>
      </c>
      <c r="H188" s="2640" t="s">
        <v>1248</v>
      </c>
      <c r="I188" s="1943"/>
    </row>
    <row r="189" spans="2:9" s="1938" customFormat="1" ht="18" outlineLevel="1" x14ac:dyDescent="0.25">
      <c r="B189" s="325" t="s">
        <v>2305</v>
      </c>
      <c r="C189" s="1992" t="s">
        <v>2513</v>
      </c>
      <c r="D189" s="2113" t="s">
        <v>3973</v>
      </c>
      <c r="E189" s="326">
        <f>K_NHx_AMX_AS*f_KS_biofilm</f>
        <v>0.8</v>
      </c>
      <c r="F189" s="432" t="s">
        <v>334</v>
      </c>
      <c r="G189" s="432">
        <v>2</v>
      </c>
      <c r="H189" s="2641" t="s">
        <v>1175</v>
      </c>
      <c r="I189" s="1944" t="s">
        <v>4027</v>
      </c>
    </row>
    <row r="190" spans="2:9" s="1938" customFormat="1" ht="18" outlineLevel="1" x14ac:dyDescent="0.25">
      <c r="B190" s="325" t="s">
        <v>2307</v>
      </c>
      <c r="C190" s="1992" t="s">
        <v>2514</v>
      </c>
      <c r="D190" s="2113" t="s">
        <v>2308</v>
      </c>
      <c r="E190" s="326">
        <f>K_NO2_AMX_AS</f>
        <v>1</v>
      </c>
      <c r="F190" s="432" t="s">
        <v>334</v>
      </c>
      <c r="G190" s="432">
        <v>2</v>
      </c>
      <c r="H190" s="2641" t="s">
        <v>1248</v>
      </c>
      <c r="I190" s="1944"/>
    </row>
    <row r="191" spans="2:9" s="1938" customFormat="1" ht="18" outlineLevel="1" x14ac:dyDescent="0.25">
      <c r="B191" s="325" t="s">
        <v>2307</v>
      </c>
      <c r="C191" s="1992" t="s">
        <v>2514</v>
      </c>
      <c r="D191" s="2113" t="s">
        <v>3974</v>
      </c>
      <c r="E191" s="326">
        <f>K_NO2_AMX_AS*f_KS_biofilm</f>
        <v>0.4</v>
      </c>
      <c r="F191" s="432" t="s">
        <v>334</v>
      </c>
      <c r="G191" s="432">
        <v>2</v>
      </c>
      <c r="H191" s="2641" t="s">
        <v>1175</v>
      </c>
      <c r="I191" s="1944" t="s">
        <v>4027</v>
      </c>
    </row>
    <row r="192" spans="2:9" s="1938" customFormat="1" ht="18" outlineLevel="1" x14ac:dyDescent="0.25">
      <c r="B192" s="325" t="s">
        <v>2309</v>
      </c>
      <c r="C192" s="1992" t="s">
        <v>2515</v>
      </c>
      <c r="D192" s="2113" t="s">
        <v>2310</v>
      </c>
      <c r="E192" s="326">
        <f>K_CO2_AMX_pH_AS</f>
        <v>2.0000000000000001E-4</v>
      </c>
      <c r="F192" s="326" t="s">
        <v>1941</v>
      </c>
      <c r="G192" s="432">
        <v>2</v>
      </c>
      <c r="H192" s="2641"/>
      <c r="I192" s="1944"/>
    </row>
    <row r="193" spans="2:9" s="1938" customFormat="1" ht="18" outlineLevel="1" x14ac:dyDescent="0.25">
      <c r="B193" s="325" t="s">
        <v>4053</v>
      </c>
      <c r="C193" s="1992" t="s">
        <v>4054</v>
      </c>
      <c r="D193" s="2113" t="s">
        <v>4055</v>
      </c>
      <c r="E193" s="326">
        <f>K_iO2_AMX_AS</f>
        <v>0.4</v>
      </c>
      <c r="F193" s="326" t="s">
        <v>1179</v>
      </c>
      <c r="G193" s="432">
        <v>2</v>
      </c>
      <c r="H193" s="2641" t="s">
        <v>1248</v>
      </c>
      <c r="I193" s="1944"/>
    </row>
    <row r="194" spans="2:9" s="1938" customFormat="1" ht="18" outlineLevel="1" x14ac:dyDescent="0.25">
      <c r="B194" s="325" t="s">
        <v>4053</v>
      </c>
      <c r="C194" s="1992" t="s">
        <v>4054</v>
      </c>
      <c r="D194" s="2113" t="s">
        <v>4056</v>
      </c>
      <c r="E194" s="326">
        <f>K_iO2_AMX_AS*f_KS_biofilm</f>
        <v>0.16000000000000003</v>
      </c>
      <c r="F194" s="326" t="s">
        <v>1179</v>
      </c>
      <c r="G194" s="432">
        <v>2</v>
      </c>
      <c r="H194" s="2641" t="s">
        <v>1175</v>
      </c>
      <c r="I194" s="1944" t="s">
        <v>4027</v>
      </c>
    </row>
    <row r="195" spans="2:9" s="1938" customFormat="1" ht="18" outlineLevel="1" x14ac:dyDescent="0.25">
      <c r="B195" s="325" t="s">
        <v>2311</v>
      </c>
      <c r="C195" s="1993" t="s">
        <v>2935</v>
      </c>
      <c r="D195" s="2113" t="s">
        <v>2312</v>
      </c>
      <c r="E195" s="1945">
        <f>K_NOx_AMX_AS</f>
        <v>0.1</v>
      </c>
      <c r="F195" s="326" t="s">
        <v>884</v>
      </c>
      <c r="G195" s="432">
        <v>2</v>
      </c>
      <c r="H195" s="2641" t="s">
        <v>1248</v>
      </c>
      <c r="I195" s="1944"/>
    </row>
    <row r="196" spans="2:9" s="1938" customFormat="1" ht="18" outlineLevel="1" x14ac:dyDescent="0.25">
      <c r="B196" s="325" t="s">
        <v>2311</v>
      </c>
      <c r="C196" s="1993" t="s">
        <v>2935</v>
      </c>
      <c r="D196" s="2113" t="s">
        <v>3975</v>
      </c>
      <c r="E196" s="1945">
        <f>K_NOx_AMX_AS*f_KS_biofilm</f>
        <v>4.0000000000000008E-2</v>
      </c>
      <c r="F196" s="326" t="s">
        <v>884</v>
      </c>
      <c r="G196" s="432">
        <v>2</v>
      </c>
      <c r="H196" s="2641" t="s">
        <v>1175</v>
      </c>
      <c r="I196" s="1944" t="s">
        <v>4027</v>
      </c>
    </row>
    <row r="197" spans="2:9" s="1938" customFormat="1" ht="18" outlineLevel="1" x14ac:dyDescent="0.25">
      <c r="B197" s="569" t="s">
        <v>2861</v>
      </c>
      <c r="C197" s="1994" t="s">
        <v>2517</v>
      </c>
      <c r="D197" s="1994" t="s">
        <v>2862</v>
      </c>
      <c r="E197" s="1945">
        <f>K_iHNO2_AMX_pH_AS</f>
        <v>1</v>
      </c>
      <c r="F197" s="797" t="s">
        <v>2934</v>
      </c>
      <c r="G197" s="432">
        <v>2</v>
      </c>
      <c r="H197" s="2641" t="s">
        <v>1248</v>
      </c>
      <c r="I197" s="1944"/>
    </row>
    <row r="198" spans="2:9" s="1938" customFormat="1" ht="18.75" outlineLevel="1" thickBot="1" x14ac:dyDescent="0.3">
      <c r="B198" s="1946" t="s">
        <v>2861</v>
      </c>
      <c r="C198" s="1995" t="s">
        <v>2517</v>
      </c>
      <c r="D198" s="2114" t="s">
        <v>3976</v>
      </c>
      <c r="E198" s="1947">
        <f>K_iHNO2_AMX_pH_AS*f_KS_biofilm</f>
        <v>0.4</v>
      </c>
      <c r="F198" s="798" t="s">
        <v>2934</v>
      </c>
      <c r="G198" s="501">
        <v>2</v>
      </c>
      <c r="H198" s="2642" t="s">
        <v>1175</v>
      </c>
      <c r="I198" s="1948" t="s">
        <v>4027</v>
      </c>
    </row>
    <row r="199" spans="2:9" ht="15.75" thickBot="1" x14ac:dyDescent="0.3">
      <c r="B199" s="151"/>
      <c r="C199" s="151"/>
      <c r="D199" s="151"/>
      <c r="E199" s="719"/>
      <c r="F199" s="151"/>
      <c r="G199" s="151"/>
      <c r="H199" s="44"/>
      <c r="I199" s="151"/>
    </row>
    <row r="200" spans="2:9" ht="15.75" thickBot="1" x14ac:dyDescent="0.3">
      <c r="C200" s="916" t="s">
        <v>2675</v>
      </c>
      <c r="D200" s="13" t="s">
        <v>299</v>
      </c>
      <c r="E200" s="13"/>
    </row>
    <row r="201" spans="2:9" ht="15.75" thickBot="1" x14ac:dyDescent="0.3">
      <c r="B201" s="299" t="s">
        <v>0</v>
      </c>
      <c r="C201" s="2129" t="s">
        <v>1</v>
      </c>
      <c r="D201" s="308" t="s">
        <v>5</v>
      </c>
      <c r="E201" s="308" t="s">
        <v>152</v>
      </c>
      <c r="F201" s="308" t="s">
        <v>2</v>
      </c>
      <c r="G201" s="308" t="s">
        <v>298</v>
      </c>
      <c r="H201" s="2562" t="s">
        <v>116</v>
      </c>
      <c r="I201" s="310" t="s">
        <v>117</v>
      </c>
    </row>
    <row r="202" spans="2:9" s="1925" customFormat="1" ht="18" outlineLevel="1" x14ac:dyDescent="0.25">
      <c r="B202" s="252" t="s">
        <v>1769</v>
      </c>
      <c r="C202" s="1996" t="s">
        <v>2677</v>
      </c>
      <c r="D202" s="2083" t="s">
        <v>1915</v>
      </c>
      <c r="E202" s="371">
        <f>K_SB_AS</f>
        <v>5</v>
      </c>
      <c r="F202" s="321" t="s">
        <v>1180</v>
      </c>
      <c r="G202" s="321">
        <v>1</v>
      </c>
      <c r="H202" s="2588" t="s">
        <v>1248</v>
      </c>
      <c r="I202" s="383"/>
    </row>
    <row r="203" spans="2:9" s="1925" customFormat="1" ht="18" outlineLevel="1" x14ac:dyDescent="0.25">
      <c r="B203" s="252" t="s">
        <v>1769</v>
      </c>
      <c r="C203" s="1996" t="s">
        <v>2677</v>
      </c>
      <c r="D203" s="2083" t="s">
        <v>3977</v>
      </c>
      <c r="E203" s="372">
        <f>K_SB_AS*f_KS_biofilm</f>
        <v>2</v>
      </c>
      <c r="F203" s="321" t="s">
        <v>1180</v>
      </c>
      <c r="G203" s="321">
        <v>2</v>
      </c>
      <c r="H203" s="2588" t="s">
        <v>1175</v>
      </c>
      <c r="I203" s="383" t="s">
        <v>4027</v>
      </c>
    </row>
    <row r="204" spans="2:9" s="1925" customFormat="1" ht="18" outlineLevel="1" x14ac:dyDescent="0.25">
      <c r="B204" s="252" t="s">
        <v>1770</v>
      </c>
      <c r="C204" s="1996" t="s">
        <v>2678</v>
      </c>
      <c r="D204" s="2083" t="s">
        <v>1916</v>
      </c>
      <c r="E204" s="372">
        <f>K_VFA_AS</f>
        <v>0.5</v>
      </c>
      <c r="F204" s="321" t="s">
        <v>1771</v>
      </c>
      <c r="G204" s="321">
        <v>2</v>
      </c>
      <c r="H204" s="2588" t="s">
        <v>1248</v>
      </c>
      <c r="I204" s="383"/>
    </row>
    <row r="205" spans="2:9" s="1925" customFormat="1" ht="18" outlineLevel="1" x14ac:dyDescent="0.25">
      <c r="B205" s="252" t="s">
        <v>1770</v>
      </c>
      <c r="C205" s="1996" t="s">
        <v>2678</v>
      </c>
      <c r="D205" s="2083" t="s">
        <v>3978</v>
      </c>
      <c r="E205" s="373">
        <f>K_VFA_AS*f_KS_biofilm</f>
        <v>0.2</v>
      </c>
      <c r="F205" s="321" t="s">
        <v>1771</v>
      </c>
      <c r="G205" s="321">
        <v>3</v>
      </c>
      <c r="H205" s="2588" t="s">
        <v>1175</v>
      </c>
      <c r="I205" s="383" t="s">
        <v>4027</v>
      </c>
    </row>
    <row r="206" spans="2:9" s="1925" customFormat="1" ht="18" outlineLevel="1" x14ac:dyDescent="0.25">
      <c r="B206" s="254" t="s">
        <v>1772</v>
      </c>
      <c r="C206" s="1997" t="s">
        <v>2679</v>
      </c>
      <c r="D206" s="2111" t="s">
        <v>1918</v>
      </c>
      <c r="E206" s="374">
        <f>K_O2_OHO_AS</f>
        <v>0.15</v>
      </c>
      <c r="F206" s="731" t="s">
        <v>1179</v>
      </c>
      <c r="G206" s="731">
        <v>2</v>
      </c>
      <c r="H206" s="2588" t="s">
        <v>1248</v>
      </c>
      <c r="I206" s="1949"/>
    </row>
    <row r="207" spans="2:9" s="1925" customFormat="1" ht="18" outlineLevel="1" x14ac:dyDescent="0.25">
      <c r="B207" s="252" t="s">
        <v>1772</v>
      </c>
      <c r="C207" s="1996" t="s">
        <v>2679</v>
      </c>
      <c r="D207" s="2083" t="s">
        <v>3979</v>
      </c>
      <c r="E207" s="373">
        <f>K_O2_OHO_AS*f_KS_biofilm</f>
        <v>0.06</v>
      </c>
      <c r="F207" s="321" t="s">
        <v>1179</v>
      </c>
      <c r="G207" s="321">
        <v>3</v>
      </c>
      <c r="H207" s="2588" t="s">
        <v>1175</v>
      </c>
      <c r="I207" s="383" t="s">
        <v>4027</v>
      </c>
    </row>
    <row r="208" spans="2:9" s="1925" customFormat="1" ht="18" outlineLevel="1" x14ac:dyDescent="0.25">
      <c r="B208" s="252" t="s">
        <v>1773</v>
      </c>
      <c r="C208" s="1996" t="s">
        <v>2680</v>
      </c>
      <c r="D208" s="2083" t="s">
        <v>1917</v>
      </c>
      <c r="E208" s="372">
        <f>K_MEOL_OHO_AS</f>
        <v>0.1</v>
      </c>
      <c r="F208" s="321" t="s">
        <v>1180</v>
      </c>
      <c r="G208" s="321">
        <v>2</v>
      </c>
      <c r="H208" s="2588" t="s">
        <v>1248</v>
      </c>
      <c r="I208" s="383"/>
    </row>
    <row r="209" spans="2:9" s="1925" customFormat="1" ht="18" outlineLevel="1" x14ac:dyDescent="0.25">
      <c r="B209" s="252" t="s">
        <v>1773</v>
      </c>
      <c r="C209" s="1996" t="s">
        <v>2680</v>
      </c>
      <c r="D209" s="2083" t="s">
        <v>3980</v>
      </c>
      <c r="E209" s="373">
        <f>K_MEOL_OHO_AS*f_KS_biofilm</f>
        <v>4.0000000000000008E-2</v>
      </c>
      <c r="F209" s="321" t="s">
        <v>1180</v>
      </c>
      <c r="G209" s="321">
        <v>3</v>
      </c>
      <c r="H209" s="2588" t="s">
        <v>1175</v>
      </c>
      <c r="I209" s="383" t="s">
        <v>4027</v>
      </c>
    </row>
    <row r="210" spans="2:9" s="1925" customFormat="1" ht="18" outlineLevel="1" x14ac:dyDescent="0.25">
      <c r="B210" s="252" t="s">
        <v>2313</v>
      </c>
      <c r="C210" s="1996" t="s">
        <v>2681</v>
      </c>
      <c r="D210" s="2083" t="s">
        <v>2314</v>
      </c>
      <c r="E210" s="372">
        <f>K_NO2_OHO_AS</f>
        <v>0.05</v>
      </c>
      <c r="F210" s="321" t="s">
        <v>334</v>
      </c>
      <c r="G210" s="321">
        <v>2</v>
      </c>
      <c r="H210" s="2588" t="s">
        <v>1248</v>
      </c>
      <c r="I210" s="383"/>
    </row>
    <row r="211" spans="2:9" s="1925" customFormat="1" ht="18" outlineLevel="1" x14ac:dyDescent="0.25">
      <c r="B211" s="252" t="s">
        <v>2313</v>
      </c>
      <c r="C211" s="1996" t="s">
        <v>2681</v>
      </c>
      <c r="D211" s="2083" t="s">
        <v>3981</v>
      </c>
      <c r="E211" s="373">
        <f>K_NO2_OHO_AS*f_KS_biofilm</f>
        <v>2.0000000000000004E-2</v>
      </c>
      <c r="F211" s="321" t="s">
        <v>334</v>
      </c>
      <c r="G211" s="321">
        <v>3</v>
      </c>
      <c r="H211" s="2588" t="s">
        <v>1175</v>
      </c>
      <c r="I211" s="383" t="s">
        <v>4027</v>
      </c>
    </row>
    <row r="212" spans="2:9" s="1925" customFormat="1" ht="18" customHeight="1" outlineLevel="1" x14ac:dyDescent="0.25">
      <c r="B212" s="2917" t="s">
        <v>5711</v>
      </c>
      <c r="C212" s="2918" t="s">
        <v>5708</v>
      </c>
      <c r="D212" s="2936" t="s">
        <v>5707</v>
      </c>
      <c r="E212" s="2937">
        <f>K_VFA_OHO_SNO2_AS</f>
        <v>150</v>
      </c>
      <c r="F212" s="2938" t="s">
        <v>1180</v>
      </c>
      <c r="G212" s="2938">
        <v>2</v>
      </c>
      <c r="H212" s="2939" t="s">
        <v>1248</v>
      </c>
      <c r="I212" s="2940"/>
    </row>
    <row r="213" spans="2:9" s="1925" customFormat="1" ht="18" customHeight="1" outlineLevel="1" x14ac:dyDescent="0.25">
      <c r="B213" s="2917" t="s">
        <v>5711</v>
      </c>
      <c r="C213" s="2918" t="s">
        <v>5708</v>
      </c>
      <c r="D213" s="2936" t="s">
        <v>5712</v>
      </c>
      <c r="E213" s="2937">
        <f>K_VFA_OHO_SNO2_AS*f_KS_biofilm</f>
        <v>60</v>
      </c>
      <c r="F213" s="2938" t="s">
        <v>1180</v>
      </c>
      <c r="G213" s="2938">
        <v>3</v>
      </c>
      <c r="H213" s="2939" t="s">
        <v>1175</v>
      </c>
      <c r="I213" s="2940" t="s">
        <v>4027</v>
      </c>
    </row>
    <row r="214" spans="2:9" s="1925" customFormat="1" ht="18" outlineLevel="1" x14ac:dyDescent="0.25">
      <c r="B214" s="252" t="s">
        <v>1774</v>
      </c>
      <c r="C214" s="1996" t="s">
        <v>2682</v>
      </c>
      <c r="D214" s="2083" t="s">
        <v>1919</v>
      </c>
      <c r="E214" s="373">
        <f>K_NO3_OHO_AS</f>
        <v>1.25</v>
      </c>
      <c r="F214" s="321" t="s">
        <v>884</v>
      </c>
      <c r="G214" s="321">
        <v>3</v>
      </c>
      <c r="H214" s="2588" t="s">
        <v>1248</v>
      </c>
      <c r="I214" s="383"/>
    </row>
    <row r="215" spans="2:9" s="1925" customFormat="1" ht="18" outlineLevel="1" x14ac:dyDescent="0.25">
      <c r="B215" s="252" t="s">
        <v>1774</v>
      </c>
      <c r="C215" s="1996" t="s">
        <v>2682</v>
      </c>
      <c r="D215" s="2083" t="s">
        <v>3982</v>
      </c>
      <c r="E215" s="375">
        <f>K_NO3_OHO_AS*f_KS_biofilm</f>
        <v>0.5</v>
      </c>
      <c r="F215" s="321" t="s">
        <v>884</v>
      </c>
      <c r="G215" s="321">
        <v>4</v>
      </c>
      <c r="H215" s="2588" t="s">
        <v>1175</v>
      </c>
      <c r="I215" s="383" t="s">
        <v>4027</v>
      </c>
    </row>
    <row r="216" spans="2:9" s="1925" customFormat="1" ht="18" outlineLevel="1" x14ac:dyDescent="0.25">
      <c r="B216" s="183" t="s">
        <v>2165</v>
      </c>
      <c r="C216" s="1998" t="s">
        <v>2685</v>
      </c>
      <c r="D216" s="2083" t="s">
        <v>2156</v>
      </c>
      <c r="E216" s="372">
        <f>K_VFA_FERM_AS</f>
        <v>50</v>
      </c>
      <c r="F216" s="321" t="s">
        <v>1771</v>
      </c>
      <c r="G216" s="321">
        <v>2</v>
      </c>
      <c r="H216" s="2588" t="s">
        <v>1248</v>
      </c>
      <c r="I216" s="383"/>
    </row>
    <row r="217" spans="2:9" s="1925" customFormat="1" ht="18" outlineLevel="1" x14ac:dyDescent="0.25">
      <c r="B217" s="183" t="s">
        <v>2165</v>
      </c>
      <c r="C217" s="1998" t="s">
        <v>2685</v>
      </c>
      <c r="D217" s="2083" t="s">
        <v>3983</v>
      </c>
      <c r="E217" s="373">
        <f>K_VFA_FERM_AS*f_KS_biofilm</f>
        <v>20</v>
      </c>
      <c r="F217" s="321" t="s">
        <v>1771</v>
      </c>
      <c r="G217" s="321">
        <v>3</v>
      </c>
      <c r="H217" s="2588" t="s">
        <v>1175</v>
      </c>
      <c r="I217" s="383" t="s">
        <v>4027</v>
      </c>
    </row>
    <row r="218" spans="2:9" s="1925" customFormat="1" ht="30" outlineLevel="1" x14ac:dyDescent="0.25">
      <c r="B218" s="1134" t="s">
        <v>1863</v>
      </c>
      <c r="C218" s="1859" t="s">
        <v>2683</v>
      </c>
      <c r="D218" s="1859" t="s">
        <v>1920</v>
      </c>
      <c r="E218" s="1136">
        <f>K_SB_ana_AS</f>
        <v>5</v>
      </c>
      <c r="F218" s="1135" t="s">
        <v>1180</v>
      </c>
      <c r="G218" s="1135">
        <v>1</v>
      </c>
      <c r="H218" s="2643" t="s">
        <v>4588</v>
      </c>
      <c r="I218" s="1950"/>
    </row>
    <row r="219" spans="2:9" s="1925" customFormat="1" ht="30" outlineLevel="1" x14ac:dyDescent="0.25">
      <c r="B219" s="1134" t="s">
        <v>1863</v>
      </c>
      <c r="C219" s="1859" t="s">
        <v>2683</v>
      </c>
      <c r="D219" s="1859" t="s">
        <v>3984</v>
      </c>
      <c r="E219" s="1137">
        <f>K_SB_ana_AS*f_KS_biofilm</f>
        <v>2</v>
      </c>
      <c r="F219" s="1135" t="s">
        <v>1180</v>
      </c>
      <c r="G219" s="1135">
        <v>2</v>
      </c>
      <c r="H219" s="2643" t="s">
        <v>4589</v>
      </c>
      <c r="I219" s="1950" t="s">
        <v>4027</v>
      </c>
    </row>
    <row r="220" spans="2:9" s="1925" customFormat="1" ht="30.75" outlineLevel="1" thickBot="1" x14ac:dyDescent="0.3">
      <c r="B220" s="255" t="s">
        <v>1863</v>
      </c>
      <c r="C220" s="1999" t="s">
        <v>2683</v>
      </c>
      <c r="D220" s="1999" t="s">
        <v>4350</v>
      </c>
      <c r="E220" s="1139">
        <f>K_SB_ana_DIG</f>
        <v>350</v>
      </c>
      <c r="F220" s="1138" t="s">
        <v>1180</v>
      </c>
      <c r="G220" s="1138">
        <v>1</v>
      </c>
      <c r="H220" s="2644" t="s">
        <v>1209</v>
      </c>
      <c r="I220" s="1951"/>
    </row>
    <row r="221" spans="2:9" ht="15.75" thickBot="1" x14ac:dyDescent="0.3">
      <c r="B221" s="151"/>
      <c r="C221" s="151"/>
      <c r="D221" s="151"/>
      <c r="E221" s="719"/>
      <c r="F221" s="151"/>
      <c r="G221" s="151"/>
      <c r="H221" s="44"/>
      <c r="I221" s="151"/>
    </row>
    <row r="222" spans="2:9" ht="15.75" thickBot="1" x14ac:dyDescent="0.3">
      <c r="C222" s="916" t="s">
        <v>2676</v>
      </c>
      <c r="D222" s="13" t="s">
        <v>299</v>
      </c>
      <c r="E222" s="13"/>
    </row>
    <row r="223" spans="2:9" ht="15.75" thickBot="1" x14ac:dyDescent="0.3">
      <c r="B223" s="299" t="s">
        <v>0</v>
      </c>
      <c r="C223" s="2129" t="s">
        <v>1</v>
      </c>
      <c r="D223" s="308" t="s">
        <v>5</v>
      </c>
      <c r="E223" s="308" t="s">
        <v>152</v>
      </c>
      <c r="F223" s="308" t="s">
        <v>2</v>
      </c>
      <c r="G223" s="308" t="s">
        <v>298</v>
      </c>
      <c r="H223" s="2562" t="s">
        <v>116</v>
      </c>
      <c r="I223" s="310" t="s">
        <v>117</v>
      </c>
    </row>
    <row r="224" spans="2:9" s="1925" customFormat="1" ht="18" outlineLevel="1" x14ac:dyDescent="0.25">
      <c r="B224" s="544" t="s">
        <v>1775</v>
      </c>
      <c r="C224" s="2108" t="s">
        <v>2686</v>
      </c>
      <c r="D224" s="2108" t="s">
        <v>1921</v>
      </c>
      <c r="E224" s="1246">
        <f>K_MEOL_AS</f>
        <v>0.5</v>
      </c>
      <c r="F224" s="545" t="s">
        <v>1180</v>
      </c>
      <c r="G224" s="546">
        <v>2</v>
      </c>
      <c r="H224" s="2563" t="s">
        <v>1248</v>
      </c>
      <c r="I224" s="1952"/>
    </row>
    <row r="225" spans="2:9" s="1925" customFormat="1" ht="18" outlineLevel="1" x14ac:dyDescent="0.25">
      <c r="B225" s="547" t="s">
        <v>1775</v>
      </c>
      <c r="C225" s="2109" t="s">
        <v>2686</v>
      </c>
      <c r="D225" s="2109" t="s">
        <v>3985</v>
      </c>
      <c r="E225" s="550">
        <f>K_MEOL_AS*f_KS_biofilm</f>
        <v>0.2</v>
      </c>
      <c r="F225" s="548" t="s">
        <v>1180</v>
      </c>
      <c r="G225" s="549">
        <v>3</v>
      </c>
      <c r="H225" s="2564" t="s">
        <v>1175</v>
      </c>
      <c r="I225" s="1953" t="s">
        <v>4027</v>
      </c>
    </row>
    <row r="226" spans="2:9" s="1925" customFormat="1" ht="18" outlineLevel="1" x14ac:dyDescent="0.25">
      <c r="B226" s="547" t="s">
        <v>4057</v>
      </c>
      <c r="C226" s="2109" t="s">
        <v>4058</v>
      </c>
      <c r="D226" s="2109" t="s">
        <v>4034</v>
      </c>
      <c r="E226" s="550">
        <f>K_iO2_MEOLO_AS</f>
        <v>0.05</v>
      </c>
      <c r="F226" s="548" t="s">
        <v>1179</v>
      </c>
      <c r="G226" s="549">
        <v>3</v>
      </c>
      <c r="H226" s="2564" t="s">
        <v>1248</v>
      </c>
      <c r="I226" s="1953"/>
    </row>
    <row r="227" spans="2:9" s="1925" customFormat="1" ht="18" outlineLevel="1" x14ac:dyDescent="0.25">
      <c r="B227" s="547" t="s">
        <v>4057</v>
      </c>
      <c r="C227" s="2109" t="s">
        <v>4058</v>
      </c>
      <c r="D227" s="2109" t="s">
        <v>4059</v>
      </c>
      <c r="E227" s="551">
        <f>K_iO2_MEOLO_AS*f_KS_biofilm</f>
        <v>2.0000000000000004E-2</v>
      </c>
      <c r="F227" s="548" t="s">
        <v>1179</v>
      </c>
      <c r="G227" s="549">
        <v>4</v>
      </c>
      <c r="H227" s="2564" t="s">
        <v>1175</v>
      </c>
      <c r="I227" s="1953" t="s">
        <v>4027</v>
      </c>
    </row>
    <row r="228" spans="2:9" s="1925" customFormat="1" ht="18" outlineLevel="1" x14ac:dyDescent="0.25">
      <c r="B228" s="547" t="s">
        <v>2315</v>
      </c>
      <c r="C228" s="2109" t="s">
        <v>2687</v>
      </c>
      <c r="D228" s="2109" t="s">
        <v>2316</v>
      </c>
      <c r="E228" s="550">
        <f>K_NO2_MEOLO_AS</f>
        <v>0.02</v>
      </c>
      <c r="F228" s="548" t="s">
        <v>884</v>
      </c>
      <c r="G228" s="549">
        <v>2</v>
      </c>
      <c r="H228" s="2564" t="s">
        <v>1248</v>
      </c>
      <c r="I228" s="1953"/>
    </row>
    <row r="229" spans="2:9" s="1925" customFormat="1" ht="18" outlineLevel="1" x14ac:dyDescent="0.25">
      <c r="B229" s="547" t="s">
        <v>2315</v>
      </c>
      <c r="C229" s="2109" t="s">
        <v>2687</v>
      </c>
      <c r="D229" s="2109" t="s">
        <v>3986</v>
      </c>
      <c r="E229" s="551">
        <f>K_NO2_MEOLO_AS*f_KS_biofilm</f>
        <v>8.0000000000000002E-3</v>
      </c>
      <c r="F229" s="548" t="s">
        <v>884</v>
      </c>
      <c r="G229" s="549">
        <v>2</v>
      </c>
      <c r="H229" s="2564" t="s">
        <v>1175</v>
      </c>
      <c r="I229" s="1953" t="s">
        <v>4027</v>
      </c>
    </row>
    <row r="230" spans="2:9" s="1925" customFormat="1" ht="18" customHeight="1" outlineLevel="1" x14ac:dyDescent="0.25">
      <c r="B230" s="2941" t="s">
        <v>5713</v>
      </c>
      <c r="C230" s="2942" t="s">
        <v>5710</v>
      </c>
      <c r="D230" s="2943" t="s">
        <v>5709</v>
      </c>
      <c r="E230" s="2944">
        <f>K_MEOL_SNO2_AS</f>
        <v>150</v>
      </c>
      <c r="F230" s="2945" t="s">
        <v>1180</v>
      </c>
      <c r="G230" s="2946">
        <v>2</v>
      </c>
      <c r="H230" s="2947" t="s">
        <v>1248</v>
      </c>
      <c r="I230" s="2948"/>
    </row>
    <row r="231" spans="2:9" s="1925" customFormat="1" ht="18" customHeight="1" outlineLevel="1" x14ac:dyDescent="0.25">
      <c r="B231" s="2941" t="s">
        <v>5713</v>
      </c>
      <c r="C231" s="2942" t="s">
        <v>5710</v>
      </c>
      <c r="D231" s="2943" t="s">
        <v>5714</v>
      </c>
      <c r="E231" s="2944">
        <f>K_MEOL_SNO2_AS*f_KS_biofilm</f>
        <v>60</v>
      </c>
      <c r="F231" s="2949" t="s">
        <v>1180</v>
      </c>
      <c r="G231" s="2942">
        <v>3</v>
      </c>
      <c r="H231" s="2950" t="s">
        <v>1175</v>
      </c>
      <c r="I231" s="2948" t="s">
        <v>4027</v>
      </c>
    </row>
    <row r="232" spans="2:9" s="1925" customFormat="1" ht="18" outlineLevel="1" x14ac:dyDescent="0.25">
      <c r="B232" s="547" t="s">
        <v>1776</v>
      </c>
      <c r="C232" s="2109" t="s">
        <v>2688</v>
      </c>
      <c r="D232" s="2109" t="s">
        <v>1922</v>
      </c>
      <c r="E232" s="550">
        <f>K_NO3_MEOLO_AS</f>
        <v>0.05</v>
      </c>
      <c r="F232" s="548" t="s">
        <v>884</v>
      </c>
      <c r="G232" s="549">
        <v>3</v>
      </c>
      <c r="H232" s="2564" t="s">
        <v>1248</v>
      </c>
      <c r="I232" s="1953"/>
    </row>
    <row r="233" spans="2:9" s="1925" customFormat="1" ht="18.75" outlineLevel="1" thickBot="1" x14ac:dyDescent="0.3">
      <c r="B233" s="552" t="s">
        <v>1776</v>
      </c>
      <c r="C233" s="2110" t="s">
        <v>2688</v>
      </c>
      <c r="D233" s="2110" t="s">
        <v>3987</v>
      </c>
      <c r="E233" s="1247">
        <f>K_NO3_MEOLO_AS*f_KS_biofilm</f>
        <v>2.0000000000000004E-2</v>
      </c>
      <c r="F233" s="553" t="s">
        <v>884</v>
      </c>
      <c r="G233" s="554">
        <v>4</v>
      </c>
      <c r="H233" s="2565" t="s">
        <v>1175</v>
      </c>
      <c r="I233" s="1954" t="s">
        <v>4027</v>
      </c>
    </row>
    <row r="234" spans="2:9" ht="15.75" thickBot="1" x14ac:dyDescent="0.3">
      <c r="B234" s="151"/>
      <c r="C234" s="151"/>
      <c r="D234" s="151"/>
      <c r="E234" s="719"/>
      <c r="F234" s="151"/>
      <c r="G234" s="151"/>
      <c r="H234" s="44"/>
      <c r="I234" s="151"/>
    </row>
    <row r="235" spans="2:9" ht="15.75" thickBot="1" x14ac:dyDescent="0.3">
      <c r="C235" s="960" t="s">
        <v>4785</v>
      </c>
      <c r="D235" s="13" t="s">
        <v>299</v>
      </c>
      <c r="E235" s="13"/>
    </row>
    <row r="236" spans="2:9" s="4" customFormat="1" ht="15.75" thickBot="1" x14ac:dyDescent="0.3">
      <c r="B236" s="1234" t="s">
        <v>0</v>
      </c>
      <c r="C236" s="2125" t="s">
        <v>1</v>
      </c>
      <c r="D236" s="1200" t="s">
        <v>5</v>
      </c>
      <c r="E236" s="1200" t="s">
        <v>152</v>
      </c>
      <c r="F236" s="1200" t="s">
        <v>2</v>
      </c>
      <c r="G236" s="1200" t="s">
        <v>298</v>
      </c>
      <c r="H236" s="2541" t="s">
        <v>116</v>
      </c>
      <c r="I236" s="1201" t="s">
        <v>117</v>
      </c>
    </row>
    <row r="237" spans="2:9" s="1925" customFormat="1" ht="18" outlineLevel="1" x14ac:dyDescent="0.25">
      <c r="B237" s="1000" t="s">
        <v>4790</v>
      </c>
      <c r="C237" s="2000" t="s">
        <v>4786</v>
      </c>
      <c r="D237" s="2000" t="s">
        <v>4726</v>
      </c>
      <c r="E237" s="1002">
        <f>K_O2_CASTO_AS</f>
        <v>0.05</v>
      </c>
      <c r="F237" s="1002" t="s">
        <v>1179</v>
      </c>
      <c r="G237" s="1001">
        <v>2</v>
      </c>
      <c r="H237" s="2566" t="s">
        <v>1248</v>
      </c>
      <c r="I237" s="1955"/>
    </row>
    <row r="238" spans="2:9" s="1925" customFormat="1" ht="18" outlineLevel="1" x14ac:dyDescent="0.25">
      <c r="B238" s="1003" t="s">
        <v>4790</v>
      </c>
      <c r="C238" s="2001" t="s">
        <v>4786</v>
      </c>
      <c r="D238" s="2001" t="s">
        <v>4831</v>
      </c>
      <c r="E238" s="1005">
        <f>K_O2_CASTO_AS*f_KS_biofilm</f>
        <v>2.0000000000000004E-2</v>
      </c>
      <c r="F238" s="1005" t="s">
        <v>1179</v>
      </c>
      <c r="G238" s="1004">
        <v>3</v>
      </c>
      <c r="H238" s="2567" t="s">
        <v>1175</v>
      </c>
      <c r="I238" s="1676" t="s">
        <v>4027</v>
      </c>
    </row>
    <row r="239" spans="2:9" s="1925" customFormat="1" ht="18" outlineLevel="1" x14ac:dyDescent="0.25">
      <c r="B239" s="1003" t="s">
        <v>4791</v>
      </c>
      <c r="C239" s="2001" t="s">
        <v>4787</v>
      </c>
      <c r="D239" s="2001" t="s">
        <v>4832</v>
      </c>
      <c r="E239" s="1005">
        <f>K_NO2_CASTO_AS</f>
        <v>0.05</v>
      </c>
      <c r="F239" s="1005" t="s">
        <v>884</v>
      </c>
      <c r="G239" s="1004">
        <v>2</v>
      </c>
      <c r="H239" s="2567" t="s">
        <v>1248</v>
      </c>
      <c r="I239" s="1676"/>
    </row>
    <row r="240" spans="2:9" s="1925" customFormat="1" ht="18" outlineLevel="1" x14ac:dyDescent="0.25">
      <c r="B240" s="1003" t="s">
        <v>4791</v>
      </c>
      <c r="C240" s="2001" t="s">
        <v>4787</v>
      </c>
      <c r="D240" s="2001" t="s">
        <v>4833</v>
      </c>
      <c r="E240" s="1005">
        <f>K_NO2_CASTO_AS*f_KS_biofilm</f>
        <v>2.0000000000000004E-2</v>
      </c>
      <c r="F240" s="1005" t="s">
        <v>884</v>
      </c>
      <c r="G240" s="1004">
        <v>2</v>
      </c>
      <c r="H240" s="2567" t="s">
        <v>1175</v>
      </c>
      <c r="I240" s="1676" t="s">
        <v>4027</v>
      </c>
    </row>
    <row r="241" spans="2:9" s="1925" customFormat="1" ht="18" outlineLevel="1" x14ac:dyDescent="0.25">
      <c r="B241" s="1003" t="s">
        <v>4792</v>
      </c>
      <c r="C241" s="2001" t="s">
        <v>4788</v>
      </c>
      <c r="D241" s="2001" t="s">
        <v>4727</v>
      </c>
      <c r="E241" s="1005">
        <f>K_NO3_CASTO_AS</f>
        <v>0.1</v>
      </c>
      <c r="F241" s="1005" t="s">
        <v>884</v>
      </c>
      <c r="G241" s="1004">
        <v>2</v>
      </c>
      <c r="H241" s="2567" t="s">
        <v>1248</v>
      </c>
      <c r="I241" s="1676"/>
    </row>
    <row r="242" spans="2:9" s="1925" customFormat="1" ht="18" outlineLevel="1" x14ac:dyDescent="0.25">
      <c r="B242" s="1003" t="s">
        <v>4792</v>
      </c>
      <c r="C242" s="2001" t="s">
        <v>4788</v>
      </c>
      <c r="D242" s="2001" t="s">
        <v>4834</v>
      </c>
      <c r="E242" s="1005">
        <f>K_NO3_CASTO_AS*f_KS_biofilm</f>
        <v>4.0000000000000008E-2</v>
      </c>
      <c r="F242" s="1005" t="s">
        <v>884</v>
      </c>
      <c r="G242" s="1004">
        <v>3</v>
      </c>
      <c r="H242" s="2567" t="s">
        <v>1175</v>
      </c>
      <c r="I242" s="1676" t="s">
        <v>4027</v>
      </c>
    </row>
    <row r="243" spans="2:9" s="1925" customFormat="1" ht="18" outlineLevel="1" x14ac:dyDescent="0.25">
      <c r="B243" s="1003" t="s">
        <v>4793</v>
      </c>
      <c r="C243" s="2001" t="s">
        <v>4789</v>
      </c>
      <c r="D243" s="2001" t="s">
        <v>4729</v>
      </c>
      <c r="E243" s="1248">
        <f>K_VFA_CASTO_AS</f>
        <v>5</v>
      </c>
      <c r="F243" s="1005" t="s">
        <v>1180</v>
      </c>
      <c r="G243" s="1004">
        <v>1</v>
      </c>
      <c r="H243" s="2567" t="s">
        <v>1248</v>
      </c>
      <c r="I243" s="1676"/>
    </row>
    <row r="244" spans="2:9" s="1925" customFormat="1" ht="18" outlineLevel="1" x14ac:dyDescent="0.25">
      <c r="B244" s="1003" t="s">
        <v>4793</v>
      </c>
      <c r="C244" s="2001" t="s">
        <v>4789</v>
      </c>
      <c r="D244" s="2001" t="s">
        <v>4835</v>
      </c>
      <c r="E244" s="1249">
        <f>K_VFA_CASTO_AS*f_KS_biofilm</f>
        <v>2</v>
      </c>
      <c r="F244" s="1005" t="s">
        <v>1180</v>
      </c>
      <c r="G244" s="1004">
        <v>2</v>
      </c>
      <c r="H244" s="2567" t="s">
        <v>1175</v>
      </c>
      <c r="I244" s="1676" t="s">
        <v>4027</v>
      </c>
    </row>
    <row r="245" spans="2:9" s="1925" customFormat="1" ht="18" outlineLevel="1" x14ac:dyDescent="0.25">
      <c r="B245" s="1006" t="s">
        <v>1181</v>
      </c>
      <c r="C245" s="2002" t="s">
        <v>2690</v>
      </c>
      <c r="D245" s="2002" t="s">
        <v>1923</v>
      </c>
      <c r="E245" s="1249">
        <f>K_PO4_PAO_AS</f>
        <v>0.15</v>
      </c>
      <c r="F245" s="1005" t="s">
        <v>886</v>
      </c>
      <c r="G245" s="1004">
        <v>2</v>
      </c>
      <c r="H245" s="2567" t="s">
        <v>1248</v>
      </c>
      <c r="I245" s="1676"/>
    </row>
    <row r="246" spans="2:9" s="1925" customFormat="1" ht="18" outlineLevel="1" x14ac:dyDescent="0.25">
      <c r="B246" s="1006" t="s">
        <v>1181</v>
      </c>
      <c r="C246" s="2002" t="s">
        <v>2690</v>
      </c>
      <c r="D246" s="2002" t="s">
        <v>3988</v>
      </c>
      <c r="E246" s="1250">
        <f>K_PO4_PAO_AS*f_KS_biofilm</f>
        <v>0.06</v>
      </c>
      <c r="F246" s="1005" t="s">
        <v>886</v>
      </c>
      <c r="G246" s="1004">
        <v>3</v>
      </c>
      <c r="H246" s="2567" t="s">
        <v>1175</v>
      </c>
      <c r="I246" s="1676" t="s">
        <v>4027</v>
      </c>
    </row>
    <row r="247" spans="2:9" s="1925" customFormat="1" ht="18" outlineLevel="1" x14ac:dyDescent="0.25">
      <c r="B247" s="1006" t="s">
        <v>1610</v>
      </c>
      <c r="C247" s="2003" t="s">
        <v>2691</v>
      </c>
      <c r="D247" s="2003" t="s">
        <v>1924</v>
      </c>
      <c r="E247" s="1005">
        <f>K_Mg_PAO_AS</f>
        <v>1E-3</v>
      </c>
      <c r="F247" s="1005" t="s">
        <v>1607</v>
      </c>
      <c r="G247" s="1004">
        <v>4</v>
      </c>
      <c r="H247" s="2567" t="s">
        <v>1248</v>
      </c>
      <c r="I247" s="1676"/>
    </row>
    <row r="248" spans="2:9" s="1925" customFormat="1" ht="18" outlineLevel="1" x14ac:dyDescent="0.25">
      <c r="B248" s="1006" t="s">
        <v>1610</v>
      </c>
      <c r="C248" s="2003" t="s">
        <v>2691</v>
      </c>
      <c r="D248" s="2003" t="s">
        <v>3989</v>
      </c>
      <c r="E248" s="1005">
        <f>K_Mg_PAO_AS*f_KS_biofilm</f>
        <v>4.0000000000000002E-4</v>
      </c>
      <c r="F248" s="1005" t="s">
        <v>1607</v>
      </c>
      <c r="G248" s="1004">
        <v>5</v>
      </c>
      <c r="H248" s="2567" t="s">
        <v>1175</v>
      </c>
      <c r="I248" s="1676" t="s">
        <v>4027</v>
      </c>
    </row>
    <row r="249" spans="2:9" s="1925" customFormat="1" ht="18" outlineLevel="1" x14ac:dyDescent="0.25">
      <c r="B249" s="1006" t="s">
        <v>1611</v>
      </c>
      <c r="C249" s="2003" t="s">
        <v>2692</v>
      </c>
      <c r="D249" s="2003" t="s">
        <v>1925</v>
      </c>
      <c r="E249" s="1005">
        <f>K_K_PAO_AS</f>
        <v>1E-3</v>
      </c>
      <c r="F249" s="1005" t="s">
        <v>1608</v>
      </c>
      <c r="G249" s="1004">
        <v>4</v>
      </c>
      <c r="H249" s="2567" t="s">
        <v>1248</v>
      </c>
      <c r="I249" s="1676"/>
    </row>
    <row r="250" spans="2:9" s="1925" customFormat="1" ht="18" outlineLevel="1" x14ac:dyDescent="0.25">
      <c r="B250" s="1006" t="s">
        <v>1611</v>
      </c>
      <c r="C250" s="2003" t="s">
        <v>2692</v>
      </c>
      <c r="D250" s="2003" t="s">
        <v>3990</v>
      </c>
      <c r="E250" s="1005">
        <f>K_K_PAO_AS*f_KS_biofilm</f>
        <v>4.0000000000000002E-4</v>
      </c>
      <c r="F250" s="1005" t="s">
        <v>1608</v>
      </c>
      <c r="G250" s="1004">
        <v>5</v>
      </c>
      <c r="H250" s="2567" t="s">
        <v>1175</v>
      </c>
      <c r="I250" s="1676" t="s">
        <v>4027</v>
      </c>
    </row>
    <row r="251" spans="2:9" s="1925" customFormat="1" ht="18" outlineLevel="1" x14ac:dyDescent="0.25">
      <c r="B251" s="1006" t="s">
        <v>1612</v>
      </c>
      <c r="C251" s="2003" t="s">
        <v>2693</v>
      </c>
      <c r="D251" s="2003" t="s">
        <v>1926</v>
      </c>
      <c r="E251" s="1005">
        <f>K_Ca_PAO_AS</f>
        <v>1E-3</v>
      </c>
      <c r="F251" s="1005" t="s">
        <v>1609</v>
      </c>
      <c r="G251" s="1004">
        <v>4</v>
      </c>
      <c r="H251" s="2567" t="s">
        <v>1248</v>
      </c>
      <c r="I251" s="1676"/>
    </row>
    <row r="252" spans="2:9" s="1925" customFormat="1" ht="18" outlineLevel="1" x14ac:dyDescent="0.25">
      <c r="B252" s="1006" t="s">
        <v>1612</v>
      </c>
      <c r="C252" s="2003" t="s">
        <v>2693</v>
      </c>
      <c r="D252" s="2003" t="s">
        <v>3991</v>
      </c>
      <c r="E252" s="1005">
        <f>K_Ca_PAO_AS*f_KS_biofilm</f>
        <v>4.0000000000000002E-4</v>
      </c>
      <c r="F252" s="1005" t="s">
        <v>1609</v>
      </c>
      <c r="G252" s="1004">
        <v>5</v>
      </c>
      <c r="H252" s="2567" t="s">
        <v>1175</v>
      </c>
      <c r="I252" s="1676" t="s">
        <v>4027</v>
      </c>
    </row>
    <row r="253" spans="2:9" s="1925" customFormat="1" ht="18" outlineLevel="1" x14ac:dyDescent="0.25">
      <c r="B253" s="1006" t="s">
        <v>2697</v>
      </c>
      <c r="C253" s="2002" t="s">
        <v>2694</v>
      </c>
      <c r="D253" s="2002" t="s">
        <v>2480</v>
      </c>
      <c r="E253" s="1005">
        <f>K_iPO4_lim_AS</f>
        <v>5.0000000000000001E-3</v>
      </c>
      <c r="F253" s="1005" t="s">
        <v>886</v>
      </c>
      <c r="G253" s="1004">
        <v>3</v>
      </c>
      <c r="H253" s="2567" t="s">
        <v>1248</v>
      </c>
      <c r="I253" s="1676"/>
    </row>
    <row r="254" spans="2:9" s="1925" customFormat="1" ht="18.75" outlineLevel="1" thickBot="1" x14ac:dyDescent="0.3">
      <c r="B254" s="249" t="s">
        <v>2697</v>
      </c>
      <c r="C254" s="2004" t="s">
        <v>2694</v>
      </c>
      <c r="D254" s="2004" t="s">
        <v>3992</v>
      </c>
      <c r="E254" s="1008">
        <f>K_iPO4_lim_AS*f_KS_biofilm</f>
        <v>2E-3</v>
      </c>
      <c r="F254" s="1008" t="s">
        <v>886</v>
      </c>
      <c r="G254" s="1007">
        <v>4</v>
      </c>
      <c r="H254" s="2568" t="s">
        <v>1175</v>
      </c>
      <c r="I254" s="535" t="s">
        <v>4027</v>
      </c>
    </row>
    <row r="255" spans="2:9" ht="15.75" thickBot="1" x14ac:dyDescent="0.3">
      <c r="B255" s="151"/>
      <c r="C255" s="151"/>
      <c r="D255" s="151"/>
      <c r="E255" s="719"/>
      <c r="F255" s="151"/>
      <c r="G255" s="151"/>
      <c r="H255" s="44"/>
      <c r="I255" s="151"/>
    </row>
    <row r="256" spans="2:9" ht="15.75" thickBot="1" x14ac:dyDescent="0.3">
      <c r="C256" s="916" t="s">
        <v>2698</v>
      </c>
      <c r="D256" s="13" t="s">
        <v>299</v>
      </c>
      <c r="E256" s="13"/>
    </row>
    <row r="257" spans="2:9" s="4" customFormat="1" ht="15.75" thickBot="1" x14ac:dyDescent="0.3">
      <c r="B257" s="1234" t="s">
        <v>0</v>
      </c>
      <c r="C257" s="2125" t="s">
        <v>1</v>
      </c>
      <c r="D257" s="1200" t="s">
        <v>5</v>
      </c>
      <c r="E257" s="1200" t="s">
        <v>152</v>
      </c>
      <c r="F257" s="1200" t="s">
        <v>2</v>
      </c>
      <c r="G257" s="1200" t="s">
        <v>298</v>
      </c>
      <c r="H257" s="2541" t="s">
        <v>116</v>
      </c>
      <c r="I257" s="1201" t="s">
        <v>117</v>
      </c>
    </row>
    <row r="258" spans="2:9" s="1925" customFormat="1" ht="18" outlineLevel="1" x14ac:dyDescent="0.25">
      <c r="B258" s="988" t="s">
        <v>1778</v>
      </c>
      <c r="C258" s="2005" t="s">
        <v>2700</v>
      </c>
      <c r="D258" s="2005" t="s">
        <v>1927</v>
      </c>
      <c r="E258" s="1251">
        <f>K_VFA_AMETO_AS</f>
        <v>400</v>
      </c>
      <c r="F258" s="990" t="s">
        <v>1180</v>
      </c>
      <c r="G258" s="989">
        <v>1</v>
      </c>
      <c r="H258" s="2569" t="s">
        <v>1248</v>
      </c>
      <c r="I258" s="1956"/>
    </row>
    <row r="259" spans="2:9" s="1925" customFormat="1" ht="18" outlineLevel="1" x14ac:dyDescent="0.25">
      <c r="B259" s="991" t="s">
        <v>1778</v>
      </c>
      <c r="C259" s="2006" t="s">
        <v>2700</v>
      </c>
      <c r="D259" s="2006" t="s">
        <v>3993</v>
      </c>
      <c r="E259" s="1252">
        <f>K_VFA_AMETO_AS*f_KS_biofilm</f>
        <v>160</v>
      </c>
      <c r="F259" s="993" t="s">
        <v>1180</v>
      </c>
      <c r="G259" s="992">
        <v>1</v>
      </c>
      <c r="H259" s="2570" t="s">
        <v>1175</v>
      </c>
      <c r="I259" s="1957" t="s">
        <v>4027</v>
      </c>
    </row>
    <row r="260" spans="2:9" s="1925" customFormat="1" ht="18" outlineLevel="1" x14ac:dyDescent="0.25">
      <c r="B260" s="991" t="s">
        <v>2703</v>
      </c>
      <c r="C260" s="2006" t="s">
        <v>2701</v>
      </c>
      <c r="D260" s="2006" t="s">
        <v>2518</v>
      </c>
      <c r="E260" s="1252">
        <f>K_iVFA_AMETO_AS</f>
        <v>99999</v>
      </c>
      <c r="F260" s="993" t="s">
        <v>1180</v>
      </c>
      <c r="G260" s="992">
        <v>1</v>
      </c>
      <c r="H260" s="2570" t="s">
        <v>1248</v>
      </c>
      <c r="I260" s="1957"/>
    </row>
    <row r="261" spans="2:9" s="1925" customFormat="1" ht="18" outlineLevel="1" x14ac:dyDescent="0.25">
      <c r="B261" s="991" t="s">
        <v>2703</v>
      </c>
      <c r="C261" s="2006" t="s">
        <v>2701</v>
      </c>
      <c r="D261" s="2006" t="s">
        <v>3994</v>
      </c>
      <c r="E261" s="1252">
        <f>K_iVFA_AMETO_AS*f_KS_biofilm</f>
        <v>39999.600000000006</v>
      </c>
      <c r="F261" s="993" t="s">
        <v>1180</v>
      </c>
      <c r="G261" s="992">
        <v>1</v>
      </c>
      <c r="H261" s="2570" t="s">
        <v>1175</v>
      </c>
      <c r="I261" s="1957" t="s">
        <v>4027</v>
      </c>
    </row>
    <row r="262" spans="2:9" s="1925" customFormat="1" ht="18" outlineLevel="1" x14ac:dyDescent="0.25">
      <c r="B262" s="2146" t="s">
        <v>5060</v>
      </c>
      <c r="C262" s="2147" t="s">
        <v>5062</v>
      </c>
      <c r="D262" s="2147" t="s">
        <v>5055</v>
      </c>
      <c r="E262" s="2148">
        <f>K_iNH3_AMETO_pH_AS</f>
        <v>0.999</v>
      </c>
      <c r="F262" s="2143" t="s">
        <v>383</v>
      </c>
      <c r="G262" s="2149">
        <v>3</v>
      </c>
      <c r="H262" s="2571" t="s">
        <v>1248</v>
      </c>
      <c r="I262" s="2144"/>
    </row>
    <row r="263" spans="2:9" s="1925" customFormat="1" ht="18" outlineLevel="1" x14ac:dyDescent="0.25">
      <c r="B263" s="2146" t="s">
        <v>5060</v>
      </c>
      <c r="C263" s="2147" t="s">
        <v>5062</v>
      </c>
      <c r="D263" s="2147" t="s">
        <v>5061</v>
      </c>
      <c r="E263" s="2148">
        <f>K_iNH3_AMETO_pH_AS*f_KS_biofilm</f>
        <v>0.39960000000000001</v>
      </c>
      <c r="F263" s="2143" t="s">
        <v>383</v>
      </c>
      <c r="G263" s="2149">
        <v>3</v>
      </c>
      <c r="H263" s="2571" t="s">
        <v>1175</v>
      </c>
      <c r="I263" s="2144" t="s">
        <v>4027</v>
      </c>
    </row>
    <row r="264" spans="2:9" s="1925" customFormat="1" ht="18" outlineLevel="1" x14ac:dyDescent="0.25">
      <c r="B264" s="991" t="s">
        <v>4060</v>
      </c>
      <c r="C264" s="2006" t="s">
        <v>4061</v>
      </c>
      <c r="D264" s="2006" t="s">
        <v>4040</v>
      </c>
      <c r="E264" s="993">
        <f>K_iO2_AMETO_AS</f>
        <v>0.05</v>
      </c>
      <c r="F264" s="993" t="s">
        <v>1179</v>
      </c>
      <c r="G264" s="992">
        <v>2</v>
      </c>
      <c r="H264" s="2570" t="s">
        <v>1248</v>
      </c>
      <c r="I264" s="1957"/>
    </row>
    <row r="265" spans="2:9" s="1925" customFormat="1" ht="18" outlineLevel="1" x14ac:dyDescent="0.25">
      <c r="B265" s="991" t="s">
        <v>4060</v>
      </c>
      <c r="C265" s="2006" t="s">
        <v>4061</v>
      </c>
      <c r="D265" s="2006" t="s">
        <v>4062</v>
      </c>
      <c r="E265" s="993">
        <f>K_iO2_AMETO_AS*f_KS_biofilm</f>
        <v>2.0000000000000004E-2</v>
      </c>
      <c r="F265" s="993" t="s">
        <v>1179</v>
      </c>
      <c r="G265" s="992">
        <v>3</v>
      </c>
      <c r="H265" s="2570" t="s">
        <v>1175</v>
      </c>
      <c r="I265" s="1957" t="s">
        <v>4027</v>
      </c>
    </row>
    <row r="266" spans="2:9" s="1925" customFormat="1" ht="18" outlineLevel="1" x14ac:dyDescent="0.25">
      <c r="B266" s="991" t="s">
        <v>2378</v>
      </c>
      <c r="C266" s="2006" t="s">
        <v>2702</v>
      </c>
      <c r="D266" s="2006" t="s">
        <v>2376</v>
      </c>
      <c r="E266" s="993">
        <f>K_NOx_AMETO_AS</f>
        <v>0.05</v>
      </c>
      <c r="F266" s="993" t="s">
        <v>884</v>
      </c>
      <c r="G266" s="992">
        <v>2</v>
      </c>
      <c r="H266" s="2570" t="s">
        <v>1248</v>
      </c>
      <c r="I266" s="1957"/>
    </row>
    <row r="267" spans="2:9" s="1925" customFormat="1" ht="18.75" outlineLevel="1" thickBot="1" x14ac:dyDescent="0.3">
      <c r="B267" s="259" t="s">
        <v>2378</v>
      </c>
      <c r="C267" s="2007" t="s">
        <v>2702</v>
      </c>
      <c r="D267" s="2007" t="s">
        <v>3995</v>
      </c>
      <c r="E267" s="995">
        <f>K_NOx_AMETO_AS*f_KS_biofilm</f>
        <v>2.0000000000000004E-2</v>
      </c>
      <c r="F267" s="995" t="s">
        <v>884</v>
      </c>
      <c r="G267" s="994">
        <v>3</v>
      </c>
      <c r="H267" s="2572" t="s">
        <v>1175</v>
      </c>
      <c r="I267" s="207" t="s">
        <v>4027</v>
      </c>
    </row>
    <row r="268" spans="2:9" ht="15.75" thickBot="1" x14ac:dyDescent="0.3">
      <c r="B268" s="151"/>
      <c r="C268" s="151"/>
      <c r="D268" s="151"/>
      <c r="E268" s="719"/>
      <c r="F268" s="151"/>
      <c r="G268" s="151"/>
      <c r="H268" s="44"/>
      <c r="I268" s="151"/>
    </row>
    <row r="269" spans="2:9" ht="15.75" thickBot="1" x14ac:dyDescent="0.3">
      <c r="C269" s="916" t="s">
        <v>2699</v>
      </c>
      <c r="D269" s="13" t="s">
        <v>299</v>
      </c>
      <c r="E269" s="13"/>
    </row>
    <row r="270" spans="2:9" ht="15.75" thickBot="1" x14ac:dyDescent="0.3">
      <c r="B270" s="299" t="s">
        <v>0</v>
      </c>
      <c r="C270" s="2129" t="s">
        <v>1</v>
      </c>
      <c r="D270" s="308" t="s">
        <v>5</v>
      </c>
      <c r="E270" s="308" t="s">
        <v>152</v>
      </c>
      <c r="F270" s="308" t="s">
        <v>2</v>
      </c>
      <c r="G270" s="308" t="s">
        <v>298</v>
      </c>
      <c r="H270" s="2562" t="s">
        <v>116</v>
      </c>
      <c r="I270" s="310" t="s">
        <v>117</v>
      </c>
    </row>
    <row r="271" spans="2:9" s="1925" customFormat="1" ht="18" outlineLevel="1" x14ac:dyDescent="0.25">
      <c r="B271" s="258" t="s">
        <v>1779</v>
      </c>
      <c r="C271" s="2008" t="s">
        <v>2704</v>
      </c>
      <c r="D271" s="2107" t="s">
        <v>1935</v>
      </c>
      <c r="E271" s="1253">
        <f>K_H2_HMETO_AS</f>
        <v>0.1</v>
      </c>
      <c r="F271" s="257" t="s">
        <v>1180</v>
      </c>
      <c r="G271" s="732">
        <v>2</v>
      </c>
      <c r="H271" s="2573" t="s">
        <v>1248</v>
      </c>
      <c r="I271" s="1958"/>
    </row>
    <row r="272" spans="2:9" s="1925" customFormat="1" ht="18" outlineLevel="1" x14ac:dyDescent="0.25">
      <c r="B272" s="258" t="s">
        <v>1779</v>
      </c>
      <c r="C272" s="2008" t="s">
        <v>2704</v>
      </c>
      <c r="D272" s="2107" t="s">
        <v>3996</v>
      </c>
      <c r="E272" s="379">
        <f>K_H2_HMETO_AS*f_KS_biofilm</f>
        <v>4.0000000000000008E-2</v>
      </c>
      <c r="F272" s="190" t="s">
        <v>1180</v>
      </c>
      <c r="G272" s="377">
        <v>3</v>
      </c>
      <c r="H272" s="2574" t="s">
        <v>1175</v>
      </c>
      <c r="I272" s="206" t="s">
        <v>4027</v>
      </c>
    </row>
    <row r="273" spans="2:10" s="1925" customFormat="1" ht="18" outlineLevel="1" x14ac:dyDescent="0.25">
      <c r="B273" s="256" t="s">
        <v>4063</v>
      </c>
      <c r="C273" s="2009" t="s">
        <v>4064</v>
      </c>
      <c r="D273" s="2092" t="s">
        <v>4065</v>
      </c>
      <c r="E273" s="379">
        <f>K_iO2_HMETO_AS</f>
        <v>0.05</v>
      </c>
      <c r="F273" s="190" t="s">
        <v>1179</v>
      </c>
      <c r="G273" s="377">
        <v>3</v>
      </c>
      <c r="H273" s="2574" t="s">
        <v>1248</v>
      </c>
      <c r="I273" s="206"/>
    </row>
    <row r="274" spans="2:10" s="1925" customFormat="1" ht="18" outlineLevel="1" x14ac:dyDescent="0.25">
      <c r="B274" s="256" t="s">
        <v>4063</v>
      </c>
      <c r="C274" s="2009" t="s">
        <v>4064</v>
      </c>
      <c r="D274" s="2092" t="s">
        <v>4066</v>
      </c>
      <c r="E274" s="380">
        <f>K_iO2_HMETO_AS*f_KS_biofilm</f>
        <v>2.0000000000000004E-2</v>
      </c>
      <c r="F274" s="190" t="s">
        <v>1179</v>
      </c>
      <c r="G274" s="377">
        <v>4</v>
      </c>
      <c r="H274" s="2574" t="s">
        <v>1175</v>
      </c>
      <c r="I274" s="206" t="s">
        <v>4027</v>
      </c>
    </row>
    <row r="275" spans="2:10" s="1925" customFormat="1" ht="18" outlineLevel="1" x14ac:dyDescent="0.25">
      <c r="B275" s="256" t="s">
        <v>2379</v>
      </c>
      <c r="C275" s="2009" t="s">
        <v>2705</v>
      </c>
      <c r="D275" s="2092" t="s">
        <v>2380</v>
      </c>
      <c r="E275" s="379">
        <f>K_NOx_HMETO_AS</f>
        <v>0.05</v>
      </c>
      <c r="F275" s="190" t="s">
        <v>884</v>
      </c>
      <c r="G275" s="377">
        <v>3</v>
      </c>
      <c r="H275" s="2574" t="s">
        <v>1248</v>
      </c>
      <c r="I275" s="206"/>
    </row>
    <row r="276" spans="2:10" s="1925" customFormat="1" ht="18.75" outlineLevel="1" thickBot="1" x14ac:dyDescent="0.3">
      <c r="B276" s="259" t="s">
        <v>2379</v>
      </c>
      <c r="C276" s="2010" t="s">
        <v>2705</v>
      </c>
      <c r="D276" s="2010" t="s">
        <v>3997</v>
      </c>
      <c r="E276" s="1254">
        <f>K_NOx_HMETO_AS*f_KS_biofilm</f>
        <v>2.0000000000000004E-2</v>
      </c>
      <c r="F276" s="192" t="s">
        <v>884</v>
      </c>
      <c r="G276" s="378">
        <v>4</v>
      </c>
      <c r="H276" s="1421" t="s">
        <v>1175</v>
      </c>
      <c r="I276" s="207" t="s">
        <v>4027</v>
      </c>
    </row>
    <row r="277" spans="2:10" ht="15.75" thickBot="1" x14ac:dyDescent="0.3">
      <c r="B277" s="151"/>
      <c r="C277" s="151"/>
      <c r="D277" s="151"/>
      <c r="E277" s="719"/>
      <c r="F277" s="151"/>
      <c r="G277" s="151"/>
      <c r="H277" s="44"/>
      <c r="I277" s="151"/>
    </row>
    <row r="278" spans="2:10" ht="15.75" thickBot="1" x14ac:dyDescent="0.3">
      <c r="C278" s="899" t="s">
        <v>3367</v>
      </c>
      <c r="D278" s="13" t="s">
        <v>299</v>
      </c>
      <c r="E278" s="13"/>
    </row>
    <row r="279" spans="2:10" s="4" customFormat="1" ht="15.75" thickBot="1" x14ac:dyDescent="0.3">
      <c r="B279" s="1234" t="s">
        <v>0</v>
      </c>
      <c r="C279" s="2125" t="s">
        <v>1</v>
      </c>
      <c r="D279" s="1200" t="s">
        <v>5</v>
      </c>
      <c r="E279" s="1200" t="s">
        <v>152</v>
      </c>
      <c r="F279" s="1200" t="s">
        <v>2</v>
      </c>
      <c r="G279" s="1200" t="s">
        <v>298</v>
      </c>
      <c r="H279" s="2541" t="s">
        <v>116</v>
      </c>
      <c r="I279" s="1201" t="s">
        <v>117</v>
      </c>
    </row>
    <row r="280" spans="2:10" s="1925" customFormat="1" ht="18" outlineLevel="1" x14ac:dyDescent="0.25">
      <c r="B280" s="749" t="s">
        <v>3368</v>
      </c>
      <c r="C280" s="2011" t="s">
        <v>3369</v>
      </c>
      <c r="D280" s="2106" t="s">
        <v>3097</v>
      </c>
      <c r="E280" s="1255">
        <f>K_VFA_ASRO_AS</f>
        <v>100</v>
      </c>
      <c r="F280" s="638" t="s">
        <v>1180</v>
      </c>
      <c r="G280" s="799">
        <v>1</v>
      </c>
      <c r="H280" s="1432" t="s">
        <v>1248</v>
      </c>
      <c r="I280" s="688"/>
    </row>
    <row r="281" spans="2:10" s="1925" customFormat="1" ht="18" outlineLevel="1" x14ac:dyDescent="0.25">
      <c r="B281" s="628" t="s">
        <v>3368</v>
      </c>
      <c r="C281" s="2012" t="s">
        <v>3369</v>
      </c>
      <c r="D281" s="2032" t="s">
        <v>3998</v>
      </c>
      <c r="E281" s="775">
        <f>K_VFA_ASRO_AS*f_KS_biofilm</f>
        <v>40</v>
      </c>
      <c r="F281" s="634" t="s">
        <v>1180</v>
      </c>
      <c r="G281" s="750">
        <v>1</v>
      </c>
      <c r="H281" s="1436" t="s">
        <v>1175</v>
      </c>
      <c r="I281" s="1701" t="s">
        <v>4027</v>
      </c>
    </row>
    <row r="282" spans="2:10" s="1925" customFormat="1" ht="18" outlineLevel="1" x14ac:dyDescent="0.25">
      <c r="B282" s="722" t="s">
        <v>3370</v>
      </c>
      <c r="C282" s="2012" t="s">
        <v>3371</v>
      </c>
      <c r="D282" s="2012" t="s">
        <v>3099</v>
      </c>
      <c r="E282" s="800">
        <f>K_SO4_ASRO_AS</f>
        <v>19</v>
      </c>
      <c r="F282" s="634" t="s">
        <v>3140</v>
      </c>
      <c r="G282" s="750">
        <v>1</v>
      </c>
      <c r="H282" s="1436" t="s">
        <v>1248</v>
      </c>
      <c r="I282" s="1701"/>
    </row>
    <row r="283" spans="2:10" s="1925" customFormat="1" ht="18" outlineLevel="1" x14ac:dyDescent="0.25">
      <c r="B283" s="722" t="s">
        <v>3370</v>
      </c>
      <c r="C283" s="2012" t="s">
        <v>3371</v>
      </c>
      <c r="D283" s="2012" t="s">
        <v>3999</v>
      </c>
      <c r="E283" s="775">
        <f>K_SO4_ASRO_AS*f_KS_biofilm</f>
        <v>7.6000000000000005</v>
      </c>
      <c r="F283" s="634" t="s">
        <v>3140</v>
      </c>
      <c r="G283" s="750">
        <v>2</v>
      </c>
      <c r="H283" s="1436" t="s">
        <v>1175</v>
      </c>
      <c r="I283" s="1701" t="s">
        <v>4027</v>
      </c>
    </row>
    <row r="284" spans="2:10" s="119" customFormat="1" ht="18" outlineLevel="1" x14ac:dyDescent="0.25">
      <c r="B284" s="722" t="s">
        <v>3372</v>
      </c>
      <c r="C284" s="2012" t="s">
        <v>3373</v>
      </c>
      <c r="D284" s="2012" t="s">
        <v>3102</v>
      </c>
      <c r="E284" s="634">
        <f>K_iH2S_ASRO_AS</f>
        <v>2000</v>
      </c>
      <c r="F284" s="634" t="s">
        <v>3140</v>
      </c>
      <c r="G284" s="634">
        <v>0</v>
      </c>
      <c r="H284" s="1436" t="s">
        <v>1248</v>
      </c>
      <c r="I284" s="1701"/>
      <c r="J284" s="151"/>
    </row>
    <row r="285" spans="2:10" s="1925" customFormat="1" ht="18" outlineLevel="1" x14ac:dyDescent="0.25">
      <c r="B285" s="722" t="s">
        <v>3372</v>
      </c>
      <c r="C285" s="2012" t="s">
        <v>3373</v>
      </c>
      <c r="D285" s="2012" t="s">
        <v>4000</v>
      </c>
      <c r="E285" s="800">
        <f>K_iH2S_ASRO_AS*f_KS_biofilm</f>
        <v>800</v>
      </c>
      <c r="F285" s="634" t="s">
        <v>3140</v>
      </c>
      <c r="G285" s="750">
        <v>0</v>
      </c>
      <c r="H285" s="1436" t="s">
        <v>1175</v>
      </c>
      <c r="I285" s="1701" t="s">
        <v>4027</v>
      </c>
    </row>
    <row r="286" spans="2:10" s="1925" customFormat="1" ht="18" outlineLevel="1" x14ac:dyDescent="0.25">
      <c r="B286" s="722" t="s">
        <v>4067</v>
      </c>
      <c r="C286" s="2012" t="s">
        <v>4068</v>
      </c>
      <c r="D286" s="2012" t="s">
        <v>4069</v>
      </c>
      <c r="E286" s="800">
        <f>K_iO2_ASRO_AS</f>
        <v>0.05</v>
      </c>
      <c r="F286" s="634" t="s">
        <v>1179</v>
      </c>
      <c r="G286" s="750">
        <v>3</v>
      </c>
      <c r="H286" s="1436" t="s">
        <v>1248</v>
      </c>
      <c r="I286" s="1701"/>
    </row>
    <row r="287" spans="2:10" s="1925" customFormat="1" ht="18" outlineLevel="1" x14ac:dyDescent="0.25">
      <c r="B287" s="722" t="s">
        <v>4067</v>
      </c>
      <c r="C287" s="2012" t="s">
        <v>4068</v>
      </c>
      <c r="D287" s="2012" t="s">
        <v>4070</v>
      </c>
      <c r="E287" s="800">
        <f>K_iO2_ASRO_AS*f_KS_biofilm</f>
        <v>2.0000000000000004E-2</v>
      </c>
      <c r="F287" s="634" t="s">
        <v>1179</v>
      </c>
      <c r="G287" s="750">
        <v>4</v>
      </c>
      <c r="H287" s="1436" t="s">
        <v>1175</v>
      </c>
      <c r="I287" s="1701" t="s">
        <v>4027</v>
      </c>
    </row>
    <row r="288" spans="2:10" s="1925" customFormat="1" ht="18" outlineLevel="1" x14ac:dyDescent="0.25">
      <c r="B288" s="722" t="s">
        <v>3374</v>
      </c>
      <c r="C288" s="2012" t="s">
        <v>3375</v>
      </c>
      <c r="D288" s="2012" t="s">
        <v>3376</v>
      </c>
      <c r="E288" s="800">
        <f>K_NOx_ASRO_AS</f>
        <v>0.05</v>
      </c>
      <c r="F288" s="634" t="s">
        <v>884</v>
      </c>
      <c r="G288" s="750">
        <v>3</v>
      </c>
      <c r="H288" s="1436" t="s">
        <v>1248</v>
      </c>
      <c r="I288" s="1701"/>
    </row>
    <row r="289" spans="2:10" s="1925" customFormat="1" ht="18.75" outlineLevel="1" thickBot="1" x14ac:dyDescent="0.3">
      <c r="B289" s="723" t="s">
        <v>3374</v>
      </c>
      <c r="C289" s="2013" t="s">
        <v>3375</v>
      </c>
      <c r="D289" s="2013" t="s">
        <v>4001</v>
      </c>
      <c r="E289" s="801">
        <f>K_NOx_ASRO_AS*f_KS_biofilm</f>
        <v>2.0000000000000004E-2</v>
      </c>
      <c r="F289" s="629" t="s">
        <v>884</v>
      </c>
      <c r="G289" s="802">
        <v>4</v>
      </c>
      <c r="H289" s="1438" t="s">
        <v>1175</v>
      </c>
      <c r="I289" s="626" t="s">
        <v>4027</v>
      </c>
    </row>
    <row r="290" spans="2:10" ht="15.75" thickBot="1" x14ac:dyDescent="0.3">
      <c r="B290" s="151"/>
      <c r="C290" s="151"/>
      <c r="D290" s="151"/>
      <c r="E290" s="719"/>
      <c r="F290" s="151"/>
      <c r="G290" s="151"/>
      <c r="H290" s="44"/>
      <c r="I290" s="151"/>
    </row>
    <row r="291" spans="2:10" ht="15.75" thickBot="1" x14ac:dyDescent="0.3">
      <c r="C291" s="917" t="s">
        <v>3377</v>
      </c>
      <c r="D291" s="13" t="s">
        <v>299</v>
      </c>
      <c r="E291" s="13"/>
    </row>
    <row r="292" spans="2:10" s="4" customFormat="1" ht="15.75" thickBot="1" x14ac:dyDescent="0.3">
      <c r="B292" s="1234" t="s">
        <v>0</v>
      </c>
      <c r="C292" s="2125" t="s">
        <v>1</v>
      </c>
      <c r="D292" s="1200" t="s">
        <v>5</v>
      </c>
      <c r="E292" s="1200" t="s">
        <v>152</v>
      </c>
      <c r="F292" s="1200" t="s">
        <v>2</v>
      </c>
      <c r="G292" s="1200" t="s">
        <v>298</v>
      </c>
      <c r="H292" s="2541" t="s">
        <v>116</v>
      </c>
      <c r="I292" s="1201" t="s">
        <v>117</v>
      </c>
    </row>
    <row r="293" spans="2:10" s="1925" customFormat="1" ht="18" outlineLevel="1" x14ac:dyDescent="0.25">
      <c r="B293" s="656" t="s">
        <v>3378</v>
      </c>
      <c r="C293" s="2014" t="s">
        <v>3379</v>
      </c>
      <c r="D293" s="2014" t="s">
        <v>3111</v>
      </c>
      <c r="E293" s="693">
        <f>K_H2_HSRO_AS</f>
        <v>6.0000000000000001E-3</v>
      </c>
      <c r="F293" s="693" t="s">
        <v>1180</v>
      </c>
      <c r="G293" s="803">
        <v>3</v>
      </c>
      <c r="H293" s="2575" t="s">
        <v>1248</v>
      </c>
      <c r="I293" s="1702"/>
    </row>
    <row r="294" spans="2:10" s="1925" customFormat="1" ht="18" outlineLevel="1" x14ac:dyDescent="0.25">
      <c r="B294" s="727" t="s">
        <v>3378</v>
      </c>
      <c r="C294" s="655" t="s">
        <v>3379</v>
      </c>
      <c r="D294" s="655" t="s">
        <v>4002</v>
      </c>
      <c r="E294" s="652">
        <f>K_H2_HSRO_AS*f_KS_biofilm</f>
        <v>2.4000000000000002E-3</v>
      </c>
      <c r="F294" s="652" t="s">
        <v>1180</v>
      </c>
      <c r="G294" s="777">
        <v>4</v>
      </c>
      <c r="H294" s="1440" t="s">
        <v>1175</v>
      </c>
      <c r="I294" s="1703" t="s">
        <v>4027</v>
      </c>
    </row>
    <row r="295" spans="2:10" s="1925" customFormat="1" ht="18" outlineLevel="1" x14ac:dyDescent="0.25">
      <c r="B295" s="727" t="s">
        <v>3380</v>
      </c>
      <c r="C295" s="655" t="s">
        <v>3381</v>
      </c>
      <c r="D295" s="655" t="s">
        <v>3113</v>
      </c>
      <c r="E295" s="804">
        <f>K_SO4_HSRO_AS</f>
        <v>19</v>
      </c>
      <c r="F295" s="652" t="s">
        <v>3382</v>
      </c>
      <c r="G295" s="777">
        <v>1</v>
      </c>
      <c r="H295" s="1440" t="s">
        <v>1248</v>
      </c>
      <c r="I295" s="1703"/>
    </row>
    <row r="296" spans="2:10" s="1925" customFormat="1" ht="18" outlineLevel="1" x14ac:dyDescent="0.25">
      <c r="B296" s="727" t="s">
        <v>3380</v>
      </c>
      <c r="C296" s="655" t="s">
        <v>3381</v>
      </c>
      <c r="D296" s="655" t="s">
        <v>4003</v>
      </c>
      <c r="E296" s="652">
        <f>K_SO4_HSRO_AS*f_KS_biofilm</f>
        <v>7.6000000000000005</v>
      </c>
      <c r="F296" s="652" t="s">
        <v>3382</v>
      </c>
      <c r="G296" s="777">
        <v>1</v>
      </c>
      <c r="H296" s="1440" t="s">
        <v>1175</v>
      </c>
      <c r="I296" s="1703" t="s">
        <v>4027</v>
      </c>
    </row>
    <row r="297" spans="2:10" s="119" customFormat="1" ht="18" outlineLevel="1" x14ac:dyDescent="0.25">
      <c r="B297" s="727" t="s">
        <v>3383</v>
      </c>
      <c r="C297" s="655" t="s">
        <v>3384</v>
      </c>
      <c r="D297" s="655" t="s">
        <v>3115</v>
      </c>
      <c r="E297" s="652">
        <f>K_iH2S_HSRO_AS</f>
        <v>2000</v>
      </c>
      <c r="F297" s="652" t="s">
        <v>3382</v>
      </c>
      <c r="G297" s="652">
        <v>0</v>
      </c>
      <c r="H297" s="1440" t="s">
        <v>1248</v>
      </c>
      <c r="I297" s="1703"/>
      <c r="J297" s="151"/>
    </row>
    <row r="298" spans="2:10" s="119" customFormat="1" ht="18" outlineLevel="1" x14ac:dyDescent="0.25">
      <c r="B298" s="727" t="s">
        <v>3383</v>
      </c>
      <c r="C298" s="655" t="s">
        <v>3384</v>
      </c>
      <c r="D298" s="655" t="s">
        <v>4004</v>
      </c>
      <c r="E298" s="652">
        <f>K_iH2S_HSRO_AS*f_KS_biofilm</f>
        <v>800</v>
      </c>
      <c r="F298" s="652" t="s">
        <v>3382</v>
      </c>
      <c r="G298" s="652">
        <v>0</v>
      </c>
      <c r="H298" s="1440" t="s">
        <v>1175</v>
      </c>
      <c r="I298" s="1703" t="s">
        <v>4027</v>
      </c>
      <c r="J298" s="151"/>
    </row>
    <row r="299" spans="2:10" s="1925" customFormat="1" ht="18" outlineLevel="1" x14ac:dyDescent="0.25">
      <c r="B299" s="727" t="s">
        <v>4071</v>
      </c>
      <c r="C299" s="655" t="s">
        <v>4072</v>
      </c>
      <c r="D299" s="655" t="s">
        <v>4073</v>
      </c>
      <c r="E299" s="804">
        <f>K_iO2_HSRO_AS</f>
        <v>0.05</v>
      </c>
      <c r="F299" s="652" t="s">
        <v>1179</v>
      </c>
      <c r="G299" s="777">
        <v>3</v>
      </c>
      <c r="H299" s="1440" t="s">
        <v>1248</v>
      </c>
      <c r="I299" s="1703"/>
    </row>
    <row r="300" spans="2:10" s="1925" customFormat="1" ht="18" outlineLevel="1" x14ac:dyDescent="0.25">
      <c r="B300" s="727" t="s">
        <v>4071</v>
      </c>
      <c r="C300" s="655" t="s">
        <v>4072</v>
      </c>
      <c r="D300" s="655" t="s">
        <v>4074</v>
      </c>
      <c r="E300" s="804">
        <f>K_iO2_HSRO_AS*f_KS_biofilm</f>
        <v>2.0000000000000004E-2</v>
      </c>
      <c r="F300" s="652" t="s">
        <v>1179</v>
      </c>
      <c r="G300" s="777">
        <v>4</v>
      </c>
      <c r="H300" s="1440" t="s">
        <v>1175</v>
      </c>
      <c r="I300" s="1703" t="s">
        <v>4027</v>
      </c>
    </row>
    <row r="301" spans="2:10" s="1925" customFormat="1" ht="18" outlineLevel="1" x14ac:dyDescent="0.25">
      <c r="B301" s="727" t="s">
        <v>3385</v>
      </c>
      <c r="C301" s="655" t="s">
        <v>3386</v>
      </c>
      <c r="D301" s="655" t="s">
        <v>3387</v>
      </c>
      <c r="E301" s="804">
        <f>K_NOx_HSRO_AS</f>
        <v>0.05</v>
      </c>
      <c r="F301" s="652" t="s">
        <v>884</v>
      </c>
      <c r="G301" s="777">
        <v>3</v>
      </c>
      <c r="H301" s="1440" t="s">
        <v>1248</v>
      </c>
      <c r="I301" s="1703"/>
    </row>
    <row r="302" spans="2:10" s="1925" customFormat="1" ht="18.75" outlineLevel="1" thickBot="1" x14ac:dyDescent="0.3">
      <c r="B302" s="611" t="s">
        <v>3385</v>
      </c>
      <c r="C302" s="612" t="s">
        <v>3386</v>
      </c>
      <c r="D302" s="612" t="s">
        <v>4005</v>
      </c>
      <c r="E302" s="805">
        <f>K_NOx_HSRO_AS*f_KS_biofilm</f>
        <v>2.0000000000000004E-2</v>
      </c>
      <c r="F302" s="617" t="s">
        <v>884</v>
      </c>
      <c r="G302" s="806">
        <v>4</v>
      </c>
      <c r="H302" s="1443" t="s">
        <v>1175</v>
      </c>
      <c r="I302" s="1704" t="s">
        <v>4027</v>
      </c>
    </row>
    <row r="303" spans="2:10" ht="15.75" thickBot="1" x14ac:dyDescent="0.3">
      <c r="B303" s="151"/>
      <c r="C303" s="151"/>
      <c r="D303" s="151"/>
      <c r="E303" s="719"/>
      <c r="F303" s="151"/>
      <c r="G303" s="151"/>
      <c r="H303" s="44"/>
      <c r="I303" s="151"/>
    </row>
    <row r="304" spans="2:10" ht="15.75" thickBot="1" x14ac:dyDescent="0.3">
      <c r="C304" s="917" t="s">
        <v>3388</v>
      </c>
      <c r="D304" s="13" t="s">
        <v>299</v>
      </c>
      <c r="E304" s="13"/>
    </row>
    <row r="305" spans="2:9" s="4" customFormat="1" ht="15.75" thickBot="1" x14ac:dyDescent="0.3">
      <c r="B305" s="1234" t="s">
        <v>0</v>
      </c>
      <c r="C305" s="2125" t="s">
        <v>1</v>
      </c>
      <c r="D305" s="1200" t="s">
        <v>5</v>
      </c>
      <c r="E305" s="1200" t="s">
        <v>152</v>
      </c>
      <c r="F305" s="1200" t="s">
        <v>2</v>
      </c>
      <c r="G305" s="1200" t="s">
        <v>298</v>
      </c>
      <c r="H305" s="2541" t="s">
        <v>116</v>
      </c>
      <c r="I305" s="1201" t="s">
        <v>117</v>
      </c>
    </row>
    <row r="306" spans="2:9" s="1925" customFormat="1" ht="18" outlineLevel="1" x14ac:dyDescent="0.25">
      <c r="B306" s="685" t="s">
        <v>3389</v>
      </c>
      <c r="C306" s="2015" t="s">
        <v>3390</v>
      </c>
      <c r="D306" s="2105" t="s">
        <v>3126</v>
      </c>
      <c r="E306" s="807">
        <f>K_O2_H2S_SOO_AS</f>
        <v>1</v>
      </c>
      <c r="F306" s="636" t="s">
        <v>2173</v>
      </c>
      <c r="G306" s="808">
        <v>2</v>
      </c>
      <c r="H306" s="1447" t="s">
        <v>1248</v>
      </c>
      <c r="I306" s="1706"/>
    </row>
    <row r="307" spans="2:9" s="1925" customFormat="1" ht="18" outlineLevel="1" x14ac:dyDescent="0.25">
      <c r="B307" s="730" t="s">
        <v>3389</v>
      </c>
      <c r="C307" s="679" t="s">
        <v>3390</v>
      </c>
      <c r="D307" s="679" t="s">
        <v>4006</v>
      </c>
      <c r="E307" s="809">
        <f>K_O2_H2S_SOO_AS*f_KS_biofilm</f>
        <v>0.4</v>
      </c>
      <c r="F307" s="659" t="s">
        <v>2173</v>
      </c>
      <c r="G307" s="779">
        <v>3</v>
      </c>
      <c r="H307" s="1449" t="s">
        <v>1175</v>
      </c>
      <c r="I307" s="1707" t="s">
        <v>4027</v>
      </c>
    </row>
    <row r="308" spans="2:9" s="1925" customFormat="1" ht="18" outlineLevel="1" x14ac:dyDescent="0.25">
      <c r="B308" s="730" t="s">
        <v>3391</v>
      </c>
      <c r="C308" s="679" t="s">
        <v>3392</v>
      </c>
      <c r="D308" s="679" t="s">
        <v>3128</v>
      </c>
      <c r="E308" s="809">
        <f>K_NO2_H2S_SOO_AS</f>
        <v>0.1</v>
      </c>
      <c r="F308" s="659" t="s">
        <v>884</v>
      </c>
      <c r="G308" s="779">
        <v>3</v>
      </c>
      <c r="H308" s="1449" t="s">
        <v>1248</v>
      </c>
      <c r="I308" s="1707"/>
    </row>
    <row r="309" spans="2:9" s="1925" customFormat="1" ht="18" outlineLevel="1" x14ac:dyDescent="0.25">
      <c r="B309" s="730" t="s">
        <v>3391</v>
      </c>
      <c r="C309" s="679" t="s">
        <v>3392</v>
      </c>
      <c r="D309" s="679" t="s">
        <v>4007</v>
      </c>
      <c r="E309" s="810">
        <f>K_NO2_H2S_SOO_AS*f_KS_biofilm</f>
        <v>4.0000000000000008E-2</v>
      </c>
      <c r="F309" s="659" t="s">
        <v>884</v>
      </c>
      <c r="G309" s="779">
        <v>4</v>
      </c>
      <c r="H309" s="1449" t="s">
        <v>1175</v>
      </c>
      <c r="I309" s="1707" t="s">
        <v>4027</v>
      </c>
    </row>
    <row r="310" spans="2:9" s="1925" customFormat="1" ht="18" outlineLevel="1" x14ac:dyDescent="0.25">
      <c r="B310" s="730" t="s">
        <v>3393</v>
      </c>
      <c r="C310" s="679" t="s">
        <v>3394</v>
      </c>
      <c r="D310" s="679" t="s">
        <v>3130</v>
      </c>
      <c r="E310" s="809">
        <f>K_NO3_H2S_SOO_AS</f>
        <v>0.1</v>
      </c>
      <c r="F310" s="659" t="s">
        <v>884</v>
      </c>
      <c r="G310" s="779">
        <v>3</v>
      </c>
      <c r="H310" s="1449" t="s">
        <v>1248</v>
      </c>
      <c r="I310" s="1707"/>
    </row>
    <row r="311" spans="2:9" s="1925" customFormat="1" ht="18" outlineLevel="1" x14ac:dyDescent="0.25">
      <c r="B311" s="730" t="s">
        <v>3393</v>
      </c>
      <c r="C311" s="679" t="s">
        <v>3394</v>
      </c>
      <c r="D311" s="679" t="s">
        <v>4008</v>
      </c>
      <c r="E311" s="810">
        <f>K_NO3_H2S_SOO_AS*f_KS_biofilm</f>
        <v>4.0000000000000008E-2</v>
      </c>
      <c r="F311" s="659" t="s">
        <v>884</v>
      </c>
      <c r="G311" s="779">
        <v>4</v>
      </c>
      <c r="H311" s="1449" t="s">
        <v>1175</v>
      </c>
      <c r="I311" s="1707" t="s">
        <v>4027</v>
      </c>
    </row>
    <row r="312" spans="2:9" s="1925" customFormat="1" ht="18" outlineLevel="1" x14ac:dyDescent="0.25">
      <c r="B312" s="700" t="s">
        <v>3395</v>
      </c>
      <c r="C312" s="679" t="s">
        <v>3396</v>
      </c>
      <c r="D312" s="739" t="s">
        <v>3132</v>
      </c>
      <c r="E312" s="811">
        <f>K_O2_S_SOO_AS</f>
        <v>2</v>
      </c>
      <c r="F312" s="701" t="s">
        <v>2173</v>
      </c>
      <c r="G312" s="812">
        <v>2</v>
      </c>
      <c r="H312" s="2576" t="s">
        <v>1248</v>
      </c>
      <c r="I312" s="1959"/>
    </row>
    <row r="313" spans="2:9" s="1925" customFormat="1" ht="18" outlineLevel="1" x14ac:dyDescent="0.25">
      <c r="B313" s="730" t="s">
        <v>3395</v>
      </c>
      <c r="C313" s="679" t="s">
        <v>3396</v>
      </c>
      <c r="D313" s="679" t="s">
        <v>4009</v>
      </c>
      <c r="E313" s="809">
        <f>K_O2_S_SOO_AS*f_KS_biofilm</f>
        <v>0.8</v>
      </c>
      <c r="F313" s="659" t="s">
        <v>2173</v>
      </c>
      <c r="G313" s="779">
        <v>3</v>
      </c>
      <c r="H313" s="1449" t="s">
        <v>1175</v>
      </c>
      <c r="I313" s="1707" t="s">
        <v>4027</v>
      </c>
    </row>
    <row r="314" spans="2:9" s="1925" customFormat="1" ht="18" outlineLevel="1" x14ac:dyDescent="0.25">
      <c r="B314" s="730" t="s">
        <v>3397</v>
      </c>
      <c r="C314" s="679" t="s">
        <v>3398</v>
      </c>
      <c r="D314" s="679" t="s">
        <v>3134</v>
      </c>
      <c r="E314" s="809">
        <f>K_NO2_S_SOO_AS</f>
        <v>0.2</v>
      </c>
      <c r="F314" s="659" t="s">
        <v>884</v>
      </c>
      <c r="G314" s="779">
        <v>3</v>
      </c>
      <c r="H314" s="1449" t="s">
        <v>1248</v>
      </c>
      <c r="I314" s="1707"/>
    </row>
    <row r="315" spans="2:9" s="1925" customFormat="1" ht="18" outlineLevel="1" x14ac:dyDescent="0.25">
      <c r="B315" s="730" t="s">
        <v>3397</v>
      </c>
      <c r="C315" s="679" t="s">
        <v>3398</v>
      </c>
      <c r="D315" s="679" t="s">
        <v>4010</v>
      </c>
      <c r="E315" s="810">
        <f>K_NO2_S_SOO_AS*f_KS_biofilm</f>
        <v>8.0000000000000016E-2</v>
      </c>
      <c r="F315" s="659" t="s">
        <v>884</v>
      </c>
      <c r="G315" s="779">
        <v>4</v>
      </c>
      <c r="H315" s="1449" t="s">
        <v>1175</v>
      </c>
      <c r="I315" s="1707" t="s">
        <v>4027</v>
      </c>
    </row>
    <row r="316" spans="2:9" s="1925" customFormat="1" ht="18" outlineLevel="1" x14ac:dyDescent="0.25">
      <c r="B316" s="730" t="s">
        <v>3399</v>
      </c>
      <c r="C316" s="679" t="s">
        <v>3400</v>
      </c>
      <c r="D316" s="679" t="s">
        <v>3136</v>
      </c>
      <c r="E316" s="809">
        <f>K_NO3_S_SOO_AS</f>
        <v>0.2</v>
      </c>
      <c r="F316" s="659" t="s">
        <v>884</v>
      </c>
      <c r="G316" s="779">
        <v>3</v>
      </c>
      <c r="H316" s="1449" t="s">
        <v>1248</v>
      </c>
      <c r="I316" s="1707"/>
    </row>
    <row r="317" spans="2:9" s="1925" customFormat="1" ht="18" outlineLevel="1" x14ac:dyDescent="0.25">
      <c r="B317" s="730" t="s">
        <v>3399</v>
      </c>
      <c r="C317" s="679" t="s">
        <v>3400</v>
      </c>
      <c r="D317" s="679" t="s">
        <v>4011</v>
      </c>
      <c r="E317" s="810">
        <f>K_NO3_S_SOO_AS*f_KS_biofilm</f>
        <v>8.0000000000000016E-2</v>
      </c>
      <c r="F317" s="659" t="s">
        <v>884</v>
      </c>
      <c r="G317" s="779">
        <v>4</v>
      </c>
      <c r="H317" s="1449" t="s">
        <v>1175</v>
      </c>
      <c r="I317" s="1707" t="s">
        <v>4027</v>
      </c>
    </row>
    <row r="318" spans="2:9" s="1925" customFormat="1" ht="18" outlineLevel="1" x14ac:dyDescent="0.25">
      <c r="B318" s="730" t="s">
        <v>3401</v>
      </c>
      <c r="C318" s="679" t="s">
        <v>3402</v>
      </c>
      <c r="D318" s="679" t="s">
        <v>3138</v>
      </c>
      <c r="E318" s="813">
        <f>K_H2S_SOO_AS</f>
        <v>1</v>
      </c>
      <c r="F318" s="659" t="s">
        <v>3140</v>
      </c>
      <c r="G318" s="779">
        <v>1</v>
      </c>
      <c r="H318" s="1449" t="s">
        <v>1248</v>
      </c>
      <c r="I318" s="1707"/>
    </row>
    <row r="319" spans="2:9" s="1925" customFormat="1" ht="18" outlineLevel="1" x14ac:dyDescent="0.25">
      <c r="B319" s="730" t="s">
        <v>3401</v>
      </c>
      <c r="C319" s="679" t="s">
        <v>3402</v>
      </c>
      <c r="D319" s="679" t="s">
        <v>4012</v>
      </c>
      <c r="E319" s="778">
        <f>K_H2S_SOO_AS*f_KS_biofilm</f>
        <v>0.4</v>
      </c>
      <c r="F319" s="659" t="s">
        <v>3140</v>
      </c>
      <c r="G319" s="779">
        <v>2</v>
      </c>
      <c r="H319" s="1449" t="s">
        <v>1175</v>
      </c>
      <c r="I319" s="1707" t="s">
        <v>4027</v>
      </c>
    </row>
    <row r="320" spans="2:9" s="1925" customFormat="1" ht="18" outlineLevel="1" x14ac:dyDescent="0.25">
      <c r="B320" s="730" t="s">
        <v>3403</v>
      </c>
      <c r="C320" s="679" t="s">
        <v>3404</v>
      </c>
      <c r="D320" s="679" t="s">
        <v>3141</v>
      </c>
      <c r="E320" s="659">
        <f>K_iH2S_SOO_AS</f>
        <v>80</v>
      </c>
      <c r="F320" s="659" t="s">
        <v>3140</v>
      </c>
      <c r="G320" s="779">
        <v>0</v>
      </c>
      <c r="H320" s="1449" t="s">
        <v>1248</v>
      </c>
      <c r="I320" s="1707"/>
    </row>
    <row r="321" spans="2:9" s="1925" customFormat="1" ht="18" outlineLevel="1" x14ac:dyDescent="0.25">
      <c r="B321" s="730" t="s">
        <v>3403</v>
      </c>
      <c r="C321" s="679" t="s">
        <v>3404</v>
      </c>
      <c r="D321" s="679" t="s">
        <v>4013</v>
      </c>
      <c r="E321" s="813">
        <f>K_iH2S_SOO_AS*f_KS_biofilm</f>
        <v>32</v>
      </c>
      <c r="F321" s="659" t="s">
        <v>3140</v>
      </c>
      <c r="G321" s="779">
        <v>1</v>
      </c>
      <c r="H321" s="1449" t="s">
        <v>1175</v>
      </c>
      <c r="I321" s="1707" t="s">
        <v>4027</v>
      </c>
    </row>
    <row r="322" spans="2:9" s="1925" customFormat="1" ht="18" outlineLevel="1" x14ac:dyDescent="0.25">
      <c r="B322" s="730" t="s">
        <v>3405</v>
      </c>
      <c r="C322" s="679" t="s">
        <v>3406</v>
      </c>
      <c r="D322" s="679" t="s">
        <v>3143</v>
      </c>
      <c r="E322" s="659">
        <f>K_S_SOO_AS</f>
        <v>0.5</v>
      </c>
      <c r="F322" s="659" t="s">
        <v>3140</v>
      </c>
      <c r="G322" s="779">
        <v>1</v>
      </c>
      <c r="H322" s="1449" t="s">
        <v>1248</v>
      </c>
      <c r="I322" s="1707"/>
    </row>
    <row r="323" spans="2:9" s="1925" customFormat="1" ht="18.75" outlineLevel="1" thickBot="1" x14ac:dyDescent="0.3">
      <c r="B323" s="613" t="s">
        <v>3405</v>
      </c>
      <c r="C323" s="2016" t="s">
        <v>3406</v>
      </c>
      <c r="D323" s="2016" t="s">
        <v>4014</v>
      </c>
      <c r="E323" s="618">
        <f>K_S_SOO_AS*f_KS_biofilm</f>
        <v>0.2</v>
      </c>
      <c r="F323" s="618" t="s">
        <v>3140</v>
      </c>
      <c r="G323" s="814">
        <v>2</v>
      </c>
      <c r="H323" s="1451" t="s">
        <v>1175</v>
      </c>
      <c r="I323" s="1708" t="s">
        <v>4027</v>
      </c>
    </row>
    <row r="324" spans="2:9" ht="15.75" thickBot="1" x14ac:dyDescent="0.3">
      <c r="B324" s="151"/>
      <c r="C324" s="151"/>
      <c r="D324" s="151"/>
      <c r="E324" s="719"/>
      <c r="F324" s="151"/>
      <c r="G324" s="151"/>
      <c r="H324" s="44"/>
      <c r="I324" s="151"/>
    </row>
    <row r="325" spans="2:9" ht="15.75" thickBot="1" x14ac:dyDescent="0.3">
      <c r="C325" s="912" t="s">
        <v>2936</v>
      </c>
      <c r="D325" s="13" t="s">
        <v>299</v>
      </c>
      <c r="E325" s="13"/>
    </row>
    <row r="326" spans="2:9" ht="15.75" thickBot="1" x14ac:dyDescent="0.3">
      <c r="B326" s="441" t="s">
        <v>0</v>
      </c>
      <c r="C326" s="2130" t="s">
        <v>1</v>
      </c>
      <c r="D326" s="561" t="s">
        <v>5</v>
      </c>
      <c r="E326" s="561" t="s">
        <v>152</v>
      </c>
      <c r="F326" s="561" t="s">
        <v>2</v>
      </c>
      <c r="G326" s="561" t="s">
        <v>298</v>
      </c>
      <c r="H326" s="2551" t="s">
        <v>116</v>
      </c>
      <c r="I326" s="443" t="s">
        <v>117</v>
      </c>
    </row>
    <row r="327" spans="2:9" s="1925" customFormat="1" ht="18" outlineLevel="1" x14ac:dyDescent="0.25">
      <c r="B327" s="147" t="s">
        <v>883</v>
      </c>
      <c r="C327" s="461" t="s">
        <v>2708</v>
      </c>
      <c r="D327" s="1642" t="s">
        <v>1929</v>
      </c>
      <c r="E327" s="77">
        <f>K_NHx_BIO_AS</f>
        <v>5.0000000000000001E-3</v>
      </c>
      <c r="F327" s="77" t="s">
        <v>884</v>
      </c>
      <c r="G327" s="260">
        <v>3</v>
      </c>
      <c r="H327" s="73" t="s">
        <v>1248</v>
      </c>
      <c r="I327" s="367"/>
    </row>
    <row r="328" spans="2:9" s="1925" customFormat="1" ht="18" outlineLevel="1" x14ac:dyDescent="0.25">
      <c r="B328" s="147" t="s">
        <v>883</v>
      </c>
      <c r="C328" s="460" t="s">
        <v>2708</v>
      </c>
      <c r="D328" s="1642" t="s">
        <v>4015</v>
      </c>
      <c r="E328" s="77">
        <f>K_NHx_BIO_AS*f_KS_biofilm</f>
        <v>2E-3</v>
      </c>
      <c r="F328" s="77" t="s">
        <v>884</v>
      </c>
      <c r="G328" s="260">
        <v>4</v>
      </c>
      <c r="H328" s="73" t="s">
        <v>1175</v>
      </c>
      <c r="I328" s="367" t="s">
        <v>4027</v>
      </c>
    </row>
    <row r="329" spans="2:9" s="1925" customFormat="1" ht="18" outlineLevel="1" x14ac:dyDescent="0.25">
      <c r="B329" s="147" t="s">
        <v>885</v>
      </c>
      <c r="C329" s="460" t="s">
        <v>2709</v>
      </c>
      <c r="D329" s="1642" t="s">
        <v>1930</v>
      </c>
      <c r="E329" s="77">
        <f>K_PO4_BIO_AS</f>
        <v>2E-3</v>
      </c>
      <c r="F329" s="77" t="s">
        <v>886</v>
      </c>
      <c r="G329" s="260">
        <v>3</v>
      </c>
      <c r="H329" s="73" t="s">
        <v>1248</v>
      </c>
      <c r="I329" s="367"/>
    </row>
    <row r="330" spans="2:9" s="1925" customFormat="1" ht="18" outlineLevel="1" x14ac:dyDescent="0.25">
      <c r="B330" s="147" t="s">
        <v>885</v>
      </c>
      <c r="C330" s="460" t="s">
        <v>2709</v>
      </c>
      <c r="D330" s="1642" t="s">
        <v>4016</v>
      </c>
      <c r="E330" s="77">
        <f>K_PO4_BIO_AS*f_KS_biofilm</f>
        <v>8.0000000000000004E-4</v>
      </c>
      <c r="F330" s="77" t="s">
        <v>1942</v>
      </c>
      <c r="G330" s="260">
        <v>4</v>
      </c>
      <c r="H330" s="73" t="s">
        <v>1175</v>
      </c>
      <c r="I330" s="367" t="s">
        <v>4027</v>
      </c>
    </row>
    <row r="331" spans="2:9" s="1925" customFormat="1" ht="18" outlineLevel="1" x14ac:dyDescent="0.25">
      <c r="B331" s="588" t="s">
        <v>3407</v>
      </c>
      <c r="C331" s="1972" t="s">
        <v>3408</v>
      </c>
      <c r="D331" s="460" t="s">
        <v>3173</v>
      </c>
      <c r="E331" s="462">
        <f>K_SO4_BIO_AS</f>
        <v>2E-3</v>
      </c>
      <c r="F331" s="462" t="s">
        <v>3140</v>
      </c>
      <c r="G331" s="440">
        <v>3</v>
      </c>
      <c r="H331" s="505" t="s">
        <v>1248</v>
      </c>
      <c r="I331" s="587"/>
    </row>
    <row r="332" spans="2:9" s="1925" customFormat="1" ht="18" outlineLevel="1" x14ac:dyDescent="0.25">
      <c r="B332" s="588" t="s">
        <v>3407</v>
      </c>
      <c r="C332" s="1972" t="s">
        <v>3408</v>
      </c>
      <c r="D332" s="460" t="s">
        <v>4017</v>
      </c>
      <c r="E332" s="462">
        <f>K_SO4_BIO_AS*f_KS_biofilm</f>
        <v>8.0000000000000004E-4</v>
      </c>
      <c r="F332" s="462" t="s">
        <v>3409</v>
      </c>
      <c r="G332" s="440">
        <v>4</v>
      </c>
      <c r="H332" s="505" t="s">
        <v>1175</v>
      </c>
      <c r="I332" s="587" t="s">
        <v>4027</v>
      </c>
    </row>
    <row r="333" spans="2:9" s="1925" customFormat="1" ht="18" outlineLevel="1" x14ac:dyDescent="0.25">
      <c r="B333" s="261" t="s">
        <v>1780</v>
      </c>
      <c r="C333" s="2017" t="s">
        <v>2553</v>
      </c>
      <c r="D333" s="2082" t="s">
        <v>1936</v>
      </c>
      <c r="E333" s="77">
        <f>K_CO2_BIO_AS</f>
        <v>1.2</v>
      </c>
      <c r="F333" s="77" t="s">
        <v>1211</v>
      </c>
      <c r="G333" s="260">
        <v>1</v>
      </c>
      <c r="H333" s="73" t="s">
        <v>1248</v>
      </c>
      <c r="I333" s="367"/>
    </row>
    <row r="334" spans="2:9" s="1925" customFormat="1" ht="18" outlineLevel="1" x14ac:dyDescent="0.25">
      <c r="B334" s="261" t="s">
        <v>1780</v>
      </c>
      <c r="C334" s="2017" t="s">
        <v>2553</v>
      </c>
      <c r="D334" s="2082" t="s">
        <v>4018</v>
      </c>
      <c r="E334" s="77">
        <f>K_CO2_BIO_AS*f_KS_biofilm</f>
        <v>0.48</v>
      </c>
      <c r="F334" s="77" t="s">
        <v>1211</v>
      </c>
      <c r="G334" s="260">
        <v>2</v>
      </c>
      <c r="H334" s="73" t="s">
        <v>1175</v>
      </c>
      <c r="I334" s="367" t="s">
        <v>4027</v>
      </c>
    </row>
    <row r="335" spans="2:9" s="1925" customFormat="1" ht="18" outlineLevel="1" x14ac:dyDescent="0.25">
      <c r="B335" s="147" t="s">
        <v>887</v>
      </c>
      <c r="C335" s="460" t="s">
        <v>2554</v>
      </c>
      <c r="D335" s="1642" t="s">
        <v>1932</v>
      </c>
      <c r="E335" s="77">
        <f>K_CAT_AS</f>
        <v>0.1</v>
      </c>
      <c r="F335" s="77" t="s">
        <v>1943</v>
      </c>
      <c r="G335" s="260">
        <v>1</v>
      </c>
      <c r="H335" s="73" t="s">
        <v>1248</v>
      </c>
      <c r="I335" s="367"/>
    </row>
    <row r="336" spans="2:9" s="1925" customFormat="1" ht="18" outlineLevel="1" x14ac:dyDescent="0.25">
      <c r="B336" s="147" t="s">
        <v>887</v>
      </c>
      <c r="C336" s="460" t="s">
        <v>2554</v>
      </c>
      <c r="D336" s="1642" t="s">
        <v>4019</v>
      </c>
      <c r="E336" s="77">
        <f>K_CAT_AS*f_KS_biofilm</f>
        <v>4.0000000000000008E-2</v>
      </c>
      <c r="F336" s="77" t="s">
        <v>1943</v>
      </c>
      <c r="G336" s="260">
        <v>2</v>
      </c>
      <c r="H336" s="73" t="s">
        <v>1175</v>
      </c>
      <c r="I336" s="367" t="s">
        <v>4027</v>
      </c>
    </row>
    <row r="337" spans="2:9" s="1925" customFormat="1" ht="18" outlineLevel="1" x14ac:dyDescent="0.25">
      <c r="B337" s="147" t="s">
        <v>888</v>
      </c>
      <c r="C337" s="460" t="s">
        <v>2555</v>
      </c>
      <c r="D337" s="1642" t="s">
        <v>1933</v>
      </c>
      <c r="E337" s="77">
        <f>K_AN_AS</f>
        <v>0.1</v>
      </c>
      <c r="F337" s="77" t="s">
        <v>1944</v>
      </c>
      <c r="G337" s="260">
        <v>1</v>
      </c>
      <c r="H337" s="73" t="s">
        <v>1248</v>
      </c>
      <c r="I337" s="367"/>
    </row>
    <row r="338" spans="2:9" s="1925" customFormat="1" ht="18" outlineLevel="1" x14ac:dyDescent="0.25">
      <c r="B338" s="147" t="s">
        <v>888</v>
      </c>
      <c r="C338" s="460" t="s">
        <v>2555</v>
      </c>
      <c r="D338" s="1642" t="s">
        <v>4020</v>
      </c>
      <c r="E338" s="77">
        <f>K_AN_AS*f_KS_biofilm</f>
        <v>4.0000000000000008E-2</v>
      </c>
      <c r="F338" s="77" t="s">
        <v>1944</v>
      </c>
      <c r="G338" s="260">
        <v>2</v>
      </c>
      <c r="H338" s="73" t="s">
        <v>1175</v>
      </c>
      <c r="I338" s="367" t="s">
        <v>4027</v>
      </c>
    </row>
    <row r="339" spans="2:9" s="1925" customFormat="1" ht="18" outlineLevel="1" x14ac:dyDescent="0.25">
      <c r="B339" s="996" t="s">
        <v>4172</v>
      </c>
      <c r="C339" s="1174" t="s">
        <v>4173</v>
      </c>
      <c r="D339" s="1174" t="s">
        <v>4154</v>
      </c>
      <c r="E339" s="1040">
        <f>K_Mg_BIO_AS</f>
        <v>1E-4</v>
      </c>
      <c r="F339" s="1040" t="s">
        <v>1607</v>
      </c>
      <c r="G339" s="1049">
        <v>4</v>
      </c>
      <c r="H339" s="2548" t="s">
        <v>1248</v>
      </c>
      <c r="I339" s="1050"/>
    </row>
    <row r="340" spans="2:9" s="1925" customFormat="1" ht="18" outlineLevel="1" x14ac:dyDescent="0.25">
      <c r="B340" s="996" t="s">
        <v>4172</v>
      </c>
      <c r="C340" s="1174" t="s">
        <v>4173</v>
      </c>
      <c r="D340" s="1174" t="s">
        <v>4174</v>
      </c>
      <c r="E340" s="1040">
        <v>1E-4</v>
      </c>
      <c r="F340" s="1040" t="s">
        <v>1607</v>
      </c>
      <c r="G340" s="1049">
        <v>5</v>
      </c>
      <c r="H340" s="2548" t="s">
        <v>1175</v>
      </c>
      <c r="I340" s="1050" t="s">
        <v>4027</v>
      </c>
    </row>
    <row r="341" spans="2:9" s="1925" customFormat="1" ht="18" outlineLevel="1" x14ac:dyDescent="0.25">
      <c r="B341" s="996" t="s">
        <v>4175</v>
      </c>
      <c r="C341" s="1174" t="s">
        <v>4176</v>
      </c>
      <c r="D341" s="1174" t="s">
        <v>4156</v>
      </c>
      <c r="E341" s="1040">
        <f>K_Ca_BIO_AS</f>
        <v>1E-4</v>
      </c>
      <c r="F341" s="1040" t="s">
        <v>1609</v>
      </c>
      <c r="G341" s="1049">
        <v>4</v>
      </c>
      <c r="H341" s="2548" t="s">
        <v>1248</v>
      </c>
      <c r="I341" s="1050"/>
    </row>
    <row r="342" spans="2:9" s="1925" customFormat="1" ht="18" outlineLevel="1" x14ac:dyDescent="0.25">
      <c r="B342" s="996" t="s">
        <v>4175</v>
      </c>
      <c r="C342" s="1174" t="s">
        <v>4176</v>
      </c>
      <c r="D342" s="1174" t="s">
        <v>4177</v>
      </c>
      <c r="E342" s="1040">
        <v>1E-4</v>
      </c>
      <c r="F342" s="1040" t="s">
        <v>1609</v>
      </c>
      <c r="G342" s="1049">
        <v>5</v>
      </c>
      <c r="H342" s="2548" t="s">
        <v>1175</v>
      </c>
      <c r="I342" s="1050" t="s">
        <v>4027</v>
      </c>
    </row>
    <row r="343" spans="2:9" s="1925" customFormat="1" ht="18" outlineLevel="1" x14ac:dyDescent="0.25">
      <c r="B343" s="147" t="s">
        <v>1183</v>
      </c>
      <c r="C343" s="460" t="s">
        <v>2710</v>
      </c>
      <c r="D343" s="1642" t="s">
        <v>1937</v>
      </c>
      <c r="E343" s="77">
        <f>K_HYD_AS</f>
        <v>0.05</v>
      </c>
      <c r="F343" s="77" t="s">
        <v>2128</v>
      </c>
      <c r="G343" s="260">
        <v>2</v>
      </c>
      <c r="H343" s="73" t="s">
        <v>1248</v>
      </c>
      <c r="I343" s="367"/>
    </row>
    <row r="344" spans="2:9" s="1925" customFormat="1" ht="18" outlineLevel="1" x14ac:dyDescent="0.25">
      <c r="B344" s="147" t="s">
        <v>1183</v>
      </c>
      <c r="C344" s="460" t="s">
        <v>2710</v>
      </c>
      <c r="D344" s="1642" t="s">
        <v>4021</v>
      </c>
      <c r="E344" s="77">
        <f>K_HYD_AS*f_KS_biofilm</f>
        <v>2.0000000000000004E-2</v>
      </c>
      <c r="F344" s="77" t="s">
        <v>2128</v>
      </c>
      <c r="G344" s="260">
        <v>3</v>
      </c>
      <c r="H344" s="73" t="s">
        <v>1175</v>
      </c>
      <c r="I344" s="367" t="s">
        <v>4027</v>
      </c>
    </row>
    <row r="345" spans="2:9" s="1925" customFormat="1" ht="18" outlineLevel="1" x14ac:dyDescent="0.25">
      <c r="B345" s="588" t="s">
        <v>2706</v>
      </c>
      <c r="C345" s="1289" t="s">
        <v>2933</v>
      </c>
      <c r="D345" s="460" t="s">
        <v>2707</v>
      </c>
      <c r="E345" s="462">
        <f>K_iNHx_ASSIM_AS</f>
        <v>5.0000000000000001E-4</v>
      </c>
      <c r="F345" s="462" t="s">
        <v>884</v>
      </c>
      <c r="G345" s="440">
        <v>4</v>
      </c>
      <c r="H345" s="505" t="s">
        <v>1248</v>
      </c>
      <c r="I345" s="587"/>
    </row>
    <row r="346" spans="2:9" s="1925" customFormat="1" ht="18" outlineLevel="1" x14ac:dyDescent="0.25">
      <c r="B346" s="588" t="s">
        <v>2706</v>
      </c>
      <c r="C346" s="1289" t="s">
        <v>2933</v>
      </c>
      <c r="D346" s="460" t="s">
        <v>4022</v>
      </c>
      <c r="E346" s="462">
        <f>K_iNHx_ASSIM_AS*f_KS_biofilm</f>
        <v>2.0000000000000001E-4</v>
      </c>
      <c r="F346" s="462" t="s">
        <v>884</v>
      </c>
      <c r="G346" s="440">
        <v>5</v>
      </c>
      <c r="H346" s="505" t="s">
        <v>1175</v>
      </c>
      <c r="I346" s="587" t="s">
        <v>4027</v>
      </c>
    </row>
    <row r="347" spans="2:9" s="1938" customFormat="1" ht="18" outlineLevel="1" x14ac:dyDescent="0.25">
      <c r="B347" s="147" t="s">
        <v>2317</v>
      </c>
      <c r="C347" s="460" t="s">
        <v>2711</v>
      </c>
      <c r="D347" s="1642" t="s">
        <v>2318</v>
      </c>
      <c r="E347" s="77">
        <f>K_NO2_ASSIM_AS</f>
        <v>1E-3</v>
      </c>
      <c r="F347" s="77" t="s">
        <v>884</v>
      </c>
      <c r="G347" s="260">
        <v>4</v>
      </c>
      <c r="H347" s="2547" t="s">
        <v>1248</v>
      </c>
      <c r="I347" s="204"/>
    </row>
    <row r="348" spans="2:9" s="1938" customFormat="1" ht="18" outlineLevel="1" x14ac:dyDescent="0.25">
      <c r="B348" s="147" t="s">
        <v>2317</v>
      </c>
      <c r="C348" s="460" t="s">
        <v>2711</v>
      </c>
      <c r="D348" s="1642" t="s">
        <v>4023</v>
      </c>
      <c r="E348" s="77">
        <f>K_NO2_ASSIM_AS*f_KS_biofilm</f>
        <v>4.0000000000000002E-4</v>
      </c>
      <c r="F348" s="77" t="s">
        <v>884</v>
      </c>
      <c r="G348" s="260">
        <v>5</v>
      </c>
      <c r="H348" s="2547" t="s">
        <v>1175</v>
      </c>
      <c r="I348" s="204" t="s">
        <v>4027</v>
      </c>
    </row>
    <row r="349" spans="2:9" s="1938" customFormat="1" ht="18" outlineLevel="1" x14ac:dyDescent="0.25">
      <c r="B349" s="147" t="s">
        <v>2319</v>
      </c>
      <c r="C349" s="460" t="s">
        <v>2712</v>
      </c>
      <c r="D349" s="1642" t="s">
        <v>2320</v>
      </c>
      <c r="E349" s="77">
        <f>K_NO3_ASSIM_AS</f>
        <v>1E-3</v>
      </c>
      <c r="F349" s="77" t="s">
        <v>884</v>
      </c>
      <c r="G349" s="260">
        <v>4</v>
      </c>
      <c r="H349" s="2547" t="s">
        <v>1248</v>
      </c>
      <c r="I349" s="204"/>
    </row>
    <row r="350" spans="2:9" s="1938" customFormat="1" ht="18" outlineLevel="1" x14ac:dyDescent="0.25">
      <c r="B350" s="147" t="s">
        <v>2319</v>
      </c>
      <c r="C350" s="460" t="s">
        <v>2712</v>
      </c>
      <c r="D350" s="1642" t="s">
        <v>4024</v>
      </c>
      <c r="E350" s="77">
        <f>K_NO3_ASSIM_AS*f_KS_biofilm</f>
        <v>4.0000000000000002E-4</v>
      </c>
      <c r="F350" s="77" t="s">
        <v>884</v>
      </c>
      <c r="G350" s="260">
        <v>5</v>
      </c>
      <c r="H350" s="2547" t="s">
        <v>1175</v>
      </c>
      <c r="I350" s="204" t="s">
        <v>4027</v>
      </c>
    </row>
    <row r="351" spans="2:9" s="1925" customFormat="1" ht="18" outlineLevel="1" x14ac:dyDescent="0.25">
      <c r="B351" s="588" t="s">
        <v>3410</v>
      </c>
      <c r="C351" s="460" t="s">
        <v>3411</v>
      </c>
      <c r="D351" s="460" t="s">
        <v>3412</v>
      </c>
      <c r="E351" s="462">
        <f>K_iSO4_ASSIM_AS</f>
        <v>5.0000000000000001E-4</v>
      </c>
      <c r="F351" s="462" t="s">
        <v>3140</v>
      </c>
      <c r="G351" s="440">
        <v>4</v>
      </c>
      <c r="H351" s="505" t="s">
        <v>1248</v>
      </c>
      <c r="I351" s="587"/>
    </row>
    <row r="352" spans="2:9" s="1925" customFormat="1" ht="18" outlineLevel="1" x14ac:dyDescent="0.25">
      <c r="B352" s="588" t="s">
        <v>3410</v>
      </c>
      <c r="C352" s="460" t="s">
        <v>3411</v>
      </c>
      <c r="D352" s="460" t="s">
        <v>4025</v>
      </c>
      <c r="E352" s="462">
        <f>K_iSO4_ASSIM_AS*f_KS_biofilm</f>
        <v>2.0000000000000001E-4</v>
      </c>
      <c r="F352" s="462" t="s">
        <v>3140</v>
      </c>
      <c r="G352" s="440">
        <v>5</v>
      </c>
      <c r="H352" s="505" t="s">
        <v>1175</v>
      </c>
      <c r="I352" s="587" t="s">
        <v>4027</v>
      </c>
    </row>
    <row r="353" spans="1:9" s="1925" customFormat="1" ht="18" outlineLevel="1" x14ac:dyDescent="0.25">
      <c r="B353" s="588" t="s">
        <v>3413</v>
      </c>
      <c r="C353" s="460" t="s">
        <v>3414</v>
      </c>
      <c r="D353" s="460" t="s">
        <v>3415</v>
      </c>
      <c r="E353" s="462">
        <f>K_H2S_ASSIM_AS</f>
        <v>1E-3</v>
      </c>
      <c r="F353" s="462" t="s">
        <v>3140</v>
      </c>
      <c r="G353" s="440">
        <v>3</v>
      </c>
      <c r="H353" s="505" t="s">
        <v>1248</v>
      </c>
      <c r="I353" s="587"/>
    </row>
    <row r="354" spans="1:9" s="1925" customFormat="1" ht="18.75" outlineLevel="1" thickBot="1" x14ac:dyDescent="0.3">
      <c r="B354" s="149" t="s">
        <v>3413</v>
      </c>
      <c r="C354" s="1660" t="s">
        <v>3414</v>
      </c>
      <c r="D354" s="1660" t="s">
        <v>4026</v>
      </c>
      <c r="E354" s="721">
        <f>K_H2S_ASSIM_AS*f_KS_biofilm</f>
        <v>4.0000000000000002E-4</v>
      </c>
      <c r="F354" s="721" t="s">
        <v>3140</v>
      </c>
      <c r="G354" s="790">
        <v>4</v>
      </c>
      <c r="H354" s="897" t="s">
        <v>1175</v>
      </c>
      <c r="I354" s="1722" t="s">
        <v>4027</v>
      </c>
    </row>
    <row r="355" spans="1:9" s="4" customFormat="1" ht="15.75" thickBot="1" x14ac:dyDescent="0.3">
      <c r="B355" s="702"/>
      <c r="C355" s="702"/>
      <c r="D355" s="702"/>
      <c r="E355" s="381"/>
      <c r="F355" s="151"/>
      <c r="G355" s="702"/>
      <c r="H355" s="2550"/>
      <c r="I355" s="702"/>
    </row>
    <row r="356" spans="1:9" s="4" customFormat="1" ht="15.75" thickBot="1" x14ac:dyDescent="0.3">
      <c r="B356" s="115"/>
      <c r="C356" s="1813" t="s">
        <v>4995</v>
      </c>
      <c r="D356" s="13" t="s">
        <v>299</v>
      </c>
      <c r="E356" s="13"/>
      <c r="F356" s="115"/>
      <c r="G356" s="115"/>
      <c r="H356" s="502"/>
      <c r="I356" s="115"/>
    </row>
    <row r="357" spans="1:9" s="4" customFormat="1" ht="15.75" thickBot="1" x14ac:dyDescent="0.3">
      <c r="B357" s="1814" t="s">
        <v>0</v>
      </c>
      <c r="C357" s="2131" t="s">
        <v>1</v>
      </c>
      <c r="D357" s="1815" t="s">
        <v>5</v>
      </c>
      <c r="E357" s="1815" t="s">
        <v>152</v>
      </c>
      <c r="F357" s="1815" t="s">
        <v>2</v>
      </c>
      <c r="G357" s="1815" t="s">
        <v>298</v>
      </c>
      <c r="H357" s="2577" t="s">
        <v>116</v>
      </c>
      <c r="I357" s="1816" t="s">
        <v>117</v>
      </c>
    </row>
    <row r="358" spans="1:9" s="1154" customFormat="1" ht="18" outlineLevel="1" x14ac:dyDescent="0.25">
      <c r="B358" s="2951" t="s">
        <v>5736</v>
      </c>
      <c r="C358" s="2952" t="s">
        <v>5737</v>
      </c>
      <c r="D358" s="2952" t="s">
        <v>5738</v>
      </c>
      <c r="E358" s="2937">
        <f>((-1)*(2/((K_NO3_OHO)*(L_ograngeSNO3)))*LN((1/19)*(1+(1/2)*((K_NO3_OHO)*(L_ograngeSNO3)/(K_NO3_OHO)))))</f>
        <v>19.725805733943361</v>
      </c>
      <c r="F358" s="2918" t="s">
        <v>5006</v>
      </c>
      <c r="G358" s="2938">
        <v>1</v>
      </c>
      <c r="H358" s="2939"/>
      <c r="I358" s="2922" t="s">
        <v>5053</v>
      </c>
    </row>
    <row r="359" spans="1:9" s="1154" customFormat="1" ht="18" outlineLevel="1" x14ac:dyDescent="0.25">
      <c r="B359" s="2951" t="s">
        <v>5739</v>
      </c>
      <c r="C359" s="2952" t="s">
        <v>5740</v>
      </c>
      <c r="D359" s="2952" t="s">
        <v>5741</v>
      </c>
      <c r="E359" s="2937">
        <f>((-1)*(2/((K_NO3_OHO)*(L_ograngeKSNO3)))*LN((1/19)*(1+(1/2)*((K_NO3_OHO)*(L_ograngeKSNO3)/(K_NO3_OHO)))))</f>
        <v>2.5438114039797526</v>
      </c>
      <c r="F359" s="2918" t="s">
        <v>5006</v>
      </c>
      <c r="G359" s="2938">
        <v>1</v>
      </c>
      <c r="H359" s="2939"/>
      <c r="I359" s="2922" t="s">
        <v>5053</v>
      </c>
    </row>
    <row r="360" spans="1:9" s="1154" customFormat="1" ht="18" outlineLevel="1" x14ac:dyDescent="0.25">
      <c r="B360" s="2951" t="s">
        <v>5742</v>
      </c>
      <c r="C360" s="2952" t="s">
        <v>5743</v>
      </c>
      <c r="D360" s="2952" t="s">
        <v>5744</v>
      </c>
      <c r="E360" s="2937">
        <f>((-1)*(2/((K_VFA_OHO_SNO2)*(L_ograngeKVFA_SNO2)))*LN((1/19)*(1+(1/2)*((K_VFA_OHO_SNO2)*(L_ograngeKVFA_SNO2)/(K_VFA_OHO_SNO2)))))</f>
        <v>1.3020223851878621</v>
      </c>
      <c r="F360" s="2918" t="s">
        <v>5006</v>
      </c>
      <c r="G360" s="2938">
        <v>1</v>
      </c>
      <c r="H360" s="2939"/>
      <c r="I360" s="2922" t="s">
        <v>5053</v>
      </c>
    </row>
    <row r="361" spans="1:9" s="4" customFormat="1" ht="18" outlineLevel="1" x14ac:dyDescent="0.25">
      <c r="B361" s="1858" t="s">
        <v>5004</v>
      </c>
      <c r="C361" s="1859" t="s">
        <v>5005</v>
      </c>
      <c r="D361" s="1859" t="s">
        <v>5048</v>
      </c>
      <c r="E361" s="1860">
        <f>((-1)*(2/((K_VFA_FERM)*(L_ograngeVFA_FERM_AS)))*LN((1/19)*(1+(1/2)*((K_VFA_FERM)*(L_ograngeVFA_FERM_AS)/(K_VFA_FERM)))))</f>
        <v>9.7948563582963093</v>
      </c>
      <c r="F361" s="1826" t="s">
        <v>5006</v>
      </c>
      <c r="G361" s="1135">
        <v>1</v>
      </c>
      <c r="H361" s="2643" t="s">
        <v>1248</v>
      </c>
      <c r="I361" s="1827" t="s">
        <v>5053</v>
      </c>
    </row>
    <row r="362" spans="1:9" s="4" customFormat="1" ht="18" outlineLevel="1" x14ac:dyDescent="0.25">
      <c r="B362" s="1858" t="s">
        <v>5004</v>
      </c>
      <c r="C362" s="1859" t="s">
        <v>5007</v>
      </c>
      <c r="D362" s="1859" t="s">
        <v>5041</v>
      </c>
      <c r="E362" s="1860">
        <f>(-1)*(2/(K_VFA_FERM*L_ograngeVFA_FERM_AS))*LN((1/19)*(1+(1/2)*(K_VFA_FERM*L_ograngeVFA_FERM_AS/K_VFA_FERM))) / f_KS</f>
        <v>97.948563582963089</v>
      </c>
      <c r="F362" s="1826" t="s">
        <v>5006</v>
      </c>
      <c r="G362" s="1135">
        <v>1</v>
      </c>
      <c r="H362" s="2643" t="s">
        <v>1175</v>
      </c>
      <c r="I362" s="1910" t="s">
        <v>4027</v>
      </c>
    </row>
    <row r="363" spans="1:9" s="1154" customFormat="1" ht="18" outlineLevel="1" x14ac:dyDescent="0.25">
      <c r="B363" s="2953" t="s">
        <v>5745</v>
      </c>
      <c r="C363" s="2954" t="s">
        <v>5746</v>
      </c>
      <c r="D363" s="2954" t="s">
        <v>5747</v>
      </c>
      <c r="E363" s="2955">
        <f>((-1)*(2/((K_MEOL_SNO2)*(L_ograngeKMEOL_SNO2)))*LN((1/19)*(1+(1/2)*((K_MEOL_SNO2)*(L_ograngeKMEOL_SNO2)/(K_MEOL_SNO2)))))</f>
        <v>1.3020223851878621</v>
      </c>
      <c r="F363" s="2929" t="s">
        <v>5006</v>
      </c>
      <c r="G363" s="2956">
        <v>1</v>
      </c>
      <c r="H363" s="2957"/>
      <c r="I363" s="2930" t="s">
        <v>5053</v>
      </c>
    </row>
    <row r="364" spans="1:9" s="1154" customFormat="1" ht="18" outlineLevel="1" x14ac:dyDescent="0.25">
      <c r="B364" s="2953" t="s">
        <v>5748</v>
      </c>
      <c r="C364" s="2954" t="s">
        <v>5749</v>
      </c>
      <c r="D364" s="2954" t="s">
        <v>5750</v>
      </c>
      <c r="E364" s="2955">
        <f>((-1)*(2/((K_NO3_MEOLO)*(L_ograngeSNO3)))*LN((1/19)*(1+(1/2)*((K_NO3_MEOLO)*(L_ograngeSNO3)/(K_NO3_MEOLO)))))</f>
        <v>493.14514334858404</v>
      </c>
      <c r="F364" s="2929" t="s">
        <v>5006</v>
      </c>
      <c r="G364" s="2956">
        <v>1</v>
      </c>
      <c r="H364" s="2957"/>
      <c r="I364" s="2930" t="s">
        <v>5053</v>
      </c>
    </row>
    <row r="365" spans="1:9" s="4" customFormat="1" ht="18.75" outlineLevel="1" x14ac:dyDescent="0.25">
      <c r="B365" s="1854" t="s">
        <v>4996</v>
      </c>
      <c r="C365" s="1856" t="s">
        <v>4997</v>
      </c>
      <c r="D365" s="1856" t="s">
        <v>5050</v>
      </c>
      <c r="E365" s="1960">
        <f>((-1)*(2/((K_CO2_AOB_pH_AS)*(L_ograngeCO2_AOB_pH_AS)))*LN((1/19)*(1+(1/2)*((K_CO2_AOB_pH_AS)*(L_ograngeCO2_AOB_pH_AS)/(K_CO2_AOB_pH_AS)))))</f>
        <v>5077.947742116552</v>
      </c>
      <c r="F365" s="1835" t="s">
        <v>4998</v>
      </c>
      <c r="G365" s="1855">
        <v>1</v>
      </c>
      <c r="H365" s="2578" t="s">
        <v>5489</v>
      </c>
      <c r="I365" s="1832" t="s">
        <v>5053</v>
      </c>
    </row>
    <row r="366" spans="1:9" s="4" customFormat="1" ht="18.75" outlineLevel="1" x14ac:dyDescent="0.25">
      <c r="B366" s="1833" t="s">
        <v>4996</v>
      </c>
      <c r="C366" s="1856" t="s">
        <v>4999</v>
      </c>
      <c r="D366" s="1856" t="s">
        <v>5051</v>
      </c>
      <c r="E366" s="1960">
        <f>(-1)*(2/(K_CO2_AOB_pH_sidestream*L_ograngeCO2_AOB_pH_sidestream))*LN((1/19)*(1+(1/2)*(K_CO2_AOB_pH_sidestream*L_ograngeCO2_AOB_pH_sidestream/K_CO2_AOB_pH_sidestream)))</f>
        <v>4674.4617279854701</v>
      </c>
      <c r="F366" s="1835" t="s">
        <v>4998</v>
      </c>
      <c r="G366" s="1855">
        <v>1</v>
      </c>
      <c r="H366" s="2578" t="s">
        <v>1602</v>
      </c>
      <c r="I366" s="1832" t="s">
        <v>5053</v>
      </c>
    </row>
    <row r="367" spans="1:9" s="1938" customFormat="1" ht="18" outlineLevel="1" x14ac:dyDescent="0.25">
      <c r="A367" s="4"/>
      <c r="B367" s="1914" t="s">
        <v>5000</v>
      </c>
      <c r="C367" s="2018" t="s">
        <v>5001</v>
      </c>
      <c r="D367" s="2018" t="s">
        <v>5052</v>
      </c>
      <c r="E367" s="1907">
        <f>((-1)*(2/((K_CO2_NOB_pH_AS)*(L_ograngeCO2_NOB_pH_AS)))*LN((1/19)*(1+(1/2)*((K_CO2_NOB_pH_AS)*(L_ograngeCO2_NOB_pH_AS)/(K_CO2_NOB_pH_AS)))))</f>
        <v>112564.58993032474</v>
      </c>
      <c r="F367" s="1908" t="s">
        <v>4998</v>
      </c>
      <c r="G367" s="1908">
        <v>1</v>
      </c>
      <c r="H367" s="2579"/>
      <c r="I367" s="1915" t="s">
        <v>5053</v>
      </c>
    </row>
    <row r="368" spans="1:9" s="1938" customFormat="1" ht="18.75" outlineLevel="1" x14ac:dyDescent="0.25">
      <c r="A368" s="4"/>
      <c r="B368" s="1847" t="s">
        <v>5002</v>
      </c>
      <c r="C368" s="1857" t="s">
        <v>5003</v>
      </c>
      <c r="D368" s="1857" t="s">
        <v>5049</v>
      </c>
      <c r="E368" s="1280">
        <f>((-1)*(2/((K_CO2_AMX_pH_AS)*(L_ograngeCO2_AMX_pH_AS)))*LN((1/19)*(1+(1/2)*((K_CO2_AMX_pH_AS)*(L_ograngeCO2_AMX_pH_AS)/(K_CO2_AMX_pH_AS)))))</f>
        <v>11256.458993032476</v>
      </c>
      <c r="F368" s="1916" t="s">
        <v>4998</v>
      </c>
      <c r="G368" s="1150">
        <v>1</v>
      </c>
      <c r="H368" s="2645"/>
      <c r="I368" s="1909" t="s">
        <v>5053</v>
      </c>
    </row>
    <row r="369" spans="2:9" s="4" customFormat="1" ht="18" outlineLevel="1" x14ac:dyDescent="0.25">
      <c r="B369" s="1861" t="s">
        <v>5008</v>
      </c>
      <c r="C369" s="1169" t="s">
        <v>5009</v>
      </c>
      <c r="D369" s="1169" t="s">
        <v>5047</v>
      </c>
      <c r="E369" s="1862">
        <f>((-1)*(2/((K_PO4_PAO)*(L_ograngePO4_PAO_AS_sat)))*LN((1/19)*(1+(1/2)*((K_PO4_PAO)*(L_ograngePO4_PAO_AS_sat)/(K_PO4_PAO)))))</f>
        <v>43.466112375753802</v>
      </c>
      <c r="F369" s="1169" t="s">
        <v>5010</v>
      </c>
      <c r="G369" s="1169">
        <v>1</v>
      </c>
      <c r="H369" s="1368" t="s">
        <v>1248</v>
      </c>
      <c r="I369" s="1830" t="s">
        <v>5053</v>
      </c>
    </row>
    <row r="370" spans="2:9" s="4" customFormat="1" ht="18" outlineLevel="1" x14ac:dyDescent="0.25">
      <c r="B370" s="1861" t="s">
        <v>5008</v>
      </c>
      <c r="C370" s="1169" t="s">
        <v>5011</v>
      </c>
      <c r="D370" s="1169" t="s">
        <v>5040</v>
      </c>
      <c r="E370" s="1862">
        <f>(-1)*(2/(K_PO4_PAO*L_ograngePO4_PAO_AS_sat))*LN((1/19)*(1+(1/2)*(K_PO4_PAO*L_ograngePO4_PAO_AS_sat/K_PO4_PAO))) / f_KS</f>
        <v>434.66112375753801</v>
      </c>
      <c r="F370" s="1169" t="s">
        <v>5010</v>
      </c>
      <c r="G370" s="1169">
        <v>1</v>
      </c>
      <c r="H370" s="1368" t="s">
        <v>1175</v>
      </c>
      <c r="I370" s="1830" t="s">
        <v>4027</v>
      </c>
    </row>
    <row r="371" spans="2:9" s="4" customFormat="1" ht="18" outlineLevel="1" x14ac:dyDescent="0.25">
      <c r="B371" s="1861" t="s">
        <v>5012</v>
      </c>
      <c r="C371" s="1169" t="s">
        <v>5013</v>
      </c>
      <c r="D371" s="1169" t="s">
        <v>5046</v>
      </c>
      <c r="E371" s="1862">
        <f>((-1)*(2/((K_PO4_PAO)*(L_ograngePP_PAO_AS_sat)))*LN((1/19)*(1+(1/2)*((K_PO4_PAO)*(L_ograngePP_PAO_AS_sat)/(K_PO4_PAO)))))</f>
        <v>92.070580745749538</v>
      </c>
      <c r="F371" s="1169" t="s">
        <v>5010</v>
      </c>
      <c r="G371" s="1169">
        <v>1</v>
      </c>
      <c r="H371" s="1368" t="s">
        <v>1248</v>
      </c>
      <c r="I371" s="1830" t="s">
        <v>5053</v>
      </c>
    </row>
    <row r="372" spans="2:9" s="4" customFormat="1" ht="18" outlineLevel="1" x14ac:dyDescent="0.25">
      <c r="B372" s="1861" t="s">
        <v>5012</v>
      </c>
      <c r="C372" s="1169" t="s">
        <v>5014</v>
      </c>
      <c r="D372" s="1169" t="s">
        <v>5039</v>
      </c>
      <c r="E372" s="1862">
        <f>(-1)*(2/(K_PO4_PAO*L_ograngePP_PAO_AS_sat))*LN((1/19)*(1+(1/2)*(K_PO4_PAO*L_ograngePP_PAO_AS_sat/K_PO4_PAO))) / f_KS</f>
        <v>920.70580745749533</v>
      </c>
      <c r="F372" s="1169" t="s">
        <v>5010</v>
      </c>
      <c r="G372" s="1169">
        <v>1</v>
      </c>
      <c r="H372" s="1368" t="s">
        <v>1175</v>
      </c>
      <c r="I372" s="1830" t="s">
        <v>4027</v>
      </c>
    </row>
    <row r="373" spans="2:9" s="4" customFormat="1" ht="18" outlineLevel="1" x14ac:dyDescent="0.25">
      <c r="B373" s="1861" t="s">
        <v>5015</v>
      </c>
      <c r="C373" s="1169" t="s">
        <v>5016</v>
      </c>
      <c r="D373" s="1169" t="s">
        <v>5045</v>
      </c>
      <c r="E373" s="1862">
        <f>((-1)*(2/((K_iPHA_PAO_max)*(L_ograngePHA_PAO_inh)))*LN((1/19)*(1+(1/2)*((K_iPHA_PAO_max)*(L_ograngePHA_PAO_inh)/(K_iPHA_PAO_max)))))</f>
        <v>96.521627166566958</v>
      </c>
      <c r="F373" s="1146" t="s">
        <v>2128</v>
      </c>
      <c r="G373" s="1169">
        <v>1</v>
      </c>
      <c r="H373" s="1368"/>
      <c r="I373" s="1830" t="s">
        <v>5053</v>
      </c>
    </row>
    <row r="374" spans="2:9" s="4" customFormat="1" ht="18" outlineLevel="1" x14ac:dyDescent="0.25">
      <c r="B374" s="1861" t="s">
        <v>5017</v>
      </c>
      <c r="C374" s="1169" t="s">
        <v>5018</v>
      </c>
      <c r="D374" s="1169" t="s">
        <v>5044</v>
      </c>
      <c r="E374" s="1862">
        <f>((-1)*(2/((K_iPP_PAO_max)*(L_ograngePP_PAO_inh)))*LN((1/19)*(1+(1/2)*((K_iPP_PAO_max)*(L_ograngePP_PAO_inh)/(K_iPP_PAO_max)))))</f>
        <v>96.230554358790513</v>
      </c>
      <c r="F374" s="1146" t="s">
        <v>4730</v>
      </c>
      <c r="G374" s="1169">
        <v>1</v>
      </c>
      <c r="H374" s="1368"/>
      <c r="I374" s="1830" t="s">
        <v>5053</v>
      </c>
    </row>
    <row r="375" spans="2:9" s="4" customFormat="1" ht="18" outlineLevel="1" x14ac:dyDescent="0.25">
      <c r="B375" s="2977" t="s">
        <v>5828</v>
      </c>
      <c r="C375" s="2987" t="s">
        <v>5829</v>
      </c>
      <c r="D375" s="2987" t="s">
        <v>5830</v>
      </c>
      <c r="E375" s="1863">
        <f>((-1)*(2/((K_iPHA_GAO_max)*(L_ograngePHA_GAO_inh)))*LN((1/19)*(1+(1/2)*((K_iPHA_GAO_max)*(L_ograngePHA_GAO_inh)/(K_iPHA_GAO_max)))))</f>
        <v>96.205669034748837</v>
      </c>
      <c r="F375" s="1218" t="s">
        <v>2128</v>
      </c>
      <c r="G375" s="1218">
        <v>1</v>
      </c>
      <c r="H375" s="2646"/>
      <c r="I375" s="1864" t="s">
        <v>5053</v>
      </c>
    </row>
    <row r="376" spans="2:9" s="1925" customFormat="1" ht="18.75" outlineLevel="1" x14ac:dyDescent="0.25">
      <c r="B376" s="2146" t="s">
        <v>5063</v>
      </c>
      <c r="C376" s="2147" t="s">
        <v>5066</v>
      </c>
      <c r="D376" s="2147" t="s">
        <v>5064</v>
      </c>
      <c r="E376" s="2182">
        <f>((-1)*(2/((K_iNH3_AMETO_pH)*(L_ograngeNH3_AMETO)))*LN((1/19)*(1+(1/2)*((K_iNH3_AMETO_pH)*(L_ograngeNH3_AMETO)/(K_iNH3_AMETO_pH)))))</f>
        <v>57.970947247187361</v>
      </c>
      <c r="F376" s="2150" t="s">
        <v>5065</v>
      </c>
      <c r="G376" s="2149">
        <v>1</v>
      </c>
      <c r="H376" s="2571"/>
      <c r="I376" s="2144" t="s">
        <v>5053</v>
      </c>
    </row>
    <row r="377" spans="2:9" s="4" customFormat="1" ht="18" outlineLevel="1" x14ac:dyDescent="0.25">
      <c r="B377" s="1865" t="s">
        <v>5019</v>
      </c>
      <c r="C377" s="1866" t="s">
        <v>5020</v>
      </c>
      <c r="D377" s="1866" t="s">
        <v>5043</v>
      </c>
      <c r="E377" s="1867">
        <f>((-1)*(2/((K_iP_HFO_DISS)*(L_ograngeP_HFO_DISS)))*LN((1/19)*(1+(1/2)*((K_iP_HFO_DISS)*(L_ograngeP_HFO_DISS)/(K_iP_HFO_DISS)))))</f>
        <v>507.79477421165524</v>
      </c>
      <c r="F377" s="1866" t="s">
        <v>5010</v>
      </c>
      <c r="G377" s="1868">
        <v>1</v>
      </c>
      <c r="H377" s="2580"/>
      <c r="I377" s="1869" t="s">
        <v>5053</v>
      </c>
    </row>
    <row r="378" spans="2:9" s="4" customFormat="1" ht="18.75" outlineLevel="1" thickBot="1" x14ac:dyDescent="0.3">
      <c r="B378" s="1870" t="s">
        <v>5021</v>
      </c>
      <c r="C378" s="1871" t="s">
        <v>5022</v>
      </c>
      <c r="D378" s="1871" t="s">
        <v>5042</v>
      </c>
      <c r="E378" s="1872">
        <f>((-1)*(2/((K_iP_HAO_DISS)*(L_ograngeP_HAO_DISS)))*LN((1/19)*(1+(1/2)*((K_iP_HAO_DISS)*(L_ograngeP_HAO_DISS)/(K_iP_HAO_DISS)))))</f>
        <v>2251.2917986064954</v>
      </c>
      <c r="F378" s="1871" t="s">
        <v>5010</v>
      </c>
      <c r="G378" s="1873">
        <v>1</v>
      </c>
      <c r="H378" s="2581"/>
      <c r="I378" s="1874" t="s">
        <v>5053</v>
      </c>
    </row>
    <row r="379" spans="2:9" s="4" customFormat="1" ht="15.75" thickBot="1" x14ac:dyDescent="0.3">
      <c r="E379" s="1917"/>
      <c r="H379" s="1154"/>
    </row>
    <row r="380" spans="2:9" ht="15.75" thickBot="1" x14ac:dyDescent="0.3">
      <c r="C380" s="914" t="s">
        <v>1939</v>
      </c>
      <c r="D380" s="13" t="s">
        <v>299</v>
      </c>
      <c r="E380" s="13"/>
    </row>
    <row r="381" spans="2:9" s="4" customFormat="1" ht="15.75" thickBot="1" x14ac:dyDescent="0.3">
      <c r="B381" s="1234" t="s">
        <v>0</v>
      </c>
      <c r="C381" s="2125" t="s">
        <v>1</v>
      </c>
      <c r="D381" s="1200" t="s">
        <v>5</v>
      </c>
      <c r="E381" s="1200" t="s">
        <v>152</v>
      </c>
      <c r="F381" s="1200" t="s">
        <v>2</v>
      </c>
      <c r="G381" s="1200" t="s">
        <v>298</v>
      </c>
      <c r="H381" s="2541" t="s">
        <v>116</v>
      </c>
      <c r="I381" s="1201" t="s">
        <v>117</v>
      </c>
    </row>
    <row r="382" spans="2:9" ht="18" outlineLevel="1" x14ac:dyDescent="0.25">
      <c r="B382" s="1256" t="s">
        <v>1817</v>
      </c>
      <c r="C382" s="2019" t="s">
        <v>2713</v>
      </c>
      <c r="D382" s="2019" t="s">
        <v>1818</v>
      </c>
      <c r="E382" s="815">
        <f>((1+2*10^(0.5*((p_Hlow)-(p_Hhigh))))/(1+10^((p_H)-(p_Hhigh))+10^((p_Hlow)-(p_H))))</f>
        <v>0.99997841972817147</v>
      </c>
      <c r="F382" s="382" t="s">
        <v>282</v>
      </c>
      <c r="G382" s="382">
        <v>2</v>
      </c>
      <c r="H382" s="2560" t="s">
        <v>11</v>
      </c>
      <c r="I382" s="1776"/>
    </row>
    <row r="383" spans="2:9" ht="18" outlineLevel="1" x14ac:dyDescent="0.25">
      <c r="B383" s="588" t="s">
        <v>1817</v>
      </c>
      <c r="C383" s="2017" t="s">
        <v>2713</v>
      </c>
      <c r="D383" s="2534" t="s">
        <v>5490</v>
      </c>
      <c r="E383" s="765">
        <f>1</f>
        <v>1</v>
      </c>
      <c r="F383" s="440" t="s">
        <v>282</v>
      </c>
      <c r="G383" s="440">
        <v>0</v>
      </c>
      <c r="H383" s="505" t="s">
        <v>1150</v>
      </c>
      <c r="I383" s="587"/>
    </row>
    <row r="384" spans="2:9" ht="18" outlineLevel="1" x14ac:dyDescent="0.25">
      <c r="B384" s="2531" t="s">
        <v>5363</v>
      </c>
      <c r="C384" s="2538" t="s">
        <v>5364</v>
      </c>
      <c r="D384" s="2534" t="s">
        <v>5365</v>
      </c>
      <c r="E384" s="2535">
        <f>((1+2*10^(0.5*((p_Hlow_AOB)-(p_Hhigh_AOB))))/(1+10^((p_H)-(p_Hhigh_AOB))+10^((p_Hlow_AOB)-(p_H))))</f>
        <v>0.98233028995495941</v>
      </c>
      <c r="F384" s="2536" t="s">
        <v>282</v>
      </c>
      <c r="G384" s="2536">
        <v>2</v>
      </c>
      <c r="H384" s="2543" t="s">
        <v>11</v>
      </c>
      <c r="I384" s="2537"/>
    </row>
    <row r="385" spans="2:9" ht="18" outlineLevel="1" x14ac:dyDescent="0.25">
      <c r="B385" s="2531" t="s">
        <v>5363</v>
      </c>
      <c r="C385" s="2534" t="s">
        <v>5364</v>
      </c>
      <c r="D385" s="2534" t="s">
        <v>5491</v>
      </c>
      <c r="E385" s="2535">
        <f>1</f>
        <v>1</v>
      </c>
      <c r="F385" s="2536" t="s">
        <v>282</v>
      </c>
      <c r="G385" s="2536">
        <v>0</v>
      </c>
      <c r="H385" s="2543" t="s">
        <v>1150</v>
      </c>
      <c r="I385" s="2537"/>
    </row>
    <row r="386" spans="2:9" ht="18" outlineLevel="1" x14ac:dyDescent="0.25">
      <c r="B386" s="2531" t="s">
        <v>5366</v>
      </c>
      <c r="C386" s="2538" t="s">
        <v>5367</v>
      </c>
      <c r="D386" s="2534" t="s">
        <v>5368</v>
      </c>
      <c r="E386" s="2535">
        <f>((1+2*10^(0.5*((p_Hlow_NOB)-(p_Hhigh_NOB))))/(1+10^((p_H)-(p_Hhigh_NOB))+10^((p_Hlow_NOB)-(p_H))))</f>
        <v>0.98233028995495941</v>
      </c>
      <c r="F386" s="2536" t="s">
        <v>282</v>
      </c>
      <c r="G386" s="2536">
        <v>2</v>
      </c>
      <c r="H386" s="2543" t="s">
        <v>11</v>
      </c>
      <c r="I386" s="2537"/>
    </row>
    <row r="387" spans="2:9" ht="18" outlineLevel="1" x14ac:dyDescent="0.25">
      <c r="B387" s="2531" t="s">
        <v>5366</v>
      </c>
      <c r="C387" s="2534" t="s">
        <v>5367</v>
      </c>
      <c r="D387" s="2534" t="s">
        <v>5492</v>
      </c>
      <c r="E387" s="2535">
        <f>1</f>
        <v>1</v>
      </c>
      <c r="F387" s="2536" t="s">
        <v>282</v>
      </c>
      <c r="G387" s="2536">
        <v>0</v>
      </c>
      <c r="H387" s="2543" t="s">
        <v>1150</v>
      </c>
      <c r="I387" s="2537"/>
    </row>
    <row r="388" spans="2:9" ht="18" outlineLevel="1" x14ac:dyDescent="0.25">
      <c r="B388" s="588" t="s">
        <v>1976</v>
      </c>
      <c r="C388" s="2017" t="s">
        <v>2714</v>
      </c>
      <c r="D388" s="2017" t="s">
        <v>1978</v>
      </c>
      <c r="E388" s="765">
        <f>((1+2*10^(0.5*((p_Hlow_AMETO)-(p_Hhigh_AMETO))))/(1+10^((p_H)-(p_Hhigh_AMETO))+10^((p_Hlow_AMETO)-(p_H))))</f>
        <v>0.99932217031298287</v>
      </c>
      <c r="F388" s="440" t="s">
        <v>282</v>
      </c>
      <c r="G388" s="440">
        <v>2</v>
      </c>
      <c r="H388" s="505" t="s">
        <v>11</v>
      </c>
      <c r="I388" s="587"/>
    </row>
    <row r="389" spans="2:9" ht="18" outlineLevel="1" x14ac:dyDescent="0.25">
      <c r="B389" s="588" t="s">
        <v>1976</v>
      </c>
      <c r="C389" s="2017" t="s">
        <v>2714</v>
      </c>
      <c r="D389" s="2017" t="s">
        <v>5493</v>
      </c>
      <c r="E389" s="765">
        <f>1</f>
        <v>1</v>
      </c>
      <c r="F389" s="440" t="s">
        <v>282</v>
      </c>
      <c r="G389" s="440">
        <v>0</v>
      </c>
      <c r="H389" s="505" t="s">
        <v>1150</v>
      </c>
      <c r="I389" s="587"/>
    </row>
    <row r="390" spans="2:9" ht="18" outlineLevel="1" x14ac:dyDescent="0.25">
      <c r="B390" s="588" t="s">
        <v>1977</v>
      </c>
      <c r="C390" s="2017" t="s">
        <v>2715</v>
      </c>
      <c r="D390" s="2017" t="s">
        <v>1979</v>
      </c>
      <c r="E390" s="765">
        <f>((1+2*10^(0.5*((p_Hlow_HMETO)-(p_Hhigh_HMETO))))/(1+10^((p_H)-(p_Hhigh_HMETO))+10^((p_Hlow_HMETO)-(p_H))))</f>
        <v>0.99932217031298287</v>
      </c>
      <c r="F390" s="440" t="s">
        <v>282</v>
      </c>
      <c r="G390" s="440">
        <v>2</v>
      </c>
      <c r="H390" s="505" t="s">
        <v>11</v>
      </c>
      <c r="I390" s="587"/>
    </row>
    <row r="391" spans="2:9" ht="18" outlineLevel="1" x14ac:dyDescent="0.25">
      <c r="B391" s="588" t="s">
        <v>1977</v>
      </c>
      <c r="C391" s="2017" t="s">
        <v>2715</v>
      </c>
      <c r="D391" s="2017" t="s">
        <v>5494</v>
      </c>
      <c r="E391" s="765">
        <f>1</f>
        <v>1</v>
      </c>
      <c r="F391" s="440" t="s">
        <v>282</v>
      </c>
      <c r="G391" s="440">
        <v>0</v>
      </c>
      <c r="H391" s="505" t="s">
        <v>1150</v>
      </c>
      <c r="I391" s="587"/>
    </row>
    <row r="392" spans="2:9" ht="18" outlineLevel="1" x14ac:dyDescent="0.25">
      <c r="B392" s="2854" t="s">
        <v>5557</v>
      </c>
      <c r="C392" s="2538" t="s">
        <v>5558</v>
      </c>
      <c r="D392" s="2855" t="s">
        <v>5559</v>
      </c>
      <c r="E392" s="2856">
        <f>((1+2*10^(0.5*((p_Hlow_FLOC_HFO)-(p_Hhigh_FLOC_HFO))))/(1+10^((p_H)-(p_Hhigh_FLOC_HFO))+10^((p_Hlow_FLOC_HFO)-(p_H))))</f>
        <v>0.99788828703368959</v>
      </c>
      <c r="F392" s="2857" t="s">
        <v>282</v>
      </c>
      <c r="G392" s="2857">
        <v>2</v>
      </c>
      <c r="H392" s="2766" t="s">
        <v>11</v>
      </c>
      <c r="I392" s="2858"/>
    </row>
    <row r="393" spans="2:9" ht="18" outlineLevel="1" x14ac:dyDescent="0.25">
      <c r="B393" s="2854" t="s">
        <v>5557</v>
      </c>
      <c r="C393" s="2855" t="s">
        <v>5558</v>
      </c>
      <c r="D393" s="2855" t="s">
        <v>5560</v>
      </c>
      <c r="E393" s="2856">
        <f>1</f>
        <v>1</v>
      </c>
      <c r="F393" s="2857" t="s">
        <v>282</v>
      </c>
      <c r="G393" s="2857">
        <v>0</v>
      </c>
      <c r="H393" s="2766" t="s">
        <v>1150</v>
      </c>
      <c r="I393" s="2858"/>
    </row>
    <row r="394" spans="2:9" ht="18" outlineLevel="1" x14ac:dyDescent="0.25">
      <c r="B394" s="2854" t="s">
        <v>5561</v>
      </c>
      <c r="C394" s="2538" t="s">
        <v>5562</v>
      </c>
      <c r="D394" s="2855" t="s">
        <v>5563</v>
      </c>
      <c r="E394" s="2856">
        <f>((1+2*10^(0.5*((p_Hlow_FLOC_HAO)-(p_Hhigh_FLOC_HAO))))/(1+10^((p_H)-(p_Hhigh_FLOC_HAO))+10^((p_Hlow_FLOC_HAO)-(p_H))))</f>
        <v>0.99788828703368959</v>
      </c>
      <c r="F394" s="2857" t="s">
        <v>282</v>
      </c>
      <c r="G394" s="2857">
        <v>2</v>
      </c>
      <c r="H394" s="2766" t="s">
        <v>11</v>
      </c>
      <c r="I394" s="2858"/>
    </row>
    <row r="395" spans="2:9" ht="18" outlineLevel="1" x14ac:dyDescent="0.25">
      <c r="B395" s="2854" t="s">
        <v>5561</v>
      </c>
      <c r="C395" s="2855" t="s">
        <v>5562</v>
      </c>
      <c r="D395" s="2855" t="s">
        <v>5564</v>
      </c>
      <c r="E395" s="2856">
        <f>1</f>
        <v>1</v>
      </c>
      <c r="F395" s="2857" t="s">
        <v>282</v>
      </c>
      <c r="G395" s="2857">
        <v>0</v>
      </c>
      <c r="H395" s="2766" t="s">
        <v>1150</v>
      </c>
      <c r="I395" s="2858"/>
    </row>
    <row r="396" spans="2:9" ht="18" outlineLevel="1" x14ac:dyDescent="0.25">
      <c r="B396" s="1244" t="s">
        <v>2322</v>
      </c>
      <c r="C396" s="2020" t="s">
        <v>2716</v>
      </c>
      <c r="D396" s="2020" t="s">
        <v>2724</v>
      </c>
      <c r="E396" s="704">
        <f>((K_iHNO2_AOB_pH)/((K_iHNO2_AOB_pH)+(conc_HNO2_I)))</f>
        <v>0.99999999999991396</v>
      </c>
      <c r="F396" s="704" t="s">
        <v>282</v>
      </c>
      <c r="G396" s="704">
        <v>2</v>
      </c>
      <c r="H396" s="2582"/>
      <c r="I396" s="1961"/>
    </row>
    <row r="397" spans="2:9" ht="18.75" outlineLevel="1" x14ac:dyDescent="0.25">
      <c r="B397" s="1244" t="s">
        <v>2323</v>
      </c>
      <c r="C397" s="2020" t="s">
        <v>2717</v>
      </c>
      <c r="D397" s="1856" t="s">
        <v>5023</v>
      </c>
      <c r="E397" s="1875">
        <f>((conc_HCO3m_I)/((conc_HCO3m_I)+(K_CO2_AOB_pH)*EXP(((K_CO2_AOB_pH)-(conc_HCO3m_I))*(L_ogslopeCO2_AOB_pH))))</f>
        <v>0.99999999997903732</v>
      </c>
      <c r="F397" s="817" t="s">
        <v>282</v>
      </c>
      <c r="G397" s="817">
        <v>2</v>
      </c>
      <c r="H397" s="2582"/>
      <c r="I397" s="1961"/>
    </row>
    <row r="398" spans="2:9" ht="18" outlineLevel="1" x14ac:dyDescent="0.25">
      <c r="B398" s="1257" t="s">
        <v>2324</v>
      </c>
      <c r="C398" s="2021" t="s">
        <v>2718</v>
      </c>
      <c r="D398" s="2101" t="s">
        <v>2723</v>
      </c>
      <c r="E398" s="818">
        <f>((K_iNH3_NOB_pH)/((K_iNH3_NOB_pH)+(conc_NH3_I)))</f>
        <v>0.99999999995542743</v>
      </c>
      <c r="F398" s="819" t="s">
        <v>282</v>
      </c>
      <c r="G398" s="819">
        <v>2</v>
      </c>
      <c r="H398" s="2647"/>
      <c r="I398" s="1918"/>
    </row>
    <row r="399" spans="2:9" ht="18.75" outlineLevel="1" x14ac:dyDescent="0.25">
      <c r="B399" s="1257" t="s">
        <v>2325</v>
      </c>
      <c r="C399" s="2021" t="s">
        <v>2719</v>
      </c>
      <c r="D399" s="2102" t="s">
        <v>5024</v>
      </c>
      <c r="E399" s="1876">
        <f>((conc_HCO3m_I)/((conc_HCO3m_I)+(K_CO2_NOB_pH)*EXP(((K_CO2_NOB_pH)-(conc_HCO3m_I))*(L_ogslopeCO2_NOB_pH))))</f>
        <v>1</v>
      </c>
      <c r="F399" s="819" t="s">
        <v>282</v>
      </c>
      <c r="G399" s="819">
        <v>2</v>
      </c>
      <c r="H399" s="2647"/>
      <c r="I399" s="1962"/>
    </row>
    <row r="400" spans="2:9" ht="18.75" outlineLevel="1" x14ac:dyDescent="0.25">
      <c r="B400" s="622" t="s">
        <v>2326</v>
      </c>
      <c r="C400" s="2022" t="s">
        <v>2720</v>
      </c>
      <c r="D400" s="2103" t="s">
        <v>5025</v>
      </c>
      <c r="E400" s="1877">
        <f>((conc_HCO3m_I)/((conc_HCO3m_I)+(K_CO2_AMX_pH)*EXP(((K_CO2_AMX_pH)-(conc_HCO3m_I))*(L_ogslopeCO2_AMX_pH))))</f>
        <v>1</v>
      </c>
      <c r="F400" s="592" t="s">
        <v>282</v>
      </c>
      <c r="G400" s="592">
        <v>2</v>
      </c>
      <c r="H400" s="2583"/>
      <c r="I400" s="782"/>
    </row>
    <row r="401" spans="2:9" ht="18" outlineLevel="1" x14ac:dyDescent="0.25">
      <c r="B401" s="622" t="s">
        <v>2327</v>
      </c>
      <c r="C401" s="2022" t="s">
        <v>2721</v>
      </c>
      <c r="D401" s="2104" t="s">
        <v>2722</v>
      </c>
      <c r="E401" s="573">
        <f>((K_iHNO2_AMX_pH)/((K_iHNO2_AMX_pH)+(conc_HNO2_I)))</f>
        <v>0.99999999913998838</v>
      </c>
      <c r="F401" s="573" t="s">
        <v>282</v>
      </c>
      <c r="G401" s="573">
        <v>2</v>
      </c>
      <c r="H401" s="2583"/>
      <c r="I401" s="782"/>
    </row>
    <row r="402" spans="2:9" s="1925" customFormat="1" ht="18.75" outlineLevel="1" thickBot="1" x14ac:dyDescent="0.3">
      <c r="B402" s="259" t="s">
        <v>5067</v>
      </c>
      <c r="C402" s="2859" t="s">
        <v>5068</v>
      </c>
      <c r="D402" s="2859" t="s">
        <v>5069</v>
      </c>
      <c r="E402" s="2860">
        <f>(1-(conc_NH3_I)/((conc_NH3_I)+(K_iNH3_AMETO_pH)*EXP(((K_iNH3_AMETO_pH)-(conc_NH3_I))*(L_ogslopeNH3_AMETO_pH))))</f>
        <v>1</v>
      </c>
      <c r="F402" s="2861" t="s">
        <v>282</v>
      </c>
      <c r="G402" s="2862">
        <v>2</v>
      </c>
      <c r="H402" s="2863"/>
      <c r="I402" s="207"/>
    </row>
    <row r="403" spans="2:9" ht="15.75" thickBot="1" x14ac:dyDescent="0.3">
      <c r="B403" s="151"/>
      <c r="C403" s="151"/>
      <c r="D403" s="151"/>
      <c r="E403" s="719"/>
      <c r="F403" s="151"/>
      <c r="G403" s="151"/>
      <c r="H403" s="44"/>
      <c r="I403" s="151"/>
    </row>
    <row r="404" spans="2:9" ht="15.75" thickBot="1" x14ac:dyDescent="0.3">
      <c r="C404" s="901" t="s">
        <v>891</v>
      </c>
      <c r="D404" s="13" t="s">
        <v>299</v>
      </c>
      <c r="E404" s="13"/>
    </row>
    <row r="405" spans="2:9" ht="15.75" thickBot="1" x14ac:dyDescent="0.3">
      <c r="B405" s="441" t="s">
        <v>0</v>
      </c>
      <c r="C405" s="2130" t="s">
        <v>1</v>
      </c>
      <c r="D405" s="561" t="s">
        <v>5</v>
      </c>
      <c r="E405" s="561" t="s">
        <v>152</v>
      </c>
      <c r="F405" s="561" t="s">
        <v>2</v>
      </c>
      <c r="G405" s="561" t="s">
        <v>298</v>
      </c>
      <c r="H405" s="2551" t="s">
        <v>116</v>
      </c>
      <c r="I405" s="443" t="s">
        <v>117</v>
      </c>
    </row>
    <row r="406" spans="2:9" ht="18" outlineLevel="1" x14ac:dyDescent="0.25">
      <c r="B406" s="564" t="s">
        <v>1793</v>
      </c>
      <c r="C406" s="1148" t="s">
        <v>2727</v>
      </c>
      <c r="D406" s="1148" t="s">
        <v>1794</v>
      </c>
      <c r="E406" s="439">
        <f>(MAX((S_AN)-S_umo__MSatMin,0)/((K_AN)+(S_AN)))</f>
        <v>0.99933377748167895</v>
      </c>
      <c r="F406" s="439" t="s">
        <v>282</v>
      </c>
      <c r="G406" s="439">
        <v>2</v>
      </c>
      <c r="H406" s="1586"/>
      <c r="I406" s="565"/>
    </row>
    <row r="407" spans="2:9" ht="18" outlineLevel="1" x14ac:dyDescent="0.25">
      <c r="B407" s="147" t="s">
        <v>1791</v>
      </c>
      <c r="C407" s="2017" t="s">
        <v>2728</v>
      </c>
      <c r="D407" s="2082" t="s">
        <v>1792</v>
      </c>
      <c r="E407" s="260">
        <f>(MAX((S_CAT)-S_umo__MSatMin,0)/((K_CAT)+(S_CAT)))</f>
        <v>0.99715099715099709</v>
      </c>
      <c r="F407" s="260" t="s">
        <v>282</v>
      </c>
      <c r="G407" s="260">
        <v>2</v>
      </c>
      <c r="H407" s="73"/>
      <c r="I407" s="367"/>
    </row>
    <row r="408" spans="2:9" ht="18" outlineLevel="1" x14ac:dyDescent="0.25">
      <c r="B408" s="996" t="s">
        <v>4166</v>
      </c>
      <c r="C408" s="2024" t="s">
        <v>4167</v>
      </c>
      <c r="D408" s="2024" t="s">
        <v>4168</v>
      </c>
      <c r="E408" s="1049">
        <f>(MAX((S_Ca)-S_umo__MSatMin,0)/((K_Ca_BIO)+(S_Ca)))</f>
        <v>0.99999933333377777</v>
      </c>
      <c r="F408" s="1049" t="s">
        <v>282</v>
      </c>
      <c r="G408" s="1049">
        <v>2</v>
      </c>
      <c r="H408" s="2548"/>
      <c r="I408" s="1050"/>
    </row>
    <row r="409" spans="2:9" ht="18" outlineLevel="1" x14ac:dyDescent="0.25">
      <c r="B409" s="996" t="s">
        <v>4169</v>
      </c>
      <c r="C409" s="2024" t="s">
        <v>4170</v>
      </c>
      <c r="D409" s="2024" t="s">
        <v>4171</v>
      </c>
      <c r="E409" s="1049">
        <f>(MAX((S_Mg)-S_umo__MSatMin,0)/((K_Mg_BIO)+(S_Mg)))</f>
        <v>0.99999333337777752</v>
      </c>
      <c r="F409" s="1049" t="s">
        <v>282</v>
      </c>
      <c r="G409" s="1049">
        <v>2</v>
      </c>
      <c r="H409" s="2548"/>
      <c r="I409" s="1050"/>
    </row>
    <row r="410" spans="2:9" ht="18" outlineLevel="1" x14ac:dyDescent="0.25">
      <c r="B410" s="147" t="s">
        <v>1807</v>
      </c>
      <c r="C410" s="2017" t="s">
        <v>2729</v>
      </c>
      <c r="D410" s="2082" t="s">
        <v>1808</v>
      </c>
      <c r="E410" s="260">
        <f>(MAX((S_CO2)-S_umo__MSatMin,0)/((K_CO2_BIO)+(S_CO2)))</f>
        <v>0.98404255319148937</v>
      </c>
      <c r="F410" s="260" t="s">
        <v>282</v>
      </c>
      <c r="G410" s="260">
        <v>2</v>
      </c>
      <c r="H410" s="73"/>
      <c r="I410" s="367"/>
    </row>
    <row r="411" spans="2:9" ht="18" outlineLevel="1" x14ac:dyDescent="0.25">
      <c r="B411" s="147" t="s">
        <v>1787</v>
      </c>
      <c r="C411" s="2017" t="s">
        <v>2730</v>
      </c>
      <c r="D411" s="2082" t="s">
        <v>1788</v>
      </c>
      <c r="E411" s="260">
        <f>(MAX((S_NHx)-S_umo__MSatMin,0)/((K_NHx_BIO)+(S_NHx)))</f>
        <v>0.99502487562189068</v>
      </c>
      <c r="F411" s="260" t="s">
        <v>282</v>
      </c>
      <c r="G411" s="260">
        <v>2</v>
      </c>
      <c r="H411" s="73"/>
      <c r="I411" s="367"/>
    </row>
    <row r="412" spans="2:9" ht="18" outlineLevel="1" x14ac:dyDescent="0.25">
      <c r="B412" s="147" t="s">
        <v>1789</v>
      </c>
      <c r="C412" s="2017" t="s">
        <v>2731</v>
      </c>
      <c r="D412" s="2082" t="s">
        <v>1790</v>
      </c>
      <c r="E412" s="260">
        <f>(MAX((S_PO4)-S_umo__MSatMin,0)/((K_PO4_BIO)+(S_PO4)))</f>
        <v>0.99601593625498008</v>
      </c>
      <c r="F412" s="260" t="s">
        <v>282</v>
      </c>
      <c r="G412" s="260">
        <v>2</v>
      </c>
      <c r="H412" s="73"/>
      <c r="I412" s="367"/>
    </row>
    <row r="413" spans="2:9" ht="18" outlineLevel="1" x14ac:dyDescent="0.25">
      <c r="B413" s="588" t="s">
        <v>3416</v>
      </c>
      <c r="C413" s="2017" t="s">
        <v>3417</v>
      </c>
      <c r="D413" s="2017" t="s">
        <v>3418</v>
      </c>
      <c r="E413" s="765">
        <f>(MAX((S_SO4)-S_umo__MSatMin,0)/((K_SO4_BIO)+(S_SO4)))</f>
        <v>0.9998823667803789</v>
      </c>
      <c r="F413" s="440" t="s">
        <v>282</v>
      </c>
      <c r="G413" s="440">
        <v>2</v>
      </c>
      <c r="H413" s="505"/>
      <c r="I413" s="587"/>
    </row>
    <row r="414" spans="2:9" ht="18" outlineLevel="1" x14ac:dyDescent="0.25">
      <c r="B414" s="183" t="s">
        <v>2328</v>
      </c>
      <c r="C414" s="1996" t="s">
        <v>2873</v>
      </c>
      <c r="D414" s="2083" t="s">
        <v>2329</v>
      </c>
      <c r="E414" s="372">
        <f>((K_NO2_OHO)/((K_NO2_OHO)+(S_NO2)))</f>
        <v>0.33333333333333331</v>
      </c>
      <c r="F414" s="321" t="s">
        <v>282</v>
      </c>
      <c r="G414" s="321">
        <v>2</v>
      </c>
      <c r="H414" s="2588"/>
      <c r="I414" s="383"/>
    </row>
    <row r="415" spans="2:9" ht="18" outlineLevel="1" x14ac:dyDescent="0.25">
      <c r="B415" s="183" t="s">
        <v>2330</v>
      </c>
      <c r="C415" s="1996" t="s">
        <v>2874</v>
      </c>
      <c r="D415" s="2083" t="s">
        <v>2331</v>
      </c>
      <c r="E415" s="372">
        <f>((K_NO3_OHO)/((K_NO3_OHO)+(S_NO3)))</f>
        <v>0.2</v>
      </c>
      <c r="F415" s="321" t="s">
        <v>282</v>
      </c>
      <c r="G415" s="321">
        <v>2</v>
      </c>
      <c r="H415" s="2588"/>
      <c r="I415" s="383"/>
    </row>
    <row r="416" spans="2:9" ht="18" outlineLevel="1" x14ac:dyDescent="0.25">
      <c r="B416" s="562" t="s">
        <v>1814</v>
      </c>
      <c r="C416" s="1996" t="s">
        <v>2732</v>
      </c>
      <c r="D416" s="1996" t="s">
        <v>1938</v>
      </c>
      <c r="E416" s="559">
        <f>((K_O2_OHO)/((K_O2_OHO)+(S_O2)))</f>
        <v>6.9767441860465115E-2</v>
      </c>
      <c r="F416" s="559" t="s">
        <v>282</v>
      </c>
      <c r="G416" s="559">
        <v>2</v>
      </c>
      <c r="H416" s="2648"/>
      <c r="I416" s="563"/>
    </row>
    <row r="417" spans="1:9" ht="18" outlineLevel="1" x14ac:dyDescent="0.25">
      <c r="B417" s="566" t="s">
        <v>1812</v>
      </c>
      <c r="C417" s="2025" t="s">
        <v>2733</v>
      </c>
      <c r="D417" s="1997" t="s">
        <v>1813</v>
      </c>
      <c r="E417" s="560">
        <f>((K_VFA)/((K_VFA)+(S_VFA)))</f>
        <v>0.98039215686274506</v>
      </c>
      <c r="F417" s="560" t="s">
        <v>282</v>
      </c>
      <c r="G417" s="560">
        <v>2</v>
      </c>
      <c r="H417" s="2649"/>
      <c r="I417" s="567"/>
    </row>
    <row r="418" spans="1:9" ht="18" outlineLevel="1" x14ac:dyDescent="0.25">
      <c r="B418" s="183" t="s">
        <v>1795</v>
      </c>
      <c r="C418" s="1996" t="s">
        <v>2734</v>
      </c>
      <c r="D418" s="2083" t="s">
        <v>1796</v>
      </c>
      <c r="E418" s="321">
        <f>(MAX((S_B)-S_umo__MSatMin,0)/((K_SB)+(S_B)))</f>
        <v>0.16666666666666666</v>
      </c>
      <c r="F418" s="321" t="s">
        <v>282</v>
      </c>
      <c r="G418" s="321">
        <v>2</v>
      </c>
      <c r="H418" s="2588"/>
      <c r="I418" s="383"/>
    </row>
    <row r="419" spans="1:9" ht="18" outlineLevel="1" x14ac:dyDescent="0.25">
      <c r="B419" s="183" t="s">
        <v>1854</v>
      </c>
      <c r="C419" s="1996" t="s">
        <v>2735</v>
      </c>
      <c r="D419" s="2083" t="s">
        <v>1853</v>
      </c>
      <c r="E419" s="321">
        <f>(MAX((S_B)-S_umo__MSatMin,0)/((K_SB_ana)+(S_B)))</f>
        <v>0.16666666666666666</v>
      </c>
      <c r="F419" s="321" t="s">
        <v>282</v>
      </c>
      <c r="G419" s="321">
        <v>2</v>
      </c>
      <c r="H419" s="2588"/>
      <c r="I419" s="383"/>
    </row>
    <row r="420" spans="1:9" ht="18" outlineLevel="1" x14ac:dyDescent="0.25">
      <c r="B420" s="183" t="s">
        <v>1783</v>
      </c>
      <c r="C420" s="1996" t="s">
        <v>2736</v>
      </c>
      <c r="D420" s="2083" t="s">
        <v>1784</v>
      </c>
      <c r="E420" s="321">
        <f>(MAX((S_MEOL)-S_umo__MSatMin,0)/((K_MEOL_OHO)+(S_MEOL)))</f>
        <v>0</v>
      </c>
      <c r="F420" s="321" t="s">
        <v>282</v>
      </c>
      <c r="G420" s="321">
        <v>2</v>
      </c>
      <c r="H420" s="2588"/>
      <c r="I420" s="383"/>
    </row>
    <row r="421" spans="1:9" s="4" customFormat="1" ht="18" outlineLevel="1" x14ac:dyDescent="0.25">
      <c r="B421" s="1263" t="s">
        <v>2422</v>
      </c>
      <c r="C421" s="1996" t="s">
        <v>2743</v>
      </c>
      <c r="D421" s="2084" t="s">
        <v>2423</v>
      </c>
      <c r="E421" s="430">
        <f>(MAX((S_NO2)-S_umo__MSatMin,0)/((K_NO2_OHO)+(S_NO2)))</f>
        <v>0.66666666666666663</v>
      </c>
      <c r="F421" s="430" t="s">
        <v>282</v>
      </c>
      <c r="G421" s="430">
        <v>2</v>
      </c>
      <c r="H421" s="2650"/>
      <c r="I421" s="1963"/>
    </row>
    <row r="422" spans="1:9" ht="18" outlineLevel="1" x14ac:dyDescent="0.25">
      <c r="B422" s="1263" t="s">
        <v>2424</v>
      </c>
      <c r="C422" s="1996" t="s">
        <v>2742</v>
      </c>
      <c r="D422" s="2084" t="s">
        <v>2425</v>
      </c>
      <c r="E422" s="430">
        <f>(MAX((S_NO3)-S_umo__MSatMin,0)/((K_NO3_OHO)+(S_NO3)))</f>
        <v>0.8</v>
      </c>
      <c r="F422" s="430" t="s">
        <v>282</v>
      </c>
      <c r="G422" s="430">
        <v>2</v>
      </c>
      <c r="H422" s="2650"/>
      <c r="I422" s="1963"/>
    </row>
    <row r="423" spans="1:9" ht="18" outlineLevel="1" x14ac:dyDescent="0.25">
      <c r="B423" s="183" t="s">
        <v>1781</v>
      </c>
      <c r="C423" s="1996" t="s">
        <v>2737</v>
      </c>
      <c r="D423" s="2083" t="s">
        <v>1782</v>
      </c>
      <c r="E423" s="321">
        <f>(MAX((S_O2)-S_umo__MSatMin,0)/((K_O2_OHO)+(S_O2)))</f>
        <v>0.93023255813953487</v>
      </c>
      <c r="F423" s="321" t="s">
        <v>282</v>
      </c>
      <c r="G423" s="321">
        <v>2</v>
      </c>
      <c r="H423" s="2588"/>
      <c r="I423" s="383"/>
    </row>
    <row r="424" spans="1:9" ht="18" outlineLevel="1" x14ac:dyDescent="0.25">
      <c r="B424" s="183" t="s">
        <v>892</v>
      </c>
      <c r="C424" s="1996" t="s">
        <v>2738</v>
      </c>
      <c r="D424" s="2083" t="s">
        <v>893</v>
      </c>
      <c r="E424" s="321">
        <f>(MAX((S_VFA)-S_umo__MSatMin,0)/((K_VFA)+(S_VFA)))</f>
        <v>1.9607843137254902E-2</v>
      </c>
      <c r="F424" s="321" t="s">
        <v>282</v>
      </c>
      <c r="G424" s="321">
        <v>2</v>
      </c>
      <c r="H424" s="2588"/>
      <c r="I424" s="383"/>
    </row>
    <row r="425" spans="1:9" ht="18" outlineLevel="1" x14ac:dyDescent="0.25">
      <c r="B425" s="183" t="s">
        <v>2167</v>
      </c>
      <c r="C425" s="1996" t="s">
        <v>2166</v>
      </c>
      <c r="D425" s="1859" t="s">
        <v>5026</v>
      </c>
      <c r="E425" s="1135">
        <f>((S_VFA)/((S_VFA)+(K_VFA_FERM)*EXP(((K_VFA_FERM)-(S_VFA))*(L_ogslopeVFA_FERM))))</f>
        <v>4.4767737282903354E-217</v>
      </c>
      <c r="F425" s="321" t="s">
        <v>282</v>
      </c>
      <c r="G425" s="321">
        <v>2</v>
      </c>
      <c r="H425" s="2588"/>
      <c r="I425" s="383"/>
    </row>
    <row r="426" spans="1:9" ht="18" outlineLevel="1" x14ac:dyDescent="0.25">
      <c r="B426" s="183" t="s">
        <v>2168</v>
      </c>
      <c r="C426" s="1996" t="s">
        <v>5201</v>
      </c>
      <c r="D426" s="1859" t="s">
        <v>5027</v>
      </c>
      <c r="E426" s="1135">
        <f>(1-(S_VFA)/((S_VFA)+(K_VFA_FERM)*EXP(((K_VFA_FERM)-(S_VFA))*(L_ogslopeVFA_FERM))))</f>
        <v>1</v>
      </c>
      <c r="F426" s="321" t="s">
        <v>282</v>
      </c>
      <c r="G426" s="321">
        <v>2</v>
      </c>
      <c r="H426" s="2588"/>
      <c r="I426" s="383"/>
    </row>
    <row r="427" spans="1:9" ht="18" customHeight="1" outlineLevel="1" x14ac:dyDescent="0.25">
      <c r="B427" s="2917" t="s">
        <v>5715</v>
      </c>
      <c r="C427" s="2958" t="s">
        <v>5751</v>
      </c>
      <c r="D427" s="2959" t="s">
        <v>5752</v>
      </c>
      <c r="E427" s="2938">
        <f>(1-(S_NO3)/((S_NO3)+(K_NO3_OHO)*EXP(((K_NO3_OHO)-(S_NO3))*(L_ogslopeSNO3))))</f>
        <v>0</v>
      </c>
      <c r="F427" s="2938" t="s">
        <v>282</v>
      </c>
      <c r="G427" s="2938">
        <v>2</v>
      </c>
      <c r="H427" s="2939"/>
      <c r="I427" s="2940"/>
    </row>
    <row r="428" spans="1:9" ht="18" customHeight="1" outlineLevel="1" x14ac:dyDescent="0.25">
      <c r="B428" s="2917" t="s">
        <v>5716</v>
      </c>
      <c r="C428" s="2959" t="s">
        <v>5717</v>
      </c>
      <c r="D428" s="2959" t="s">
        <v>5753</v>
      </c>
      <c r="E428" s="2938">
        <f>((S_NO3)/((S_NO3)+(K_NO3_OHO)*EXP(((K_NO3_OHO)-(S_NO3))*(L_ogslopeKSNO3))))</f>
        <v>0.99998200839176266</v>
      </c>
      <c r="F428" s="2938" t="s">
        <v>282</v>
      </c>
      <c r="G428" s="2938">
        <v>2</v>
      </c>
      <c r="H428" s="2939"/>
      <c r="I428" s="2940"/>
    </row>
    <row r="429" spans="1:9" ht="18" customHeight="1" outlineLevel="1" x14ac:dyDescent="0.25">
      <c r="B429" s="2917" t="s">
        <v>5718</v>
      </c>
      <c r="C429" s="2959" t="s">
        <v>5719</v>
      </c>
      <c r="D429" s="2959" t="s">
        <v>5754</v>
      </c>
      <c r="E429" s="2938">
        <f>((S_VFA)/((S_VFA)+(K_VFA_OHO_SNO2)*EXP(((K_VFA_OHO_SNO2)-(S_VFA))*(L_ogslopeKVFA_SNO2))))</f>
        <v>1.0242188679984519E-89</v>
      </c>
      <c r="F429" s="2938" t="s">
        <v>282</v>
      </c>
      <c r="G429" s="2938">
        <v>2</v>
      </c>
      <c r="H429" s="2939"/>
      <c r="I429" s="2940"/>
    </row>
    <row r="430" spans="1:9" ht="18" customHeight="1" outlineLevel="1" x14ac:dyDescent="0.25">
      <c r="B430" s="2917" t="s">
        <v>5720</v>
      </c>
      <c r="C430" s="2959" t="s">
        <v>5721</v>
      </c>
      <c r="D430" s="2959" t="s">
        <v>5755</v>
      </c>
      <c r="E430" s="2938">
        <f>(1-(S_VFA)/((S_VFA)+(K_VFA_OHO_SNO2)*EXP(((K_VFA_OHO_SNO2)-(S_VFA))*(L_ogslopeKVFA_SNO2))))</f>
        <v>1</v>
      </c>
      <c r="F430" s="2938" t="s">
        <v>282</v>
      </c>
      <c r="G430" s="2938">
        <v>2</v>
      </c>
      <c r="H430" s="2939"/>
      <c r="I430" s="2940"/>
    </row>
    <row r="431" spans="1:9" ht="18" outlineLevel="1" x14ac:dyDescent="0.25">
      <c r="B431" s="312" t="s">
        <v>4075</v>
      </c>
      <c r="C431" s="2026" t="s">
        <v>2739</v>
      </c>
      <c r="D431" s="2085" t="s">
        <v>4076</v>
      </c>
      <c r="E431" s="322">
        <f>((K_iO2_MEOLO)/((K_iO2_MEOLO)+(S_O2)))</f>
        <v>2.4390243902439029E-2</v>
      </c>
      <c r="F431" s="322" t="s">
        <v>282</v>
      </c>
      <c r="G431" s="322">
        <v>2</v>
      </c>
      <c r="H431" s="2584"/>
      <c r="I431" s="384"/>
    </row>
    <row r="432" spans="1:9" s="4" customFormat="1" ht="18" outlineLevel="1" x14ac:dyDescent="0.25">
      <c r="A432" s="115"/>
      <c r="B432" s="312" t="s">
        <v>2332</v>
      </c>
      <c r="C432" s="2026" t="s">
        <v>2744</v>
      </c>
      <c r="D432" s="2085" t="s">
        <v>2333</v>
      </c>
      <c r="E432" s="766">
        <f>((K_NO2_MEOLO)/((K_NO2_MEOLO)+(S_NO2)))</f>
        <v>0.16666666666666666</v>
      </c>
      <c r="F432" s="322" t="s">
        <v>282</v>
      </c>
      <c r="G432" s="322">
        <v>2</v>
      </c>
      <c r="H432" s="2584"/>
      <c r="I432" s="384"/>
    </row>
    <row r="433" spans="1:9" s="4" customFormat="1" ht="18" outlineLevel="1" x14ac:dyDescent="0.25">
      <c r="A433" s="115"/>
      <c r="B433" s="312" t="s">
        <v>2334</v>
      </c>
      <c r="C433" s="2026" t="s">
        <v>2745</v>
      </c>
      <c r="D433" s="2085" t="s">
        <v>2335</v>
      </c>
      <c r="E433" s="766">
        <f>((K_NO3_MEOLO)/((K_NO3_MEOLO)+(S_NO3)))</f>
        <v>9.9009900990099011E-3</v>
      </c>
      <c r="F433" s="322" t="s">
        <v>282</v>
      </c>
      <c r="G433" s="322">
        <v>2</v>
      </c>
      <c r="H433" s="2584"/>
      <c r="I433" s="384"/>
    </row>
    <row r="434" spans="1:9" s="4" customFormat="1" ht="18" outlineLevel="1" x14ac:dyDescent="0.25">
      <c r="A434" s="115"/>
      <c r="B434" s="312" t="s">
        <v>1785</v>
      </c>
      <c r="C434" s="2026" t="s">
        <v>2740</v>
      </c>
      <c r="D434" s="2085" t="s">
        <v>1786</v>
      </c>
      <c r="E434" s="766">
        <f>(MAX((S_MEOL)-S_umo__MSatMin,0)/((K_MEOL)+(S_MEOL)))</f>
        <v>0</v>
      </c>
      <c r="F434" s="322" t="s">
        <v>282</v>
      </c>
      <c r="G434" s="322">
        <v>2</v>
      </c>
      <c r="H434" s="2584"/>
      <c r="I434" s="384"/>
    </row>
    <row r="435" spans="1:9" s="4" customFormat="1" ht="18" outlineLevel="1" x14ac:dyDescent="0.25">
      <c r="A435" s="115"/>
      <c r="B435" s="1264" t="s">
        <v>2336</v>
      </c>
      <c r="C435" s="2026" t="s">
        <v>2746</v>
      </c>
      <c r="D435" s="2086" t="s">
        <v>2337</v>
      </c>
      <c r="E435" s="767">
        <f>(MAX((S_NO2)-S_umo__MSatMin,0)/((K_NO2_MEOLO)+(S_NO2)))</f>
        <v>0.83333333333333326</v>
      </c>
      <c r="F435" s="323" t="s">
        <v>282</v>
      </c>
      <c r="G435" s="323">
        <v>2</v>
      </c>
      <c r="H435" s="2651"/>
      <c r="I435" s="1964"/>
    </row>
    <row r="436" spans="1:9" s="4" customFormat="1" ht="18" outlineLevel="1" x14ac:dyDescent="0.25">
      <c r="A436" s="115"/>
      <c r="B436" s="1264" t="s">
        <v>2338</v>
      </c>
      <c r="C436" s="2026" t="s">
        <v>2747</v>
      </c>
      <c r="D436" s="2086" t="s">
        <v>2339</v>
      </c>
      <c r="E436" s="767">
        <f>(MAX((S_NO3)-S_umo__MSatMin,0)/((K_NO3_MEOLO)+(S_NO3)))</f>
        <v>0.99009900990099009</v>
      </c>
      <c r="F436" s="323" t="s">
        <v>282</v>
      </c>
      <c r="G436" s="323">
        <v>2</v>
      </c>
      <c r="H436" s="2651"/>
      <c r="I436" s="1964"/>
    </row>
    <row r="437" spans="1:9" ht="18" outlineLevel="1" x14ac:dyDescent="0.25">
      <c r="B437" s="312" t="s">
        <v>4077</v>
      </c>
      <c r="C437" s="2026" t="s">
        <v>2741</v>
      </c>
      <c r="D437" s="2085" t="s">
        <v>4078</v>
      </c>
      <c r="E437" s="322">
        <f>(MAX((S_O2)-S_umo__MSatMin,0)/((K_iO2_MEOLO)+(S_O2)))</f>
        <v>0.97560975609756106</v>
      </c>
      <c r="F437" s="322" t="s">
        <v>282</v>
      </c>
      <c r="G437" s="322">
        <v>2</v>
      </c>
      <c r="H437" s="2584"/>
      <c r="I437" s="384"/>
    </row>
    <row r="438" spans="1:9" ht="18" customHeight="1" outlineLevel="1" x14ac:dyDescent="0.25">
      <c r="B438" s="2924" t="s">
        <v>5722</v>
      </c>
      <c r="C438" s="2961" t="s">
        <v>5723</v>
      </c>
      <c r="D438" s="2961" t="s">
        <v>5756</v>
      </c>
      <c r="E438" s="2956">
        <f>((S_MEOL)/((S_MEOL)+(K_MEOL_SNO2)*EXP(((K_MEOL_SNO2)-(S_MEOL))*(L_ogslopeKMEOL_SNO2))))</f>
        <v>1.0109697494805068E-137</v>
      </c>
      <c r="F438" s="2956" t="s">
        <v>282</v>
      </c>
      <c r="G438" s="2956">
        <v>2</v>
      </c>
      <c r="H438" s="2957"/>
      <c r="I438" s="2960"/>
    </row>
    <row r="439" spans="1:9" ht="18" customHeight="1" outlineLevel="1" x14ac:dyDescent="0.25">
      <c r="B439" s="2924" t="s">
        <v>5724</v>
      </c>
      <c r="C439" s="2961" t="s">
        <v>5725</v>
      </c>
      <c r="D439" s="2961" t="s">
        <v>5757</v>
      </c>
      <c r="E439" s="2956">
        <f>(1-(S_MEOL)/((S_MEOL)+(K_MEOL_SNO2)*EXP(((K_MEOL_SNO2)-(S_MEOL))*(L_ogslopeKMEOL_SNO2))))</f>
        <v>1</v>
      </c>
      <c r="F439" s="2956" t="s">
        <v>282</v>
      </c>
      <c r="G439" s="2956">
        <v>2</v>
      </c>
      <c r="H439" s="2957"/>
      <c r="I439" s="2960"/>
    </row>
    <row r="440" spans="1:9" ht="18" customHeight="1" outlineLevel="1" x14ac:dyDescent="0.25">
      <c r="B440" s="2924" t="s">
        <v>5726</v>
      </c>
      <c r="C440" s="2958" t="s">
        <v>5758</v>
      </c>
      <c r="D440" s="2961" t="s">
        <v>5759</v>
      </c>
      <c r="E440" s="2956">
        <f>((S_NO3)/((S_NO3)+(K_NO3_MEOLO)*EXP(((K_NO3_MEOLO)-(S_NO3))*(L_ogslopeKSNO3_MEOLO))))</f>
        <v>1</v>
      </c>
      <c r="F440" s="2956" t="s">
        <v>282</v>
      </c>
      <c r="G440" s="2956">
        <v>2</v>
      </c>
      <c r="H440" s="2957"/>
      <c r="I440" s="2960"/>
    </row>
    <row r="441" spans="1:9" ht="18" customHeight="1" outlineLevel="1" x14ac:dyDescent="0.25">
      <c r="B441" s="2924" t="s">
        <v>5727</v>
      </c>
      <c r="C441" s="2958" t="s">
        <v>5760</v>
      </c>
      <c r="D441" s="2961" t="s">
        <v>5761</v>
      </c>
      <c r="E441" s="2956">
        <f>(1-(S_NO3)/((S_NO3)+(K_NO3_MEOLO)*EXP(((K_NO3_MEOLO)-(S_NO3))*(L_ogslopeKSNO3_MEOLO))))</f>
        <v>0</v>
      </c>
      <c r="F441" s="2956" t="s">
        <v>282</v>
      </c>
      <c r="G441" s="2956">
        <v>2</v>
      </c>
      <c r="H441" s="2957"/>
      <c r="I441" s="2960"/>
    </row>
    <row r="442" spans="1:9" s="4" customFormat="1" ht="18" outlineLevel="1" x14ac:dyDescent="0.25">
      <c r="A442" s="115"/>
      <c r="B442" s="1259" t="s">
        <v>4656</v>
      </c>
      <c r="C442" s="2027" t="s">
        <v>2748</v>
      </c>
      <c r="D442" s="2087" t="s">
        <v>4592</v>
      </c>
      <c r="E442" s="768">
        <f>((K_NOx_AOB)/((K_NOx_AOB)+(S_NOx)))</f>
        <v>5.8479532163742687E-3</v>
      </c>
      <c r="F442" s="431" t="s">
        <v>282</v>
      </c>
      <c r="G442" s="431">
        <v>2</v>
      </c>
      <c r="H442" s="2638"/>
      <c r="I442" s="1939"/>
    </row>
    <row r="443" spans="1:9" ht="18" outlineLevel="1" x14ac:dyDescent="0.25">
      <c r="B443" s="1259" t="s">
        <v>2340</v>
      </c>
      <c r="C443" s="2027" t="s">
        <v>2749</v>
      </c>
      <c r="D443" s="2087" t="s">
        <v>2341</v>
      </c>
      <c r="E443" s="768">
        <f>((K_O2_AOB)/((K_O2_AOB)+(S_O2)))</f>
        <v>0.2</v>
      </c>
      <c r="F443" s="769" t="s">
        <v>282</v>
      </c>
      <c r="G443" s="769">
        <v>2</v>
      </c>
      <c r="H443" s="2638"/>
      <c r="I443" s="1939"/>
    </row>
    <row r="444" spans="1:9" ht="18" outlineLevel="1" x14ac:dyDescent="0.25">
      <c r="B444" s="1259" t="s">
        <v>2342</v>
      </c>
      <c r="C444" s="2027" t="s">
        <v>2750</v>
      </c>
      <c r="D444" s="2087" t="s">
        <v>2343</v>
      </c>
      <c r="E444" s="768">
        <f>(MAX((S_NHx)-S_umo__MSatMin,0)/((K_NHx_AOB)+(S_NHx)))</f>
        <v>0.58823529411764708</v>
      </c>
      <c r="F444" s="431" t="s">
        <v>282</v>
      </c>
      <c r="G444" s="431">
        <v>2</v>
      </c>
      <c r="H444" s="2638"/>
      <c r="I444" s="1939"/>
    </row>
    <row r="445" spans="1:9" ht="18" outlineLevel="1" x14ac:dyDescent="0.25">
      <c r="B445" s="1259" t="s">
        <v>4657</v>
      </c>
      <c r="C445" s="2027" t="s">
        <v>2751</v>
      </c>
      <c r="D445" s="2087" t="s">
        <v>4590</v>
      </c>
      <c r="E445" s="768">
        <f>(MAX((S_NOx)-S_umo__MSatMin,0)/((K_NOx_AOB)+(S_NOx)))</f>
        <v>0.99415204678362568</v>
      </c>
      <c r="F445" s="769" t="s">
        <v>282</v>
      </c>
      <c r="G445" s="769">
        <v>2</v>
      </c>
      <c r="H445" s="2638"/>
      <c r="I445" s="1939"/>
    </row>
    <row r="446" spans="1:9" s="4" customFormat="1" ht="18" outlineLevel="1" x14ac:dyDescent="0.25">
      <c r="A446" s="115"/>
      <c r="B446" s="1259" t="s">
        <v>2344</v>
      </c>
      <c r="C446" s="2027" t="s">
        <v>2752</v>
      </c>
      <c r="D446" s="2087" t="s">
        <v>2345</v>
      </c>
      <c r="E446" s="768">
        <f>(MAX((S_O2)-S_umo__MSatMin,0)/((K_O2_AOB)+(S_O2)))</f>
        <v>0.8</v>
      </c>
      <c r="F446" s="431" t="s">
        <v>282</v>
      </c>
      <c r="G446" s="431">
        <v>2</v>
      </c>
      <c r="H446" s="2638"/>
      <c r="I446" s="1939"/>
    </row>
    <row r="447" spans="1:9" s="4" customFormat="1" ht="18" outlineLevel="1" x14ac:dyDescent="0.25">
      <c r="A447" s="115"/>
      <c r="B447" s="1260" t="s">
        <v>4658</v>
      </c>
      <c r="C447" s="2028" t="s">
        <v>2753</v>
      </c>
      <c r="D447" s="2088" t="s">
        <v>4593</v>
      </c>
      <c r="E447" s="770">
        <f>((K_NOx_NOB)/((K_NOx_NOB)+(S_NOx)))</f>
        <v>5.8479532163742687E-3</v>
      </c>
      <c r="F447" s="771" t="s">
        <v>282</v>
      </c>
      <c r="G447" s="771">
        <v>2</v>
      </c>
      <c r="H447" s="2652"/>
      <c r="I447" s="1965"/>
    </row>
    <row r="448" spans="1:9" ht="18" outlineLevel="1" x14ac:dyDescent="0.25">
      <c r="B448" s="1260" t="s">
        <v>2346</v>
      </c>
      <c r="C448" s="2028" t="s">
        <v>2754</v>
      </c>
      <c r="D448" s="2088" t="s">
        <v>2347</v>
      </c>
      <c r="E448" s="770">
        <f>((K_O2_NOB)/((K_O2_NOB)+(S_O2)))</f>
        <v>0.2</v>
      </c>
      <c r="F448" s="771" t="s">
        <v>282</v>
      </c>
      <c r="G448" s="771">
        <v>2</v>
      </c>
      <c r="H448" s="2652"/>
      <c r="I448" s="1965"/>
    </row>
    <row r="449" spans="1:9" s="4" customFormat="1" ht="18" outlineLevel="1" x14ac:dyDescent="0.25">
      <c r="A449" s="115"/>
      <c r="B449" s="1260" t="s">
        <v>2348</v>
      </c>
      <c r="C449" s="2028" t="s">
        <v>2755</v>
      </c>
      <c r="D449" s="2088" t="s">
        <v>2349</v>
      </c>
      <c r="E449" s="770">
        <f>(MAX((S_NO2)-S_umo__MSatMin,0)/((K_NO2_NOB)+(S_NO2)))</f>
        <v>0.5</v>
      </c>
      <c r="F449" s="771" t="s">
        <v>282</v>
      </c>
      <c r="G449" s="771">
        <v>2</v>
      </c>
      <c r="H449" s="2652"/>
      <c r="I449" s="1965"/>
    </row>
    <row r="450" spans="1:9" s="4" customFormat="1" ht="18" outlineLevel="1" x14ac:dyDescent="0.25">
      <c r="A450" s="115"/>
      <c r="B450" s="1260" t="s">
        <v>4659</v>
      </c>
      <c r="C450" s="2028" t="s">
        <v>2756</v>
      </c>
      <c r="D450" s="2088" t="s">
        <v>4591</v>
      </c>
      <c r="E450" s="770">
        <f>(MAX((S_NOx)-S_umo__MSatMin,0)/((K_NOx_NOB)+(S_NOx)))</f>
        <v>0.99415204678362568</v>
      </c>
      <c r="F450" s="772" t="s">
        <v>282</v>
      </c>
      <c r="G450" s="772">
        <v>2</v>
      </c>
      <c r="H450" s="2652"/>
      <c r="I450" s="1965"/>
    </row>
    <row r="451" spans="1:9" ht="18" outlineLevel="1" x14ac:dyDescent="0.25">
      <c r="B451" s="1260" t="s">
        <v>2350</v>
      </c>
      <c r="C451" s="2028" t="s">
        <v>2757</v>
      </c>
      <c r="D451" s="2088" t="s">
        <v>2351</v>
      </c>
      <c r="E451" s="770">
        <f>(MAX((S_O2)-S_umo__MSatMin,0)/((K_O2_NOB)+(S_O2)))</f>
        <v>0.8</v>
      </c>
      <c r="F451" s="772" t="s">
        <v>282</v>
      </c>
      <c r="G451" s="772">
        <v>2</v>
      </c>
      <c r="H451" s="2652"/>
      <c r="I451" s="1965"/>
    </row>
    <row r="452" spans="1:9" s="4" customFormat="1" ht="18" outlineLevel="1" x14ac:dyDescent="0.25">
      <c r="A452" s="115"/>
      <c r="B452" s="1261" t="s">
        <v>4660</v>
      </c>
      <c r="C452" s="2029" t="s">
        <v>2758</v>
      </c>
      <c r="D452" s="2089" t="s">
        <v>4594</v>
      </c>
      <c r="E452" s="773">
        <f>((K_NOx_AMX)/((K_NOx_AMX)+(S_NOx)))</f>
        <v>1.9230769230769235E-2</v>
      </c>
      <c r="F452" s="281" t="s">
        <v>282</v>
      </c>
      <c r="G452" s="281">
        <v>2</v>
      </c>
      <c r="H452" s="2653"/>
      <c r="I452" s="1966"/>
    </row>
    <row r="453" spans="1:9" ht="18" outlineLevel="1" x14ac:dyDescent="0.25">
      <c r="B453" s="1261" t="s">
        <v>4079</v>
      </c>
      <c r="C453" s="2029" t="s">
        <v>2759</v>
      </c>
      <c r="D453" s="2089" t="s">
        <v>4080</v>
      </c>
      <c r="E453" s="773">
        <f>((K_iO2_AMX)/((K_iO2_AMX)+(S_O2)))</f>
        <v>0.16666666666666669</v>
      </c>
      <c r="F453" s="281" t="s">
        <v>282</v>
      </c>
      <c r="G453" s="281">
        <v>2</v>
      </c>
      <c r="H453" s="2653"/>
      <c r="I453" s="1966"/>
    </row>
    <row r="454" spans="1:9" ht="18" outlineLevel="1" x14ac:dyDescent="0.25">
      <c r="B454" s="1261" t="s">
        <v>2352</v>
      </c>
      <c r="C454" s="2029" t="s">
        <v>2760</v>
      </c>
      <c r="D454" s="2089" t="s">
        <v>2353</v>
      </c>
      <c r="E454" s="773">
        <f>(MAX((S_NHx)-S_umo__MSatMin,0)/((K_NHx_AMX)+(S_NHx)))</f>
        <v>0.33333333333333331</v>
      </c>
      <c r="F454" s="281" t="s">
        <v>282</v>
      </c>
      <c r="G454" s="281">
        <v>2</v>
      </c>
      <c r="H454" s="2653"/>
      <c r="I454" s="1966"/>
    </row>
    <row r="455" spans="1:9" s="4" customFormat="1" ht="18" outlineLevel="1" x14ac:dyDescent="0.25">
      <c r="A455" s="115"/>
      <c r="B455" s="1261" t="s">
        <v>2354</v>
      </c>
      <c r="C455" s="2029" t="s">
        <v>2761</v>
      </c>
      <c r="D455" s="2089" t="s">
        <v>2355</v>
      </c>
      <c r="E455" s="773">
        <f>(MAX((S_NO2)-S_umo__MSatMin,0)/((K_NO2_AMX)+(S_NO2)))</f>
        <v>9.0909090909090912E-2</v>
      </c>
      <c r="F455" s="473" t="s">
        <v>282</v>
      </c>
      <c r="G455" s="473">
        <v>2</v>
      </c>
      <c r="H455" s="2653"/>
      <c r="I455" s="1966"/>
    </row>
    <row r="456" spans="1:9" ht="18" outlineLevel="1" x14ac:dyDescent="0.25">
      <c r="B456" s="1261" t="s">
        <v>4661</v>
      </c>
      <c r="C456" s="2029" t="s">
        <v>2762</v>
      </c>
      <c r="D456" s="2089" t="s">
        <v>4595</v>
      </c>
      <c r="E456" s="773">
        <f>(MAX((S_NOx)-S_umo__MSatMin,0)/((K_NOx_AMX)+(S_NOx)))</f>
        <v>0.98076923076923084</v>
      </c>
      <c r="F456" s="473" t="s">
        <v>282</v>
      </c>
      <c r="G456" s="473">
        <v>2</v>
      </c>
      <c r="H456" s="2653"/>
      <c r="I456" s="1966"/>
    </row>
    <row r="457" spans="1:9" s="4" customFormat="1" ht="18" outlineLevel="1" x14ac:dyDescent="0.25">
      <c r="A457" s="115"/>
      <c r="B457" s="1261" t="s">
        <v>4081</v>
      </c>
      <c r="C457" s="2029" t="s">
        <v>2763</v>
      </c>
      <c r="D457" s="2089" t="s">
        <v>4082</v>
      </c>
      <c r="E457" s="773">
        <f>(MAX((S_O2)-S_umo__MSatMin,0)/((K_iO2_AMX)+(S_O2)))</f>
        <v>0.83333333333333337</v>
      </c>
      <c r="F457" s="281" t="s">
        <v>282</v>
      </c>
      <c r="G457" s="281">
        <v>2</v>
      </c>
      <c r="H457" s="2653"/>
      <c r="I457" s="1966"/>
    </row>
    <row r="458" spans="1:9" ht="18" outlineLevel="1" x14ac:dyDescent="0.25">
      <c r="B458" s="159" t="s">
        <v>4800</v>
      </c>
      <c r="C458" s="2001" t="s">
        <v>4794</v>
      </c>
      <c r="D458" s="2001" t="s">
        <v>4795</v>
      </c>
      <c r="E458" s="458">
        <f>((K_NO2_CASTO)/((K_NO2_CASTO)+(S_NO2)))</f>
        <v>0.33333333333333331</v>
      </c>
      <c r="F458" s="376" t="s">
        <v>282</v>
      </c>
      <c r="G458" s="376">
        <v>2</v>
      </c>
      <c r="H458" s="2590"/>
      <c r="I458" s="385"/>
    </row>
    <row r="459" spans="1:9" ht="18" outlineLevel="1" x14ac:dyDescent="0.25">
      <c r="B459" s="159" t="s">
        <v>4801</v>
      </c>
      <c r="C459" s="2001" t="s">
        <v>4796</v>
      </c>
      <c r="D459" s="2001" t="s">
        <v>4797</v>
      </c>
      <c r="E459" s="458">
        <f>((K_NO3_CASTO)/((K_NO3_CASTO)+(S_NO3)))</f>
        <v>1.9607843137254905E-2</v>
      </c>
      <c r="F459" s="376" t="s">
        <v>282</v>
      </c>
      <c r="G459" s="376">
        <v>2</v>
      </c>
      <c r="H459" s="2590"/>
      <c r="I459" s="385"/>
    </row>
    <row r="460" spans="1:9" ht="18" outlineLevel="1" x14ac:dyDescent="0.25">
      <c r="B460" s="159" t="s">
        <v>4802</v>
      </c>
      <c r="C460" s="2001" t="s">
        <v>4798</v>
      </c>
      <c r="D460" s="2001" t="s">
        <v>4799</v>
      </c>
      <c r="E460" s="376">
        <f>((K_O2_CASTO)/((K_O2_CASTO)+(S_O2)))</f>
        <v>2.4390243902439029E-2</v>
      </c>
      <c r="F460" s="376" t="s">
        <v>282</v>
      </c>
      <c r="G460" s="376">
        <v>2</v>
      </c>
      <c r="H460" s="2590"/>
      <c r="I460" s="385"/>
    </row>
    <row r="461" spans="1:9" ht="18" outlineLevel="1" x14ac:dyDescent="0.25">
      <c r="B461" s="528" t="s">
        <v>2764</v>
      </c>
      <c r="C461" s="2030" t="s">
        <v>2765</v>
      </c>
      <c r="D461" s="2030" t="s">
        <v>2766</v>
      </c>
      <c r="E461" s="376">
        <f>((K_iPO4_lim)/((K_iPO4_lim)+(S_PO4)))</f>
        <v>9.9009900990099011E-3</v>
      </c>
      <c r="F461" s="376" t="s">
        <v>282</v>
      </c>
      <c r="G461" s="376">
        <v>2</v>
      </c>
      <c r="H461" s="2590"/>
      <c r="I461" s="385"/>
    </row>
    <row r="462" spans="1:9" ht="18" outlineLevel="1" x14ac:dyDescent="0.25">
      <c r="B462" s="1196" t="s">
        <v>4803</v>
      </c>
      <c r="C462" s="2988" t="s">
        <v>5831</v>
      </c>
      <c r="D462" s="2001" t="s">
        <v>4804</v>
      </c>
      <c r="E462" s="1216">
        <f>(((X_STC)/(X_CASTO))/((X_STC)/(X_CASTO)+(K_STC)))</f>
        <v>0.31506849315068486</v>
      </c>
      <c r="F462" s="1216" t="s">
        <v>282</v>
      </c>
      <c r="G462" s="1216">
        <v>2</v>
      </c>
      <c r="H462" s="1376"/>
      <c r="I462" s="1217"/>
    </row>
    <row r="463" spans="1:9" ht="18" outlineLevel="1" x14ac:dyDescent="0.25">
      <c r="B463" s="159" t="s">
        <v>1811</v>
      </c>
      <c r="C463" s="2001" t="s">
        <v>5195</v>
      </c>
      <c r="D463" s="2090" t="s">
        <v>5843</v>
      </c>
      <c r="E463" s="376">
        <f>(((X_PHA_PAO)/(X_PAO))/((X_PHA_PAO)/(X_PAO)+(K_PHA)))</f>
        <v>0.8214285714285714</v>
      </c>
      <c r="F463" s="376" t="s">
        <v>282</v>
      </c>
      <c r="G463" s="376">
        <v>2</v>
      </c>
      <c r="H463" s="2590"/>
      <c r="I463" s="385"/>
    </row>
    <row r="464" spans="1:9" ht="18" outlineLevel="1" x14ac:dyDescent="0.25">
      <c r="B464" s="159" t="s">
        <v>4805</v>
      </c>
      <c r="C464" s="2001" t="s">
        <v>5196</v>
      </c>
      <c r="D464" s="2090" t="s">
        <v>5844</v>
      </c>
      <c r="E464" s="376">
        <f>(((K_PHA_cle))/((X_PHA_PAO)/(X_PAO)+(K_PHA_cle)))</f>
        <v>0.68493150684931503</v>
      </c>
      <c r="F464" s="376" t="s">
        <v>282</v>
      </c>
      <c r="G464" s="376">
        <v>2</v>
      </c>
      <c r="H464" s="2590"/>
      <c r="I464" s="385"/>
    </row>
    <row r="465" spans="1:9" ht="18" outlineLevel="1" x14ac:dyDescent="0.25">
      <c r="B465" s="1196" t="s">
        <v>4806</v>
      </c>
      <c r="C465" s="2988" t="s">
        <v>5832</v>
      </c>
      <c r="D465" s="2001" t="s">
        <v>4807</v>
      </c>
      <c r="E465" s="1216">
        <f>(((K_STC))/((X_STC)/(X_CASTO)+(K_STC)))</f>
        <v>0.68493150684931503</v>
      </c>
      <c r="F465" s="1216" t="s">
        <v>282</v>
      </c>
      <c r="G465" s="1216">
        <v>2</v>
      </c>
      <c r="H465" s="1376"/>
      <c r="I465" s="1217"/>
    </row>
    <row r="466" spans="1:9" ht="18" outlineLevel="1" x14ac:dyDescent="0.25">
      <c r="B466" s="159" t="s">
        <v>2192</v>
      </c>
      <c r="C466" s="2001" t="s">
        <v>5197</v>
      </c>
      <c r="D466" s="2090" t="s">
        <v>2193</v>
      </c>
      <c r="E466" s="376">
        <f>(((K_PP))/((X_PP)/(X_PAO)+(K_PP)))</f>
        <v>6.7567567567567571E-2</v>
      </c>
      <c r="F466" s="376" t="s">
        <v>282</v>
      </c>
      <c r="G466" s="376">
        <v>2</v>
      </c>
      <c r="H466" s="2590"/>
      <c r="I466" s="385"/>
    </row>
    <row r="467" spans="1:9" ht="18" outlineLevel="1" x14ac:dyDescent="0.25">
      <c r="B467" s="159" t="s">
        <v>2118</v>
      </c>
      <c r="C467" s="2001" t="s">
        <v>5198</v>
      </c>
      <c r="D467" s="2090" t="s">
        <v>2112</v>
      </c>
      <c r="E467" s="376">
        <f>(((X_PP)/(X_PAO))/((X_PP)/(X_PAO)+(K_PP)))</f>
        <v>0.93243243243243235</v>
      </c>
      <c r="F467" s="376" t="s">
        <v>282</v>
      </c>
      <c r="G467" s="376">
        <v>2</v>
      </c>
      <c r="H467" s="2590"/>
      <c r="I467" s="385"/>
    </row>
    <row r="468" spans="1:9" ht="18" outlineLevel="1" x14ac:dyDescent="0.25">
      <c r="B468" s="159" t="s">
        <v>1799</v>
      </c>
      <c r="C468" s="2030" t="s">
        <v>2767</v>
      </c>
      <c r="D468" s="2090" t="s">
        <v>1800</v>
      </c>
      <c r="E468" s="376">
        <f>(MAX((S_Ca)-S_umo__MSatMin,0)/((K_Ca_PAO)+(S_Ca)))</f>
        <v>0.9999933333777774</v>
      </c>
      <c r="F468" s="376" t="s">
        <v>282</v>
      </c>
      <c r="G468" s="376">
        <v>2</v>
      </c>
      <c r="H468" s="2590"/>
      <c r="I468" s="385"/>
    </row>
    <row r="469" spans="1:9" ht="18" outlineLevel="1" x14ac:dyDescent="0.25">
      <c r="B469" s="159" t="s">
        <v>1803</v>
      </c>
      <c r="C469" s="2030" t="s">
        <v>2768</v>
      </c>
      <c r="D469" s="2090" t="s">
        <v>1804</v>
      </c>
      <c r="E469" s="376">
        <f>(MAX((S_K)-S_umo__MSatMin,0)/((K_K_PAO)+(S_K)))</f>
        <v>0.9999333377774815</v>
      </c>
      <c r="F469" s="376" t="s">
        <v>282</v>
      </c>
      <c r="G469" s="376">
        <v>2</v>
      </c>
      <c r="H469" s="2590"/>
      <c r="I469" s="385"/>
    </row>
    <row r="470" spans="1:9" ht="18" outlineLevel="1" x14ac:dyDescent="0.25">
      <c r="B470" s="159" t="s">
        <v>1801</v>
      </c>
      <c r="C470" s="2030" t="s">
        <v>2769</v>
      </c>
      <c r="D470" s="2090" t="s">
        <v>1802</v>
      </c>
      <c r="E470" s="376">
        <f>(MAX((S_Mg)-S_umo__MSatMin,0)/((K_Mg_PAO)+(S_Mg)))</f>
        <v>0.9999333377774815</v>
      </c>
      <c r="F470" s="376" t="s">
        <v>282</v>
      </c>
      <c r="G470" s="376">
        <v>2</v>
      </c>
      <c r="H470" s="2590"/>
      <c r="I470" s="385"/>
    </row>
    <row r="471" spans="1:9" s="4" customFormat="1" ht="18" outlineLevel="1" x14ac:dyDescent="0.25">
      <c r="A471" s="115"/>
      <c r="B471" s="1262" t="s">
        <v>4814</v>
      </c>
      <c r="C471" s="2001" t="s">
        <v>4808</v>
      </c>
      <c r="D471" s="2091" t="s">
        <v>4809</v>
      </c>
      <c r="E471" s="774">
        <f>(MAX((S_NO2)-S_umo__MSatMin,0)/((K_NO2_CASTO)+(S_NO2)))</f>
        <v>0.66666666666666663</v>
      </c>
      <c r="F471" s="237" t="s">
        <v>282</v>
      </c>
      <c r="G471" s="237">
        <v>2</v>
      </c>
      <c r="H471" s="2654"/>
      <c r="I471" s="1967"/>
    </row>
    <row r="472" spans="1:9" ht="18" outlineLevel="1" x14ac:dyDescent="0.25">
      <c r="B472" s="1262" t="s">
        <v>4815</v>
      </c>
      <c r="C472" s="2001" t="s">
        <v>4810</v>
      </c>
      <c r="D472" s="2091" t="s">
        <v>4811</v>
      </c>
      <c r="E472" s="774">
        <f>(MAX((S_NO3)-S_umo__MSatMin,0)/((K_NO3_CASTO)+(S_NO3)))</f>
        <v>0.98039215686274517</v>
      </c>
      <c r="F472" s="237" t="s">
        <v>282</v>
      </c>
      <c r="G472" s="237">
        <v>2</v>
      </c>
      <c r="H472" s="2654"/>
      <c r="I472" s="1967"/>
    </row>
    <row r="473" spans="1:9" ht="18" outlineLevel="1" x14ac:dyDescent="0.25">
      <c r="B473" s="159" t="s">
        <v>4816</v>
      </c>
      <c r="C473" s="2001" t="s">
        <v>4812</v>
      </c>
      <c r="D473" s="2001" t="s">
        <v>4813</v>
      </c>
      <c r="E473" s="376">
        <f>(MAX((S_O2)-S_umo__MSatMin,0)/((K_O2_CASTO)+(S_O2)))</f>
        <v>0.97560975609756106</v>
      </c>
      <c r="F473" s="376" t="s">
        <v>282</v>
      </c>
      <c r="G473" s="376">
        <v>2</v>
      </c>
      <c r="H473" s="2590"/>
      <c r="I473" s="385"/>
    </row>
    <row r="474" spans="1:9" ht="18" outlineLevel="1" x14ac:dyDescent="0.25">
      <c r="B474" s="1171" t="s">
        <v>4671</v>
      </c>
      <c r="C474" s="2001" t="s">
        <v>4817</v>
      </c>
      <c r="D474" s="2001" t="s">
        <v>5028</v>
      </c>
      <c r="E474" s="1216">
        <f>((S_PO4)/((S_PO4)+(K_PO4_PAO)*EXP(((K_PO4_PAO)-(S_PO4))*(L_ogslopePO4_PAO_sat))))</f>
        <v>0.99999992584528696</v>
      </c>
      <c r="F474" s="1172" t="s">
        <v>282</v>
      </c>
      <c r="G474" s="1172">
        <v>2</v>
      </c>
      <c r="H474" s="1505"/>
      <c r="I474" s="1173"/>
    </row>
    <row r="475" spans="1:9" ht="18" outlineLevel="1" x14ac:dyDescent="0.25">
      <c r="B475" s="159" t="s">
        <v>1797</v>
      </c>
      <c r="C475" s="2030" t="s">
        <v>2770</v>
      </c>
      <c r="D475" s="2090" t="s">
        <v>1798</v>
      </c>
      <c r="E475" s="376">
        <f>(MAX((S_PO4)-S_umo__MSatMin,0)/((K_PO4_PAO)+(S_PO4)))</f>
        <v>0.76923076923076916</v>
      </c>
      <c r="F475" s="376" t="s">
        <v>282</v>
      </c>
      <c r="G475" s="376">
        <v>2</v>
      </c>
      <c r="H475" s="2590"/>
      <c r="I475" s="385"/>
    </row>
    <row r="476" spans="1:9" ht="18" outlineLevel="1" x14ac:dyDescent="0.25">
      <c r="B476" s="159" t="s">
        <v>4820</v>
      </c>
      <c r="C476" s="2001" t="s">
        <v>4818</v>
      </c>
      <c r="D476" s="2001" t="s">
        <v>4819</v>
      </c>
      <c r="E476" s="376">
        <f>(MAX((S_VFA)-S_umo__MSatMin,0)/((K_VFA_CASTO)+(S_VFA)))</f>
        <v>1.9960079840319364E-3</v>
      </c>
      <c r="F476" s="376" t="s">
        <v>282</v>
      </c>
      <c r="G476" s="376">
        <v>2</v>
      </c>
      <c r="H476" s="2590"/>
      <c r="I476" s="385"/>
    </row>
    <row r="477" spans="1:9" ht="18" outlineLevel="1" x14ac:dyDescent="0.25">
      <c r="B477" s="159" t="s">
        <v>4923</v>
      </c>
      <c r="C477" s="2030" t="s">
        <v>4924</v>
      </c>
      <c r="D477" s="2001" t="s">
        <v>5029</v>
      </c>
      <c r="E477" s="1216">
        <f>((X_PP)/((X_PP)+(K_PO4_PAO)*EXP(((K_PO4_PAO)-(X_PP))*(L_ogslopePP_PAO_sat))))</f>
        <v>1</v>
      </c>
      <c r="F477" s="376" t="s">
        <v>282</v>
      </c>
      <c r="G477" s="376">
        <v>2</v>
      </c>
      <c r="H477" s="2590"/>
      <c r="I477" s="385"/>
    </row>
    <row r="478" spans="1:9" ht="18" outlineLevel="1" x14ac:dyDescent="0.25">
      <c r="B478" s="159" t="s">
        <v>2113</v>
      </c>
      <c r="C478" s="2030" t="s">
        <v>2771</v>
      </c>
      <c r="D478" s="2090" t="s">
        <v>2114</v>
      </c>
      <c r="E478" s="376">
        <f>(MAX((X_PP)-S_umo__MSatMin,0)/((K_PP_lim)+(X_PP)))</f>
        <v>0.99996666777774068</v>
      </c>
      <c r="F478" s="376" t="s">
        <v>282</v>
      </c>
      <c r="G478" s="376">
        <v>2</v>
      </c>
      <c r="H478" s="2590"/>
      <c r="I478" s="385"/>
    </row>
    <row r="479" spans="1:9" ht="18" outlineLevel="1" x14ac:dyDescent="0.25">
      <c r="B479" s="159" t="s">
        <v>2129</v>
      </c>
      <c r="C479" s="2001" t="s">
        <v>4821</v>
      </c>
      <c r="D479" s="2988" t="s">
        <v>5833</v>
      </c>
      <c r="E479" s="1878">
        <f>(1-(X_PHA_PAO/X_PAO)/((X_PHA_PAO/X_PAO)+(K_iPHA_PAO_max)*EXP(((K_iPHA_PAO_max)-(X_PHA_PAO/X_PAO))*(L_ogslopePHA_PAO_inh))))</f>
        <v>1</v>
      </c>
      <c r="F479" s="376" t="s">
        <v>282</v>
      </c>
      <c r="G479" s="376">
        <v>2</v>
      </c>
      <c r="H479" s="2590"/>
      <c r="I479" s="385"/>
    </row>
    <row r="480" spans="1:9" ht="18" outlineLevel="1" x14ac:dyDescent="0.25">
      <c r="B480" s="159" t="s">
        <v>2130</v>
      </c>
      <c r="C480" s="2001" t="s">
        <v>4822</v>
      </c>
      <c r="D480" s="2001" t="s">
        <v>5030</v>
      </c>
      <c r="E480" s="1878">
        <f>(1-(X_PP/X_PAO)/((X_PP/X_PAO)+(K_iPP_PAO_max)*EXP(((K_iPP_PAO_max)-(X_PP/X_PAO))*(L_ogslopePP_PAO_inh))))</f>
        <v>0.99999999945571982</v>
      </c>
      <c r="F480" s="376" t="s">
        <v>282</v>
      </c>
      <c r="G480" s="376">
        <v>2</v>
      </c>
      <c r="H480" s="2590"/>
      <c r="I480" s="385"/>
    </row>
    <row r="481" spans="1:9" ht="18" outlineLevel="1" x14ac:dyDescent="0.25">
      <c r="B481" s="2977" t="s">
        <v>5834</v>
      </c>
      <c r="C481" s="2987" t="s">
        <v>5835</v>
      </c>
      <c r="D481" s="2987" t="s">
        <v>5836</v>
      </c>
      <c r="E481" s="1879">
        <f>(1-(X_PHA_GAO/X_GAO)/((X_PHA_GAO/X_GAO)+(K_iPHA_GAO_max)*EXP(((K_iPHA_GAO_max)-(X_PHA_GAO/X_GAO))*(L_ogslopePHA_GAO_inh))))</f>
        <v>1</v>
      </c>
      <c r="F481" s="448" t="s">
        <v>282</v>
      </c>
      <c r="G481" s="448">
        <v>2</v>
      </c>
      <c r="H481" s="2594"/>
      <c r="I481" s="449"/>
    </row>
    <row r="482" spans="1:9" ht="18" outlineLevel="1" x14ac:dyDescent="0.25">
      <c r="B482" s="2977" t="s">
        <v>5837</v>
      </c>
      <c r="C482" s="2987" t="s">
        <v>5838</v>
      </c>
      <c r="D482" s="2987" t="s">
        <v>5839</v>
      </c>
      <c r="E482" s="448">
        <f>(((K_PHA_GAO))/((X_PHA_GAO)/(X_GAO)+(K_PHA_GAO)))</f>
        <v>0.52083333333333337</v>
      </c>
      <c r="F482" s="448" t="s">
        <v>282</v>
      </c>
      <c r="G482" s="448">
        <v>2</v>
      </c>
      <c r="H482" s="2594"/>
      <c r="I482" s="449"/>
    </row>
    <row r="483" spans="1:9" ht="18" outlineLevel="1" x14ac:dyDescent="0.25">
      <c r="B483" s="2977" t="s">
        <v>5840</v>
      </c>
      <c r="C483" s="2987" t="s">
        <v>5841</v>
      </c>
      <c r="D483" s="2987" t="s">
        <v>5842</v>
      </c>
      <c r="E483" s="448">
        <f>(((X_PHA_GAO)/(X_GAO))/((X_PHA_GAO)/(X_GAO)+(K_PHA_GAO)))</f>
        <v>0.47916666666666663</v>
      </c>
      <c r="F483" s="448" t="s">
        <v>282</v>
      </c>
      <c r="G483" s="448">
        <v>2</v>
      </c>
      <c r="H483" s="2594"/>
      <c r="I483" s="449"/>
    </row>
    <row r="484" spans="1:9" ht="18" outlineLevel="1" x14ac:dyDescent="0.25">
      <c r="B484" s="189" t="s">
        <v>1815</v>
      </c>
      <c r="C484" s="2009" t="s">
        <v>2772</v>
      </c>
      <c r="D484" s="2092" t="s">
        <v>4655</v>
      </c>
      <c r="E484" s="377">
        <f>((K_NOx_AMETO)/((K_NOx_AMETO)+(S_NOx)))</f>
        <v>9.7087378640776708E-3</v>
      </c>
      <c r="F484" s="377" t="s">
        <v>282</v>
      </c>
      <c r="G484" s="377">
        <v>2</v>
      </c>
      <c r="H484" s="2574"/>
      <c r="I484" s="206"/>
    </row>
    <row r="485" spans="1:9" ht="18" outlineLevel="1" x14ac:dyDescent="0.25">
      <c r="B485" s="189" t="s">
        <v>4083</v>
      </c>
      <c r="C485" s="2009" t="s">
        <v>2773</v>
      </c>
      <c r="D485" s="2092" t="s">
        <v>4084</v>
      </c>
      <c r="E485" s="377">
        <f>((K_iO2_AMETO)/((K_iO2_AMETO)+(S_O2)))</f>
        <v>2.4390243902439029E-2</v>
      </c>
      <c r="F485" s="377" t="s">
        <v>282</v>
      </c>
      <c r="G485" s="377">
        <v>2</v>
      </c>
      <c r="H485" s="2574"/>
      <c r="I485" s="206"/>
    </row>
    <row r="486" spans="1:9" ht="18" outlineLevel="1" x14ac:dyDescent="0.25">
      <c r="B486" s="189" t="s">
        <v>1805</v>
      </c>
      <c r="C486" s="2009" t="s">
        <v>2774</v>
      </c>
      <c r="D486" s="2093" t="s">
        <v>4596</v>
      </c>
      <c r="E486" s="377">
        <f>(MAX((S_NOx)-S_umo__MSatMin,0)/((K_NOx_AMETO)+(S_NOx)))</f>
        <v>0.99029126213592233</v>
      </c>
      <c r="F486" s="377" t="s">
        <v>282</v>
      </c>
      <c r="G486" s="377">
        <v>2</v>
      </c>
      <c r="H486" s="2574"/>
      <c r="I486" s="206"/>
    </row>
    <row r="487" spans="1:9" ht="18" outlineLevel="1" x14ac:dyDescent="0.25">
      <c r="B487" s="189" t="s">
        <v>4085</v>
      </c>
      <c r="C487" s="2009" t="s">
        <v>2775</v>
      </c>
      <c r="D487" s="2092" t="s">
        <v>4086</v>
      </c>
      <c r="E487" s="377">
        <f>(MAX((S_O2)-S_umo__MSatMin,0)/((K_iO2_AMETO)+(S_O2)))</f>
        <v>0.97560975609756106</v>
      </c>
      <c r="F487" s="377" t="s">
        <v>282</v>
      </c>
      <c r="G487" s="377">
        <v>2</v>
      </c>
      <c r="H487" s="2574"/>
      <c r="I487" s="206"/>
    </row>
    <row r="488" spans="1:9" ht="18" outlineLevel="1" x14ac:dyDescent="0.25">
      <c r="B488" s="189" t="s">
        <v>1981</v>
      </c>
      <c r="C488" s="2009" t="s">
        <v>2776</v>
      </c>
      <c r="D488" s="2009" t="s">
        <v>2782</v>
      </c>
      <c r="E488" s="377">
        <f>((S_VFA)/((K_VFA_AMETO)+(S_VFA)+((S_VFA)^2/(K_iVFA_AMETO))))</f>
        <v>2.4999375015562114E-5</v>
      </c>
      <c r="F488" s="377" t="s">
        <v>282</v>
      </c>
      <c r="G488" s="377">
        <v>2</v>
      </c>
      <c r="H488" s="2574"/>
      <c r="I488" s="206"/>
    </row>
    <row r="489" spans="1:9" ht="18" outlineLevel="1" x14ac:dyDescent="0.25">
      <c r="B489" s="236" t="s">
        <v>1816</v>
      </c>
      <c r="C489" s="2031" t="s">
        <v>2777</v>
      </c>
      <c r="D489" s="2094" t="s">
        <v>4597</v>
      </c>
      <c r="E489" s="324">
        <f>((K_NOx_HMETO)/((K_NOx_HMETO)+(S_NOx)))</f>
        <v>9.7087378640776708E-3</v>
      </c>
      <c r="F489" s="324" t="s">
        <v>282</v>
      </c>
      <c r="G489" s="324">
        <v>2</v>
      </c>
      <c r="H489" s="2655"/>
      <c r="I489" s="386"/>
    </row>
    <row r="490" spans="1:9" ht="18" outlineLevel="1" x14ac:dyDescent="0.25">
      <c r="B490" s="236" t="s">
        <v>4087</v>
      </c>
      <c r="C490" s="2031" t="s">
        <v>2778</v>
      </c>
      <c r="D490" s="2094" t="s">
        <v>4088</v>
      </c>
      <c r="E490" s="324">
        <f>((K_iO2_HMETO)/((K_iO2_HMETO)+(S_O2)))</f>
        <v>2.4390243902439029E-2</v>
      </c>
      <c r="F490" s="324" t="s">
        <v>282</v>
      </c>
      <c r="G490" s="324">
        <v>2</v>
      </c>
      <c r="H490" s="2655"/>
      <c r="I490" s="386"/>
    </row>
    <row r="491" spans="1:9" ht="18" outlineLevel="1" x14ac:dyDescent="0.25">
      <c r="B491" s="236" t="s">
        <v>1809</v>
      </c>
      <c r="C491" s="2031" t="s">
        <v>2779</v>
      </c>
      <c r="D491" s="2094" t="s">
        <v>1810</v>
      </c>
      <c r="E491" s="324">
        <f>(MAX((S_H2)-S_umo__MSatMin,0)/((K_H2_HMETO)+(S_H2)))</f>
        <v>9.0909090909090912E-2</v>
      </c>
      <c r="F491" s="324" t="s">
        <v>282</v>
      </c>
      <c r="G491" s="324">
        <v>2</v>
      </c>
      <c r="H491" s="2655"/>
      <c r="I491" s="386"/>
    </row>
    <row r="492" spans="1:9" ht="18" outlineLevel="1" x14ac:dyDescent="0.25">
      <c r="B492" s="236" t="s">
        <v>1806</v>
      </c>
      <c r="C492" s="2031" t="s">
        <v>2780</v>
      </c>
      <c r="D492" s="2095" t="s">
        <v>4662</v>
      </c>
      <c r="E492" s="324">
        <f>(MAX((S_NOx)-S_umo__MSatMin,0)/((K_NOx_HMETO)+(S_NOx)))</f>
        <v>0.99029126213592233</v>
      </c>
      <c r="F492" s="324" t="s">
        <v>282</v>
      </c>
      <c r="G492" s="324">
        <v>2</v>
      </c>
      <c r="H492" s="2655"/>
      <c r="I492" s="386"/>
    </row>
    <row r="493" spans="1:9" ht="18" outlineLevel="1" x14ac:dyDescent="0.25">
      <c r="B493" s="236" t="s">
        <v>4089</v>
      </c>
      <c r="C493" s="2031" t="s">
        <v>2781</v>
      </c>
      <c r="D493" s="2094" t="s">
        <v>4090</v>
      </c>
      <c r="E493" s="324">
        <f>(MAX((S_O2)-S_umo__MSatMin,0)/((K_iO2_HMETO)+(S_O2)))</f>
        <v>0.97560975609756106</v>
      </c>
      <c r="F493" s="324" t="s">
        <v>282</v>
      </c>
      <c r="G493" s="324">
        <v>2</v>
      </c>
      <c r="H493" s="2655"/>
      <c r="I493" s="386"/>
    </row>
    <row r="494" spans="1:9" s="4" customFormat="1" ht="18" outlineLevel="1" x14ac:dyDescent="0.25">
      <c r="A494" s="115"/>
      <c r="B494" s="722" t="s">
        <v>3419</v>
      </c>
      <c r="C494" s="2012" t="s">
        <v>3420</v>
      </c>
      <c r="D494" s="2032" t="s">
        <v>3421</v>
      </c>
      <c r="E494" s="775">
        <f>((K_iH2S_ASRO)/((K_iH2S_ASRO)+(S_H2S)))</f>
        <v>0.99999500002499986</v>
      </c>
      <c r="F494" s="750" t="s">
        <v>282</v>
      </c>
      <c r="G494" s="750">
        <v>2</v>
      </c>
      <c r="H494" s="1436"/>
      <c r="I494" s="1701"/>
    </row>
    <row r="495" spans="1:9" ht="18" outlineLevel="1" x14ac:dyDescent="0.25">
      <c r="B495" s="722" t="s">
        <v>4665</v>
      </c>
      <c r="C495" s="2012" t="s">
        <v>3545</v>
      </c>
      <c r="D495" s="2032" t="s">
        <v>4598</v>
      </c>
      <c r="E495" s="775">
        <f>(MAX((S_NOx)-S_umo__MSatMin,0)/((K_NOx_ASRO)+(S_NOx)))</f>
        <v>0.99029126213592233</v>
      </c>
      <c r="F495" s="750" t="s">
        <v>282</v>
      </c>
      <c r="G495" s="750">
        <v>2</v>
      </c>
      <c r="H495" s="1436"/>
      <c r="I495" s="1701"/>
    </row>
    <row r="496" spans="1:9" ht="18" outlineLevel="1" x14ac:dyDescent="0.25">
      <c r="B496" s="722" t="s">
        <v>4666</v>
      </c>
      <c r="C496" s="2012" t="s">
        <v>3422</v>
      </c>
      <c r="D496" s="2032" t="s">
        <v>4599</v>
      </c>
      <c r="E496" s="775">
        <f>((K_NOx_ASRO)/((K_NOx_ASRO)+(S_NOx)))</f>
        <v>9.7087378640776708E-3</v>
      </c>
      <c r="F496" s="750" t="s">
        <v>282</v>
      </c>
      <c r="G496" s="750">
        <v>2</v>
      </c>
      <c r="H496" s="1436"/>
      <c r="I496" s="1701"/>
    </row>
    <row r="497" spans="1:9" s="4" customFormat="1" ht="18" outlineLevel="1" x14ac:dyDescent="0.25">
      <c r="A497" s="115"/>
      <c r="B497" s="722" t="s">
        <v>4091</v>
      </c>
      <c r="C497" s="2012" t="s">
        <v>3543</v>
      </c>
      <c r="D497" s="2032" t="s">
        <v>4093</v>
      </c>
      <c r="E497" s="775">
        <f>(MAX((S_O2)-S_umo__MSatMin,0)/((K_iO2_ASRO)+(S_O2)))</f>
        <v>0.97560975609756106</v>
      </c>
      <c r="F497" s="750" t="s">
        <v>282</v>
      </c>
      <c r="G497" s="750">
        <v>2</v>
      </c>
      <c r="H497" s="1436"/>
      <c r="I497" s="1701"/>
    </row>
    <row r="498" spans="1:9" s="4" customFormat="1" ht="18" outlineLevel="1" x14ac:dyDescent="0.25">
      <c r="A498" s="115"/>
      <c r="B498" s="722" t="s">
        <v>4092</v>
      </c>
      <c r="C498" s="2012" t="s">
        <v>3423</v>
      </c>
      <c r="D498" s="2032" t="s">
        <v>4094</v>
      </c>
      <c r="E498" s="775">
        <f>((K_iO2_ASRO)/((K_iO2_ASRO)+(S_O2)))</f>
        <v>2.4390243902439029E-2</v>
      </c>
      <c r="F498" s="750" t="s">
        <v>282</v>
      </c>
      <c r="G498" s="750">
        <v>2</v>
      </c>
      <c r="H498" s="1436"/>
      <c r="I498" s="1701"/>
    </row>
    <row r="499" spans="1:9" ht="18" outlineLevel="1" x14ac:dyDescent="0.25">
      <c r="B499" s="722" t="s">
        <v>3424</v>
      </c>
      <c r="C499" s="2012" t="s">
        <v>3425</v>
      </c>
      <c r="D499" s="2032" t="s">
        <v>3426</v>
      </c>
      <c r="E499" s="775">
        <f>(MAX((S_SO4)-S_umo__MSatMin,0)/((K_SO4_ASRO)+(S_SO4)))</f>
        <v>0.47222222222222221</v>
      </c>
      <c r="F499" s="750" t="s">
        <v>282</v>
      </c>
      <c r="G499" s="750">
        <v>2</v>
      </c>
      <c r="H499" s="1436"/>
      <c r="I499" s="1701"/>
    </row>
    <row r="500" spans="1:9" s="702" customFormat="1" ht="18" outlineLevel="1" x14ac:dyDescent="0.25">
      <c r="A500" s="115"/>
      <c r="B500" s="722" t="s">
        <v>3427</v>
      </c>
      <c r="C500" s="2032" t="s">
        <v>3428</v>
      </c>
      <c r="D500" s="2032" t="s">
        <v>3429</v>
      </c>
      <c r="E500" s="775">
        <f>(MAX((S_VFA)-S_umo__MSatMin,0)/((K_VFA_ASRO)+(S_VFA)))</f>
        <v>9.9990000999900002E-5</v>
      </c>
      <c r="F500" s="750" t="s">
        <v>282</v>
      </c>
      <c r="G500" s="750">
        <v>2</v>
      </c>
      <c r="H500" s="1436"/>
      <c r="I500" s="1701"/>
    </row>
    <row r="501" spans="1:9" s="4" customFormat="1" ht="18" outlineLevel="1" x14ac:dyDescent="0.25">
      <c r="A501" s="115"/>
      <c r="B501" s="727" t="s">
        <v>3430</v>
      </c>
      <c r="C501" s="655" t="s">
        <v>3431</v>
      </c>
      <c r="D501" s="2096" t="s">
        <v>3432</v>
      </c>
      <c r="E501" s="776">
        <f>((K_iH2S_HSRO)/((K_iH2S_HSRO)+(S_H2S)))</f>
        <v>0.99999500002499986</v>
      </c>
      <c r="F501" s="777" t="s">
        <v>282</v>
      </c>
      <c r="G501" s="777">
        <v>2</v>
      </c>
      <c r="H501" s="1440"/>
      <c r="I501" s="1703"/>
    </row>
    <row r="502" spans="1:9" ht="18" outlineLevel="1" x14ac:dyDescent="0.25">
      <c r="B502" s="727" t="s">
        <v>4667</v>
      </c>
      <c r="C502" s="655" t="s">
        <v>3546</v>
      </c>
      <c r="D502" s="2096" t="s">
        <v>4600</v>
      </c>
      <c r="E502" s="776">
        <f>(MAX((S_NOx)-S_umo__MSatMin,0)/((K_NOx_HSRO)+(S_NOx)))</f>
        <v>0.99029126213592233</v>
      </c>
      <c r="F502" s="777" t="s">
        <v>282</v>
      </c>
      <c r="G502" s="777">
        <v>2</v>
      </c>
      <c r="H502" s="1440"/>
      <c r="I502" s="1703"/>
    </row>
    <row r="503" spans="1:9" ht="18" outlineLevel="1" x14ac:dyDescent="0.25">
      <c r="B503" s="727" t="s">
        <v>4668</v>
      </c>
      <c r="C503" s="655" t="s">
        <v>3433</v>
      </c>
      <c r="D503" s="2096" t="s">
        <v>4601</v>
      </c>
      <c r="E503" s="776">
        <f>((K_NOx_HSRO)/((K_NOx_HSRO)+(S_NOx)))</f>
        <v>9.7087378640776708E-3</v>
      </c>
      <c r="F503" s="777" t="s">
        <v>282</v>
      </c>
      <c r="G503" s="777">
        <v>2</v>
      </c>
      <c r="H503" s="1440"/>
      <c r="I503" s="1703"/>
    </row>
    <row r="504" spans="1:9" ht="18" outlineLevel="1" x14ac:dyDescent="0.25">
      <c r="B504" s="727" t="s">
        <v>4095</v>
      </c>
      <c r="C504" s="655" t="s">
        <v>3544</v>
      </c>
      <c r="D504" s="2096" t="s">
        <v>4097</v>
      </c>
      <c r="E504" s="776">
        <f>(MAX((S_O2)-S_umo__MSatMin,0)/((K_iO2_HSRO)+(S_O2)))</f>
        <v>0.97560975609756106</v>
      </c>
      <c r="F504" s="777" t="s">
        <v>282</v>
      </c>
      <c r="G504" s="777">
        <v>2</v>
      </c>
      <c r="H504" s="1440"/>
      <c r="I504" s="1703"/>
    </row>
    <row r="505" spans="1:9" ht="18" outlineLevel="1" x14ac:dyDescent="0.25">
      <c r="B505" s="727" t="s">
        <v>4096</v>
      </c>
      <c r="C505" s="655" t="s">
        <v>3434</v>
      </c>
      <c r="D505" s="2096" t="s">
        <v>4098</v>
      </c>
      <c r="E505" s="776">
        <f>((K_iO2_HSRO)/((K_iO2_HSRO)+(S_O2)))</f>
        <v>2.4390243902439029E-2</v>
      </c>
      <c r="F505" s="777" t="s">
        <v>282</v>
      </c>
      <c r="G505" s="777">
        <v>2</v>
      </c>
      <c r="H505" s="1440"/>
      <c r="I505" s="1703"/>
    </row>
    <row r="506" spans="1:9" ht="18" outlineLevel="1" x14ac:dyDescent="0.25">
      <c r="B506" s="727" t="s">
        <v>3435</v>
      </c>
      <c r="C506" s="655" t="s">
        <v>3436</v>
      </c>
      <c r="D506" s="2096" t="s">
        <v>3437</v>
      </c>
      <c r="E506" s="776">
        <f>(MAX((S_H2)-S_umo__MSatMin,0)/((K_H2_HSRO)+(S_H2)))</f>
        <v>0.625</v>
      </c>
      <c r="F506" s="777" t="s">
        <v>282</v>
      </c>
      <c r="G506" s="777">
        <v>2</v>
      </c>
      <c r="H506" s="1440"/>
      <c r="I506" s="1703"/>
    </row>
    <row r="507" spans="1:9" ht="18" outlineLevel="1" x14ac:dyDescent="0.25">
      <c r="B507" s="727" t="s">
        <v>3438</v>
      </c>
      <c r="C507" s="655" t="s">
        <v>3439</v>
      </c>
      <c r="D507" s="2096" t="s">
        <v>3440</v>
      </c>
      <c r="E507" s="776">
        <f>(MAX((S_SO4)-S_umo__MSatMin,0)/((K_SO4_HSRO)+(S_SO4)))</f>
        <v>0.47222222222222221</v>
      </c>
      <c r="F507" s="777" t="s">
        <v>282</v>
      </c>
      <c r="G507" s="777">
        <v>2</v>
      </c>
      <c r="H507" s="1440"/>
      <c r="I507" s="1703"/>
    </row>
    <row r="508" spans="1:9" s="4" customFormat="1" ht="18" outlineLevel="1" x14ac:dyDescent="0.25">
      <c r="A508" s="115"/>
      <c r="B508" s="730" t="s">
        <v>3441</v>
      </c>
      <c r="C508" s="679" t="s">
        <v>3442</v>
      </c>
      <c r="D508" s="2097" t="s">
        <v>3443</v>
      </c>
      <c r="E508" s="778">
        <f>((S_H2S)/((K_H2S_SOO)+(S_H2S)+((S_H2S)^2/(K_iH2S_SOO))))</f>
        <v>9.9009778453244494E-3</v>
      </c>
      <c r="F508" s="779" t="s">
        <v>282</v>
      </c>
      <c r="G508" s="779">
        <v>2</v>
      </c>
      <c r="H508" s="1449"/>
      <c r="I508" s="1707"/>
    </row>
    <row r="509" spans="1:9" s="4" customFormat="1" ht="18" outlineLevel="1" x14ac:dyDescent="0.25">
      <c r="A509" s="115"/>
      <c r="B509" s="730" t="s">
        <v>3444</v>
      </c>
      <c r="C509" s="679" t="s">
        <v>3445</v>
      </c>
      <c r="D509" s="2097" t="s">
        <v>3446</v>
      </c>
      <c r="E509" s="778">
        <f>((K_iH2S_SOO)/((K_iH2S_SOO)+(S_H2S)))</f>
        <v>0.99987501562304704</v>
      </c>
      <c r="F509" s="779" t="s">
        <v>282</v>
      </c>
      <c r="G509" s="779">
        <v>2</v>
      </c>
      <c r="H509" s="1449"/>
      <c r="I509" s="1707"/>
    </row>
    <row r="510" spans="1:9" s="702" customFormat="1" ht="18" outlineLevel="1" x14ac:dyDescent="0.25">
      <c r="A510" s="115"/>
      <c r="B510" s="730" t="s">
        <v>3557</v>
      </c>
      <c r="C510" s="679" t="s">
        <v>3558</v>
      </c>
      <c r="D510" s="2097" t="s">
        <v>3560</v>
      </c>
      <c r="E510" s="778">
        <f>((K_NO3_H2S_SOO)/((K_NO3_H2S_SOO)+(S_NO3)))</f>
        <v>1.9607843137254905E-2</v>
      </c>
      <c r="F510" s="779" t="s">
        <v>282</v>
      </c>
      <c r="G510" s="779">
        <v>2</v>
      </c>
      <c r="H510" s="1449"/>
      <c r="I510" s="1707"/>
    </row>
    <row r="511" spans="1:9" s="702" customFormat="1" ht="18" outlineLevel="1" x14ac:dyDescent="0.25">
      <c r="A511" s="115"/>
      <c r="B511" s="730" t="s">
        <v>3447</v>
      </c>
      <c r="C511" s="679" t="s">
        <v>3448</v>
      </c>
      <c r="D511" s="2097" t="s">
        <v>3449</v>
      </c>
      <c r="E511" s="778">
        <f>((K_NO2_H2S_SOO)/((K_NO2_H2S_SOO)+(S_NO2)))</f>
        <v>0.5</v>
      </c>
      <c r="F511" s="779" t="s">
        <v>282</v>
      </c>
      <c r="G511" s="779">
        <v>2</v>
      </c>
      <c r="H511" s="1449"/>
      <c r="I511" s="1707"/>
    </row>
    <row r="512" spans="1:9" ht="18" outlineLevel="1" x14ac:dyDescent="0.25">
      <c r="B512" s="730" t="s">
        <v>3450</v>
      </c>
      <c r="C512" s="679" t="s">
        <v>3451</v>
      </c>
      <c r="D512" s="2097" t="s">
        <v>3452</v>
      </c>
      <c r="E512" s="778">
        <f>((K_NO2_S_SOO)/((K_NO2_S_SOO)+(S_NO2)))</f>
        <v>0.66666666666666663</v>
      </c>
      <c r="F512" s="779" t="s">
        <v>282</v>
      </c>
      <c r="G512" s="779">
        <v>2</v>
      </c>
      <c r="H512" s="1449"/>
      <c r="I512" s="1707"/>
    </row>
    <row r="513" spans="1:9" ht="18" outlineLevel="1" x14ac:dyDescent="0.25">
      <c r="B513" s="730" t="s">
        <v>3453</v>
      </c>
      <c r="C513" s="679" t="s">
        <v>3454</v>
      </c>
      <c r="D513" s="2097" t="s">
        <v>3455</v>
      </c>
      <c r="E513" s="778">
        <f>((K_O2_H2S_SOO)/((K_O2_H2S_SOO)+(S_O2)))</f>
        <v>0.33333333333333331</v>
      </c>
      <c r="F513" s="779" t="s">
        <v>282</v>
      </c>
      <c r="G513" s="779">
        <v>2</v>
      </c>
      <c r="H513" s="1449"/>
      <c r="I513" s="1707"/>
    </row>
    <row r="514" spans="1:9" ht="18" outlineLevel="1" x14ac:dyDescent="0.25">
      <c r="B514" s="730" t="s">
        <v>3456</v>
      </c>
      <c r="C514" s="679" t="s">
        <v>3457</v>
      </c>
      <c r="D514" s="2097" t="s">
        <v>3458</v>
      </c>
      <c r="E514" s="778">
        <f>((K_O2_S_SOO)/((K_O2_S_SOO)+(S_O2)))</f>
        <v>0.5</v>
      </c>
      <c r="F514" s="779" t="s">
        <v>282</v>
      </c>
      <c r="G514" s="779">
        <v>2</v>
      </c>
      <c r="H514" s="1449"/>
      <c r="I514" s="1707"/>
    </row>
    <row r="515" spans="1:9" s="702" customFormat="1" ht="18" outlineLevel="1" x14ac:dyDescent="0.25">
      <c r="A515" s="115"/>
      <c r="B515" s="730" t="s">
        <v>3459</v>
      </c>
      <c r="C515" s="679" t="s">
        <v>3460</v>
      </c>
      <c r="D515" s="2097" t="s">
        <v>3461</v>
      </c>
      <c r="E515" s="778">
        <f>(MAX((S_NO2)-S_umo__MSatMin,0)/((K_NO2_H2S_SOO)+(S_NO2)))</f>
        <v>0.5</v>
      </c>
      <c r="F515" s="779" t="s">
        <v>282</v>
      </c>
      <c r="G515" s="779">
        <v>2</v>
      </c>
      <c r="H515" s="1449"/>
      <c r="I515" s="1707"/>
    </row>
    <row r="516" spans="1:9" s="702" customFormat="1" ht="18" outlineLevel="1" x14ac:dyDescent="0.25">
      <c r="A516" s="115"/>
      <c r="B516" s="730" t="s">
        <v>3462</v>
      </c>
      <c r="C516" s="679" t="s">
        <v>3463</v>
      </c>
      <c r="D516" s="2097" t="s">
        <v>3464</v>
      </c>
      <c r="E516" s="778">
        <f>(MAX((S_NO2)-S_umo__MSatMin,0)/((K_NO2_S_SOO)+(S_NO2)))</f>
        <v>0.33333333333333331</v>
      </c>
      <c r="F516" s="779" t="s">
        <v>282</v>
      </c>
      <c r="G516" s="779">
        <v>2</v>
      </c>
      <c r="H516" s="1449"/>
      <c r="I516" s="1707"/>
    </row>
    <row r="517" spans="1:9" s="702" customFormat="1" ht="18" outlineLevel="1" x14ac:dyDescent="0.25">
      <c r="A517" s="115"/>
      <c r="B517" s="730" t="s">
        <v>3465</v>
      </c>
      <c r="C517" s="679" t="s">
        <v>3559</v>
      </c>
      <c r="D517" s="2097" t="s">
        <v>3466</v>
      </c>
      <c r="E517" s="778">
        <f>(MAX((S_NO3)-S_umo__MSatMin,0)/((K_NO3_H2S_SOO)+(S_NO3)))</f>
        <v>0.98039215686274517</v>
      </c>
      <c r="F517" s="779" t="s">
        <v>282</v>
      </c>
      <c r="G517" s="779">
        <v>2</v>
      </c>
      <c r="H517" s="1449"/>
      <c r="I517" s="1707"/>
    </row>
    <row r="518" spans="1:9" ht="18" outlineLevel="1" x14ac:dyDescent="0.25">
      <c r="B518" s="730" t="s">
        <v>3467</v>
      </c>
      <c r="C518" s="679" t="s">
        <v>3468</v>
      </c>
      <c r="D518" s="2097" t="s">
        <v>3469</v>
      </c>
      <c r="E518" s="778">
        <f>(MAX((S_NO3)-S_umo__MSatMin,0)/((K_NO3_S_SOO)+(S_NO3)))</f>
        <v>0.96153846153846145</v>
      </c>
      <c r="F518" s="779" t="s">
        <v>282</v>
      </c>
      <c r="G518" s="779">
        <v>2</v>
      </c>
      <c r="H518" s="1449"/>
      <c r="I518" s="1707"/>
    </row>
    <row r="519" spans="1:9" ht="18" outlineLevel="1" x14ac:dyDescent="0.25">
      <c r="B519" s="730" t="s">
        <v>3470</v>
      </c>
      <c r="C519" s="679" t="s">
        <v>3471</v>
      </c>
      <c r="D519" s="2097" t="s">
        <v>3472</v>
      </c>
      <c r="E519" s="778">
        <f>(MAX((S_O2)-S_umo__MSatMin,0)/((K_O2_H2S_SOO)+(S_O2)))</f>
        <v>0.66666666666666663</v>
      </c>
      <c r="F519" s="779" t="s">
        <v>282</v>
      </c>
      <c r="G519" s="779">
        <v>2</v>
      </c>
      <c r="H519" s="1449"/>
      <c r="I519" s="1707"/>
    </row>
    <row r="520" spans="1:9" ht="18" outlineLevel="1" x14ac:dyDescent="0.25">
      <c r="B520" s="730" t="s">
        <v>3473</v>
      </c>
      <c r="C520" s="679" t="s">
        <v>5354</v>
      </c>
      <c r="D520" s="2097" t="s">
        <v>3474</v>
      </c>
      <c r="E520" s="778">
        <f>(MAX((S_O2)-S_umo__MSatMin,0)/((K_O2_S_SOO)+(S_O2)))</f>
        <v>0.5</v>
      </c>
      <c r="F520" s="779" t="s">
        <v>282</v>
      </c>
      <c r="G520" s="779">
        <v>2</v>
      </c>
      <c r="H520" s="1449"/>
      <c r="I520" s="1707"/>
    </row>
    <row r="521" spans="1:9" ht="18" outlineLevel="1" x14ac:dyDescent="0.25">
      <c r="B521" s="730" t="s">
        <v>3475</v>
      </c>
      <c r="C521" s="679" t="s">
        <v>3476</v>
      </c>
      <c r="D521" s="2097" t="s">
        <v>3477</v>
      </c>
      <c r="E521" s="778">
        <f>(MAX((X_S)-S_umo__MSatMin,0)/((K_S_SOO)+(X_S)))</f>
        <v>1.9607843137254902E-2</v>
      </c>
      <c r="F521" s="779" t="s">
        <v>282</v>
      </c>
      <c r="G521" s="779">
        <v>2</v>
      </c>
      <c r="H521" s="1449"/>
      <c r="I521" s="1707"/>
    </row>
    <row r="522" spans="1:9" ht="18" outlineLevel="1" x14ac:dyDescent="0.25">
      <c r="B522" s="2346" t="s">
        <v>5246</v>
      </c>
      <c r="C522" s="2347" t="s">
        <v>5247</v>
      </c>
      <c r="D522" s="2347" t="s">
        <v>5248</v>
      </c>
      <c r="E522" s="2348">
        <f>(MAX((S_CO2)-S_umo__MSatMin,0)/((K_CO2_ALGAE)+(S_CO2)))</f>
        <v>0.88095238095238093</v>
      </c>
      <c r="F522" s="2348" t="s">
        <v>282</v>
      </c>
      <c r="G522" s="2348">
        <v>2</v>
      </c>
      <c r="H522" s="2601"/>
      <c r="I522" s="2350"/>
    </row>
    <row r="523" spans="1:9" ht="18" outlineLevel="1" x14ac:dyDescent="0.25">
      <c r="B523" s="2346" t="s">
        <v>5249</v>
      </c>
      <c r="C523" s="2347" t="s">
        <v>5305</v>
      </c>
      <c r="D523" s="2347" t="s">
        <v>5250</v>
      </c>
      <c r="E523" s="2348">
        <f>(MAX((S_NOx)-S_umo__MSatMin,0)/((K_NOx_ALGAE)+(S_NOx)))</f>
        <v>0.9107142857142857</v>
      </c>
      <c r="F523" s="2348" t="s">
        <v>282</v>
      </c>
      <c r="G523" s="2348">
        <v>2</v>
      </c>
      <c r="H523" s="2601"/>
      <c r="I523" s="2350"/>
    </row>
    <row r="524" spans="1:9" ht="18" outlineLevel="1" x14ac:dyDescent="0.25">
      <c r="B524" s="2346" t="s">
        <v>5283</v>
      </c>
      <c r="C524" s="2347" t="s">
        <v>5306</v>
      </c>
      <c r="D524" s="2347" t="s">
        <v>5284</v>
      </c>
      <c r="E524" s="2348">
        <f>(MAX((S_NHx)-S_umo__MSatMin,0)/((K_NHx_ALGAE)+(S_NHx)))</f>
        <v>0.58823529411764708</v>
      </c>
      <c r="F524" s="2348" t="s">
        <v>282</v>
      </c>
      <c r="G524" s="2348">
        <v>2</v>
      </c>
      <c r="H524" s="2601"/>
      <c r="I524" s="2350"/>
    </row>
    <row r="525" spans="1:9" ht="18" outlineLevel="1" x14ac:dyDescent="0.25">
      <c r="B525" s="2346" t="s">
        <v>5251</v>
      </c>
      <c r="C525" s="2347" t="s">
        <v>5252</v>
      </c>
      <c r="D525" s="2347" t="s">
        <v>5253</v>
      </c>
      <c r="E525" s="2348">
        <f>(MAX((S_O2)-S_umo__MSatMin,0)/((K_O2_ALGAE)+(S_O2)))</f>
        <v>0.97560975609756106</v>
      </c>
      <c r="F525" s="2348" t="s">
        <v>282</v>
      </c>
      <c r="G525" s="2348">
        <v>2</v>
      </c>
      <c r="H525" s="2601"/>
      <c r="I525" s="2350"/>
    </row>
    <row r="526" spans="1:9" ht="18" outlineLevel="1" x14ac:dyDescent="0.25">
      <c r="B526" s="2346" t="s">
        <v>5254</v>
      </c>
      <c r="C526" s="2347" t="s">
        <v>5255</v>
      </c>
      <c r="D526" s="2347" t="s">
        <v>5256</v>
      </c>
      <c r="E526" s="2348">
        <f>((K_O2_ALGAE)/((K_O2_ALGAE)+(S_O2)))</f>
        <v>2.4390243902439029E-2</v>
      </c>
      <c r="F526" s="2348" t="s">
        <v>282</v>
      </c>
      <c r="G526" s="2348">
        <v>2</v>
      </c>
      <c r="H526" s="2601"/>
      <c r="I526" s="2350"/>
    </row>
    <row r="527" spans="1:9" ht="18" outlineLevel="1" x14ac:dyDescent="0.25">
      <c r="B527" s="2346" t="s">
        <v>5257</v>
      </c>
      <c r="C527" s="2347" t="s">
        <v>5258</v>
      </c>
      <c r="D527" s="2347" t="s">
        <v>5259</v>
      </c>
      <c r="E527" s="2348">
        <f>((K_iNHx_ALGAE)/((K_iNHx_ALGAE)+(S_NHx)))</f>
        <v>0.33333333333333331</v>
      </c>
      <c r="F527" s="2348" t="s">
        <v>282</v>
      </c>
      <c r="G527" s="2348">
        <v>2</v>
      </c>
      <c r="H527" s="2601"/>
      <c r="I527" s="2350"/>
    </row>
    <row r="528" spans="1:9" ht="18" outlineLevel="1" x14ac:dyDescent="0.25">
      <c r="B528" s="569" t="s">
        <v>2783</v>
      </c>
      <c r="C528" s="2033" t="s">
        <v>2921</v>
      </c>
      <c r="D528" s="2033" t="s">
        <v>2784</v>
      </c>
      <c r="E528" s="328">
        <f>((K_iNHx_ASSIM)/((K_iNHx_ASSIM)+(S_NHx)))</f>
        <v>4.9975012493753133E-4</v>
      </c>
      <c r="F528" s="328" t="s">
        <v>282</v>
      </c>
      <c r="G528" s="328">
        <v>2</v>
      </c>
      <c r="H528" s="2561"/>
      <c r="I528" s="387"/>
    </row>
    <row r="529" spans="2:9" ht="30" outlineLevel="1" x14ac:dyDescent="0.25">
      <c r="B529" s="2703" t="s">
        <v>5396</v>
      </c>
      <c r="C529" s="2704" t="s">
        <v>5397</v>
      </c>
      <c r="D529" s="2704" t="s">
        <v>5398</v>
      </c>
      <c r="E529" s="2705">
        <f>(MAX((C_B)-S_umo__MSatMin,0)/((K_CB_FLOC)+(C_B)))</f>
        <v>1.9960079840319364E-3</v>
      </c>
      <c r="F529" s="2705" t="s">
        <v>282</v>
      </c>
      <c r="G529" s="2705">
        <v>2</v>
      </c>
      <c r="H529" s="2450"/>
      <c r="I529" s="2706"/>
    </row>
    <row r="530" spans="2:9" ht="30" outlineLevel="1" x14ac:dyDescent="0.25">
      <c r="B530" s="2703" t="s">
        <v>5399</v>
      </c>
      <c r="C530" s="2704" t="s">
        <v>5400</v>
      </c>
      <c r="D530" s="2704" t="s">
        <v>5401</v>
      </c>
      <c r="E530" s="2705">
        <f>(MAX((C_U)-S_umo__MSatMin,0)/((K_CU_FLOC)+(C_U)))</f>
        <v>9.9009900990099011E-3</v>
      </c>
      <c r="F530" s="2705" t="s">
        <v>282</v>
      </c>
      <c r="G530" s="2705">
        <v>2</v>
      </c>
      <c r="H530" s="2450"/>
      <c r="I530" s="2706"/>
    </row>
    <row r="531" spans="2:9" ht="30" outlineLevel="1" x14ac:dyDescent="0.25">
      <c r="B531" s="2864" t="s">
        <v>5565</v>
      </c>
      <c r="C531" s="2865" t="s">
        <v>5566</v>
      </c>
      <c r="D531" s="2865" t="s">
        <v>5567</v>
      </c>
      <c r="E531" s="2866">
        <f>(MAX((C_B)-S_umo__MSatMin,0)/((K_CB_FLOC_HFO)+(C_B)))</f>
        <v>1.9960079840319364E-3</v>
      </c>
      <c r="F531" s="2866" t="s">
        <v>282</v>
      </c>
      <c r="G531" s="2866">
        <v>2</v>
      </c>
      <c r="H531" s="2867"/>
      <c r="I531" s="2868"/>
    </row>
    <row r="532" spans="2:9" ht="30" outlineLevel="1" x14ac:dyDescent="0.25">
      <c r="B532" s="2864" t="s">
        <v>5568</v>
      </c>
      <c r="C532" s="2865" t="s">
        <v>5569</v>
      </c>
      <c r="D532" s="2865" t="s">
        <v>5570</v>
      </c>
      <c r="E532" s="2866">
        <f>(MAX((C_U)-S_umo__MSatMin,0)/((K_CU_FLOC_HFO)+(C_U)))</f>
        <v>9.9009900990099011E-3</v>
      </c>
      <c r="F532" s="2866" t="s">
        <v>282</v>
      </c>
      <c r="G532" s="2866">
        <v>2</v>
      </c>
      <c r="H532" s="2867"/>
      <c r="I532" s="2868"/>
    </row>
    <row r="533" spans="2:9" ht="30" outlineLevel="1" x14ac:dyDescent="0.25">
      <c r="B533" s="2864" t="s">
        <v>5571</v>
      </c>
      <c r="C533" s="2865" t="s">
        <v>5572</v>
      </c>
      <c r="D533" s="2865" t="s">
        <v>5573</v>
      </c>
      <c r="E533" s="2866">
        <f>(MAX((C_B)-S_umo__MSatMin,0)/((K_CB_FLOC_HAO)+(C_B)))</f>
        <v>1.9960079840319364E-3</v>
      </c>
      <c r="F533" s="2866" t="s">
        <v>282</v>
      </c>
      <c r="G533" s="2866">
        <v>2</v>
      </c>
      <c r="H533" s="2867"/>
      <c r="I533" s="2868"/>
    </row>
    <row r="534" spans="2:9" ht="30" outlineLevel="1" x14ac:dyDescent="0.25">
      <c r="B534" s="2864" t="s">
        <v>5574</v>
      </c>
      <c r="C534" s="2865" t="s">
        <v>5575</v>
      </c>
      <c r="D534" s="2865" t="s">
        <v>5576</v>
      </c>
      <c r="E534" s="2866">
        <f>(MAX((C_U)-S_umo__MSatMin,0)/((K_CU_FLOC_HAO)+(C_U)))</f>
        <v>9.9009900990099011E-3</v>
      </c>
      <c r="F534" s="2866" t="s">
        <v>282</v>
      </c>
      <c r="G534" s="2866">
        <v>2</v>
      </c>
      <c r="H534" s="2867"/>
      <c r="I534" s="2868"/>
    </row>
    <row r="535" spans="2:9" ht="18" outlineLevel="1" x14ac:dyDescent="0.25">
      <c r="B535" s="325" t="s">
        <v>5309</v>
      </c>
      <c r="C535" s="2033" t="s">
        <v>2785</v>
      </c>
      <c r="D535" s="2098" t="s">
        <v>5311</v>
      </c>
      <c r="E535" s="328">
        <f>(((X_B)/(X_HET))/((X_B)/(X_HET)+(K_HYD)))</f>
        <v>0.21869874248223073</v>
      </c>
      <c r="F535" s="328" t="s">
        <v>282</v>
      </c>
      <c r="G535" s="328">
        <v>2</v>
      </c>
      <c r="H535" s="2561"/>
      <c r="I535" s="387"/>
    </row>
    <row r="536" spans="2:9" ht="30" outlineLevel="1" x14ac:dyDescent="0.25">
      <c r="B536" s="325" t="s">
        <v>5905</v>
      </c>
      <c r="C536" s="2033" t="s">
        <v>5906</v>
      </c>
      <c r="D536" s="2098" t="s">
        <v>5907</v>
      </c>
      <c r="E536" s="328">
        <f>(((X_B_e)/(X_HET))/((X_B_e)/(X_HET)+(K_HYD)))</f>
        <v>0.56514367691170719</v>
      </c>
      <c r="F536" s="328" t="s">
        <v>282</v>
      </c>
      <c r="G536" s="328">
        <v>2</v>
      </c>
      <c r="H536" s="2561"/>
      <c r="I536" s="387"/>
    </row>
    <row r="537" spans="2:9" ht="18" outlineLevel="1" x14ac:dyDescent="0.25">
      <c r="B537" s="327" t="s">
        <v>5310</v>
      </c>
      <c r="C537" s="2033" t="s">
        <v>2786</v>
      </c>
      <c r="D537" s="2098" t="s">
        <v>5312</v>
      </c>
      <c r="E537" s="328">
        <f>(((X_E_ana)/(X_HET))/((X_E_ana)/(X_HET)+(K_HYD)))</f>
        <v>1.9954105557218401E-3</v>
      </c>
      <c r="F537" s="328" t="s">
        <v>282</v>
      </c>
      <c r="G537" s="328">
        <v>2</v>
      </c>
      <c r="H537" s="2561"/>
      <c r="I537" s="387"/>
    </row>
    <row r="538" spans="2:9" ht="30" outlineLevel="1" x14ac:dyDescent="0.25">
      <c r="B538" s="2703" t="s">
        <v>5402</v>
      </c>
      <c r="C538" s="2704" t="s">
        <v>5403</v>
      </c>
      <c r="D538" s="2704" t="s">
        <v>5404</v>
      </c>
      <c r="E538" s="2705">
        <f>(MAX((X_B)-S_umo__MSatMin,0)/((K_XB_HYD)+(X_B)))</f>
        <v>2.7237354085603113E-2</v>
      </c>
      <c r="F538" s="2705" t="s">
        <v>282</v>
      </c>
      <c r="G538" s="2705">
        <v>2</v>
      </c>
      <c r="H538" s="2450"/>
      <c r="I538" s="2706"/>
    </row>
    <row r="539" spans="2:9" ht="30" outlineLevel="1" x14ac:dyDescent="0.25">
      <c r="B539" s="325" t="s">
        <v>5908</v>
      </c>
      <c r="C539" s="2033" t="s">
        <v>5909</v>
      </c>
      <c r="D539" s="2098" t="s">
        <v>5910</v>
      </c>
      <c r="E539" s="328">
        <f>(MAX((X_B_e)-S_umo__MSatMin,0)/((K_XBe_HYD)+(X_B_e)))</f>
        <v>0.11504424778761062</v>
      </c>
      <c r="F539" s="328" t="s">
        <v>282</v>
      </c>
      <c r="G539" s="328">
        <v>2</v>
      </c>
      <c r="H539" s="2561"/>
      <c r="I539" s="387"/>
    </row>
    <row r="540" spans="2:9" ht="30" outlineLevel="1" x14ac:dyDescent="0.25">
      <c r="B540" s="2703" t="s">
        <v>5405</v>
      </c>
      <c r="C540" s="2704" t="s">
        <v>5406</v>
      </c>
      <c r="D540" s="2704" t="s">
        <v>5407</v>
      </c>
      <c r="E540" s="2705">
        <f>(MAX((X_E_ana)-S_umo__MSatMin,0)/((K_XEana_HYD)+(X_E_ana)))</f>
        <v>1.9996000799840031E-4</v>
      </c>
      <c r="F540" s="2705" t="s">
        <v>282</v>
      </c>
      <c r="G540" s="2705">
        <v>2</v>
      </c>
      <c r="H540" s="2450"/>
      <c r="I540" s="2706"/>
    </row>
    <row r="541" spans="2:9" ht="18" outlineLevel="1" x14ac:dyDescent="0.25">
      <c r="B541" s="2703" t="s">
        <v>5408</v>
      </c>
      <c r="C541" s="2704" t="s">
        <v>5486</v>
      </c>
      <c r="D541" s="2704" t="s">
        <v>5409</v>
      </c>
      <c r="E541" s="2705">
        <f>((-1)*(2/((X_HET_HYD_lim)*(L_ograngeXHET_HYD_lim)))*LN((1/19)*(1+(1/2)*((X_HET_HYD_lim)*(L_ograngeXHET_HYD_lim)/(X_HET_HYD_lim)))))</f>
        <v>0.11582595259988035</v>
      </c>
      <c r="F541" s="2705" t="s">
        <v>1180</v>
      </c>
      <c r="G541" s="2705">
        <v>1</v>
      </c>
      <c r="H541" s="2450"/>
      <c r="I541" s="2706" t="s">
        <v>5053</v>
      </c>
    </row>
    <row r="542" spans="2:9" ht="18" outlineLevel="1" x14ac:dyDescent="0.25">
      <c r="B542" s="2703" t="s">
        <v>5410</v>
      </c>
      <c r="C542" s="2704" t="s">
        <v>5411</v>
      </c>
      <c r="D542" s="2704" t="s">
        <v>5412</v>
      </c>
      <c r="E542" s="2705">
        <f>((X_HET)/((X_HET)+(X_HET_HYD_lim)*EXP(((X_HET_HYD_lim)-(X_HET))*(L_ogslopeXHET_HYD_lim))))</f>
        <v>1</v>
      </c>
      <c r="F542" s="2705" t="s">
        <v>282</v>
      </c>
      <c r="G542" s="2705">
        <v>2</v>
      </c>
      <c r="H542" s="2450"/>
      <c r="I542" s="2706"/>
    </row>
    <row r="543" spans="2:9" ht="18" outlineLevel="1" x14ac:dyDescent="0.25">
      <c r="B543" s="2703" t="s">
        <v>5413</v>
      </c>
      <c r="C543" s="2704" t="s">
        <v>5414</v>
      </c>
      <c r="D543" s="2704" t="s">
        <v>5415</v>
      </c>
      <c r="E543" s="2705">
        <f>(1-(X_HET)/((X_HET)+(X_HET_HYD_lim)*EXP(((X_HET_HYD_lim)-(X_HET))*(L_ogslopeXHET_HYD_lim))))</f>
        <v>0</v>
      </c>
      <c r="F543" s="2705" t="s">
        <v>282</v>
      </c>
      <c r="G543" s="2705">
        <v>2</v>
      </c>
      <c r="H543" s="2450"/>
      <c r="I543" s="2706"/>
    </row>
    <row r="544" spans="2:9" s="103" customFormat="1" ht="18" customHeight="1" outlineLevel="1" x14ac:dyDescent="0.25">
      <c r="B544" s="2280" t="s">
        <v>5186</v>
      </c>
      <c r="C544" s="2281" t="s">
        <v>5187</v>
      </c>
      <c r="D544" s="2282" t="s">
        <v>5188</v>
      </c>
      <c r="E544" s="2283">
        <f>(MAX((X_U)-S_umo__MSatMin,0)/((K_XU)+(X_U)))</f>
        <v>0.99009900990099009</v>
      </c>
      <c r="F544" s="2284" t="s">
        <v>282</v>
      </c>
      <c r="G544" s="2284">
        <v>2</v>
      </c>
      <c r="H544" s="2285"/>
      <c r="I544" s="2286"/>
    </row>
    <row r="545" spans="1:9" ht="18" outlineLevel="1" x14ac:dyDescent="0.25">
      <c r="B545" s="1265" t="s">
        <v>2372</v>
      </c>
      <c r="C545" s="2034" t="s">
        <v>2787</v>
      </c>
      <c r="D545" s="2099" t="s">
        <v>2373</v>
      </c>
      <c r="E545" s="504">
        <f>(MAX((S_NO2)-S_umo__MSatMin,0)/((K_NO2_ASSIM)+(S_NO2)))</f>
        <v>0.99009900990099009</v>
      </c>
      <c r="F545" s="320" t="s">
        <v>282</v>
      </c>
      <c r="G545" s="320">
        <v>2</v>
      </c>
      <c r="H545" s="2656"/>
      <c r="I545" s="1968"/>
    </row>
    <row r="546" spans="1:9" ht="18" outlineLevel="1" x14ac:dyDescent="0.25">
      <c r="B546" s="1265" t="s">
        <v>2374</v>
      </c>
      <c r="C546" s="2034" t="s">
        <v>2788</v>
      </c>
      <c r="D546" s="2099" t="s">
        <v>2375</v>
      </c>
      <c r="E546" s="388">
        <f>(MAX((S_NO3)-S_umo__MSatMin,0)/((K_NO3_ASSIM)+(S_NO3)))</f>
        <v>0.99980003999200151</v>
      </c>
      <c r="F546" s="388" t="s">
        <v>282</v>
      </c>
      <c r="G546" s="388">
        <v>2</v>
      </c>
      <c r="H546" s="2586"/>
      <c r="I546" s="389"/>
    </row>
    <row r="547" spans="1:9" ht="18" outlineLevel="1" x14ac:dyDescent="0.25">
      <c r="B547" s="319" t="s">
        <v>2370</v>
      </c>
      <c r="C547" s="1654" t="s">
        <v>2789</v>
      </c>
      <c r="D547" s="2100" t="s">
        <v>2371</v>
      </c>
      <c r="E547" s="503">
        <f>((K_NO2_ASSIM)/((K_NO2_ASSIM)+(S_NO2)))</f>
        <v>9.9009900990099011E-3</v>
      </c>
      <c r="F547" s="388" t="s">
        <v>282</v>
      </c>
      <c r="G547" s="388">
        <v>2</v>
      </c>
      <c r="H547" s="2586"/>
      <c r="I547" s="389"/>
    </row>
    <row r="548" spans="1:9" s="4" customFormat="1" ht="18" outlineLevel="1" x14ac:dyDescent="0.25">
      <c r="A548" s="115"/>
      <c r="B548" s="733" t="s">
        <v>3478</v>
      </c>
      <c r="C548" s="2035" t="s">
        <v>3479</v>
      </c>
      <c r="D548" s="2035" t="s">
        <v>3480</v>
      </c>
      <c r="E548" s="751">
        <f>((K_iSO4_ASSIM)/((K_iSO4_ASSIM)+(S_SO4)))</f>
        <v>2.9410899679421197E-5</v>
      </c>
      <c r="F548" s="568" t="s">
        <v>282</v>
      </c>
      <c r="G548" s="568">
        <v>2</v>
      </c>
      <c r="H548" s="2657"/>
      <c r="I548" s="1919"/>
    </row>
    <row r="549" spans="1:9" ht="18" outlineLevel="1" x14ac:dyDescent="0.25">
      <c r="B549" s="733" t="s">
        <v>3481</v>
      </c>
      <c r="C549" s="2035" t="s">
        <v>3482</v>
      </c>
      <c r="D549" s="2035" t="s">
        <v>3483</v>
      </c>
      <c r="E549" s="751">
        <f>(MAX((S_H2S)-S_umo__MSatMin,0)/((K_H2S_ASSIM)+(S_H2S)))</f>
        <v>0.90909090909090917</v>
      </c>
      <c r="F549" s="568" t="s">
        <v>282</v>
      </c>
      <c r="G549" s="568">
        <v>2</v>
      </c>
      <c r="H549" s="2657"/>
      <c r="I549" s="1919"/>
    </row>
    <row r="550" spans="1:9" ht="18" outlineLevel="1" x14ac:dyDescent="0.25">
      <c r="B550" s="1140" t="s">
        <v>4650</v>
      </c>
      <c r="C550" s="2036" t="s">
        <v>2790</v>
      </c>
      <c r="D550" s="2036" t="s">
        <v>5031</v>
      </c>
      <c r="E550" s="1142">
        <f>(1-(S_PO4)/((S_PO4)+(K_iP_HFO_DISS)*EXP(((K_iP_HFO_DISS)-(S_PO4))*(L_ogslopeP_HFO_DISS))))</f>
        <v>0</v>
      </c>
      <c r="F550" s="1142" t="s">
        <v>282</v>
      </c>
      <c r="G550" s="1142">
        <v>2</v>
      </c>
      <c r="H550" s="2658"/>
      <c r="I550" s="1143"/>
    </row>
    <row r="551" spans="1:9" ht="18" outlineLevel="1" x14ac:dyDescent="0.25">
      <c r="B551" s="1140" t="s">
        <v>4651</v>
      </c>
      <c r="C551" s="2036" t="s">
        <v>3895</v>
      </c>
      <c r="D551" s="2036" t="s">
        <v>4652</v>
      </c>
      <c r="E551" s="1142">
        <f>((K_iP_HFO_DESORP)/((K_iP_HFO_DESORP)+(S_PO4)))</f>
        <v>0.16666666666666669</v>
      </c>
      <c r="F551" s="1142" t="s">
        <v>282</v>
      </c>
      <c r="G551" s="1142">
        <v>2</v>
      </c>
      <c r="H551" s="2658"/>
      <c r="I551" s="1143"/>
    </row>
    <row r="552" spans="1:9" ht="18" outlineLevel="1" x14ac:dyDescent="0.25">
      <c r="B552" s="1140" t="s">
        <v>4653</v>
      </c>
      <c r="C552" s="2037" t="s">
        <v>2791</v>
      </c>
      <c r="D552" s="2037" t="s">
        <v>4654</v>
      </c>
      <c r="E552" s="1142">
        <f>(MAX((S_PO4)-S_umo__MSatMin,0)/((K_P_HFO_BIND)+(S_PO4)))</f>
        <v>0.83333333333333337</v>
      </c>
      <c r="F552" s="1142" t="s">
        <v>282</v>
      </c>
      <c r="G552" s="1142">
        <v>2</v>
      </c>
      <c r="H552" s="2658"/>
      <c r="I552" s="1089"/>
    </row>
    <row r="553" spans="1:9" ht="18" outlineLevel="1" x14ac:dyDescent="0.25">
      <c r="B553" s="1140" t="s">
        <v>4605</v>
      </c>
      <c r="C553" s="2036" t="s">
        <v>4606</v>
      </c>
      <c r="D553" s="2036" t="s">
        <v>5032</v>
      </c>
      <c r="E553" s="1142">
        <f>(1-(S_PO4)/((S_PO4)+(K_iP_HAO_DISS)*EXP(((K_iP_HAO_DISS)-(S_PO4))*(L_ogslopeP_HAO_DISS))))</f>
        <v>0</v>
      </c>
      <c r="F553" s="1142" t="s">
        <v>282</v>
      </c>
      <c r="G553" s="1142">
        <v>2</v>
      </c>
      <c r="H553" s="2658"/>
      <c r="I553" s="1143"/>
    </row>
    <row r="554" spans="1:9" ht="18" outlineLevel="1" x14ac:dyDescent="0.25">
      <c r="B554" s="1140" t="s">
        <v>4607</v>
      </c>
      <c r="C554" s="2036" t="s">
        <v>4608</v>
      </c>
      <c r="D554" s="2036" t="s">
        <v>4609</v>
      </c>
      <c r="E554" s="1142">
        <f>((K_iP_HAO_DESORP)/((K_iP_HAO_DESORP)+(S_PO4)))</f>
        <v>0.16666666666666669</v>
      </c>
      <c r="F554" s="1142" t="s">
        <v>282</v>
      </c>
      <c r="G554" s="1142">
        <v>2</v>
      </c>
      <c r="H554" s="2658"/>
      <c r="I554" s="1143"/>
    </row>
    <row r="555" spans="1:9" ht="18" outlineLevel="1" x14ac:dyDescent="0.25">
      <c r="B555" s="1140" t="s">
        <v>4610</v>
      </c>
      <c r="C555" s="2037" t="s">
        <v>4611</v>
      </c>
      <c r="D555" s="2037" t="s">
        <v>4612</v>
      </c>
      <c r="E555" s="1142">
        <f>(MAX((S_PO4)-S_umo__MSatMin,0)/((K_P_HAO_BIND)+(S_PO4)))</f>
        <v>0.83333333333333337</v>
      </c>
      <c r="F555" s="1142" t="s">
        <v>282</v>
      </c>
      <c r="G555" s="1142">
        <v>2</v>
      </c>
      <c r="H555" s="2658"/>
      <c r="I555" s="1089"/>
    </row>
    <row r="556" spans="1:9" ht="18" outlineLevel="1" x14ac:dyDescent="0.25">
      <c r="B556" s="509" t="s">
        <v>3484</v>
      </c>
      <c r="C556" s="2038" t="s">
        <v>3485</v>
      </c>
      <c r="D556" s="2038" t="s">
        <v>3486</v>
      </c>
      <c r="E556" s="388">
        <f>((K_iSO4_RED)/((K_iSO4_RED)+(S_SO4)))</f>
        <v>1.1627906976744188E-2</v>
      </c>
      <c r="F556" s="388" t="s">
        <v>282</v>
      </c>
      <c r="G556" s="388">
        <v>2</v>
      </c>
      <c r="H556" s="2586"/>
      <c r="I556" s="389"/>
    </row>
    <row r="557" spans="1:9" ht="18" outlineLevel="1" x14ac:dyDescent="0.25">
      <c r="B557" s="734" t="s">
        <v>2792</v>
      </c>
      <c r="C557" s="2039" t="s">
        <v>2793</v>
      </c>
      <c r="D557" s="2039" t="s">
        <v>2794</v>
      </c>
      <c r="E557" s="787">
        <f>(MAX((X_ACP)-S_umo__MSatMin,0)/((K_ACP_DISS)+(X_ACP)))</f>
        <v>0</v>
      </c>
      <c r="F557" s="788" t="s">
        <v>282</v>
      </c>
      <c r="G557" s="788">
        <v>2</v>
      </c>
      <c r="H557" s="2659"/>
      <c r="I557" s="789"/>
    </row>
    <row r="558" spans="1:9" ht="18" outlineLevel="1" x14ac:dyDescent="0.25">
      <c r="B558" s="734" t="s">
        <v>4602</v>
      </c>
      <c r="C558" s="2039" t="s">
        <v>4603</v>
      </c>
      <c r="D558" s="2039" t="s">
        <v>4604</v>
      </c>
      <c r="E558" s="787">
        <f>(MAX((X_BSH)-S_umo__MSatMin,0)/((K_BSH_DISS)+(X_BSH)))</f>
        <v>0</v>
      </c>
      <c r="F558" s="788" t="s">
        <v>282</v>
      </c>
      <c r="G558" s="788">
        <v>2</v>
      </c>
      <c r="H558" s="2659"/>
      <c r="I558" s="789"/>
    </row>
    <row r="559" spans="1:9" ht="18" outlineLevel="1" x14ac:dyDescent="0.25">
      <c r="B559" s="734" t="s">
        <v>2795</v>
      </c>
      <c r="C559" s="2039" t="s">
        <v>2796</v>
      </c>
      <c r="D559" s="2039" t="s">
        <v>2797</v>
      </c>
      <c r="E559" s="787">
        <f>(MAX((X_CaCO3)-S_umo__MSatMin,0)/((K_CaCO3_DISS)+(X_CaCO3)))</f>
        <v>0</v>
      </c>
      <c r="F559" s="788" t="s">
        <v>282</v>
      </c>
      <c r="G559" s="788">
        <v>2</v>
      </c>
      <c r="H559" s="2659"/>
      <c r="I559" s="789"/>
    </row>
    <row r="560" spans="1:9" ht="18" outlineLevel="1" x14ac:dyDescent="0.25">
      <c r="B560" s="734" t="s">
        <v>3547</v>
      </c>
      <c r="C560" s="2039" t="s">
        <v>3548</v>
      </c>
      <c r="D560" s="2039" t="s">
        <v>3549</v>
      </c>
      <c r="E560" s="787">
        <f>(MAX((X_FeS)-S_umo__MSatMin,0)/((K_FeS_DISS)+(X_FeS)))</f>
        <v>0</v>
      </c>
      <c r="F560" s="788" t="s">
        <v>282</v>
      </c>
      <c r="G560" s="788">
        <v>2</v>
      </c>
      <c r="H560" s="2659"/>
      <c r="I560" s="789"/>
    </row>
    <row r="561" spans="2:9" ht="18" outlineLevel="1" x14ac:dyDescent="0.25">
      <c r="B561" s="734" t="s">
        <v>2798</v>
      </c>
      <c r="C561" s="2039" t="s">
        <v>2799</v>
      </c>
      <c r="D561" s="2039" t="s">
        <v>2800</v>
      </c>
      <c r="E561" s="787">
        <f>(MAX((X_STR)-S_umo__MSatMin,0)/((K_STR_DISS)+(X_STR)))</f>
        <v>0</v>
      </c>
      <c r="F561" s="788" t="s">
        <v>282</v>
      </c>
      <c r="G561" s="788">
        <v>2</v>
      </c>
      <c r="H561" s="2659"/>
      <c r="I561" s="789"/>
    </row>
    <row r="562" spans="2:9" ht="18" outlineLevel="1" x14ac:dyDescent="0.25">
      <c r="B562" s="734" t="s">
        <v>2801</v>
      </c>
      <c r="C562" s="2039" t="s">
        <v>2802</v>
      </c>
      <c r="D562" s="2039" t="s">
        <v>2803</v>
      </c>
      <c r="E562" s="787">
        <f>(MAX((X_Vivi)-S_umo__MSatMin,0)/((K_Vivi_DISS)+(X_Vivi)))</f>
        <v>0</v>
      </c>
      <c r="F562" s="788" t="s">
        <v>282</v>
      </c>
      <c r="G562" s="788">
        <v>2</v>
      </c>
      <c r="H562" s="2659"/>
      <c r="I562" s="789"/>
    </row>
    <row r="563" spans="2:9" ht="18.75" outlineLevel="1" thickBot="1" x14ac:dyDescent="0.3">
      <c r="B563" s="752" t="s">
        <v>3487</v>
      </c>
      <c r="C563" s="2040" t="s">
        <v>3488</v>
      </c>
      <c r="D563" s="2040" t="s">
        <v>3489</v>
      </c>
      <c r="E563" s="753">
        <f>(MAX((T_KN_B)-S_umo__MSatMin,0)/((K_TKN_B)+(T_KN_B)))</f>
        <v>0.48161038769840725</v>
      </c>
      <c r="F563" s="780"/>
      <c r="G563" s="780">
        <v>2</v>
      </c>
      <c r="H563" s="2660"/>
      <c r="I563" s="1920"/>
    </row>
    <row r="564" spans="2:9" ht="15.75" thickBot="1" x14ac:dyDescent="0.3">
      <c r="B564" s="151"/>
      <c r="D564" s="390"/>
      <c r="E564" s="719"/>
      <c r="F564" s="151"/>
      <c r="G564" s="151"/>
      <c r="H564" s="44"/>
      <c r="I564" s="151"/>
    </row>
    <row r="565" spans="2:9" ht="15.75" thickBot="1" x14ac:dyDescent="0.3">
      <c r="C565" s="912" t="s">
        <v>2139</v>
      </c>
      <c r="D565" s="13" t="s">
        <v>299</v>
      </c>
      <c r="E565" s="391"/>
    </row>
    <row r="566" spans="2:9" s="4" customFormat="1" ht="15.75" thickBot="1" x14ac:dyDescent="0.3">
      <c r="B566" s="1234" t="s">
        <v>0</v>
      </c>
      <c r="C566" s="2125" t="s">
        <v>1</v>
      </c>
      <c r="D566" s="1200" t="s">
        <v>5</v>
      </c>
      <c r="E566" s="1200" t="s">
        <v>152</v>
      </c>
      <c r="F566" s="1200" t="s">
        <v>2</v>
      </c>
      <c r="G566" s="1200" t="s">
        <v>298</v>
      </c>
      <c r="H566" s="2541" t="s">
        <v>116</v>
      </c>
      <c r="I566" s="1201" t="s">
        <v>117</v>
      </c>
    </row>
    <row r="567" spans="2:9" ht="18" outlineLevel="1" x14ac:dyDescent="0.25">
      <c r="B567" s="330" t="s">
        <v>1819</v>
      </c>
      <c r="C567" s="2041" t="s">
        <v>2807</v>
      </c>
      <c r="D567" s="2078" t="s">
        <v>1820</v>
      </c>
      <c r="E567" s="392">
        <f>µ_OHO*((θ_µ_OHO)^((T__)-(T_base)))</f>
        <v>4</v>
      </c>
      <c r="F567" s="392" t="s">
        <v>443</v>
      </c>
      <c r="G567" s="331">
        <v>2</v>
      </c>
      <c r="H567" s="2587"/>
      <c r="I567" s="393"/>
    </row>
    <row r="568" spans="2:9" ht="18" outlineLevel="1" x14ac:dyDescent="0.25">
      <c r="B568" s="157" t="s">
        <v>1821</v>
      </c>
      <c r="C568" s="2042" t="s">
        <v>2808</v>
      </c>
      <c r="D568" s="222" t="s">
        <v>1822</v>
      </c>
      <c r="E568" s="253">
        <f>µ_FERM_OHO*((θ_FERM_OHO)^((T__)-(T_base)))</f>
        <v>0.3</v>
      </c>
      <c r="F568" s="253" t="s">
        <v>443</v>
      </c>
      <c r="G568" s="262">
        <v>2</v>
      </c>
      <c r="H568" s="2589"/>
      <c r="I568" s="394"/>
    </row>
    <row r="569" spans="2:9" ht="18" outlineLevel="1" x14ac:dyDescent="0.25">
      <c r="B569" s="157" t="s">
        <v>1823</v>
      </c>
      <c r="C569" s="2042" t="s">
        <v>2809</v>
      </c>
      <c r="D569" s="222" t="s">
        <v>1824</v>
      </c>
      <c r="E569" s="253">
        <f>b_OHO*((θ_b_OHO)^((T__)-(T_base)))</f>
        <v>0.62</v>
      </c>
      <c r="F569" s="253" t="s">
        <v>443</v>
      </c>
      <c r="G569" s="262">
        <v>2</v>
      </c>
      <c r="H569" s="2589"/>
      <c r="I569" s="394"/>
    </row>
    <row r="570" spans="2:9" ht="18" outlineLevel="1" x14ac:dyDescent="0.25">
      <c r="B570" s="157" t="s">
        <v>1825</v>
      </c>
      <c r="C570" s="2042" t="s">
        <v>2810</v>
      </c>
      <c r="D570" s="222" t="s">
        <v>1826</v>
      </c>
      <c r="E570" s="253">
        <f>µ_MEOLO*((θ_µ_MEOLO)^((T__)-(T_base)))</f>
        <v>1.3</v>
      </c>
      <c r="F570" s="253" t="s">
        <v>443</v>
      </c>
      <c r="G570" s="262">
        <v>2</v>
      </c>
      <c r="H570" s="2589"/>
      <c r="I570" s="394"/>
    </row>
    <row r="571" spans="2:9" ht="18" outlineLevel="1" x14ac:dyDescent="0.25">
      <c r="B571" s="157" t="s">
        <v>1827</v>
      </c>
      <c r="C571" s="2042" t="s">
        <v>2811</v>
      </c>
      <c r="D571" s="222" t="s">
        <v>1828</v>
      </c>
      <c r="E571" s="253">
        <f>b_MEOLO*((θ_b_MEOLO)^((T__)-(T_base)))</f>
        <v>0.05</v>
      </c>
      <c r="F571" s="253" t="s">
        <v>443</v>
      </c>
      <c r="G571" s="262">
        <v>2</v>
      </c>
      <c r="H571" s="2589"/>
      <c r="I571" s="394"/>
    </row>
    <row r="572" spans="2:9" ht="30" outlineLevel="1" x14ac:dyDescent="0.25">
      <c r="B572" s="263" t="s">
        <v>4825</v>
      </c>
      <c r="C572" s="2043" t="s">
        <v>4823</v>
      </c>
      <c r="D572" s="2043" t="s">
        <v>4824</v>
      </c>
      <c r="E572" s="248">
        <f>µ_CASTO*((θ_µ_CASTO)^((T__)-(T_base)))</f>
        <v>1</v>
      </c>
      <c r="F572" s="248" t="s">
        <v>443</v>
      </c>
      <c r="G572" s="264">
        <v>2</v>
      </c>
      <c r="H572" s="2591"/>
      <c r="I572" s="395"/>
    </row>
    <row r="573" spans="2:9" ht="30" outlineLevel="1" x14ac:dyDescent="0.25">
      <c r="B573" s="263" t="s">
        <v>1855</v>
      </c>
      <c r="C573" s="533" t="s">
        <v>2812</v>
      </c>
      <c r="D573" s="452" t="s">
        <v>1858</v>
      </c>
      <c r="E573" s="248">
        <f>µ_PAO_lim*((θ_µ_PAO_lim)^((T__)-(T_base)))</f>
        <v>0.49</v>
      </c>
      <c r="F573" s="248" t="s">
        <v>443</v>
      </c>
      <c r="G573" s="264">
        <v>2</v>
      </c>
      <c r="H573" s="2591"/>
      <c r="I573" s="395"/>
    </row>
    <row r="574" spans="2:9" ht="18" outlineLevel="1" x14ac:dyDescent="0.25">
      <c r="B574" s="541" t="s">
        <v>2804</v>
      </c>
      <c r="C574" s="533" t="s">
        <v>2805</v>
      </c>
      <c r="D574" s="533" t="s">
        <v>2806</v>
      </c>
      <c r="E574" s="457">
        <f>µ_FERM_PAO*((θ_FERM_PAO)^((T__)-(T_base)))</f>
        <v>0.45</v>
      </c>
      <c r="F574" s="457" t="s">
        <v>443</v>
      </c>
      <c r="G574" s="570">
        <v>2</v>
      </c>
      <c r="H574" s="2592"/>
      <c r="I574" s="571"/>
    </row>
    <row r="575" spans="2:9" ht="18" outlineLevel="1" x14ac:dyDescent="0.25">
      <c r="B575" s="1144" t="s">
        <v>4613</v>
      </c>
      <c r="C575" s="2043" t="s">
        <v>4614</v>
      </c>
      <c r="D575" s="2043" t="s">
        <v>4615</v>
      </c>
      <c r="E575" s="1146">
        <f>q_PAO_PP*((θ_q_PAO_PP)^((T__)-(T_base)))</f>
        <v>0.1</v>
      </c>
      <c r="F575" s="1146" t="s">
        <v>443</v>
      </c>
      <c r="G575" s="1145">
        <v>2</v>
      </c>
      <c r="H575" s="2593"/>
      <c r="I575" s="1147"/>
    </row>
    <row r="576" spans="2:9" ht="18" outlineLevel="1" x14ac:dyDescent="0.25">
      <c r="B576" s="263" t="s">
        <v>1829</v>
      </c>
      <c r="C576" s="533" t="s">
        <v>2813</v>
      </c>
      <c r="D576" s="452" t="s">
        <v>1830</v>
      </c>
      <c r="E576" s="248">
        <f>q_PAO_PHA*((θ_q_PAO_PHA)^((T__)-(T_base)))</f>
        <v>7</v>
      </c>
      <c r="F576" s="248" t="s">
        <v>443</v>
      </c>
      <c r="G576" s="264">
        <v>2</v>
      </c>
      <c r="H576" s="2591"/>
      <c r="I576" s="395"/>
    </row>
    <row r="577" spans="2:9" ht="18" outlineLevel="1" x14ac:dyDescent="0.25">
      <c r="B577" s="2978" t="s">
        <v>5845</v>
      </c>
      <c r="C577" s="2979" t="s">
        <v>5846</v>
      </c>
      <c r="D577" s="2979" t="s">
        <v>5847</v>
      </c>
      <c r="E577" s="447">
        <f>q_GAO_PHA*((θ_q_GAO_PHA)^((T__)-(T_base)))</f>
        <v>4</v>
      </c>
      <c r="F577" s="447" t="s">
        <v>443</v>
      </c>
      <c r="G577" s="450">
        <v>2</v>
      </c>
      <c r="H577" s="2595"/>
      <c r="I577" s="451"/>
    </row>
    <row r="578" spans="2:9" ht="30" outlineLevel="1" x14ac:dyDescent="0.25">
      <c r="B578" s="263" t="s">
        <v>4827</v>
      </c>
      <c r="C578" s="2985" t="s">
        <v>5850</v>
      </c>
      <c r="D578" s="2043" t="s">
        <v>4826</v>
      </c>
      <c r="E578" s="248">
        <f>b_STC*((θ_b_STC)^((T__)-(T_base)))</f>
        <v>7.0000000000000007E-2</v>
      </c>
      <c r="F578" s="248" t="s">
        <v>443</v>
      </c>
      <c r="G578" s="264">
        <v>2</v>
      </c>
      <c r="H578" s="2591"/>
      <c r="I578" s="395"/>
    </row>
    <row r="579" spans="2:9" ht="30" outlineLevel="1" x14ac:dyDescent="0.25">
      <c r="B579" s="263" t="s">
        <v>2115</v>
      </c>
      <c r="C579" s="533" t="s">
        <v>2814</v>
      </c>
      <c r="D579" s="452" t="s">
        <v>2116</v>
      </c>
      <c r="E579" s="248">
        <f>b_PP_ana*((θ_b_PP_ana)^((T__)-(T_base)))</f>
        <v>5.0000000000000001E-3</v>
      </c>
      <c r="F579" s="248" t="s">
        <v>443</v>
      </c>
      <c r="G579" s="264">
        <v>2</v>
      </c>
      <c r="H579" s="2591"/>
      <c r="I579" s="395"/>
    </row>
    <row r="580" spans="2:9" ht="18" outlineLevel="1" x14ac:dyDescent="0.25">
      <c r="B580" s="263" t="s">
        <v>4830</v>
      </c>
      <c r="C580" s="2043" t="s">
        <v>4828</v>
      </c>
      <c r="D580" s="2043" t="s">
        <v>4829</v>
      </c>
      <c r="E580" s="248">
        <f>b_CASTO*((θ_b_CASTO)^((T__)-(T_base)))</f>
        <v>0.08</v>
      </c>
      <c r="F580" s="248" t="s">
        <v>443</v>
      </c>
      <c r="G580" s="264">
        <v>2</v>
      </c>
      <c r="H580" s="2591"/>
      <c r="I580" s="395"/>
    </row>
    <row r="581" spans="2:9" s="4" customFormat="1" ht="18" outlineLevel="1" x14ac:dyDescent="0.25">
      <c r="B581" s="1266" t="s">
        <v>2356</v>
      </c>
      <c r="C581" s="2044" t="s">
        <v>2815</v>
      </c>
      <c r="D581" s="2079" t="s">
        <v>2357</v>
      </c>
      <c r="E581" s="1267">
        <f>µ_AOB*((θ_µ_AOB)^((T__)-(T_base)))</f>
        <v>0.9</v>
      </c>
      <c r="F581" s="1267" t="s">
        <v>443</v>
      </c>
      <c r="G581" s="1267">
        <v>2</v>
      </c>
      <c r="H581" s="2596"/>
      <c r="I581" s="1267"/>
    </row>
    <row r="582" spans="2:9" s="4" customFormat="1" ht="18" outlineLevel="1" x14ac:dyDescent="0.25">
      <c r="B582" s="1266" t="s">
        <v>2358</v>
      </c>
      <c r="C582" s="2044" t="s">
        <v>2816</v>
      </c>
      <c r="D582" s="2079" t="s">
        <v>2359</v>
      </c>
      <c r="E582" s="1267">
        <f>b_AOB*((θ_b_AOB)^((T__)-(T_base)))</f>
        <v>0.17</v>
      </c>
      <c r="F582" s="1267" t="s">
        <v>443</v>
      </c>
      <c r="G582" s="1267">
        <v>2</v>
      </c>
      <c r="H582" s="2596"/>
      <c r="I582" s="1267"/>
    </row>
    <row r="583" spans="2:9" s="4" customFormat="1" ht="18" outlineLevel="1" x14ac:dyDescent="0.25">
      <c r="B583" s="1266" t="s">
        <v>2360</v>
      </c>
      <c r="C583" s="2044" t="s">
        <v>2817</v>
      </c>
      <c r="D583" s="2079" t="s">
        <v>2361</v>
      </c>
      <c r="E583" s="1267">
        <f>µ_NOB*((θ_µ_NOB)^((T__)-(T_base)))</f>
        <v>0.65</v>
      </c>
      <c r="F583" s="1267" t="s">
        <v>443</v>
      </c>
      <c r="G583" s="1267">
        <v>2</v>
      </c>
      <c r="H583" s="2596"/>
      <c r="I583" s="1267"/>
    </row>
    <row r="584" spans="2:9" s="4" customFormat="1" ht="18" outlineLevel="1" x14ac:dyDescent="0.25">
      <c r="B584" s="1266" t="s">
        <v>2362</v>
      </c>
      <c r="C584" s="2044" t="s">
        <v>2818</v>
      </c>
      <c r="D584" s="2079" t="s">
        <v>2363</v>
      </c>
      <c r="E584" s="1267">
        <f>b_NOB*((θ_b_NOB)^((T__)-(T_base)))</f>
        <v>0.15</v>
      </c>
      <c r="F584" s="1267" t="s">
        <v>443</v>
      </c>
      <c r="G584" s="1267">
        <v>2</v>
      </c>
      <c r="H584" s="2596"/>
      <c r="I584" s="1267"/>
    </row>
    <row r="585" spans="2:9" s="4" customFormat="1" ht="18" outlineLevel="1" x14ac:dyDescent="0.25">
      <c r="B585" s="1268" t="s">
        <v>2364</v>
      </c>
      <c r="C585" s="2045" t="s">
        <v>2819</v>
      </c>
      <c r="D585" s="2080" t="s">
        <v>2365</v>
      </c>
      <c r="E585" s="1269">
        <f>µ_AMX*((θ_µ_AMX)^((T__)-(T_base)))</f>
        <v>0.1</v>
      </c>
      <c r="F585" s="1269" t="s">
        <v>443</v>
      </c>
      <c r="G585" s="1269">
        <v>2</v>
      </c>
      <c r="H585" s="2597"/>
      <c r="I585" s="1269"/>
    </row>
    <row r="586" spans="2:9" s="4" customFormat="1" ht="18" outlineLevel="1" x14ac:dyDescent="0.25">
      <c r="B586" s="1268" t="s">
        <v>2366</v>
      </c>
      <c r="C586" s="2045" t="s">
        <v>2820</v>
      </c>
      <c r="D586" s="2080" t="s">
        <v>2367</v>
      </c>
      <c r="E586" s="1269">
        <f>b_AMX*((θ_b_AMX)^((T__)-(T_base)))</f>
        <v>1.9E-2</v>
      </c>
      <c r="F586" s="1269" t="s">
        <v>443</v>
      </c>
      <c r="G586" s="1269">
        <v>2</v>
      </c>
      <c r="H586" s="2597"/>
      <c r="I586" s="1269"/>
    </row>
    <row r="587" spans="2:9" ht="18" outlineLevel="1" x14ac:dyDescent="0.25">
      <c r="B587" s="158" t="s">
        <v>1831</v>
      </c>
      <c r="C587" s="2046" t="s">
        <v>2821</v>
      </c>
      <c r="D587" s="356" t="s">
        <v>1832</v>
      </c>
      <c r="E587" s="190">
        <f>µ_AMETO*((θ_µ_AMETO)^((T__)-(T_base)))</f>
        <v>0.3</v>
      </c>
      <c r="F587" s="190" t="s">
        <v>443</v>
      </c>
      <c r="G587" s="107">
        <v>2</v>
      </c>
      <c r="H587" s="2598"/>
      <c r="I587" s="396"/>
    </row>
    <row r="588" spans="2:9" ht="18" outlineLevel="1" x14ac:dyDescent="0.25">
      <c r="B588" s="158" t="s">
        <v>1833</v>
      </c>
      <c r="C588" s="2046" t="s">
        <v>2822</v>
      </c>
      <c r="D588" s="356" t="s">
        <v>1834</v>
      </c>
      <c r="E588" s="190">
        <f>b_AMETO*((θ_b_AMETO)^((T__)-(T_base)))</f>
        <v>0.03</v>
      </c>
      <c r="F588" s="190" t="s">
        <v>443</v>
      </c>
      <c r="G588" s="107">
        <v>2</v>
      </c>
      <c r="H588" s="2598"/>
      <c r="I588" s="396"/>
    </row>
    <row r="589" spans="2:9" ht="18" outlineLevel="1" x14ac:dyDescent="0.25">
      <c r="B589" s="158" t="s">
        <v>1835</v>
      </c>
      <c r="C589" s="2046" t="s">
        <v>2823</v>
      </c>
      <c r="D589" s="356" t="s">
        <v>1836</v>
      </c>
      <c r="E589" s="190">
        <f>µ_HMETO*((θ_µ_HMETO)^((T__)-(T_base)))</f>
        <v>1.3</v>
      </c>
      <c r="F589" s="190" t="s">
        <v>443</v>
      </c>
      <c r="G589" s="107">
        <v>2</v>
      </c>
      <c r="H589" s="2598"/>
      <c r="I589" s="396"/>
    </row>
    <row r="590" spans="2:9" ht="18" outlineLevel="1" x14ac:dyDescent="0.25">
      <c r="B590" s="158" t="s">
        <v>1837</v>
      </c>
      <c r="C590" s="2046" t="s">
        <v>2824</v>
      </c>
      <c r="D590" s="356" t="s">
        <v>1838</v>
      </c>
      <c r="E590" s="190">
        <f>b_HMETO*((θ_b_HMETO)^((T__)-(T_base)))</f>
        <v>0.13</v>
      </c>
      <c r="F590" s="190" t="s">
        <v>443</v>
      </c>
      <c r="G590" s="107">
        <v>2</v>
      </c>
      <c r="H590" s="2598"/>
      <c r="I590" s="396"/>
    </row>
    <row r="591" spans="2:9" ht="18" outlineLevel="1" x14ac:dyDescent="0.25">
      <c r="B591" s="727" t="s">
        <v>3490</v>
      </c>
      <c r="C591" s="655" t="s">
        <v>3491</v>
      </c>
      <c r="D591" s="655" t="s">
        <v>3492</v>
      </c>
      <c r="E591" s="757">
        <f>µ_ASRO*((θ_µ_ASRO)^((T__)-(T_base)))</f>
        <v>0.6</v>
      </c>
      <c r="F591" s="652" t="s">
        <v>443</v>
      </c>
      <c r="G591" s="758">
        <v>2</v>
      </c>
      <c r="H591" s="2599"/>
      <c r="I591" s="1921"/>
    </row>
    <row r="592" spans="2:9" ht="18" outlineLevel="1" x14ac:dyDescent="0.25">
      <c r="B592" s="727" t="s">
        <v>3493</v>
      </c>
      <c r="C592" s="655" t="s">
        <v>3494</v>
      </c>
      <c r="D592" s="655" t="s">
        <v>3495</v>
      </c>
      <c r="E592" s="757">
        <f>µ_HSRO*((θ_µ_HSRO)^((T__)-(T_base)))</f>
        <v>2.8</v>
      </c>
      <c r="F592" s="652" t="s">
        <v>443</v>
      </c>
      <c r="G592" s="758">
        <v>2</v>
      </c>
      <c r="H592" s="2599"/>
      <c r="I592" s="1921"/>
    </row>
    <row r="593" spans="2:9" ht="18" outlineLevel="1" x14ac:dyDescent="0.25">
      <c r="B593" s="727" t="s">
        <v>3496</v>
      </c>
      <c r="C593" s="655" t="s">
        <v>3497</v>
      </c>
      <c r="D593" s="655" t="s">
        <v>3498</v>
      </c>
      <c r="E593" s="757">
        <f>b_ASRO*((θ_b_ASRO)^((T__)-(T_base)))</f>
        <v>0.06</v>
      </c>
      <c r="F593" s="652" t="s">
        <v>443</v>
      </c>
      <c r="G593" s="758">
        <v>2</v>
      </c>
      <c r="H593" s="2599"/>
      <c r="I593" s="1921"/>
    </row>
    <row r="594" spans="2:9" ht="18" outlineLevel="1" x14ac:dyDescent="0.25">
      <c r="B594" s="727" t="s">
        <v>3499</v>
      </c>
      <c r="C594" s="655" t="s">
        <v>3500</v>
      </c>
      <c r="D594" s="655" t="s">
        <v>3501</v>
      </c>
      <c r="E594" s="757">
        <f>b_HSRO*((θ_b_HSRO)^((T__)-(T_base)))</f>
        <v>0.28000000000000003</v>
      </c>
      <c r="F594" s="652" t="s">
        <v>443</v>
      </c>
      <c r="G594" s="758">
        <v>2</v>
      </c>
      <c r="H594" s="2599"/>
      <c r="I594" s="1921"/>
    </row>
    <row r="595" spans="2:9" ht="18" outlineLevel="1" x14ac:dyDescent="0.25">
      <c r="B595" s="730" t="s">
        <v>3502</v>
      </c>
      <c r="C595" s="679" t="s">
        <v>3503</v>
      </c>
      <c r="D595" s="679" t="s">
        <v>3504</v>
      </c>
      <c r="E595" s="759">
        <f>µ_SOO_H2S*((θ_µ_SOO_H2S)^((T__)-(T_base)))</f>
        <v>4</v>
      </c>
      <c r="F595" s="659" t="s">
        <v>443</v>
      </c>
      <c r="G595" s="760">
        <v>2</v>
      </c>
      <c r="H595" s="2600"/>
      <c r="I595" s="1922"/>
    </row>
    <row r="596" spans="2:9" ht="18" outlineLevel="1" x14ac:dyDescent="0.25">
      <c r="B596" s="730" t="s">
        <v>3505</v>
      </c>
      <c r="C596" s="679" t="s">
        <v>3506</v>
      </c>
      <c r="D596" s="679" t="s">
        <v>3507</v>
      </c>
      <c r="E596" s="759">
        <f>µ_SOO_S*((θ_µ_SOO_S)^((T__)-(T_base)))</f>
        <v>3</v>
      </c>
      <c r="F596" s="659" t="s">
        <v>443</v>
      </c>
      <c r="G596" s="760">
        <v>2</v>
      </c>
      <c r="H596" s="2600"/>
      <c r="I596" s="1922"/>
    </row>
    <row r="597" spans="2:9" ht="18" outlineLevel="1" x14ac:dyDescent="0.25">
      <c r="B597" s="730" t="s">
        <v>3508</v>
      </c>
      <c r="C597" s="679" t="s">
        <v>3509</v>
      </c>
      <c r="D597" s="679" t="s">
        <v>3510</v>
      </c>
      <c r="E597" s="759">
        <f>b_SOO*((θ_b_SOO)^((T__)-(T_base)))</f>
        <v>0.35</v>
      </c>
      <c r="F597" s="659" t="s">
        <v>443</v>
      </c>
      <c r="G597" s="760">
        <v>2</v>
      </c>
      <c r="H597" s="2600"/>
      <c r="I597" s="1922"/>
    </row>
    <row r="598" spans="2:9" ht="18" outlineLevel="1" x14ac:dyDescent="0.25">
      <c r="B598" s="2383" t="s">
        <v>5278</v>
      </c>
      <c r="C598" s="2319" t="s">
        <v>5279</v>
      </c>
      <c r="D598" s="2319" t="s">
        <v>5301</v>
      </c>
      <c r="E598" s="2349">
        <f>µ_ALGAE*((θ_µ_ALGAE)^((T__)-(T_base)))</f>
        <v>2</v>
      </c>
      <c r="F598" s="2349" t="s">
        <v>5244</v>
      </c>
      <c r="G598" s="2384">
        <v>2</v>
      </c>
      <c r="H598" s="2602" t="s">
        <v>5245</v>
      </c>
      <c r="I598" s="2385"/>
    </row>
    <row r="599" spans="2:9" ht="18" outlineLevel="1" x14ac:dyDescent="0.25">
      <c r="B599" s="2383" t="s">
        <v>5280</v>
      </c>
      <c r="C599" s="2319" t="s">
        <v>5281</v>
      </c>
      <c r="D599" s="2319" t="s">
        <v>5302</v>
      </c>
      <c r="E599" s="2349">
        <f>b_ALGAE*((θ_b_ALGAE)^((T__)-(T_base)))</f>
        <v>0.1</v>
      </c>
      <c r="F599" s="2349" t="s">
        <v>5244</v>
      </c>
      <c r="G599" s="2384">
        <v>2</v>
      </c>
      <c r="H599" s="2602" t="s">
        <v>5245</v>
      </c>
      <c r="I599" s="2385"/>
    </row>
    <row r="600" spans="2:9" ht="18" outlineLevel="1" x14ac:dyDescent="0.25">
      <c r="B600" s="223" t="s">
        <v>1839</v>
      </c>
      <c r="C600" s="2047" t="s">
        <v>2825</v>
      </c>
      <c r="D600" s="109" t="s">
        <v>1840</v>
      </c>
      <c r="E600" s="320">
        <f>q_FLOC*((θ_q_FLOC)^((T__)-(T_base)))</f>
        <v>0.5</v>
      </c>
      <c r="F600" s="320" t="s">
        <v>443</v>
      </c>
      <c r="G600" s="265">
        <v>2</v>
      </c>
      <c r="H600" s="2603"/>
      <c r="I600" s="397"/>
    </row>
    <row r="601" spans="2:9" ht="18" outlineLevel="1" x14ac:dyDescent="0.25">
      <c r="B601" s="2852" t="s">
        <v>5577</v>
      </c>
      <c r="C601" s="2836" t="s">
        <v>2825</v>
      </c>
      <c r="D601" s="2836" t="s">
        <v>5578</v>
      </c>
      <c r="E601" s="2869">
        <f>q_FLOC_HFO*((θ_q_FLOC_HFO)^((T__)-(T_base)))</f>
        <v>1000</v>
      </c>
      <c r="F601" s="2869" t="s">
        <v>443</v>
      </c>
      <c r="G601" s="2850">
        <v>2</v>
      </c>
      <c r="H601" s="2850"/>
      <c r="I601" s="2870"/>
    </row>
    <row r="602" spans="2:9" ht="18" outlineLevel="1" x14ac:dyDescent="0.25">
      <c r="B602" s="2852" t="s">
        <v>5579</v>
      </c>
      <c r="C602" s="2836" t="s">
        <v>2825</v>
      </c>
      <c r="D602" s="2836" t="s">
        <v>5580</v>
      </c>
      <c r="E602" s="2869">
        <f>q_FLOC_HAO*((θ_q_FLOC_HAO)^((T__)-(T_base)))</f>
        <v>1000</v>
      </c>
      <c r="F602" s="2869" t="s">
        <v>443</v>
      </c>
      <c r="G602" s="2850">
        <v>2</v>
      </c>
      <c r="H602" s="2850"/>
      <c r="I602" s="2870"/>
    </row>
    <row r="603" spans="2:9" ht="18" outlineLevel="1" x14ac:dyDescent="0.25">
      <c r="B603" s="2852" t="s">
        <v>5914</v>
      </c>
      <c r="C603" s="2836" t="s">
        <v>2826</v>
      </c>
      <c r="D603" s="2836" t="s">
        <v>5915</v>
      </c>
      <c r="E603" s="320">
        <f>q_HYD_XB*((θ_q_HYD)^((T__)-(T_base)))</f>
        <v>3</v>
      </c>
      <c r="F603" s="320" t="s">
        <v>443</v>
      </c>
      <c r="G603" s="265">
        <v>2</v>
      </c>
      <c r="H603" s="2603"/>
      <c r="I603" s="397"/>
    </row>
    <row r="604" spans="2:9" ht="18" outlineLevel="1" x14ac:dyDescent="0.25">
      <c r="B604" s="2852" t="s">
        <v>5911</v>
      </c>
      <c r="C604" s="2836" t="s">
        <v>5912</v>
      </c>
      <c r="D604" s="2836" t="s">
        <v>5913</v>
      </c>
      <c r="E604" s="320">
        <f>q_HYD_XBe*((θ_q_HYD)^((T__)-(T_base)))</f>
        <v>1</v>
      </c>
      <c r="F604" s="320" t="s">
        <v>443</v>
      </c>
      <c r="G604" s="265">
        <v>2</v>
      </c>
      <c r="H604" s="2603"/>
      <c r="I604" s="397"/>
    </row>
    <row r="605" spans="2:9" ht="18" outlineLevel="1" x14ac:dyDescent="0.25">
      <c r="B605" s="223" t="s">
        <v>1841</v>
      </c>
      <c r="C605" s="2047" t="s">
        <v>2827</v>
      </c>
      <c r="D605" s="109" t="s">
        <v>1842</v>
      </c>
      <c r="E605" s="320">
        <f>q_AMMON*((θ_q_AMMON)^((T__)-(T_base)))</f>
        <v>0.05</v>
      </c>
      <c r="F605" s="320" t="s">
        <v>443</v>
      </c>
      <c r="G605" s="265">
        <v>2</v>
      </c>
      <c r="H605" s="2603"/>
      <c r="I605" s="397"/>
    </row>
    <row r="606" spans="2:9" ht="30" outlineLevel="1" x14ac:dyDescent="0.25">
      <c r="B606" s="223" t="s">
        <v>1856</v>
      </c>
      <c r="C606" s="2047" t="s">
        <v>2828</v>
      </c>
      <c r="D606" s="109" t="s">
        <v>1857</v>
      </c>
      <c r="E606" s="320">
        <f>q_SPB*((θ_q_SPB)^((T__)-(T_base)))</f>
        <v>0.5</v>
      </c>
      <c r="F606" s="320" t="s">
        <v>443</v>
      </c>
      <c r="G606" s="265">
        <v>2</v>
      </c>
      <c r="H606" s="2603"/>
      <c r="I606" s="397"/>
    </row>
    <row r="607" spans="2:9" ht="18" outlineLevel="1" x14ac:dyDescent="0.25">
      <c r="B607" s="223" t="s">
        <v>1859</v>
      </c>
      <c r="C607" s="2047" t="s">
        <v>2829</v>
      </c>
      <c r="D607" s="109" t="s">
        <v>1860</v>
      </c>
      <c r="E607" s="320">
        <f>q_XE*((θ_q_XE)^((T__)-(T_base)))</f>
        <v>7.0000000000000001E-3</v>
      </c>
      <c r="F607" s="320" t="s">
        <v>443</v>
      </c>
      <c r="G607" s="265">
        <v>2</v>
      </c>
      <c r="H607" s="2603"/>
      <c r="I607" s="397"/>
    </row>
    <row r="608" spans="2:9" ht="30" outlineLevel="1" x14ac:dyDescent="0.25">
      <c r="B608" s="2277" t="s">
        <v>5176</v>
      </c>
      <c r="C608" s="2267" t="s">
        <v>5177</v>
      </c>
      <c r="D608" s="2267" t="s">
        <v>5178</v>
      </c>
      <c r="E608" s="2618">
        <f>q_XU*((θ_q_XU)^((T__)-(T_base)))</f>
        <v>9.9999999999999995E-7</v>
      </c>
      <c r="F608" s="2618" t="s">
        <v>443</v>
      </c>
      <c r="G608" s="2275">
        <v>2</v>
      </c>
      <c r="H608" s="2604"/>
      <c r="I608" s="2278"/>
    </row>
    <row r="609" spans="2:9" ht="18" outlineLevel="1" x14ac:dyDescent="0.25">
      <c r="B609" s="223" t="s">
        <v>1843</v>
      </c>
      <c r="C609" s="2047" t="s">
        <v>2830</v>
      </c>
      <c r="D609" s="109" t="s">
        <v>1844</v>
      </c>
      <c r="E609" s="320">
        <f>q_ASSIM*((θ_q_ASSIM)^((T__)-(T_base)))</f>
        <v>1</v>
      </c>
      <c r="F609" s="320" t="s">
        <v>443</v>
      </c>
      <c r="G609" s="265">
        <v>2</v>
      </c>
      <c r="H609" s="2603"/>
      <c r="I609" s="397"/>
    </row>
    <row r="610" spans="2:9" ht="18" outlineLevel="1" x14ac:dyDescent="0.25">
      <c r="B610" s="225" t="s">
        <v>2833</v>
      </c>
      <c r="C610" s="2048" t="s">
        <v>2831</v>
      </c>
      <c r="D610" s="2081" t="s">
        <v>2834</v>
      </c>
      <c r="E610" s="398">
        <f>q_Fe2_OX*((θ_q_Fe2_OX)^((T__)-(T_base)))</f>
        <v>50</v>
      </c>
      <c r="F610" s="398" t="s">
        <v>443</v>
      </c>
      <c r="G610" s="266">
        <v>2</v>
      </c>
      <c r="H610" s="2605"/>
      <c r="I610" s="399"/>
    </row>
    <row r="611" spans="2:9" ht="18" outlineLevel="1" x14ac:dyDescent="0.25">
      <c r="B611" s="735" t="s">
        <v>3511</v>
      </c>
      <c r="C611" s="2048" t="s">
        <v>3512</v>
      </c>
      <c r="D611" s="2048" t="s">
        <v>3513</v>
      </c>
      <c r="E611" s="761">
        <f>q_FeS_OX*((θ_q_FeS_OX)^((T__)-(T_base)))</f>
        <v>50</v>
      </c>
      <c r="F611" s="755" t="s">
        <v>443</v>
      </c>
      <c r="G611" s="572">
        <v>2</v>
      </c>
      <c r="H611" s="2606"/>
      <c r="I611" s="756"/>
    </row>
    <row r="612" spans="2:9" ht="18" outlineLevel="1" x14ac:dyDescent="0.25">
      <c r="B612" s="735" t="s">
        <v>1861</v>
      </c>
      <c r="C612" s="2048" t="s">
        <v>2832</v>
      </c>
      <c r="D612" s="2048" t="s">
        <v>1862</v>
      </c>
      <c r="E612" s="755">
        <f>q_HFO_RED*((θ_q_HFO_RED)^((T__)-(T_base)))</f>
        <v>2</v>
      </c>
      <c r="F612" s="755" t="s">
        <v>443</v>
      </c>
      <c r="G612" s="572">
        <v>2</v>
      </c>
      <c r="H612" s="2606"/>
      <c r="I612" s="756"/>
    </row>
    <row r="613" spans="2:9" ht="18.75" outlineLevel="1" thickBot="1" x14ac:dyDescent="0.3">
      <c r="B613" s="754" t="s">
        <v>3514</v>
      </c>
      <c r="C613" s="2049" t="s">
        <v>3515</v>
      </c>
      <c r="D613" s="2049" t="s">
        <v>3516</v>
      </c>
      <c r="E613" s="762">
        <f>q_HFO_H2S_RED*((θ_q_HFO_H2S_RED)^((T__)-(T_base)))</f>
        <v>2</v>
      </c>
      <c r="F613" s="763" t="s">
        <v>443</v>
      </c>
      <c r="G613" s="764">
        <v>2</v>
      </c>
      <c r="H613" s="2607"/>
      <c r="I613" s="1923"/>
    </row>
    <row r="614" spans="2:9" ht="15.75" thickBot="1" x14ac:dyDescent="0.3">
      <c r="E614" s="115"/>
    </row>
    <row r="615" spans="2:9" ht="15.75" thickBot="1" x14ac:dyDescent="0.3">
      <c r="C615" s="464" t="s">
        <v>336</v>
      </c>
      <c r="D615" s="119" t="s">
        <v>317</v>
      </c>
      <c r="E615" s="115"/>
    </row>
    <row r="616" spans="2:9" ht="15.75" thickBot="1" x14ac:dyDescent="0.3">
      <c r="B616" s="441" t="s">
        <v>0</v>
      </c>
      <c r="C616" s="2132" t="s">
        <v>1</v>
      </c>
      <c r="D616" s="869" t="s">
        <v>5</v>
      </c>
      <c r="E616" s="869" t="s">
        <v>152</v>
      </c>
      <c r="F616" s="869" t="s">
        <v>2</v>
      </c>
      <c r="G616" s="869" t="s">
        <v>298</v>
      </c>
      <c r="H616" s="2608" t="s">
        <v>116</v>
      </c>
      <c r="I616" s="748" t="s">
        <v>117</v>
      </c>
    </row>
    <row r="617" spans="2:9" ht="18" outlineLevel="1" x14ac:dyDescent="0.25">
      <c r="B617" s="934" t="s">
        <v>907</v>
      </c>
      <c r="C617" s="2050" t="s">
        <v>904</v>
      </c>
      <c r="D617" s="2050" t="s">
        <v>1845</v>
      </c>
      <c r="E617" s="935">
        <f>1.82483*10^6*ρ__^(0.5)*(ε__*T_K)^(-1.5)</f>
        <v>0.50517320931567189</v>
      </c>
      <c r="F617" s="698" t="s">
        <v>1990</v>
      </c>
      <c r="G617" s="698">
        <v>3</v>
      </c>
      <c r="H617" s="2609" t="s">
        <v>11</v>
      </c>
      <c r="I617" s="936"/>
    </row>
    <row r="618" spans="2:9" ht="18" outlineLevel="1" x14ac:dyDescent="0.25">
      <c r="B618" s="934" t="s">
        <v>906</v>
      </c>
      <c r="C618" s="2050" t="s">
        <v>2922</v>
      </c>
      <c r="D618" s="2050" t="s">
        <v>941</v>
      </c>
      <c r="E618" s="935">
        <f>2727.586+0.6224107*T_K-466.9151*LN(T_K)-(52000.87/T_K)</f>
        <v>80.261801298291488</v>
      </c>
      <c r="F618" s="698" t="s">
        <v>1990</v>
      </c>
      <c r="G618" s="698">
        <v>3</v>
      </c>
      <c r="H618" s="2609" t="s">
        <v>11</v>
      </c>
      <c r="I618" s="936"/>
    </row>
    <row r="619" spans="2:9" outlineLevel="1" x14ac:dyDescent="0.25">
      <c r="B619" s="934" t="s">
        <v>908</v>
      </c>
      <c r="C619" s="2050" t="s">
        <v>2923</v>
      </c>
      <c r="D619" s="2050" t="s">
        <v>905</v>
      </c>
      <c r="E619" s="935">
        <f>1-(T__-3.9863)^2*(T__+288.9414)/(508929.2*(T__+68.12963))+0.011445*EXP(-374.3/T__)</f>
        <v>0.99823363622515204</v>
      </c>
      <c r="F619" s="698" t="s">
        <v>1990</v>
      </c>
      <c r="G619" s="698">
        <v>3</v>
      </c>
      <c r="H619" s="2609" t="s">
        <v>11</v>
      </c>
      <c r="I619" s="936"/>
    </row>
    <row r="620" spans="2:9" ht="18" outlineLevel="1" x14ac:dyDescent="0.25">
      <c r="B620" s="937" t="s">
        <v>3851</v>
      </c>
      <c r="C620" s="2050" t="s">
        <v>3852</v>
      </c>
      <c r="D620" s="2051" t="s">
        <v>3853</v>
      </c>
      <c r="E620" s="935">
        <f>f_mono_ISlim-I_Slim*S_lopeIS_corr</f>
        <v>0.78560775368648972</v>
      </c>
      <c r="F620" s="698" t="s">
        <v>1990</v>
      </c>
      <c r="G620" s="698">
        <v>3</v>
      </c>
      <c r="H620" s="2609" t="s">
        <v>11</v>
      </c>
      <c r="I620" s="936"/>
    </row>
    <row r="621" spans="2:9" ht="18" outlineLevel="1" x14ac:dyDescent="0.25">
      <c r="B621" s="937" t="s">
        <v>3854</v>
      </c>
      <c r="C621" s="2050" t="s">
        <v>3855</v>
      </c>
      <c r="D621" s="2051" t="s">
        <v>3856</v>
      </c>
      <c r="E621" s="935">
        <f>f_di_ISlim-I_Slim*S_lopeIS_corr</f>
        <v>0.38072284713919508</v>
      </c>
      <c r="F621" s="698" t="s">
        <v>1990</v>
      </c>
      <c r="G621" s="698">
        <v>3</v>
      </c>
      <c r="H621" s="2609" t="s">
        <v>11</v>
      </c>
      <c r="I621" s="936"/>
    </row>
    <row r="622" spans="2:9" ht="18" outlineLevel="1" x14ac:dyDescent="0.25">
      <c r="B622" s="937" t="s">
        <v>3857</v>
      </c>
      <c r="C622" s="2050" t="s">
        <v>3858</v>
      </c>
      <c r="D622" s="2051" t="s">
        <v>3859</v>
      </c>
      <c r="E622" s="935">
        <f>f_tri_ISlim-I_Slim*S_lopeIS_corr</f>
        <v>0.11392518696837291</v>
      </c>
      <c r="F622" s="698" t="s">
        <v>1990</v>
      </c>
      <c r="G622" s="698">
        <v>3</v>
      </c>
      <c r="H622" s="2609" t="s">
        <v>11</v>
      </c>
      <c r="I622" s="936"/>
    </row>
    <row r="623" spans="2:9" ht="18" outlineLevel="1" x14ac:dyDescent="0.25">
      <c r="B623" s="937" t="s">
        <v>3860</v>
      </c>
      <c r="C623" s="2050" t="s">
        <v>3861</v>
      </c>
      <c r="D623" s="2051" t="s">
        <v>1991</v>
      </c>
      <c r="E623" s="935">
        <f>10^(-A_Davies*1^(2)*(I_Slim^(0.5)/(1+1.5*I_Slim^(0.5))-0.3*I_Slim))</f>
        <v>0.78540775368648974</v>
      </c>
      <c r="F623" s="698" t="s">
        <v>1990</v>
      </c>
      <c r="G623" s="698">
        <v>3</v>
      </c>
      <c r="H623" s="2609" t="s">
        <v>11</v>
      </c>
      <c r="I623" s="936"/>
    </row>
    <row r="624" spans="2:9" ht="18" outlineLevel="1" x14ac:dyDescent="0.25">
      <c r="B624" s="939" t="s">
        <v>3862</v>
      </c>
      <c r="C624" s="2051" t="s">
        <v>3863</v>
      </c>
      <c r="D624" s="2051" t="s">
        <v>1992</v>
      </c>
      <c r="E624" s="940">
        <f>10^(-A_Davies*2^(2)*(I_Slim^(0.5)/(1+1.5*I_Slim^(0.5))-0.3*I_Slim))</f>
        <v>0.3805228471391951</v>
      </c>
      <c r="F624" s="941" t="s">
        <v>1990</v>
      </c>
      <c r="G624" s="942">
        <v>3</v>
      </c>
      <c r="H624" s="2617" t="s">
        <v>11</v>
      </c>
      <c r="I624" s="782"/>
    </row>
    <row r="625" spans="2:9" ht="18" outlineLevel="1" x14ac:dyDescent="0.25">
      <c r="B625" s="1270" t="s">
        <v>3864</v>
      </c>
      <c r="C625" s="2052" t="s">
        <v>3865</v>
      </c>
      <c r="D625" s="2052" t="s">
        <v>1993</v>
      </c>
      <c r="E625" s="1272">
        <f>10^(-A_Davies*3^(2)*(I_Slim^(0.5)/(1+1.5*I_Slim^(0.5))-0.3*I_Slim))</f>
        <v>0.1137251869683729</v>
      </c>
      <c r="F625" s="1272" t="s">
        <v>1990</v>
      </c>
      <c r="G625" s="1273">
        <v>3</v>
      </c>
      <c r="H625" s="2610" t="s">
        <v>11</v>
      </c>
      <c r="I625" s="1274"/>
    </row>
    <row r="626" spans="2:9" ht="18" outlineLevel="1" x14ac:dyDescent="0.25">
      <c r="B626" s="1270" t="s">
        <v>337</v>
      </c>
      <c r="C626" s="2052" t="s">
        <v>338</v>
      </c>
      <c r="D626" s="2052" t="s">
        <v>3866</v>
      </c>
      <c r="E626" s="1272">
        <f>IF(I_S&lt;I_Slim,10^(-A_Davies*1^(2)*(I_S^(0.5)/(1+1.5*I_S^(0.5))-0.3*I_S)),S_lopeIS_corr*I_S+y_fmono)</f>
        <v>0.87920810737341937</v>
      </c>
      <c r="F626" s="1271" t="s">
        <v>1990</v>
      </c>
      <c r="G626" s="1273">
        <v>3</v>
      </c>
      <c r="H626" s="2610" t="s">
        <v>11</v>
      </c>
      <c r="I626" s="1274"/>
    </row>
    <row r="627" spans="2:9" ht="18" outlineLevel="1" x14ac:dyDescent="0.25">
      <c r="B627" s="939" t="s">
        <v>339</v>
      </c>
      <c r="C627" s="2051" t="s">
        <v>340</v>
      </c>
      <c r="D627" s="2051" t="s">
        <v>3867</v>
      </c>
      <c r="E627" s="940">
        <f>IF(I_S&lt;I_Slim,10^(-A_Davies*2^(2)*(I_S^(0.5)/(1+1.5*I_S^(0.5))-0.3*I_S)),S_lopeIS_corr*I_S+y_fdi)</f>
        <v>0.59753966137355408</v>
      </c>
      <c r="F627" s="941" t="s">
        <v>1990</v>
      </c>
      <c r="G627" s="942">
        <v>3</v>
      </c>
      <c r="H627" s="2617" t="s">
        <v>11</v>
      </c>
      <c r="I627" s="782"/>
    </row>
    <row r="628" spans="2:9" ht="18.75" outlineLevel="1" thickBot="1" x14ac:dyDescent="0.3">
      <c r="B628" s="930" t="s">
        <v>341</v>
      </c>
      <c r="C628" s="2053" t="s">
        <v>342</v>
      </c>
      <c r="D628" s="2053" t="s">
        <v>3868</v>
      </c>
      <c r="E628" s="943">
        <f>IF(I_S&lt;I_Slim,10^(-A_Davies*3^(2)*(I_S^(0.5)/(1+1.5*I_S^(0.5))-0.3*I_S)),S_lopeIS_corr*I_S+y_ftri)</f>
        <v>0.31392446113440575</v>
      </c>
      <c r="F628" s="943" t="s">
        <v>1990</v>
      </c>
      <c r="G628" s="944">
        <v>3</v>
      </c>
      <c r="H628" s="1609" t="s">
        <v>11</v>
      </c>
      <c r="I628" s="406"/>
    </row>
    <row r="629" spans="2:9" ht="15.75" thickBot="1" x14ac:dyDescent="0.3"/>
    <row r="630" spans="2:9" ht="15.75" thickBot="1" x14ac:dyDescent="0.3">
      <c r="C630" s="407" t="s">
        <v>943</v>
      </c>
      <c r="D630" s="119" t="s">
        <v>317</v>
      </c>
      <c r="E630" s="115"/>
    </row>
    <row r="631" spans="2:9" ht="15.75" thickBot="1" x14ac:dyDescent="0.3">
      <c r="B631" s="296" t="s">
        <v>0</v>
      </c>
      <c r="C631" s="2133" t="s">
        <v>1</v>
      </c>
      <c r="D631" s="307" t="s">
        <v>5</v>
      </c>
      <c r="E631" s="307" t="s">
        <v>152</v>
      </c>
      <c r="F631" s="307" t="s">
        <v>2</v>
      </c>
      <c r="G631" s="307" t="s">
        <v>298</v>
      </c>
      <c r="H631" s="2556" t="s">
        <v>116</v>
      </c>
      <c r="I631" s="309" t="s">
        <v>117</v>
      </c>
    </row>
    <row r="632" spans="2:9" ht="18" outlineLevel="1" x14ac:dyDescent="0.25">
      <c r="B632" s="918" t="s">
        <v>944</v>
      </c>
      <c r="C632" s="2054" t="s">
        <v>2836</v>
      </c>
      <c r="D632" s="2077" t="s">
        <v>3841</v>
      </c>
      <c r="E632" s="435">
        <f>K_W_param*EXP(d_Hdiss_H2O/R__*(1/T_st_K-1/T_K))</f>
        <v>6.7545152316627035E-15</v>
      </c>
      <c r="F632" s="736" t="s">
        <v>1990</v>
      </c>
      <c r="G632" s="408">
        <v>3</v>
      </c>
      <c r="H632" s="2661" t="s">
        <v>11</v>
      </c>
      <c r="I632" s="409"/>
    </row>
    <row r="633" spans="2:9" ht="18" outlineLevel="1" x14ac:dyDescent="0.25">
      <c r="B633" s="283" t="s">
        <v>945</v>
      </c>
      <c r="C633" s="2022" t="s">
        <v>2837</v>
      </c>
      <c r="D633" s="2062" t="s">
        <v>1846</v>
      </c>
      <c r="E633" s="402">
        <f>10^(-(3404.7/T_K-14.8435+T_K*0.03279))</f>
        <v>4.1392419480646479E-7</v>
      </c>
      <c r="F633" s="736" t="s">
        <v>1990</v>
      </c>
      <c r="G633" s="403">
        <v>3</v>
      </c>
      <c r="H633" s="2585" t="s">
        <v>11</v>
      </c>
      <c r="I633" s="404"/>
    </row>
    <row r="634" spans="2:9" ht="18" outlineLevel="1" x14ac:dyDescent="0.25">
      <c r="B634" s="283" t="s">
        <v>946</v>
      </c>
      <c r="C634" s="2022" t="s">
        <v>2838</v>
      </c>
      <c r="D634" s="2062" t="s">
        <v>1847</v>
      </c>
      <c r="E634" s="402">
        <f>10^(-(2902.4/T_K-6.498+T_K*0.02379))</f>
        <v>4.1997949506593592E-11</v>
      </c>
      <c r="F634" s="736" t="s">
        <v>1990</v>
      </c>
      <c r="G634" s="403">
        <v>3</v>
      </c>
      <c r="H634" s="2585" t="s">
        <v>11</v>
      </c>
      <c r="I634" s="404"/>
    </row>
    <row r="635" spans="2:9" ht="18" outlineLevel="1" x14ac:dyDescent="0.25">
      <c r="B635" s="283" t="s">
        <v>947</v>
      </c>
      <c r="C635" s="2022" t="s">
        <v>2839</v>
      </c>
      <c r="D635" s="2062" t="s">
        <v>1848</v>
      </c>
      <c r="E635" s="402">
        <f>10^(-(799.3/T_K-4.5535+T_K*0.01349))</f>
        <v>7.4527408036475567E-3</v>
      </c>
      <c r="F635" s="736" t="s">
        <v>1990</v>
      </c>
      <c r="G635" s="403">
        <v>3</v>
      </c>
      <c r="H635" s="2585" t="s">
        <v>11</v>
      </c>
      <c r="I635" s="404"/>
    </row>
    <row r="636" spans="2:9" ht="18" outlineLevel="1" x14ac:dyDescent="0.25">
      <c r="B636" s="283" t="s">
        <v>948</v>
      </c>
      <c r="C636" s="2022" t="s">
        <v>2840</v>
      </c>
      <c r="D636" s="2062" t="s">
        <v>1849</v>
      </c>
      <c r="E636" s="402">
        <f>10^(-(1979.5/T_K-5.3541+T_K*0.01984))</f>
        <v>6.1022250881622208E-8</v>
      </c>
      <c r="F636" s="736" t="s">
        <v>1990</v>
      </c>
      <c r="G636" s="403">
        <v>3</v>
      </c>
      <c r="H636" s="2585" t="s">
        <v>11</v>
      </c>
      <c r="I636" s="404"/>
    </row>
    <row r="637" spans="2:9" ht="18" outlineLevel="1" x14ac:dyDescent="0.25">
      <c r="B637" s="283" t="s">
        <v>949</v>
      </c>
      <c r="C637" s="2022" t="s">
        <v>2841</v>
      </c>
      <c r="D637" s="2062" t="s">
        <v>3842</v>
      </c>
      <c r="E637" s="402">
        <f>K_P3_param*EXP(d_Hdiss_PO4_3/R__*(1/T_st_K-1/T_K))</f>
        <v>3.7853629756273106E-13</v>
      </c>
      <c r="F637" s="402" t="s">
        <v>1990</v>
      </c>
      <c r="G637" s="403">
        <v>3</v>
      </c>
      <c r="H637" s="2585" t="s">
        <v>11</v>
      </c>
      <c r="I637" s="404"/>
    </row>
    <row r="638" spans="2:9" ht="18" outlineLevel="1" x14ac:dyDescent="0.25">
      <c r="B638" s="622" t="s">
        <v>3517</v>
      </c>
      <c r="C638" s="2022" t="s">
        <v>3518</v>
      </c>
      <c r="D638" s="2022" t="s">
        <v>3843</v>
      </c>
      <c r="E638" s="781">
        <f>K_S1_param*EXP(d_Hdiss_S_1/R__*(1/T_st_K-1/T_K))</f>
        <v>8.1469603101505123E-8</v>
      </c>
      <c r="F638" s="698" t="s">
        <v>1990</v>
      </c>
      <c r="G638" s="592">
        <v>3</v>
      </c>
      <c r="H638" s="2583" t="s">
        <v>11</v>
      </c>
      <c r="I638" s="782"/>
    </row>
    <row r="639" spans="2:9" ht="18" outlineLevel="1" x14ac:dyDescent="0.25">
      <c r="B639" s="622" t="s">
        <v>3519</v>
      </c>
      <c r="C639" s="2022" t="s">
        <v>3520</v>
      </c>
      <c r="D639" s="2022" t="s">
        <v>3844</v>
      </c>
      <c r="E639" s="781">
        <f>K_S2_param*EXP(d_Hdiss_S_2/R__*(1/T_st_K-1/T_K))</f>
        <v>3.5263778134011928E-18</v>
      </c>
      <c r="F639" s="698" t="s">
        <v>1990</v>
      </c>
      <c r="G639" s="592">
        <v>3</v>
      </c>
      <c r="H639" s="2583" t="s">
        <v>11</v>
      </c>
      <c r="I639" s="782"/>
    </row>
    <row r="640" spans="2:9" ht="18" outlineLevel="1" x14ac:dyDescent="0.25">
      <c r="B640" s="622" t="s">
        <v>3521</v>
      </c>
      <c r="C640" s="2022" t="s">
        <v>3522</v>
      </c>
      <c r="D640" s="2022" t="s">
        <v>3845</v>
      </c>
      <c r="E640" s="781">
        <f>K_SO41_param*EXP(d_Hdiss_SO4_1/R__*(1/T_st_K-1/T_K))</f>
        <v>853.0914720596212</v>
      </c>
      <c r="F640" s="698" t="s">
        <v>1990</v>
      </c>
      <c r="G640" s="592">
        <v>3</v>
      </c>
      <c r="H640" s="2583" t="s">
        <v>11</v>
      </c>
      <c r="I640" s="782"/>
    </row>
    <row r="641" spans="2:9" ht="18" outlineLevel="1" x14ac:dyDescent="0.25">
      <c r="B641" s="622" t="s">
        <v>3523</v>
      </c>
      <c r="C641" s="2022" t="s">
        <v>3524</v>
      </c>
      <c r="D641" s="2022" t="s">
        <v>3846</v>
      </c>
      <c r="E641" s="781">
        <f>K_SO42_param*EXP(d_Hdiss_SO4_2/R__*(1/T_st_K-1/T_K))</f>
        <v>1.1816039602180261E-2</v>
      </c>
      <c r="F641" s="698" t="s">
        <v>1990</v>
      </c>
      <c r="G641" s="592">
        <v>3</v>
      </c>
      <c r="H641" s="2583" t="s">
        <v>11</v>
      </c>
      <c r="I641" s="782"/>
    </row>
    <row r="642" spans="2:9" ht="18" outlineLevel="1" x14ac:dyDescent="0.25">
      <c r="B642" s="283" t="s">
        <v>2867</v>
      </c>
      <c r="C642" s="2022" t="s">
        <v>2842</v>
      </c>
      <c r="D642" s="2062" t="s">
        <v>1850</v>
      </c>
      <c r="E642" s="402">
        <f>10^(-(1170.5/T_K-3.165+T_K*0.0134))</f>
        <v>1.7536929986944336E-5</v>
      </c>
      <c r="F642" s="402" t="s">
        <v>1990</v>
      </c>
      <c r="G642" s="403">
        <v>3</v>
      </c>
      <c r="H642" s="2585" t="s">
        <v>11</v>
      </c>
      <c r="I642" s="404"/>
    </row>
    <row r="643" spans="2:9" ht="18" outlineLevel="1" x14ac:dyDescent="0.25">
      <c r="B643" s="283" t="s">
        <v>2868</v>
      </c>
      <c r="C643" s="2022" t="s">
        <v>2852</v>
      </c>
      <c r="D643" s="2062" t="s">
        <v>3847</v>
      </c>
      <c r="E643" s="402">
        <f>K_NO2_param*EXP(d_Hdiss_NO2/R__*(1/T_st_K-1/T_K))</f>
        <v>4.0484694649180739E-4</v>
      </c>
      <c r="F643" s="698" t="s">
        <v>1990</v>
      </c>
      <c r="G643" s="403">
        <v>3</v>
      </c>
      <c r="H643" s="2585" t="s">
        <v>11</v>
      </c>
      <c r="I643" s="404"/>
    </row>
    <row r="644" spans="2:9" ht="18.75" outlineLevel="1" thickBot="1" x14ac:dyDescent="0.3">
      <c r="B644" s="284" t="s">
        <v>2858</v>
      </c>
      <c r="C644" s="2055" t="s">
        <v>2843</v>
      </c>
      <c r="D644" s="2055" t="s">
        <v>1055</v>
      </c>
      <c r="E644" s="410">
        <f>10^(-(2835.8/T_K-0.6322+0.00123*T_K))</f>
        <v>3.9635061259550542E-10</v>
      </c>
      <c r="F644" s="410" t="s">
        <v>1990</v>
      </c>
      <c r="G644" s="405">
        <v>3</v>
      </c>
      <c r="H644" s="2614" t="s">
        <v>11</v>
      </c>
      <c r="I644" s="406"/>
    </row>
    <row r="645" spans="2:9" ht="15.75" thickBot="1" x14ac:dyDescent="0.3"/>
    <row r="646" spans="2:9" ht="15.75" thickBot="1" x14ac:dyDescent="0.3">
      <c r="C646" s="400" t="s">
        <v>981</v>
      </c>
      <c r="D646" s="119" t="s">
        <v>317</v>
      </c>
      <c r="E646" s="115"/>
    </row>
    <row r="647" spans="2:9" ht="15.75" thickBot="1" x14ac:dyDescent="0.3">
      <c r="B647" s="2137" t="s">
        <v>0</v>
      </c>
      <c r="C647" s="2138" t="s">
        <v>1</v>
      </c>
      <c r="D647" s="2139" t="s">
        <v>5</v>
      </c>
      <c r="E647" s="2139" t="s">
        <v>152</v>
      </c>
      <c r="F647" s="2139" t="s">
        <v>2</v>
      </c>
      <c r="G647" s="2139" t="s">
        <v>298</v>
      </c>
      <c r="H647" s="2612" t="s">
        <v>116</v>
      </c>
      <c r="I647" s="2140" t="s">
        <v>117</v>
      </c>
    </row>
    <row r="648" spans="2:9" ht="18" outlineLevel="1" x14ac:dyDescent="0.25">
      <c r="B648" s="919" t="s">
        <v>343</v>
      </c>
      <c r="C648" s="2054" t="s">
        <v>2844</v>
      </c>
      <c r="D648" s="2075" t="s">
        <v>950</v>
      </c>
      <c r="E648" s="436">
        <f>K_W_T/f_mono^2</f>
        <v>8.7379753867564399E-15</v>
      </c>
      <c r="F648" s="329" t="s">
        <v>1990</v>
      </c>
      <c r="G648" s="411">
        <v>3</v>
      </c>
      <c r="H648" s="2613" t="s">
        <v>11</v>
      </c>
      <c r="I648" s="412"/>
    </row>
    <row r="649" spans="2:9" ht="18" outlineLevel="1" x14ac:dyDescent="0.25">
      <c r="B649" s="283" t="s">
        <v>344</v>
      </c>
      <c r="C649" s="2022" t="s">
        <v>2845</v>
      </c>
      <c r="D649" s="2062" t="s">
        <v>951</v>
      </c>
      <c r="E649" s="402">
        <f>K_C1_T/f_mono^2</f>
        <v>5.3547283589610541E-7</v>
      </c>
      <c r="F649" s="281" t="s">
        <v>1990</v>
      </c>
      <c r="G649" s="403">
        <v>3</v>
      </c>
      <c r="H649" s="2585" t="s">
        <v>11</v>
      </c>
      <c r="I649" s="404"/>
    </row>
    <row r="650" spans="2:9" ht="18" outlineLevel="1" x14ac:dyDescent="0.25">
      <c r="B650" s="283" t="s">
        <v>345</v>
      </c>
      <c r="C650" s="2022" t="s">
        <v>2846</v>
      </c>
      <c r="D650" s="2062" t="s">
        <v>952</v>
      </c>
      <c r="E650" s="402">
        <f>K_C2_T/f_di</f>
        <v>7.0284789816384129E-11</v>
      </c>
      <c r="F650" s="281" t="s">
        <v>1990</v>
      </c>
      <c r="G650" s="403">
        <v>3</v>
      </c>
      <c r="H650" s="2585" t="s">
        <v>11</v>
      </c>
      <c r="I650" s="404"/>
    </row>
    <row r="651" spans="2:9" ht="18" outlineLevel="1" x14ac:dyDescent="0.25">
      <c r="B651" s="283" t="s">
        <v>355</v>
      </c>
      <c r="C651" s="2022" t="s">
        <v>2847</v>
      </c>
      <c r="D651" s="2062" t="s">
        <v>953</v>
      </c>
      <c r="E651" s="402">
        <f>K_P1_T/f_mono^2</f>
        <v>9.6412345627529591E-3</v>
      </c>
      <c r="F651" s="281" t="s">
        <v>1990</v>
      </c>
      <c r="G651" s="403">
        <v>3</v>
      </c>
      <c r="H651" s="2585" t="s">
        <v>11</v>
      </c>
      <c r="I651" s="404"/>
    </row>
    <row r="652" spans="2:9" ht="18" outlineLevel="1" x14ac:dyDescent="0.25">
      <c r="B652" s="283" t="s">
        <v>356</v>
      </c>
      <c r="C652" s="2022" t="s">
        <v>2848</v>
      </c>
      <c r="D652" s="2062" t="s">
        <v>954</v>
      </c>
      <c r="E652" s="402">
        <f>K_P2_T/f_di</f>
        <v>1.0212251140175602E-7</v>
      </c>
      <c r="F652" s="281" t="s">
        <v>1990</v>
      </c>
      <c r="G652" s="403">
        <v>3</v>
      </c>
      <c r="H652" s="2585" t="s">
        <v>11</v>
      </c>
      <c r="I652" s="404"/>
    </row>
    <row r="653" spans="2:9" ht="18" outlineLevel="1" x14ac:dyDescent="0.25">
      <c r="B653" s="283" t="s">
        <v>357</v>
      </c>
      <c r="C653" s="2022" t="s">
        <v>2849</v>
      </c>
      <c r="D653" s="2062" t="s">
        <v>955</v>
      </c>
      <c r="E653" s="402">
        <f>K_P3_T/(f_mono*f_tri)*f_di</f>
        <v>8.1951597738298681E-13</v>
      </c>
      <c r="F653" s="402" t="s">
        <v>1990</v>
      </c>
      <c r="G653" s="403">
        <v>3</v>
      </c>
      <c r="H653" s="2585" t="s">
        <v>11</v>
      </c>
      <c r="I653" s="404"/>
    </row>
    <row r="654" spans="2:9" ht="18" outlineLevel="1" x14ac:dyDescent="0.25">
      <c r="B654" s="622" t="s">
        <v>3525</v>
      </c>
      <c r="C654" s="2022" t="s">
        <v>3526</v>
      </c>
      <c r="D654" s="2022" t="s">
        <v>3527</v>
      </c>
      <c r="E654" s="781">
        <f>K_S1_T/f_mono^2</f>
        <v>1.0539311294062038E-7</v>
      </c>
      <c r="F654" s="698" t="s">
        <v>1990</v>
      </c>
      <c r="G654" s="592">
        <v>3</v>
      </c>
      <c r="H654" s="2583" t="s">
        <v>11</v>
      </c>
      <c r="I654" s="782"/>
    </row>
    <row r="655" spans="2:9" ht="18" outlineLevel="1" x14ac:dyDescent="0.25">
      <c r="B655" s="622" t="s">
        <v>3528</v>
      </c>
      <c r="C655" s="2022" t="s">
        <v>3529</v>
      </c>
      <c r="D655" s="2022" t="s">
        <v>3530</v>
      </c>
      <c r="E655" s="781">
        <f>K_S2_T/f_di</f>
        <v>5.9014958191982923E-18</v>
      </c>
      <c r="F655" s="698" t="s">
        <v>1990</v>
      </c>
      <c r="G655" s="592">
        <v>3</v>
      </c>
      <c r="H655" s="2583" t="s">
        <v>11</v>
      </c>
      <c r="I655" s="782"/>
    </row>
    <row r="656" spans="2:9" ht="18" outlineLevel="1" x14ac:dyDescent="0.25">
      <c r="B656" s="622" t="s">
        <v>3531</v>
      </c>
      <c r="C656" s="2022" t="s">
        <v>3532</v>
      </c>
      <c r="D656" s="2022" t="s">
        <v>3533</v>
      </c>
      <c r="E656" s="781">
        <f>K_SO41_T/f_mono^2</f>
        <v>1103.6013732807628</v>
      </c>
      <c r="F656" s="698" t="s">
        <v>1990</v>
      </c>
      <c r="G656" s="592">
        <v>3</v>
      </c>
      <c r="H656" s="2583" t="s">
        <v>11</v>
      </c>
      <c r="I656" s="782"/>
    </row>
    <row r="657" spans="2:9" ht="18" outlineLevel="1" x14ac:dyDescent="0.25">
      <c r="B657" s="622" t="s">
        <v>3534</v>
      </c>
      <c r="C657" s="2022" t="s">
        <v>3535</v>
      </c>
      <c r="D657" s="2022" t="s">
        <v>3536</v>
      </c>
      <c r="E657" s="781">
        <f>K_SO42_T/f_di</f>
        <v>1.9774485889386715E-2</v>
      </c>
      <c r="F657" s="698" t="s">
        <v>1990</v>
      </c>
      <c r="G657" s="592">
        <v>3</v>
      </c>
      <c r="H657" s="2583" t="s">
        <v>11</v>
      </c>
      <c r="I657" s="782"/>
    </row>
    <row r="658" spans="2:9" ht="18" outlineLevel="1" x14ac:dyDescent="0.25">
      <c r="B658" s="622" t="s">
        <v>2853</v>
      </c>
      <c r="C658" s="2022" t="s">
        <v>2850</v>
      </c>
      <c r="D658" s="2022" t="s">
        <v>2854</v>
      </c>
      <c r="E658" s="402">
        <f>K_Ac_T/f_mono^2</f>
        <v>2.268664105854261E-5</v>
      </c>
      <c r="F658" s="402" t="s">
        <v>1990</v>
      </c>
      <c r="G658" s="403">
        <v>3</v>
      </c>
      <c r="H658" s="2585" t="s">
        <v>11</v>
      </c>
      <c r="I658" s="404"/>
    </row>
    <row r="659" spans="2:9" ht="18" outlineLevel="1" x14ac:dyDescent="0.25">
      <c r="B659" s="622" t="s">
        <v>2855</v>
      </c>
      <c r="C659" s="2022" t="s">
        <v>2924</v>
      </c>
      <c r="D659" s="2022" t="s">
        <v>2856</v>
      </c>
      <c r="E659" s="402">
        <f>K_NO2_T/f_mono^2</f>
        <v>5.2373005797162243E-4</v>
      </c>
      <c r="F659" s="698" t="s">
        <v>1990</v>
      </c>
      <c r="G659" s="403">
        <v>3</v>
      </c>
      <c r="H659" s="2585" t="s">
        <v>11</v>
      </c>
      <c r="I659" s="404"/>
    </row>
    <row r="660" spans="2:9" ht="18.75" outlineLevel="1" thickBot="1" x14ac:dyDescent="0.3">
      <c r="B660" s="574" t="s">
        <v>2857</v>
      </c>
      <c r="C660" s="2055" t="s">
        <v>2851</v>
      </c>
      <c r="D660" s="2076" t="s">
        <v>2858</v>
      </c>
      <c r="E660" s="410">
        <f>K_NH3_T</f>
        <v>3.9635061259550542E-10</v>
      </c>
      <c r="F660" s="410" t="s">
        <v>1990</v>
      </c>
      <c r="G660" s="405">
        <v>3</v>
      </c>
      <c r="H660" s="2614" t="s">
        <v>11</v>
      </c>
      <c r="I660" s="406"/>
    </row>
    <row r="661" spans="2:9" ht="15.75" thickBot="1" x14ac:dyDescent="0.3"/>
    <row r="662" spans="2:9" ht="15.75" thickBot="1" x14ac:dyDescent="0.3">
      <c r="C662" s="400" t="s">
        <v>1316</v>
      </c>
      <c r="D662" s="119" t="s">
        <v>317</v>
      </c>
      <c r="E662" s="115"/>
    </row>
    <row r="663" spans="2:9" ht="15.75" thickBot="1" x14ac:dyDescent="0.3">
      <c r="B663" s="2137" t="s">
        <v>0</v>
      </c>
      <c r="C663" s="2138" t="s">
        <v>1</v>
      </c>
      <c r="D663" s="2139" t="s">
        <v>5</v>
      </c>
      <c r="E663" s="2139" t="s">
        <v>152</v>
      </c>
      <c r="F663" s="2139" t="s">
        <v>2</v>
      </c>
      <c r="G663" s="2139" t="s">
        <v>298</v>
      </c>
      <c r="H663" s="2612" t="s">
        <v>116</v>
      </c>
      <c r="I663" s="2140" t="s">
        <v>117</v>
      </c>
    </row>
    <row r="664" spans="2:9" ht="18" outlineLevel="1" x14ac:dyDescent="0.25">
      <c r="B664" s="285" t="s">
        <v>1326</v>
      </c>
      <c r="C664" s="2056" t="s">
        <v>2925</v>
      </c>
      <c r="D664" s="2056" t="s">
        <v>4917</v>
      </c>
      <c r="E664" s="413">
        <f>K_sp_CaCO3_param/f_di</f>
        <v>7.4753798120141423E-7</v>
      </c>
      <c r="F664" s="413" t="s">
        <v>1990</v>
      </c>
      <c r="G664" s="414">
        <v>3</v>
      </c>
      <c r="H664" s="2662" t="s">
        <v>11</v>
      </c>
      <c r="I664" s="415"/>
    </row>
    <row r="665" spans="2:9" ht="18.75" outlineLevel="1" x14ac:dyDescent="0.25">
      <c r="B665" s="286" t="s">
        <v>1323</v>
      </c>
      <c r="C665" s="2057" t="s">
        <v>2926</v>
      </c>
      <c r="D665" s="2057" t="s">
        <v>4918</v>
      </c>
      <c r="E665" s="402">
        <f>K_sp_STR_param/(f_di^(1/3)*f_mono^(1/3)*f_tri^(1/3))</f>
        <v>1.2614964468037164E-13</v>
      </c>
      <c r="F665" s="402" t="s">
        <v>1990</v>
      </c>
      <c r="G665" s="403">
        <v>3</v>
      </c>
      <c r="H665" s="2585" t="s">
        <v>11</v>
      </c>
      <c r="I665" s="404"/>
    </row>
    <row r="666" spans="2:9" ht="18" outlineLevel="1" x14ac:dyDescent="0.25">
      <c r="B666" s="783" t="s">
        <v>3537</v>
      </c>
      <c r="C666" s="2058" t="s">
        <v>3538</v>
      </c>
      <c r="D666" s="2074" t="s">
        <v>4919</v>
      </c>
      <c r="E666" s="781">
        <f>K_sp_FeS_param/f_di</f>
        <v>6.1920575974737376E-19</v>
      </c>
      <c r="F666" s="781" t="s">
        <v>1990</v>
      </c>
      <c r="G666" s="592">
        <v>3</v>
      </c>
      <c r="H666" s="2583" t="s">
        <v>11</v>
      </c>
      <c r="I666" s="782"/>
    </row>
    <row r="667" spans="2:9" ht="18.75" outlineLevel="1" x14ac:dyDescent="0.25">
      <c r="B667" s="286" t="s">
        <v>1324</v>
      </c>
      <c r="C667" s="2057" t="s">
        <v>2927</v>
      </c>
      <c r="D667" s="2057" t="s">
        <v>4920</v>
      </c>
      <c r="E667" s="402">
        <f>K_sp_Vivi_param/(f_di^(3/5)*f_tri^(2/5))</f>
        <v>2.1649600914352904E-36</v>
      </c>
      <c r="F667" s="402" t="s">
        <v>1990</v>
      </c>
      <c r="G667" s="403">
        <v>3</v>
      </c>
      <c r="H667" s="2585" t="s">
        <v>11</v>
      </c>
      <c r="I667" s="404"/>
    </row>
    <row r="668" spans="2:9" ht="18.75" outlineLevel="1" x14ac:dyDescent="0.25">
      <c r="B668" s="1275" t="s">
        <v>1325</v>
      </c>
      <c r="C668" s="2059" t="s">
        <v>2928</v>
      </c>
      <c r="D668" s="2059" t="s">
        <v>4921</v>
      </c>
      <c r="E668" s="1276">
        <f>K_sp_ACP_param/(f_di^(3/5)*f_tri^(2/5))</f>
        <v>7.5067144345969344E-26</v>
      </c>
      <c r="F668" s="1276" t="s">
        <v>1990</v>
      </c>
      <c r="G668" s="1273">
        <v>3</v>
      </c>
      <c r="H668" s="2610" t="s">
        <v>11</v>
      </c>
      <c r="I668" s="1274"/>
    </row>
    <row r="669" spans="2:9" ht="19.5" outlineLevel="1" thickBot="1" x14ac:dyDescent="0.3">
      <c r="B669" s="287" t="s">
        <v>4616</v>
      </c>
      <c r="C669" s="2060" t="s">
        <v>4617</v>
      </c>
      <c r="D669" s="2060" t="s">
        <v>4618</v>
      </c>
      <c r="E669" s="1277">
        <f>K_sp_BSH_param/(f_di^(1/2)*f_di^(1/2))</f>
        <v>4.2037149897892104E-7</v>
      </c>
      <c r="F669" s="1277" t="s">
        <v>1990</v>
      </c>
      <c r="G669" s="1278">
        <v>3</v>
      </c>
      <c r="H669" s="2615" t="s">
        <v>11</v>
      </c>
      <c r="I669" s="406"/>
    </row>
    <row r="670" spans="2:9" ht="15.75" thickBot="1" x14ac:dyDescent="0.3">
      <c r="D670" s="295"/>
    </row>
    <row r="671" spans="2:9" ht="15.75" thickBot="1" x14ac:dyDescent="0.3">
      <c r="C671" s="400" t="s">
        <v>393</v>
      </c>
      <c r="D671" s="119" t="s">
        <v>317</v>
      </c>
      <c r="E671" s="115"/>
    </row>
    <row r="672" spans="2:9" ht="15.75" thickBot="1" x14ac:dyDescent="0.3">
      <c r="B672" s="368" t="s">
        <v>0</v>
      </c>
      <c r="C672" s="2134" t="s">
        <v>1</v>
      </c>
      <c r="D672" s="369" t="s">
        <v>5</v>
      </c>
      <c r="E672" s="369" t="s">
        <v>152</v>
      </c>
      <c r="F672" s="369" t="s">
        <v>2</v>
      </c>
      <c r="G672" s="369" t="s">
        <v>298</v>
      </c>
      <c r="H672" s="2558" t="s">
        <v>116</v>
      </c>
      <c r="I672" s="370" t="s">
        <v>117</v>
      </c>
    </row>
    <row r="673" spans="2:10" ht="18.75" outlineLevel="1" x14ac:dyDescent="0.25">
      <c r="B673" s="280" t="s">
        <v>894</v>
      </c>
      <c r="C673" s="2061" t="s">
        <v>895</v>
      </c>
      <c r="D673" s="2061" t="s">
        <v>1878</v>
      </c>
      <c r="E673" s="437">
        <f>conc_Hp_Ieq*K_P2/(conc_Hp_Ieq^3+conc_Hp_Ieq^2*K_P1+K_P2*conc_Hp_Ieq*K_P1+K_P2*K_P1*K_P3)*K_P1*S_PO4/(A_MP*1000)</f>
        <v>2.5493518636920041E-8</v>
      </c>
      <c r="F673" s="736" t="s">
        <v>383</v>
      </c>
      <c r="G673" s="736">
        <v>3</v>
      </c>
      <c r="H673" s="2611" t="s">
        <v>11</v>
      </c>
      <c r="I673" s="401"/>
    </row>
    <row r="674" spans="2:10" ht="18.75" outlineLevel="1" x14ac:dyDescent="0.25">
      <c r="B674" s="283" t="s">
        <v>896</v>
      </c>
      <c r="C674" s="2062" t="s">
        <v>897</v>
      </c>
      <c r="D674" s="2062" t="s">
        <v>1879</v>
      </c>
      <c r="E674" s="402">
        <f>conc_Hp_Ieq^2*K_P1*S_PO4/(A_MP*1000)/(conc_Hp_Ieq^3+conc_Hp_Ieq^2*K_P1+K_P2*conc_Hp_Ieq*K_P1+K_P2*K_P1*K_P3)</f>
        <v>1.6010694300937341E-5</v>
      </c>
      <c r="F674" s="736" t="s">
        <v>383</v>
      </c>
      <c r="G674" s="281">
        <v>3</v>
      </c>
      <c r="H674" s="2585" t="s">
        <v>11</v>
      </c>
      <c r="I674" s="404"/>
    </row>
    <row r="675" spans="2:10" ht="18.75" outlineLevel="1" x14ac:dyDescent="0.25">
      <c r="B675" s="283" t="s">
        <v>898</v>
      </c>
      <c r="C675" s="2062" t="s">
        <v>899</v>
      </c>
      <c r="D675" s="2062" t="s">
        <v>2869</v>
      </c>
      <c r="E675" s="402">
        <f>S_VFA/(4*A_MO*1000)*K_Ac/(conc_Hp_Ieq+K_Ac)</f>
        <v>4.0829449054993815E-8</v>
      </c>
      <c r="F675" s="736" t="s">
        <v>383</v>
      </c>
      <c r="G675" s="281">
        <v>3</v>
      </c>
      <c r="H675" s="2585" t="s">
        <v>11</v>
      </c>
      <c r="I675" s="404"/>
    </row>
    <row r="676" spans="2:10" ht="18.75" outlineLevel="1" x14ac:dyDescent="0.25">
      <c r="B676" s="283" t="s">
        <v>2381</v>
      </c>
      <c r="C676" s="2062" t="s">
        <v>2382</v>
      </c>
      <c r="D676" s="2062" t="s">
        <v>2870</v>
      </c>
      <c r="E676" s="402">
        <f>K_NO2*S_NO2/(A_MN*1000)/(conc_Hp_Ieq+K_NO2)</f>
        <v>6.3605297319967442E-6</v>
      </c>
      <c r="F676" s="698" t="s">
        <v>383</v>
      </c>
      <c r="G676" s="281">
        <v>3</v>
      </c>
      <c r="H676" s="2585" t="s">
        <v>11</v>
      </c>
      <c r="I676" s="404"/>
    </row>
    <row r="677" spans="2:10" ht="18.75" outlineLevel="1" x14ac:dyDescent="0.25">
      <c r="B677" s="622" t="s">
        <v>3539</v>
      </c>
      <c r="C677" s="2063" t="s">
        <v>3540</v>
      </c>
      <c r="D677" s="2022" t="s">
        <v>3541</v>
      </c>
      <c r="E677" s="784">
        <f>(conc_Hp_Ieq*K_S1*S_H2S/(A_MS*1000))/(conc_Hp_Ieq^2+conc_Hp_Ieq*K_S1+K_S1*K_S2)</f>
        <v>5.1164182299031669E-10</v>
      </c>
      <c r="F677" s="698" t="s">
        <v>383</v>
      </c>
      <c r="G677" s="699">
        <v>3</v>
      </c>
      <c r="H677" s="2583" t="s">
        <v>11</v>
      </c>
      <c r="I677" s="1924"/>
    </row>
    <row r="678" spans="2:10" ht="38.25" outlineLevel="1" thickBot="1" x14ac:dyDescent="0.3">
      <c r="B678" s="284" t="s">
        <v>1280</v>
      </c>
      <c r="C678" s="2055" t="s">
        <v>393</v>
      </c>
      <c r="D678" s="2053" t="s">
        <v>3542</v>
      </c>
      <c r="E678" s="416">
        <f>(3*conc_PO43m_I+2*conc_HPO42m_I)-2*conc_HPO42m_Ieq+conc_H2PO4m_I-conc_H2PO4m_Ieq+conc_OHm_I+conc_NO2m_I-conc_NO2m_Ieq+conc_NH3_I+2*conc_CO32m_I+conc_HCO3m_I+conc_Acm_I-conc_Acm_Ieq+conc_HSm_I-conc_HSm_Ieq-conc_Hp_I</f>
        <v>5.5301651895425527E-3</v>
      </c>
      <c r="F678" s="416" t="s">
        <v>1880</v>
      </c>
      <c r="G678" s="282">
        <v>4</v>
      </c>
      <c r="H678" s="2614" t="s">
        <v>11</v>
      </c>
      <c r="I678" s="406"/>
    </row>
    <row r="679" spans="2:10" ht="15.75" thickBot="1" x14ac:dyDescent="0.3">
      <c r="E679" s="115"/>
    </row>
    <row r="680" spans="2:10" ht="15.75" thickBot="1" x14ac:dyDescent="0.3">
      <c r="C680" s="1796" t="s">
        <v>4938</v>
      </c>
      <c r="D680" s="119" t="s">
        <v>317</v>
      </c>
      <c r="E680" s="115"/>
    </row>
    <row r="681" spans="2:10" ht="15.75" thickBot="1" x14ac:dyDescent="0.3">
      <c r="B681" s="1234" t="s">
        <v>0</v>
      </c>
      <c r="C681" s="2135" t="s">
        <v>1</v>
      </c>
      <c r="D681" s="1200" t="s">
        <v>5</v>
      </c>
      <c r="E681" s="1200" t="s">
        <v>152</v>
      </c>
      <c r="F681" s="1200" t="s">
        <v>2</v>
      </c>
      <c r="G681" s="1200" t="s">
        <v>298</v>
      </c>
      <c r="H681" s="2541" t="s">
        <v>116</v>
      </c>
      <c r="I681" s="1201" t="s">
        <v>117</v>
      </c>
    </row>
    <row r="682" spans="2:10" ht="18" outlineLevel="1" x14ac:dyDescent="0.25">
      <c r="B682" s="1799" t="s">
        <v>15</v>
      </c>
      <c r="C682" s="2064" t="s">
        <v>378</v>
      </c>
      <c r="D682" s="2064" t="s">
        <v>4940</v>
      </c>
      <c r="E682" s="1969">
        <f>I_Sinput_AS</f>
        <v>0.02</v>
      </c>
      <c r="F682" s="1302" t="s">
        <v>380</v>
      </c>
      <c r="G682" s="1302">
        <v>3</v>
      </c>
      <c r="H682" s="2663" t="s">
        <v>4947</v>
      </c>
      <c r="I682" s="1801"/>
    </row>
    <row r="683" spans="2:10" ht="18" outlineLevel="1" x14ac:dyDescent="0.25">
      <c r="B683" s="1806" t="s">
        <v>15</v>
      </c>
      <c r="C683" s="2052" t="s">
        <v>378</v>
      </c>
      <c r="D683" s="2052" t="s">
        <v>4941</v>
      </c>
      <c r="E683" s="1812">
        <f>I_Sinput_DIG</f>
        <v>0.1</v>
      </c>
      <c r="F683" s="1271" t="s">
        <v>380</v>
      </c>
      <c r="G683" s="1271">
        <v>3</v>
      </c>
      <c r="H683" s="2610" t="s">
        <v>4944</v>
      </c>
      <c r="I683" s="1801"/>
    </row>
    <row r="684" spans="2:10" ht="18.75" outlineLevel="1" thickBot="1" x14ac:dyDescent="0.3">
      <c r="B684" s="284" t="s">
        <v>15</v>
      </c>
      <c r="C684" s="2023" t="s">
        <v>378</v>
      </c>
      <c r="D684" s="2023" t="s">
        <v>4945</v>
      </c>
      <c r="E684" s="1798">
        <f>I_Sinput_sidestream</f>
        <v>0.1</v>
      </c>
      <c r="F684" s="1258" t="s">
        <v>380</v>
      </c>
      <c r="G684" s="1258">
        <v>3</v>
      </c>
      <c r="H684" s="2615" t="s">
        <v>4946</v>
      </c>
      <c r="I684" s="406"/>
      <c r="J684" s="4"/>
    </row>
    <row r="685" spans="2:10" s="4" customFormat="1" ht="15.75" thickBot="1" x14ac:dyDescent="0.3">
      <c r="E685" s="1917"/>
      <c r="H685" s="1154"/>
    </row>
    <row r="686" spans="2:10" s="4" customFormat="1" ht="15.75" thickBot="1" x14ac:dyDescent="0.3">
      <c r="B686" s="115"/>
      <c r="C686" s="1813" t="s">
        <v>4938</v>
      </c>
      <c r="D686" s="13" t="s">
        <v>317</v>
      </c>
      <c r="E686" s="13"/>
      <c r="F686" s="115"/>
      <c r="G686" s="115"/>
      <c r="H686" s="502"/>
      <c r="I686" s="115"/>
    </row>
    <row r="687" spans="2:10" s="4" customFormat="1" ht="15.75" thickBot="1" x14ac:dyDescent="0.3">
      <c r="B687" s="1814" t="s">
        <v>0</v>
      </c>
      <c r="C687" s="2131" t="s">
        <v>1</v>
      </c>
      <c r="D687" s="1815" t="s">
        <v>5</v>
      </c>
      <c r="E687" s="1815" t="s">
        <v>152</v>
      </c>
      <c r="F687" s="1815" t="s">
        <v>2</v>
      </c>
      <c r="G687" s="1815" t="s">
        <v>298</v>
      </c>
      <c r="H687" s="2577" t="s">
        <v>116</v>
      </c>
      <c r="I687" s="1816" t="s">
        <v>117</v>
      </c>
    </row>
    <row r="688" spans="2:10" ht="18" outlineLevel="1" x14ac:dyDescent="0.25">
      <c r="B688" s="1799" t="s">
        <v>15</v>
      </c>
      <c r="C688" s="2064" t="s">
        <v>378</v>
      </c>
      <c r="D688" s="2064" t="s">
        <v>4940</v>
      </c>
      <c r="E688" s="1969">
        <f>I_Sinput_AS</f>
        <v>0.02</v>
      </c>
      <c r="F688" s="1302" t="s">
        <v>380</v>
      </c>
      <c r="G688" s="1302">
        <v>3</v>
      </c>
      <c r="H688" s="2663" t="s">
        <v>4948</v>
      </c>
      <c r="I688" s="1801"/>
      <c r="J688" s="4"/>
    </row>
    <row r="689" spans="2:11" ht="18" outlineLevel="1" x14ac:dyDescent="0.25">
      <c r="B689" s="1806" t="s">
        <v>15</v>
      </c>
      <c r="C689" s="2052" t="s">
        <v>378</v>
      </c>
      <c r="D689" s="2052" t="s">
        <v>4941</v>
      </c>
      <c r="E689" s="1812">
        <f>I_Sinput_DIG</f>
        <v>0.1</v>
      </c>
      <c r="F689" s="1271" t="s">
        <v>380</v>
      </c>
      <c r="G689" s="1271">
        <v>3</v>
      </c>
      <c r="H689" s="2610" t="s">
        <v>4949</v>
      </c>
      <c r="I689" s="1808"/>
      <c r="J689" s="4"/>
    </row>
    <row r="690" spans="2:11" ht="18.75" outlineLevel="1" thickBot="1" x14ac:dyDescent="0.3">
      <c r="B690" s="284" t="s">
        <v>15</v>
      </c>
      <c r="C690" s="2023" t="s">
        <v>378</v>
      </c>
      <c r="D690" s="2023" t="s">
        <v>4945</v>
      </c>
      <c r="E690" s="1798">
        <f>I_Sinput_sidestream</f>
        <v>0.1</v>
      </c>
      <c r="F690" s="1258" t="s">
        <v>380</v>
      </c>
      <c r="G690" s="1258">
        <v>3</v>
      </c>
      <c r="H690" s="2615" t="s">
        <v>4950</v>
      </c>
      <c r="I690" s="406"/>
      <c r="J690" s="4"/>
    </row>
    <row r="691" spans="2:11" ht="15.75" thickBot="1" x14ac:dyDescent="0.3"/>
    <row r="692" spans="2:11" ht="15.75" thickBot="1" x14ac:dyDescent="0.3">
      <c r="B692" s="115" t="s">
        <v>372</v>
      </c>
      <c r="C692" s="1797" t="s">
        <v>2138</v>
      </c>
      <c r="D692" s="13" t="s">
        <v>317</v>
      </c>
      <c r="E692" s="115"/>
    </row>
    <row r="693" spans="2:11" ht="15.75" thickBot="1" x14ac:dyDescent="0.3">
      <c r="B693" s="1802" t="s">
        <v>0</v>
      </c>
      <c r="C693" s="2135" t="s">
        <v>1</v>
      </c>
      <c r="D693" s="1200" t="s">
        <v>373</v>
      </c>
      <c r="E693" s="1200" t="s">
        <v>152</v>
      </c>
      <c r="F693" s="1803" t="s">
        <v>374</v>
      </c>
      <c r="G693" s="1200" t="s">
        <v>375</v>
      </c>
      <c r="H693" s="2616" t="s">
        <v>2</v>
      </c>
      <c r="I693" s="1803" t="s">
        <v>298</v>
      </c>
      <c r="J693" s="1803" t="s">
        <v>116</v>
      </c>
      <c r="K693" s="1201" t="s">
        <v>117</v>
      </c>
    </row>
    <row r="694" spans="2:11" outlineLevel="1" x14ac:dyDescent="0.25">
      <c r="B694" s="1799" t="s">
        <v>11</v>
      </c>
      <c r="C694" s="2064" t="s">
        <v>11</v>
      </c>
      <c r="D694" s="2064" t="s">
        <v>376</v>
      </c>
      <c r="E694" s="1969">
        <v>7.2</v>
      </c>
      <c r="F694" s="1302">
        <v>2</v>
      </c>
      <c r="G694" s="1302">
        <v>12</v>
      </c>
      <c r="H694" s="2663" t="s">
        <v>377</v>
      </c>
      <c r="I694" s="1800">
        <v>2</v>
      </c>
      <c r="J694" s="1800" t="s">
        <v>1249</v>
      </c>
      <c r="K694" s="1801"/>
    </row>
    <row r="695" spans="2:11" ht="15.75" outlineLevel="1" thickBot="1" x14ac:dyDescent="0.3">
      <c r="B695" s="284" t="s">
        <v>15</v>
      </c>
      <c r="C695" s="2023" t="s">
        <v>378</v>
      </c>
      <c r="D695" s="2023" t="s">
        <v>379</v>
      </c>
      <c r="E695" s="1798">
        <v>0.01</v>
      </c>
      <c r="F695" s="1258">
        <v>0</v>
      </c>
      <c r="G695" s="1258">
        <v>0.5</v>
      </c>
      <c r="H695" s="2615" t="s">
        <v>380</v>
      </c>
      <c r="I695" s="1258">
        <v>2</v>
      </c>
      <c r="J695" s="1258" t="s">
        <v>4939</v>
      </c>
      <c r="K695" s="406"/>
    </row>
    <row r="696" spans="2:11" ht="15.75" thickBot="1" x14ac:dyDescent="0.3">
      <c r="E696" s="115"/>
    </row>
    <row r="697" spans="2:11" ht="15.75" thickBot="1" x14ac:dyDescent="0.3">
      <c r="B697" s="115" t="s">
        <v>372</v>
      </c>
      <c r="C697" s="1797" t="s">
        <v>2137</v>
      </c>
      <c r="D697" s="13" t="s">
        <v>317</v>
      </c>
      <c r="E697" s="115"/>
    </row>
    <row r="698" spans="2:11" ht="15.75" thickBot="1" x14ac:dyDescent="0.3">
      <c r="B698" s="1802" t="s">
        <v>0</v>
      </c>
      <c r="C698" s="2136" t="s">
        <v>1</v>
      </c>
      <c r="D698" s="1200" t="s">
        <v>373</v>
      </c>
      <c r="E698" s="1803" t="s">
        <v>152</v>
      </c>
      <c r="F698" s="1803" t="s">
        <v>374</v>
      </c>
      <c r="G698" s="1200" t="s">
        <v>375</v>
      </c>
      <c r="H698" s="2616" t="s">
        <v>2</v>
      </c>
      <c r="I698" s="1803" t="s">
        <v>298</v>
      </c>
      <c r="J698" s="1200" t="s">
        <v>116</v>
      </c>
      <c r="K698" s="1201" t="s">
        <v>117</v>
      </c>
    </row>
    <row r="699" spans="2:11" ht="18" outlineLevel="1" x14ac:dyDescent="0.25">
      <c r="B699" s="1804" t="s">
        <v>2957</v>
      </c>
      <c r="C699" s="2065" t="s">
        <v>2958</v>
      </c>
      <c r="D699" s="2065" t="s">
        <v>376</v>
      </c>
      <c r="E699" s="1805">
        <v>8.6899999999999998E-3</v>
      </c>
      <c r="F699" s="1302">
        <v>-10000</v>
      </c>
      <c r="G699" s="1302">
        <v>10000</v>
      </c>
      <c r="H699" s="2664" t="s">
        <v>383</v>
      </c>
      <c r="I699" s="1107">
        <v>2</v>
      </c>
      <c r="J699" s="1107" t="s">
        <v>3924</v>
      </c>
      <c r="K699" s="1111" t="s">
        <v>381</v>
      </c>
    </row>
    <row r="700" spans="2:11" outlineLevel="1" x14ac:dyDescent="0.25">
      <c r="B700" s="1806" t="s">
        <v>15</v>
      </c>
      <c r="C700" s="2052" t="s">
        <v>378</v>
      </c>
      <c r="D700" s="2052" t="s">
        <v>379</v>
      </c>
      <c r="E700" s="1807">
        <v>0.01</v>
      </c>
      <c r="F700" s="1273" t="s">
        <v>382</v>
      </c>
      <c r="G700" s="1271">
        <v>0.5</v>
      </c>
      <c r="H700" s="2610" t="s">
        <v>380</v>
      </c>
      <c r="I700" s="1271">
        <v>2</v>
      </c>
      <c r="J700" s="1271" t="s">
        <v>3924</v>
      </c>
      <c r="K700" s="1808" t="s">
        <v>384</v>
      </c>
    </row>
    <row r="701" spans="2:11" ht="18.75" outlineLevel="1" thickBot="1" x14ac:dyDescent="0.3">
      <c r="B701" s="284" t="s">
        <v>385</v>
      </c>
      <c r="C701" s="2023" t="s">
        <v>297</v>
      </c>
      <c r="D701" s="2023" t="s">
        <v>387</v>
      </c>
      <c r="E701" s="1798">
        <v>100</v>
      </c>
      <c r="F701" s="1258">
        <v>0</v>
      </c>
      <c r="G701" s="1258">
        <v>10000</v>
      </c>
      <c r="H701" s="2615" t="s">
        <v>1211</v>
      </c>
      <c r="I701" s="1258">
        <v>2</v>
      </c>
      <c r="J701" s="1258" t="s">
        <v>3924</v>
      </c>
      <c r="K701" s="406" t="s">
        <v>386</v>
      </c>
    </row>
    <row r="702" spans="2:11" ht="15.75" thickBot="1" x14ac:dyDescent="0.3">
      <c r="E702" s="115"/>
    </row>
    <row r="703" spans="2:11" ht="15.75" thickBot="1" x14ac:dyDescent="0.3">
      <c r="B703" s="115" t="s">
        <v>372</v>
      </c>
      <c r="C703" s="1797" t="s">
        <v>3922</v>
      </c>
      <c r="D703" s="13" t="s">
        <v>317</v>
      </c>
      <c r="E703" s="115"/>
    </row>
    <row r="704" spans="2:11" ht="15.75" thickBot="1" x14ac:dyDescent="0.3">
      <c r="B704" s="1802" t="s">
        <v>0</v>
      </c>
      <c r="C704" s="2136" t="s">
        <v>1</v>
      </c>
      <c r="D704" s="1200" t="s">
        <v>373</v>
      </c>
      <c r="E704" s="1803" t="s">
        <v>152</v>
      </c>
      <c r="F704" s="1803" t="s">
        <v>374</v>
      </c>
      <c r="G704" s="1200" t="s">
        <v>375</v>
      </c>
      <c r="H704" s="2616" t="s">
        <v>2</v>
      </c>
      <c r="I704" s="1803" t="s">
        <v>298</v>
      </c>
      <c r="J704" s="1200" t="s">
        <v>116</v>
      </c>
      <c r="K704" s="1201" t="s">
        <v>117</v>
      </c>
    </row>
    <row r="705" spans="2:11" ht="18" outlineLevel="1" x14ac:dyDescent="0.25">
      <c r="B705" s="1804" t="s">
        <v>2957</v>
      </c>
      <c r="C705" s="2065" t="s">
        <v>2958</v>
      </c>
      <c r="D705" s="2065" t="s">
        <v>376</v>
      </c>
      <c r="E705" s="1805">
        <v>8.6899999999999998E-3</v>
      </c>
      <c r="F705" s="1302">
        <v>-10000</v>
      </c>
      <c r="G705" s="1302">
        <v>10000</v>
      </c>
      <c r="H705" s="2664" t="s">
        <v>383</v>
      </c>
      <c r="I705" s="1107">
        <v>2</v>
      </c>
      <c r="J705" s="1107" t="s">
        <v>3923</v>
      </c>
      <c r="K705" s="1111" t="s">
        <v>381</v>
      </c>
    </row>
    <row r="706" spans="2:11" ht="15.75" outlineLevel="1" thickBot="1" x14ac:dyDescent="0.3">
      <c r="B706" s="284" t="s">
        <v>15</v>
      </c>
      <c r="C706" s="2023" t="s">
        <v>378</v>
      </c>
      <c r="D706" s="2023" t="s">
        <v>379</v>
      </c>
      <c r="E706" s="1809">
        <v>0.01</v>
      </c>
      <c r="F706" s="1278">
        <v>0</v>
      </c>
      <c r="G706" s="1258">
        <v>0.5</v>
      </c>
      <c r="H706" s="2615" t="s">
        <v>380</v>
      </c>
      <c r="I706" s="1258">
        <v>2</v>
      </c>
      <c r="J706" s="1258" t="s">
        <v>5373</v>
      </c>
      <c r="K706" s="406" t="s">
        <v>384</v>
      </c>
    </row>
    <row r="707" spans="2:11" ht="15.75" thickBot="1" x14ac:dyDescent="0.3">
      <c r="E707" s="115"/>
    </row>
    <row r="708" spans="2:11" ht="15.75" thickBot="1" x14ac:dyDescent="0.3">
      <c r="C708" s="987" t="s">
        <v>3936</v>
      </c>
      <c r="D708" s="13" t="s">
        <v>317</v>
      </c>
      <c r="E708" s="119"/>
    </row>
    <row r="709" spans="2:11" ht="15.75" thickBot="1" x14ac:dyDescent="0.3">
      <c r="B709" s="441" t="s">
        <v>0</v>
      </c>
      <c r="C709" s="2132" t="s">
        <v>1</v>
      </c>
      <c r="D709" s="869" t="s">
        <v>5</v>
      </c>
      <c r="E709" s="869" t="s">
        <v>152</v>
      </c>
      <c r="F709" s="869" t="s">
        <v>2</v>
      </c>
      <c r="G709" s="869" t="s">
        <v>298</v>
      </c>
      <c r="H709" s="2608" t="s">
        <v>116</v>
      </c>
      <c r="I709" s="748" t="s">
        <v>117</v>
      </c>
    </row>
    <row r="710" spans="2:11" ht="18" outlineLevel="1" x14ac:dyDescent="0.25">
      <c r="B710" s="934" t="s">
        <v>2959</v>
      </c>
      <c r="C710" s="2050" t="s">
        <v>2960</v>
      </c>
      <c r="D710" s="2070" t="s">
        <v>2961</v>
      </c>
      <c r="E710" s="2183" t="e">
        <f>S_CAT_ini+S_IC*(A_MNa*1000)</f>
        <v>#NAME?</v>
      </c>
      <c r="F710" s="945" t="s">
        <v>1045</v>
      </c>
      <c r="G710" s="945">
        <v>2</v>
      </c>
      <c r="H710" s="2609" t="s">
        <v>3937</v>
      </c>
      <c r="I710" s="936" t="s">
        <v>2437</v>
      </c>
    </row>
    <row r="711" spans="2:11" ht="18" outlineLevel="1" x14ac:dyDescent="0.25">
      <c r="B711" s="975" t="s">
        <v>2962</v>
      </c>
      <c r="C711" s="2051" t="s">
        <v>2963</v>
      </c>
      <c r="D711" s="2071" t="s">
        <v>2964</v>
      </c>
      <c r="E711" s="2184" t="e">
        <f>S_AN_ini-S_IC*(A_MCl*1000)</f>
        <v>#NAME?</v>
      </c>
      <c r="F711" s="938" t="s">
        <v>1047</v>
      </c>
      <c r="G711" s="938">
        <v>2</v>
      </c>
      <c r="H711" s="2617" t="s">
        <v>3937</v>
      </c>
      <c r="I711" s="782" t="s">
        <v>2437</v>
      </c>
    </row>
    <row r="712" spans="2:11" ht="18" outlineLevel="1" x14ac:dyDescent="0.25">
      <c r="B712" s="975" t="s">
        <v>1160</v>
      </c>
      <c r="C712" s="2050" t="s">
        <v>2965</v>
      </c>
      <c r="D712" s="2071" t="s">
        <v>2966</v>
      </c>
      <c r="E712" s="2184" t="e">
        <f>IF(S_CAT_ini_corr&gt;0,S_CAT_ini_corr,S_CAT_ini)</f>
        <v>#NAME?</v>
      </c>
      <c r="F712" s="942" t="s">
        <v>1045</v>
      </c>
      <c r="G712" s="942">
        <v>2</v>
      </c>
      <c r="H712" s="2617" t="s">
        <v>3937</v>
      </c>
      <c r="I712" s="782" t="s">
        <v>2437</v>
      </c>
    </row>
    <row r="713" spans="2:11" ht="18.75" outlineLevel="1" thickBot="1" x14ac:dyDescent="0.3">
      <c r="B713" s="284" t="s">
        <v>2438</v>
      </c>
      <c r="C713" s="2053" t="s">
        <v>2967</v>
      </c>
      <c r="D713" s="2073" t="s">
        <v>2968</v>
      </c>
      <c r="E713" s="1279" t="e">
        <f>IF(S_CAT_ini_corr&gt;0,S_AN_ini,S_AN_ini_corr)</f>
        <v>#NAME?</v>
      </c>
      <c r="F713" s="870" t="s">
        <v>1047</v>
      </c>
      <c r="G713" s="870">
        <v>2</v>
      </c>
      <c r="H713" s="1609" t="s">
        <v>3937</v>
      </c>
      <c r="I713" s="406" t="s">
        <v>2437</v>
      </c>
    </row>
    <row r="714" spans="2:11" ht="15.75" thickBot="1" x14ac:dyDescent="0.3">
      <c r="E714" s="115"/>
    </row>
    <row r="715" spans="2:11" ht="15.75" thickBot="1" x14ac:dyDescent="0.3">
      <c r="C715" s="987" t="s">
        <v>3928</v>
      </c>
      <c r="D715" s="13" t="s">
        <v>317</v>
      </c>
      <c r="E715" s="119"/>
    </row>
    <row r="716" spans="2:11" ht="15.75" thickBot="1" x14ac:dyDescent="0.3">
      <c r="B716" s="441" t="s">
        <v>0</v>
      </c>
      <c r="C716" s="2132" t="s">
        <v>1</v>
      </c>
      <c r="D716" s="869" t="s">
        <v>5</v>
      </c>
      <c r="E716" s="869" t="s">
        <v>152</v>
      </c>
      <c r="F716" s="869" t="s">
        <v>2</v>
      </c>
      <c r="G716" s="869" t="s">
        <v>298</v>
      </c>
      <c r="H716" s="2608" t="s">
        <v>116</v>
      </c>
      <c r="I716" s="748" t="s">
        <v>117</v>
      </c>
    </row>
    <row r="717" spans="2:11" ht="18" outlineLevel="1" x14ac:dyDescent="0.25">
      <c r="B717" s="934" t="s">
        <v>3929</v>
      </c>
      <c r="C717" s="2050" t="s">
        <v>2960</v>
      </c>
      <c r="D717" s="2070" t="s">
        <v>3930</v>
      </c>
      <c r="E717" s="2183" t="e">
        <f>S_CAT_ini+S_IC*(A_MNa*1000)</f>
        <v>#NAME?</v>
      </c>
      <c r="F717" s="945" t="s">
        <v>1045</v>
      </c>
      <c r="G717" s="945">
        <v>2</v>
      </c>
      <c r="H717" s="2609" t="s">
        <v>3931</v>
      </c>
      <c r="I717" s="936" t="s">
        <v>2437</v>
      </c>
    </row>
    <row r="718" spans="2:11" ht="18" outlineLevel="1" x14ac:dyDescent="0.25">
      <c r="B718" s="975" t="s">
        <v>3932</v>
      </c>
      <c r="C718" s="2051" t="s">
        <v>2963</v>
      </c>
      <c r="D718" s="2071" t="s">
        <v>3933</v>
      </c>
      <c r="E718" s="2184" t="e">
        <f>S_AN_ini-S_IC*(A_MCl*1000)</f>
        <v>#NAME?</v>
      </c>
      <c r="F718" s="938" t="s">
        <v>1047</v>
      </c>
      <c r="G718" s="938">
        <v>2</v>
      </c>
      <c r="H718" s="2617" t="s">
        <v>3931</v>
      </c>
      <c r="I718" s="782" t="s">
        <v>2437</v>
      </c>
    </row>
    <row r="719" spans="2:11" ht="18" outlineLevel="1" x14ac:dyDescent="0.25">
      <c r="B719" s="975" t="s">
        <v>1160</v>
      </c>
      <c r="C719" s="2050" t="s">
        <v>2965</v>
      </c>
      <c r="D719" s="2072" t="s">
        <v>3934</v>
      </c>
      <c r="E719" s="2184" t="e">
        <f>IF(S_CAT_ini_corr&gt;0,S_CAT_ini_corr,S_CAT_ini)</f>
        <v>#NAME?</v>
      </c>
      <c r="F719" s="942" t="s">
        <v>1045</v>
      </c>
      <c r="G719" s="942">
        <v>2</v>
      </c>
      <c r="H719" s="2617" t="s">
        <v>3931</v>
      </c>
      <c r="I719" s="782" t="s">
        <v>2437</v>
      </c>
    </row>
    <row r="720" spans="2:11" ht="18.75" outlineLevel="1" thickBot="1" x14ac:dyDescent="0.3">
      <c r="B720" s="284" t="s">
        <v>2438</v>
      </c>
      <c r="C720" s="2053" t="s">
        <v>2967</v>
      </c>
      <c r="D720" s="2073" t="s">
        <v>3935</v>
      </c>
      <c r="E720" s="1279" t="e">
        <f>IF(S_CAT_ini_corr&gt;0,S_AN_ini,S_AN_ini_corr)</f>
        <v>#NAME?</v>
      </c>
      <c r="F720" s="870" t="s">
        <v>1047</v>
      </c>
      <c r="G720" s="870">
        <v>2</v>
      </c>
      <c r="H720" s="1609" t="s">
        <v>3931</v>
      </c>
      <c r="I720" s="406" t="s">
        <v>2437</v>
      </c>
    </row>
    <row r="721" spans="1:9" ht="15.75" thickBot="1" x14ac:dyDescent="0.3">
      <c r="E721" s="115"/>
    </row>
    <row r="722" spans="1:9" ht="15.75" thickBot="1" x14ac:dyDescent="0.3">
      <c r="C722" s="973" t="s">
        <v>3925</v>
      </c>
      <c r="D722" s="119" t="s">
        <v>317</v>
      </c>
      <c r="E722" s="119"/>
    </row>
    <row r="723" spans="1:9" ht="15.75" thickBot="1" x14ac:dyDescent="0.3">
      <c r="B723" s="747" t="s">
        <v>0</v>
      </c>
      <c r="C723" s="2132" t="s">
        <v>1</v>
      </c>
      <c r="D723" s="869" t="s">
        <v>5</v>
      </c>
      <c r="E723" s="869" t="s">
        <v>152</v>
      </c>
      <c r="F723" s="869" t="s">
        <v>2</v>
      </c>
      <c r="G723" s="869" t="s">
        <v>298</v>
      </c>
      <c r="H723" s="2608" t="s">
        <v>116</v>
      </c>
      <c r="I723" s="748" t="s">
        <v>117</v>
      </c>
    </row>
    <row r="724" spans="1:9" ht="17.25" outlineLevel="1" x14ac:dyDescent="0.25">
      <c r="B724" s="970" t="s">
        <v>376</v>
      </c>
      <c r="C724" s="2066" t="s">
        <v>1163</v>
      </c>
      <c r="D724" s="2069" t="s">
        <v>388</v>
      </c>
      <c r="E724" s="974">
        <f>c_hargebalance</f>
        <v>-5.0372236999005299E-4</v>
      </c>
      <c r="F724" s="971" t="s">
        <v>1881</v>
      </c>
      <c r="G724" s="971">
        <v>2</v>
      </c>
      <c r="H724" s="2665" t="s">
        <v>11</v>
      </c>
      <c r="I724" s="972"/>
    </row>
    <row r="725" spans="1:9" ht="18" outlineLevel="1" x14ac:dyDescent="0.25">
      <c r="B725" s="975" t="s">
        <v>379</v>
      </c>
      <c r="C725" s="2051" t="s">
        <v>389</v>
      </c>
      <c r="D725" s="2051" t="s">
        <v>1851</v>
      </c>
      <c r="E725" s="976">
        <f>I_S-I_Scalc</f>
        <v>4.1452029851901141E-3</v>
      </c>
      <c r="F725" s="976" t="s">
        <v>380</v>
      </c>
      <c r="G725" s="942">
        <v>2</v>
      </c>
      <c r="H725" s="2617" t="s">
        <v>11</v>
      </c>
      <c r="I725" s="782"/>
    </row>
    <row r="726" spans="1:9" ht="18.75" outlineLevel="1" thickBot="1" x14ac:dyDescent="0.3">
      <c r="B726" s="977" t="s">
        <v>387</v>
      </c>
      <c r="C726" s="2067" t="s">
        <v>390</v>
      </c>
      <c r="D726" s="2067" t="s">
        <v>391</v>
      </c>
      <c r="E726" s="978">
        <f>S_ALK-S_ALK_input</f>
        <v>-1.4698348104574474E-3</v>
      </c>
      <c r="F726" s="978" t="s">
        <v>1880</v>
      </c>
      <c r="G726" s="979">
        <v>2</v>
      </c>
      <c r="H726" s="1609" t="s">
        <v>3924</v>
      </c>
      <c r="I726" s="786"/>
    </row>
    <row r="727" spans="1:9" x14ac:dyDescent="0.25">
      <c r="B727" s="151"/>
      <c r="C727" s="151"/>
      <c r="D727" s="151"/>
      <c r="E727" s="151"/>
      <c r="F727" s="151"/>
      <c r="G727" s="151"/>
      <c r="H727" s="44"/>
      <c r="I727" s="151"/>
    </row>
    <row r="728" spans="1:9" ht="18" x14ac:dyDescent="0.25">
      <c r="B728" s="115" t="s">
        <v>3900</v>
      </c>
      <c r="E728" s="115"/>
    </row>
    <row r="729" spans="1:9" x14ac:dyDescent="0.25">
      <c r="B729" s="115" t="s">
        <v>3901</v>
      </c>
      <c r="E729" s="115"/>
    </row>
    <row r="730" spans="1:9" ht="15.75" thickBot="1" x14ac:dyDescent="0.3">
      <c r="E730" s="115"/>
    </row>
    <row r="731" spans="1:9" s="1154" customFormat="1" ht="18" customHeight="1" thickBot="1" x14ac:dyDescent="0.3">
      <c r="A731" s="4"/>
      <c r="B731" s="115"/>
      <c r="C731" s="2707" t="s">
        <v>3902</v>
      </c>
      <c r="D731" s="13" t="s">
        <v>299</v>
      </c>
      <c r="E731" s="13"/>
      <c r="F731" s="115"/>
      <c r="G731" s="115"/>
      <c r="H731" s="115"/>
      <c r="I731" s="115"/>
    </row>
    <row r="732" spans="1:9" s="1154" customFormat="1" ht="18" customHeight="1" thickBot="1" x14ac:dyDescent="0.3">
      <c r="A732" s="4"/>
      <c r="B732" s="2708" t="s">
        <v>0</v>
      </c>
      <c r="C732" s="2709" t="s">
        <v>1</v>
      </c>
      <c r="D732" s="2710" t="s">
        <v>5</v>
      </c>
      <c r="E732" s="2710" t="s">
        <v>152</v>
      </c>
      <c r="F732" s="2710" t="s">
        <v>2</v>
      </c>
      <c r="G732" s="2710" t="s">
        <v>298</v>
      </c>
      <c r="H732" s="2710" t="s">
        <v>116</v>
      </c>
      <c r="I732" s="2711" t="s">
        <v>117</v>
      </c>
    </row>
    <row r="733" spans="1:9" ht="18" outlineLevel="1" x14ac:dyDescent="0.25">
      <c r="B733" s="2712" t="s">
        <v>3918</v>
      </c>
      <c r="C733" s="2713" t="s">
        <v>3910</v>
      </c>
      <c r="D733" s="2713" t="s">
        <v>4942</v>
      </c>
      <c r="E733" s="2714">
        <f>0.15</f>
        <v>0.15</v>
      </c>
      <c r="F733" s="2715" t="s">
        <v>380</v>
      </c>
      <c r="G733" s="2715">
        <v>3</v>
      </c>
      <c r="H733" s="2715" t="s">
        <v>5153</v>
      </c>
      <c r="I733" s="2716"/>
    </row>
    <row r="734" spans="1:9" ht="18" outlineLevel="1" x14ac:dyDescent="0.25">
      <c r="B734" s="2246" t="s">
        <v>3918</v>
      </c>
      <c r="C734" s="2247" t="s">
        <v>3910</v>
      </c>
      <c r="D734" s="2247" t="s">
        <v>4943</v>
      </c>
      <c r="E734" s="2248"/>
      <c r="F734" s="2249" t="s">
        <v>380</v>
      </c>
      <c r="G734" s="2249">
        <v>3</v>
      </c>
      <c r="H734" s="2717" t="s">
        <v>3911</v>
      </c>
      <c r="I734" s="2718"/>
    </row>
    <row r="735" spans="1:9" ht="18" outlineLevel="1" x14ac:dyDescent="0.25">
      <c r="B735" s="2246" t="s">
        <v>3918</v>
      </c>
      <c r="C735" s="2247" t="s">
        <v>3910</v>
      </c>
      <c r="D735" s="2247" t="s">
        <v>4951</v>
      </c>
      <c r="E735" s="2248">
        <f>0.15</f>
        <v>0.15</v>
      </c>
      <c r="F735" s="2249" t="s">
        <v>380</v>
      </c>
      <c r="G735" s="2249">
        <v>3</v>
      </c>
      <c r="H735" s="2717" t="s">
        <v>5154</v>
      </c>
      <c r="I735" s="2718"/>
    </row>
    <row r="736" spans="1:9" ht="18" outlineLevel="1" x14ac:dyDescent="0.25">
      <c r="B736" s="2246" t="s">
        <v>907</v>
      </c>
      <c r="C736" s="2247" t="s">
        <v>904</v>
      </c>
      <c r="D736" s="2247" t="s">
        <v>1845</v>
      </c>
      <c r="E736" s="2248">
        <f>1.82483*10^6*ρ__^(0.5)*(ε__*T_K)^(-1.5)</f>
        <v>0.50517320931567189</v>
      </c>
      <c r="F736" s="2249" t="s">
        <v>5416</v>
      </c>
      <c r="G736" s="2249">
        <v>3</v>
      </c>
      <c r="H736" s="2717" t="s">
        <v>1150</v>
      </c>
      <c r="I736" s="2718"/>
    </row>
    <row r="737" spans="1:9" ht="18" outlineLevel="1" x14ac:dyDescent="0.25">
      <c r="B737" s="2246" t="s">
        <v>906</v>
      </c>
      <c r="C737" s="2247" t="s">
        <v>2922</v>
      </c>
      <c r="D737" s="2247" t="s">
        <v>941</v>
      </c>
      <c r="E737" s="2248">
        <f>2727.586+0.6224107*T_K-466.9151*LN(T_K)-(52000.87/T_K)</f>
        <v>80.261801298291488</v>
      </c>
      <c r="F737" s="2249" t="s">
        <v>5416</v>
      </c>
      <c r="G737" s="2249">
        <v>3</v>
      </c>
      <c r="H737" s="2717" t="s">
        <v>1150</v>
      </c>
      <c r="I737" s="2718"/>
    </row>
    <row r="738" spans="1:9" outlineLevel="1" x14ac:dyDescent="0.25">
      <c r="B738" s="2246" t="s">
        <v>908</v>
      </c>
      <c r="C738" s="2247" t="s">
        <v>2923</v>
      </c>
      <c r="D738" s="2247" t="s">
        <v>905</v>
      </c>
      <c r="E738" s="2248">
        <f>1-(T__-3.9863)^2*(T__+288.9414)/(508929.2*(T__+68.12963))+0.011445*EXP(-374.3/T__)</f>
        <v>0.99823363622515204</v>
      </c>
      <c r="F738" s="2249" t="s">
        <v>5416</v>
      </c>
      <c r="G738" s="2249">
        <v>3</v>
      </c>
      <c r="H738" s="2717" t="s">
        <v>1150</v>
      </c>
      <c r="I738" s="2718"/>
    </row>
    <row r="739" spans="1:9" ht="18" outlineLevel="1" x14ac:dyDescent="0.25">
      <c r="B739" s="2246" t="s">
        <v>3916</v>
      </c>
      <c r="C739" s="2247" t="s">
        <v>3861</v>
      </c>
      <c r="D739" s="2247" t="s">
        <v>3919</v>
      </c>
      <c r="E739" s="2248">
        <v>0.78540775368648974</v>
      </c>
      <c r="F739" s="2249" t="s">
        <v>5416</v>
      </c>
      <c r="G739" s="2249">
        <v>3</v>
      </c>
      <c r="H739" s="2717" t="s">
        <v>1150</v>
      </c>
      <c r="I739" s="2718"/>
    </row>
    <row r="740" spans="1:9" ht="18" outlineLevel="1" x14ac:dyDescent="0.25">
      <c r="B740" s="2246" t="s">
        <v>3917</v>
      </c>
      <c r="C740" s="2247" t="s">
        <v>3863</v>
      </c>
      <c r="D740" s="2247" t="s">
        <v>3920</v>
      </c>
      <c r="E740" s="2248">
        <v>0.3805228471391951</v>
      </c>
      <c r="F740" s="2249" t="s">
        <v>5416</v>
      </c>
      <c r="G740" s="2249">
        <v>3</v>
      </c>
      <c r="H740" s="2717" t="s">
        <v>1150</v>
      </c>
      <c r="I740" s="2718"/>
    </row>
    <row r="741" spans="1:9" ht="18.75" outlineLevel="1" thickBot="1" x14ac:dyDescent="0.3">
      <c r="B741" s="957" t="s">
        <v>5417</v>
      </c>
      <c r="C741" s="2068" t="s">
        <v>3865</v>
      </c>
      <c r="D741" s="2068" t="s">
        <v>5418</v>
      </c>
      <c r="E741" s="959">
        <v>0.3805228471391951</v>
      </c>
      <c r="F741" s="958" t="s">
        <v>5416</v>
      </c>
      <c r="G741" s="958">
        <v>3</v>
      </c>
      <c r="H741" s="2719" t="s">
        <v>1150</v>
      </c>
      <c r="I741" s="620"/>
    </row>
    <row r="742" spans="1:9" s="1154" customFormat="1" ht="18" customHeight="1" thickBot="1" x14ac:dyDescent="0.3">
      <c r="A742" s="4"/>
      <c r="B742" s="4"/>
      <c r="C742" s="4"/>
      <c r="D742" s="4"/>
      <c r="E742" s="1917"/>
      <c r="F742" s="4"/>
      <c r="G742" s="4"/>
      <c r="H742" s="4"/>
      <c r="I742" s="4"/>
    </row>
    <row r="743" spans="1:9" s="1154" customFormat="1" ht="18" customHeight="1" thickBot="1" x14ac:dyDescent="0.3">
      <c r="A743" s="4"/>
      <c r="B743" s="115"/>
      <c r="C743" s="2707" t="s">
        <v>943</v>
      </c>
      <c r="D743" s="13" t="s">
        <v>299</v>
      </c>
      <c r="E743" s="13"/>
      <c r="F743" s="115"/>
      <c r="G743" s="115"/>
      <c r="H743" s="115"/>
      <c r="I743" s="115"/>
    </row>
    <row r="744" spans="1:9" s="1154" customFormat="1" ht="18" customHeight="1" thickBot="1" x14ac:dyDescent="0.3">
      <c r="A744" s="4"/>
      <c r="B744" s="2708" t="s">
        <v>0</v>
      </c>
      <c r="C744" s="2709" t="s">
        <v>1</v>
      </c>
      <c r="D744" s="2710" t="s">
        <v>5</v>
      </c>
      <c r="E744" s="2710" t="s">
        <v>152</v>
      </c>
      <c r="F744" s="2710" t="s">
        <v>2</v>
      </c>
      <c r="G744" s="2710" t="s">
        <v>298</v>
      </c>
      <c r="H744" s="2710" t="s">
        <v>116</v>
      </c>
      <c r="I744" s="2711" t="s">
        <v>117</v>
      </c>
    </row>
    <row r="745" spans="1:9" ht="18" outlineLevel="1" x14ac:dyDescent="0.25">
      <c r="B745" s="2712" t="s">
        <v>944</v>
      </c>
      <c r="C745" s="2713" t="s">
        <v>2836</v>
      </c>
      <c r="D745" s="2713" t="s">
        <v>3841</v>
      </c>
      <c r="E745" s="2714">
        <f>K_W_param*EXP(d_Hdiss_H2O/R__*(1/T_st_K-1/T_K))</f>
        <v>6.7545152316627035E-15</v>
      </c>
      <c r="F745" s="2715" t="s">
        <v>5416</v>
      </c>
      <c r="G745" s="2715">
        <v>3</v>
      </c>
      <c r="H745" s="2715" t="s">
        <v>1150</v>
      </c>
      <c r="I745" s="2716"/>
    </row>
    <row r="746" spans="1:9" ht="18" outlineLevel="1" x14ac:dyDescent="0.25">
      <c r="B746" s="2246" t="s">
        <v>945</v>
      </c>
      <c r="C746" s="2247" t="s">
        <v>2837</v>
      </c>
      <c r="D746" s="2247" t="s">
        <v>1846</v>
      </c>
      <c r="E746" s="2248">
        <f>10^(-(3404.7/T_K-14.8435+T_K*0.03279))</f>
        <v>4.1392419480646479E-7</v>
      </c>
      <c r="F746" s="2249" t="s">
        <v>5416</v>
      </c>
      <c r="G746" s="2249">
        <v>3</v>
      </c>
      <c r="H746" s="2717" t="s">
        <v>1150</v>
      </c>
      <c r="I746" s="2718"/>
    </row>
    <row r="747" spans="1:9" ht="18" outlineLevel="1" x14ac:dyDescent="0.25">
      <c r="B747" s="2246" t="s">
        <v>946</v>
      </c>
      <c r="C747" s="2247" t="s">
        <v>2838</v>
      </c>
      <c r="D747" s="2247" t="s">
        <v>1847</v>
      </c>
      <c r="E747" s="2248">
        <f>10^(-(2902.4/T_K-6.498+T_K*0.02379))</f>
        <v>4.1997949506593592E-11</v>
      </c>
      <c r="F747" s="2249" t="s">
        <v>5416</v>
      </c>
      <c r="G747" s="2249">
        <v>3</v>
      </c>
      <c r="H747" s="2717" t="s">
        <v>1150</v>
      </c>
      <c r="I747" s="2718"/>
    </row>
    <row r="748" spans="1:9" ht="18" outlineLevel="1" x14ac:dyDescent="0.25">
      <c r="B748" s="2246" t="s">
        <v>947</v>
      </c>
      <c r="C748" s="2247" t="s">
        <v>2839</v>
      </c>
      <c r="D748" s="2247" t="s">
        <v>1848</v>
      </c>
      <c r="E748" s="2248">
        <f>10^(-(799.3/T_K-4.5535+T_K*0.01349))</f>
        <v>7.4527408036475567E-3</v>
      </c>
      <c r="F748" s="2249" t="s">
        <v>5416</v>
      </c>
      <c r="G748" s="2249">
        <v>3</v>
      </c>
      <c r="H748" s="2717" t="s">
        <v>1150</v>
      </c>
      <c r="I748" s="2718"/>
    </row>
    <row r="749" spans="1:9" ht="18" outlineLevel="1" x14ac:dyDescent="0.25">
      <c r="B749" s="2246" t="s">
        <v>948</v>
      </c>
      <c r="C749" s="2247" t="s">
        <v>2840</v>
      </c>
      <c r="D749" s="2247" t="s">
        <v>1849</v>
      </c>
      <c r="E749" s="2248">
        <f>10^(-(1979.5/T_K-5.3541+T_K*0.01984))</f>
        <v>6.1022250881622208E-8</v>
      </c>
      <c r="F749" s="2249" t="s">
        <v>5416</v>
      </c>
      <c r="G749" s="2249">
        <v>3</v>
      </c>
      <c r="H749" s="2717" t="s">
        <v>1150</v>
      </c>
      <c r="I749" s="2718"/>
    </row>
    <row r="750" spans="1:9" ht="18" outlineLevel="1" x14ac:dyDescent="0.25">
      <c r="B750" s="2246" t="s">
        <v>949</v>
      </c>
      <c r="C750" s="2247" t="s">
        <v>2841</v>
      </c>
      <c r="D750" s="2247" t="s">
        <v>3842</v>
      </c>
      <c r="E750" s="2248">
        <f>K_P3_param*EXP(d_Hdiss_PO4_3/R__*(1/T_st_K-1/T_K))</f>
        <v>3.7853629756273106E-13</v>
      </c>
      <c r="F750" s="2249" t="s">
        <v>5416</v>
      </c>
      <c r="G750" s="2249">
        <v>3</v>
      </c>
      <c r="H750" s="2717" t="s">
        <v>1150</v>
      </c>
      <c r="I750" s="2718"/>
    </row>
    <row r="751" spans="1:9" ht="18" outlineLevel="1" x14ac:dyDescent="0.25">
      <c r="B751" s="2246" t="s">
        <v>3517</v>
      </c>
      <c r="C751" s="2247" t="s">
        <v>3518</v>
      </c>
      <c r="D751" s="2247" t="s">
        <v>3843</v>
      </c>
      <c r="E751" s="2248">
        <f>K_S1_param*EXP(d_Hdiss_S_1/R__*(1/T_st_K-1/T_K))</f>
        <v>8.1469603101505123E-8</v>
      </c>
      <c r="F751" s="2249" t="s">
        <v>1990</v>
      </c>
      <c r="G751" s="2249">
        <v>3</v>
      </c>
      <c r="H751" s="2717" t="s">
        <v>1150</v>
      </c>
      <c r="I751" s="2718"/>
    </row>
    <row r="752" spans="1:9" ht="18" outlineLevel="1" x14ac:dyDescent="0.25">
      <c r="B752" s="2246" t="s">
        <v>3519</v>
      </c>
      <c r="C752" s="2247" t="s">
        <v>3520</v>
      </c>
      <c r="D752" s="2247" t="s">
        <v>3844</v>
      </c>
      <c r="E752" s="2248">
        <f>K_S2_param*EXP(d_Hdiss_S_2/R__*(1/T_st_K-1/T_K))</f>
        <v>3.5263778134011928E-18</v>
      </c>
      <c r="F752" s="2249" t="s">
        <v>1990</v>
      </c>
      <c r="G752" s="2249">
        <v>3</v>
      </c>
      <c r="H752" s="2717" t="s">
        <v>1150</v>
      </c>
      <c r="I752" s="2718"/>
    </row>
    <row r="753" spans="1:9" ht="18" outlineLevel="1" x14ac:dyDescent="0.25">
      <c r="B753" s="2246" t="s">
        <v>3521</v>
      </c>
      <c r="C753" s="2247" t="s">
        <v>3522</v>
      </c>
      <c r="D753" s="2247" t="s">
        <v>3845</v>
      </c>
      <c r="E753" s="2248">
        <f>K_SO41_param*EXP(d_Hdiss_SO4_1/R__*(1/T_st_K-1/T_K))</f>
        <v>853.0914720596212</v>
      </c>
      <c r="F753" s="2249" t="s">
        <v>1990</v>
      </c>
      <c r="G753" s="2249">
        <v>3</v>
      </c>
      <c r="H753" s="2717" t="s">
        <v>1150</v>
      </c>
      <c r="I753" s="2718"/>
    </row>
    <row r="754" spans="1:9" ht="18" outlineLevel="1" x14ac:dyDescent="0.25">
      <c r="B754" s="2246" t="s">
        <v>3523</v>
      </c>
      <c r="C754" s="2247" t="s">
        <v>3524</v>
      </c>
      <c r="D754" s="2247" t="s">
        <v>3846</v>
      </c>
      <c r="E754" s="2248">
        <f>K_SO42_param*EXP(d_Hdiss_SO4_2/R__*(1/T_st_K-1/T_K))</f>
        <v>1.1816039602180261E-2</v>
      </c>
      <c r="F754" s="2249" t="s">
        <v>1990</v>
      </c>
      <c r="G754" s="2249">
        <v>3</v>
      </c>
      <c r="H754" s="2717" t="s">
        <v>1150</v>
      </c>
      <c r="I754" s="2718"/>
    </row>
    <row r="755" spans="1:9" ht="18" outlineLevel="1" x14ac:dyDescent="0.25">
      <c r="B755" s="2246" t="s">
        <v>2867</v>
      </c>
      <c r="C755" s="2247" t="s">
        <v>2842</v>
      </c>
      <c r="D755" s="2247" t="s">
        <v>1850</v>
      </c>
      <c r="E755" s="2248">
        <f>10^(-(1170.5/T_K-3.165+T_K*0.0134))</f>
        <v>1.7536929986944336E-5</v>
      </c>
      <c r="F755" s="2249" t="s">
        <v>5416</v>
      </c>
      <c r="G755" s="2249">
        <v>3</v>
      </c>
      <c r="H755" s="2717" t="s">
        <v>1150</v>
      </c>
      <c r="I755" s="2718"/>
    </row>
    <row r="756" spans="1:9" ht="18" outlineLevel="1" x14ac:dyDescent="0.25">
      <c r="B756" s="2246" t="s">
        <v>2868</v>
      </c>
      <c r="C756" s="2247" t="s">
        <v>2852</v>
      </c>
      <c r="D756" s="2247" t="s">
        <v>3847</v>
      </c>
      <c r="E756" s="2248">
        <f>K_NO2_param*EXP(d_Hdiss_NO2/R__*(1/T_st_K-1/T_K))</f>
        <v>4.0484694649180739E-4</v>
      </c>
      <c r="F756" s="2249" t="s">
        <v>1990</v>
      </c>
      <c r="G756" s="2249">
        <v>3</v>
      </c>
      <c r="H756" s="2717" t="s">
        <v>1150</v>
      </c>
      <c r="I756" s="2718"/>
    </row>
    <row r="757" spans="1:9" ht="18.75" outlineLevel="1" thickBot="1" x14ac:dyDescent="0.3">
      <c r="B757" s="957" t="s">
        <v>2858</v>
      </c>
      <c r="C757" s="2068" t="s">
        <v>2843</v>
      </c>
      <c r="D757" s="2068" t="s">
        <v>1055</v>
      </c>
      <c r="E757" s="959">
        <f>10^(-(2835.8/T_K-0.6322+0.00123*T_K))</f>
        <v>3.9635061259550542E-10</v>
      </c>
      <c r="F757" s="958" t="s">
        <v>5416</v>
      </c>
      <c r="G757" s="958">
        <v>3</v>
      </c>
      <c r="H757" s="2719" t="s">
        <v>1150</v>
      </c>
      <c r="I757" s="620"/>
    </row>
    <row r="758" spans="1:9" s="1154" customFormat="1" ht="18" customHeight="1" thickBot="1" x14ac:dyDescent="0.3">
      <c r="A758" s="4"/>
      <c r="B758" s="4"/>
      <c r="C758" s="4"/>
      <c r="D758" s="4"/>
      <c r="E758" s="1917"/>
      <c r="F758" s="4"/>
      <c r="G758" s="4"/>
      <c r="H758" s="4"/>
      <c r="I758" s="4"/>
    </row>
    <row r="759" spans="1:9" s="1154" customFormat="1" ht="18" customHeight="1" thickBot="1" x14ac:dyDescent="0.3">
      <c r="A759" s="4"/>
      <c r="B759" s="115"/>
      <c r="C759" s="2707" t="s">
        <v>981</v>
      </c>
      <c r="D759" s="13" t="s">
        <v>299</v>
      </c>
      <c r="E759" s="13"/>
      <c r="F759" s="115"/>
      <c r="G759" s="115"/>
      <c r="H759" s="115"/>
      <c r="I759" s="115"/>
    </row>
    <row r="760" spans="1:9" s="1154" customFormat="1" ht="18" customHeight="1" thickBot="1" x14ac:dyDescent="0.3">
      <c r="A760" s="4"/>
      <c r="B760" s="2708" t="s">
        <v>0</v>
      </c>
      <c r="C760" s="2709" t="s">
        <v>1</v>
      </c>
      <c r="D760" s="2710" t="s">
        <v>5</v>
      </c>
      <c r="E760" s="2710" t="s">
        <v>152</v>
      </c>
      <c r="F760" s="2710" t="s">
        <v>2</v>
      </c>
      <c r="G760" s="2710" t="s">
        <v>298</v>
      </c>
      <c r="H760" s="2710" t="s">
        <v>116</v>
      </c>
      <c r="I760" s="2711" t="s">
        <v>117</v>
      </c>
    </row>
    <row r="761" spans="1:9" ht="18" outlineLevel="1" x14ac:dyDescent="0.25">
      <c r="B761" s="2712" t="s">
        <v>343</v>
      </c>
      <c r="C761" s="2713" t="s">
        <v>2844</v>
      </c>
      <c r="D761" s="2713" t="s">
        <v>5419</v>
      </c>
      <c r="E761" s="2714">
        <f>K_W_T/f_mono^2</f>
        <v>8.7379753867564399E-15</v>
      </c>
      <c r="F761" s="2715" t="s">
        <v>5416</v>
      </c>
      <c r="G761" s="2715">
        <v>3</v>
      </c>
      <c r="H761" s="2715" t="s">
        <v>1150</v>
      </c>
      <c r="I761" s="2716"/>
    </row>
    <row r="762" spans="1:9" ht="18" outlineLevel="1" x14ac:dyDescent="0.25">
      <c r="B762" s="2246" t="s">
        <v>344</v>
      </c>
      <c r="C762" s="2247" t="s">
        <v>2845</v>
      </c>
      <c r="D762" s="2247" t="s">
        <v>3914</v>
      </c>
      <c r="E762" s="2248">
        <f>K_C1_T/f_mono^2</f>
        <v>5.3547283589610541E-7</v>
      </c>
      <c r="F762" s="2249" t="s">
        <v>5416</v>
      </c>
      <c r="G762" s="2249">
        <v>3</v>
      </c>
      <c r="H762" s="2717" t="s">
        <v>1150</v>
      </c>
      <c r="I762" s="2718"/>
    </row>
    <row r="763" spans="1:9" ht="18" outlineLevel="1" x14ac:dyDescent="0.25">
      <c r="B763" s="2246" t="s">
        <v>345</v>
      </c>
      <c r="C763" s="2247" t="s">
        <v>2846</v>
      </c>
      <c r="D763" s="2247" t="s">
        <v>3915</v>
      </c>
      <c r="E763" s="2248">
        <f>K_C2_T/f_di</f>
        <v>7.0284789816384129E-11</v>
      </c>
      <c r="F763" s="2249" t="s">
        <v>5416</v>
      </c>
      <c r="G763" s="2249">
        <v>3</v>
      </c>
      <c r="H763" s="2717" t="s">
        <v>1150</v>
      </c>
      <c r="I763" s="2718"/>
    </row>
    <row r="764" spans="1:9" ht="18" outlineLevel="1" x14ac:dyDescent="0.25">
      <c r="B764" s="2246" t="s">
        <v>355</v>
      </c>
      <c r="C764" s="2247" t="s">
        <v>2847</v>
      </c>
      <c r="D764" s="2247" t="s">
        <v>5420</v>
      </c>
      <c r="E764" s="2248">
        <f>K_P1_T/f_mono^2</f>
        <v>9.6412345627529591E-3</v>
      </c>
      <c r="F764" s="2249" t="s">
        <v>5416</v>
      </c>
      <c r="G764" s="2249">
        <v>3</v>
      </c>
      <c r="H764" s="2717" t="s">
        <v>1150</v>
      </c>
      <c r="I764" s="2718"/>
    </row>
    <row r="765" spans="1:9" ht="18" outlineLevel="1" x14ac:dyDescent="0.25">
      <c r="B765" s="2246" t="s">
        <v>356</v>
      </c>
      <c r="C765" s="2247" t="s">
        <v>2848</v>
      </c>
      <c r="D765" s="2247" t="s">
        <v>5421</v>
      </c>
      <c r="E765" s="2248">
        <f>K_P2_T/f_di</f>
        <v>1.0212251140175602E-7</v>
      </c>
      <c r="F765" s="2249" t="s">
        <v>5416</v>
      </c>
      <c r="G765" s="2249">
        <v>3</v>
      </c>
      <c r="H765" s="2717" t="s">
        <v>1150</v>
      </c>
      <c r="I765" s="2718"/>
    </row>
    <row r="766" spans="1:9" ht="18" outlineLevel="1" x14ac:dyDescent="0.25">
      <c r="B766" s="2246" t="s">
        <v>357</v>
      </c>
      <c r="C766" s="2247" t="s">
        <v>2849</v>
      </c>
      <c r="D766" s="2247" t="s">
        <v>5422</v>
      </c>
      <c r="E766" s="2248">
        <f>K_P3_T/(f_mono*f_tri)*f_di</f>
        <v>8.1951597738298681E-13</v>
      </c>
      <c r="F766" s="2249" t="s">
        <v>5416</v>
      </c>
      <c r="G766" s="2249">
        <v>3</v>
      </c>
      <c r="H766" s="2717" t="s">
        <v>1150</v>
      </c>
      <c r="I766" s="2718"/>
    </row>
    <row r="767" spans="1:9" ht="18" outlineLevel="1" x14ac:dyDescent="0.25">
      <c r="B767" s="2246" t="s">
        <v>3525</v>
      </c>
      <c r="C767" s="2247" t="s">
        <v>3526</v>
      </c>
      <c r="D767" s="2247" t="s">
        <v>3912</v>
      </c>
      <c r="E767" s="2248">
        <f>K_S1_T/f_mono^2</f>
        <v>1.0539311294062038E-7</v>
      </c>
      <c r="F767" s="2249" t="s">
        <v>1990</v>
      </c>
      <c r="G767" s="2249">
        <v>3</v>
      </c>
      <c r="H767" s="2717" t="s">
        <v>1150</v>
      </c>
      <c r="I767" s="2718"/>
    </row>
    <row r="768" spans="1:9" ht="18" outlineLevel="1" x14ac:dyDescent="0.25">
      <c r="B768" s="2246" t="s">
        <v>3528</v>
      </c>
      <c r="C768" s="2247" t="s">
        <v>3529</v>
      </c>
      <c r="D768" s="2247" t="s">
        <v>3913</v>
      </c>
      <c r="E768" s="2248">
        <f>K_S2_T/f_di</f>
        <v>5.9014958191982923E-18</v>
      </c>
      <c r="F768" s="2249" t="s">
        <v>1990</v>
      </c>
      <c r="G768" s="2249">
        <v>3</v>
      </c>
      <c r="H768" s="2717" t="s">
        <v>1150</v>
      </c>
      <c r="I768" s="2718"/>
    </row>
    <row r="769" spans="1:9" ht="18" outlineLevel="1" x14ac:dyDescent="0.25">
      <c r="B769" s="2246" t="s">
        <v>3531</v>
      </c>
      <c r="C769" s="2247" t="s">
        <v>3532</v>
      </c>
      <c r="D769" s="2247" t="s">
        <v>5477</v>
      </c>
      <c r="E769" s="2248">
        <f>K_SO41_T/f_mono^2</f>
        <v>1103.6013732807628</v>
      </c>
      <c r="F769" s="2249" t="s">
        <v>1990</v>
      </c>
      <c r="G769" s="2249">
        <v>3</v>
      </c>
      <c r="H769" s="2717" t="s">
        <v>1150</v>
      </c>
      <c r="I769" s="2718"/>
    </row>
    <row r="770" spans="1:9" ht="18" outlineLevel="1" x14ac:dyDescent="0.25">
      <c r="B770" s="2246" t="s">
        <v>3534</v>
      </c>
      <c r="C770" s="2247" t="s">
        <v>3535</v>
      </c>
      <c r="D770" s="2247" t="s">
        <v>5478</v>
      </c>
      <c r="E770" s="2248">
        <f>K_SO42_T/f_di</f>
        <v>1.9774485889386715E-2</v>
      </c>
      <c r="F770" s="2249" t="s">
        <v>1990</v>
      </c>
      <c r="G770" s="2249">
        <v>3</v>
      </c>
      <c r="H770" s="2717" t="s">
        <v>1150</v>
      </c>
      <c r="I770" s="2718"/>
    </row>
    <row r="771" spans="1:9" ht="18" outlineLevel="1" x14ac:dyDescent="0.25">
      <c r="B771" s="2246" t="s">
        <v>2853</v>
      </c>
      <c r="C771" s="2247" t="s">
        <v>2850</v>
      </c>
      <c r="D771" s="2247" t="s">
        <v>5423</v>
      </c>
      <c r="E771" s="2248">
        <f>K_Ac_T/f_mono^2</f>
        <v>2.268664105854261E-5</v>
      </c>
      <c r="F771" s="2249" t="s">
        <v>5416</v>
      </c>
      <c r="G771" s="2249">
        <v>3</v>
      </c>
      <c r="H771" s="2717" t="s">
        <v>1150</v>
      </c>
      <c r="I771" s="2718"/>
    </row>
    <row r="772" spans="1:9" ht="18" outlineLevel="1" x14ac:dyDescent="0.25">
      <c r="B772" s="2246" t="s">
        <v>2855</v>
      </c>
      <c r="C772" s="2247" t="s">
        <v>2924</v>
      </c>
      <c r="D772" s="2247" t="s">
        <v>5424</v>
      </c>
      <c r="E772" s="2248">
        <f>K_NO2_T/f_mono^2</f>
        <v>5.2373005797162243E-4</v>
      </c>
      <c r="F772" s="2249" t="s">
        <v>1990</v>
      </c>
      <c r="G772" s="2249">
        <v>3</v>
      </c>
      <c r="H772" s="2717" t="s">
        <v>1150</v>
      </c>
      <c r="I772" s="2718"/>
    </row>
    <row r="773" spans="1:9" ht="18.75" outlineLevel="1" thickBot="1" x14ac:dyDescent="0.3">
      <c r="B773" s="957" t="s">
        <v>2857</v>
      </c>
      <c r="C773" s="2068" t="s">
        <v>2851</v>
      </c>
      <c r="D773" s="2068" t="s">
        <v>2858</v>
      </c>
      <c r="E773" s="959">
        <f>K_NH3_T</f>
        <v>3.9635061259550542E-10</v>
      </c>
      <c r="F773" s="958" t="s">
        <v>5416</v>
      </c>
      <c r="G773" s="958">
        <v>3</v>
      </c>
      <c r="H773" s="2719" t="s">
        <v>1150</v>
      </c>
      <c r="I773" s="620"/>
    </row>
    <row r="774" spans="1:9" s="1154" customFormat="1" ht="18" customHeight="1" thickBot="1" x14ac:dyDescent="0.3">
      <c r="A774" s="4"/>
      <c r="B774" s="4"/>
      <c r="C774" s="4"/>
      <c r="D774" s="4"/>
      <c r="E774" s="1917"/>
      <c r="F774" s="4"/>
      <c r="G774" s="4"/>
      <c r="H774" s="4"/>
      <c r="I774" s="4"/>
    </row>
    <row r="775" spans="1:9" s="1154" customFormat="1" ht="18" customHeight="1" thickBot="1" x14ac:dyDescent="0.3">
      <c r="A775" s="4"/>
      <c r="B775" s="115"/>
      <c r="C775" s="2707" t="s">
        <v>1316</v>
      </c>
      <c r="D775" s="13" t="s">
        <v>299</v>
      </c>
      <c r="E775" s="13"/>
      <c r="F775" s="115"/>
      <c r="G775" s="115"/>
      <c r="H775" s="115"/>
      <c r="I775" s="115"/>
    </row>
    <row r="776" spans="1:9" s="1154" customFormat="1" ht="18" customHeight="1" thickBot="1" x14ac:dyDescent="0.3">
      <c r="A776" s="4"/>
      <c r="B776" s="2708" t="s">
        <v>0</v>
      </c>
      <c r="C776" s="2709" t="s">
        <v>1</v>
      </c>
      <c r="D776" s="2710" t="s">
        <v>5</v>
      </c>
      <c r="E776" s="2710" t="s">
        <v>152</v>
      </c>
      <c r="F776" s="2710" t="s">
        <v>2</v>
      </c>
      <c r="G776" s="2710" t="s">
        <v>298</v>
      </c>
      <c r="H776" s="2710" t="s">
        <v>116</v>
      </c>
      <c r="I776" s="2711" t="s">
        <v>117</v>
      </c>
    </row>
    <row r="777" spans="1:9" ht="18" outlineLevel="1" x14ac:dyDescent="0.25">
      <c r="B777" s="2712" t="s">
        <v>1326</v>
      </c>
      <c r="C777" s="2713" t="s">
        <v>2925</v>
      </c>
      <c r="D777" s="2713" t="s">
        <v>5425</v>
      </c>
      <c r="E777" s="2714">
        <f>K_sp_CaCO3_param/f_di</f>
        <v>7.4753798120141423E-7</v>
      </c>
      <c r="F777" s="2715" t="s">
        <v>5416</v>
      </c>
      <c r="G777" s="2715">
        <v>3</v>
      </c>
      <c r="H777" s="2715" t="s">
        <v>1150</v>
      </c>
      <c r="I777" s="2716"/>
    </row>
    <row r="778" spans="1:9" ht="18.75" outlineLevel="1" x14ac:dyDescent="0.25">
      <c r="B778" s="2246" t="s">
        <v>1323</v>
      </c>
      <c r="C778" s="2247" t="s">
        <v>2926</v>
      </c>
      <c r="D778" s="2247" t="s">
        <v>5426</v>
      </c>
      <c r="E778" s="2248">
        <f>K_sp_STR_param/(f_di^(1/3)*f_mono^(1/3)*f_tri^(1/3))</f>
        <v>1.2614964468037164E-13</v>
      </c>
      <c r="F778" s="2249" t="s">
        <v>5416</v>
      </c>
      <c r="G778" s="2249">
        <v>3</v>
      </c>
      <c r="H778" s="2717" t="s">
        <v>1150</v>
      </c>
      <c r="I778" s="2718"/>
    </row>
    <row r="779" spans="1:9" ht="18" outlineLevel="1" x14ac:dyDescent="0.25">
      <c r="B779" s="2246" t="s">
        <v>3537</v>
      </c>
      <c r="C779" s="2247" t="s">
        <v>3538</v>
      </c>
      <c r="D779" s="2247" t="s">
        <v>5479</v>
      </c>
      <c r="E779" s="2248">
        <f>K_sp_FeS_param/f_di</f>
        <v>6.1920575974737376E-19</v>
      </c>
      <c r="F779" s="2249" t="s">
        <v>1990</v>
      </c>
      <c r="G779" s="2249">
        <v>3</v>
      </c>
      <c r="H779" s="2717" t="s">
        <v>1150</v>
      </c>
      <c r="I779" s="2718"/>
    </row>
    <row r="780" spans="1:9" ht="18.75" outlineLevel="1" x14ac:dyDescent="0.25">
      <c r="B780" s="2246" t="s">
        <v>1324</v>
      </c>
      <c r="C780" s="2247" t="s">
        <v>2927</v>
      </c>
      <c r="D780" s="2247" t="s">
        <v>5427</v>
      </c>
      <c r="E780" s="2248">
        <f>K_sp_Vivi_param/(f_di^(3/5)*f_tri^(2/5))</f>
        <v>2.1649600914352904E-36</v>
      </c>
      <c r="F780" s="2249" t="s">
        <v>5416</v>
      </c>
      <c r="G780" s="2249">
        <v>3</v>
      </c>
      <c r="H780" s="2717" t="s">
        <v>1150</v>
      </c>
      <c r="I780" s="2718"/>
    </row>
    <row r="781" spans="1:9" ht="18.75" outlineLevel="1" x14ac:dyDescent="0.25">
      <c r="B781" s="2246" t="s">
        <v>1325</v>
      </c>
      <c r="C781" s="2247" t="s">
        <v>2928</v>
      </c>
      <c r="D781" s="2247" t="s">
        <v>5428</v>
      </c>
      <c r="E781" s="2248">
        <f>K_sp_ACP_param/(f_di^(3/5)*f_tri^(2/5))</f>
        <v>7.5067144345969344E-26</v>
      </c>
      <c r="F781" s="2249" t="s">
        <v>5416</v>
      </c>
      <c r="G781" s="2249">
        <v>3</v>
      </c>
      <c r="H781" s="2717" t="s">
        <v>1150</v>
      </c>
      <c r="I781" s="2718"/>
    </row>
    <row r="782" spans="1:9" ht="19.5" outlineLevel="1" thickBot="1" x14ac:dyDescent="0.3">
      <c r="B782" s="957" t="s">
        <v>4616</v>
      </c>
      <c r="C782" s="2068" t="s">
        <v>4617</v>
      </c>
      <c r="D782" s="2068" t="s">
        <v>5429</v>
      </c>
      <c r="E782" s="959">
        <f>K_sp_BSH_param/(f_di^(1/2)*f_di^(1/2))</f>
        <v>4.2037149897892104E-7</v>
      </c>
      <c r="F782" s="958" t="s">
        <v>5416</v>
      </c>
      <c r="G782" s="958">
        <v>3</v>
      </c>
      <c r="H782" s="2719" t="s">
        <v>1150</v>
      </c>
      <c r="I782" s="620"/>
    </row>
    <row r="783" spans="1:9" s="1154" customFormat="1" ht="18" customHeight="1" thickBot="1" x14ac:dyDescent="0.3">
      <c r="A783" s="4"/>
      <c r="B783" s="4"/>
      <c r="C783" s="4"/>
      <c r="D783" s="4"/>
      <c r="E783" s="1917"/>
      <c r="F783" s="4"/>
      <c r="G783" s="4"/>
      <c r="H783" s="4"/>
      <c r="I783" s="4"/>
    </row>
    <row r="784" spans="1:9" customFormat="1" ht="15.75" thickBot="1" x14ac:dyDescent="0.3">
      <c r="B784" s="102"/>
      <c r="C784" s="2720" t="s">
        <v>394</v>
      </c>
      <c r="D784" s="13" t="s">
        <v>299</v>
      </c>
      <c r="E784" s="102"/>
      <c r="F784" s="102"/>
      <c r="G784" s="161"/>
      <c r="H784" s="127"/>
    </row>
    <row r="785" spans="1:9" s="1154" customFormat="1" ht="18" customHeight="1" thickBot="1" x14ac:dyDescent="0.3">
      <c r="A785" s="4"/>
      <c r="B785" s="2708" t="s">
        <v>0</v>
      </c>
      <c r="C785" s="2709" t="s">
        <v>1</v>
      </c>
      <c r="D785" s="2710" t="s">
        <v>5</v>
      </c>
      <c r="E785" s="2710" t="s">
        <v>152</v>
      </c>
      <c r="F785" s="2710" t="s">
        <v>2</v>
      </c>
      <c r="G785" s="2710" t="s">
        <v>298</v>
      </c>
      <c r="H785" s="2710" t="s">
        <v>116</v>
      </c>
      <c r="I785" s="2711" t="s">
        <v>117</v>
      </c>
    </row>
    <row r="786" spans="1:9" ht="18" outlineLevel="1" x14ac:dyDescent="0.25">
      <c r="B786" s="2712" t="s">
        <v>5430</v>
      </c>
      <c r="C786" s="2713" t="s">
        <v>396</v>
      </c>
      <c r="D786" s="2713" t="s">
        <v>5431</v>
      </c>
      <c r="E786" s="2714"/>
      <c r="F786" s="2715" t="s">
        <v>383</v>
      </c>
      <c r="G786" s="2715">
        <v>2</v>
      </c>
      <c r="H786" s="2715" t="s">
        <v>1150</v>
      </c>
      <c r="I786" s="2716" t="s">
        <v>5432</v>
      </c>
    </row>
    <row r="787" spans="1:9" ht="18" outlineLevel="1" x14ac:dyDescent="0.25">
      <c r="B787" s="2246" t="s">
        <v>5433</v>
      </c>
      <c r="C787" s="2247" t="s">
        <v>398</v>
      </c>
      <c r="D787" s="2247" t="s">
        <v>5434</v>
      </c>
      <c r="E787" s="2248"/>
      <c r="F787" s="2249" t="s">
        <v>383</v>
      </c>
      <c r="G787" s="2249">
        <v>2</v>
      </c>
      <c r="H787" s="2717" t="s">
        <v>1150</v>
      </c>
      <c r="I787" s="2718" t="s">
        <v>5435</v>
      </c>
    </row>
    <row r="788" spans="1:9" ht="18" outlineLevel="1" x14ac:dyDescent="0.25">
      <c r="B788" s="2246" t="s">
        <v>5436</v>
      </c>
      <c r="C788" s="2247" t="s">
        <v>400</v>
      </c>
      <c r="D788" s="2247" t="s">
        <v>5437</v>
      </c>
      <c r="E788" s="2248"/>
      <c r="F788" s="2249" t="s">
        <v>383</v>
      </c>
      <c r="G788" s="2249">
        <v>2</v>
      </c>
      <c r="H788" s="2717" t="s">
        <v>1150</v>
      </c>
      <c r="I788" s="2718" t="s">
        <v>5438</v>
      </c>
    </row>
    <row r="789" spans="1:9" ht="18" outlineLevel="1" x14ac:dyDescent="0.25">
      <c r="B789" s="2246" t="s">
        <v>5439</v>
      </c>
      <c r="C789" s="2247" t="s">
        <v>402</v>
      </c>
      <c r="D789" s="2247" t="s">
        <v>5440</v>
      </c>
      <c r="E789" s="2248"/>
      <c r="F789" s="2249" t="s">
        <v>383</v>
      </c>
      <c r="G789" s="2249">
        <v>2</v>
      </c>
      <c r="H789" s="2717" t="s">
        <v>1150</v>
      </c>
      <c r="I789" s="2718" t="s">
        <v>5441</v>
      </c>
    </row>
    <row r="790" spans="1:9" ht="18.75" outlineLevel="1" x14ac:dyDescent="0.25">
      <c r="B790" s="2246" t="s">
        <v>5442</v>
      </c>
      <c r="C790" s="2247" t="s">
        <v>2204</v>
      </c>
      <c r="D790" s="2247" t="s">
        <v>2445</v>
      </c>
      <c r="E790" s="2248"/>
      <c r="F790" s="2249" t="s">
        <v>383</v>
      </c>
      <c r="G790" s="2249">
        <v>2</v>
      </c>
      <c r="H790" s="2717" t="s">
        <v>1150</v>
      </c>
      <c r="I790" s="2718"/>
    </row>
    <row r="791" spans="1:9" ht="18.75" outlineLevel="1" x14ac:dyDescent="0.25">
      <c r="B791" s="2246" t="s">
        <v>5443</v>
      </c>
      <c r="C791" s="2247" t="s">
        <v>2206</v>
      </c>
      <c r="D791" s="2247" t="s">
        <v>2446</v>
      </c>
      <c r="E791" s="2248"/>
      <c r="F791" s="2249" t="s">
        <v>383</v>
      </c>
      <c r="G791" s="2249">
        <v>2</v>
      </c>
      <c r="H791" s="2717" t="s">
        <v>1150</v>
      </c>
      <c r="I791" s="2718"/>
    </row>
    <row r="792" spans="1:9" ht="18" outlineLevel="1" x14ac:dyDescent="0.25">
      <c r="B792" s="2246" t="s">
        <v>5444</v>
      </c>
      <c r="C792" s="2247" t="s">
        <v>421</v>
      </c>
      <c r="D792" s="2247" t="s">
        <v>5445</v>
      </c>
      <c r="E792" s="2248"/>
      <c r="F792" s="2249" t="s">
        <v>383</v>
      </c>
      <c r="G792" s="2249">
        <v>2</v>
      </c>
      <c r="H792" s="2717" t="s">
        <v>1150</v>
      </c>
      <c r="I792" s="2718" t="s">
        <v>5446</v>
      </c>
    </row>
    <row r="793" spans="1:9" ht="18.75" outlineLevel="1" x14ac:dyDescent="0.25">
      <c r="B793" s="2246" t="s">
        <v>5447</v>
      </c>
      <c r="C793" s="2247" t="s">
        <v>404</v>
      </c>
      <c r="D793" s="2247" t="s">
        <v>2444</v>
      </c>
      <c r="E793" s="2248"/>
      <c r="F793" s="2249" t="s">
        <v>383</v>
      </c>
      <c r="G793" s="2249">
        <v>2</v>
      </c>
      <c r="H793" s="2717" t="s">
        <v>1150</v>
      </c>
      <c r="I793" s="2718" t="s">
        <v>5448</v>
      </c>
    </row>
    <row r="794" spans="1:9" ht="18.75" outlineLevel="1" x14ac:dyDescent="0.25">
      <c r="B794" s="2246" t="s">
        <v>5449</v>
      </c>
      <c r="C794" s="2247" t="s">
        <v>406</v>
      </c>
      <c r="D794" s="2247" t="s">
        <v>2449</v>
      </c>
      <c r="E794" s="2248"/>
      <c r="F794" s="2249" t="s">
        <v>383</v>
      </c>
      <c r="G794" s="2249">
        <v>2</v>
      </c>
      <c r="H794" s="2717" t="s">
        <v>1150</v>
      </c>
      <c r="I794" s="2718" t="s">
        <v>5450</v>
      </c>
    </row>
    <row r="795" spans="1:9" ht="18.75" outlineLevel="1" x14ac:dyDescent="0.25">
      <c r="B795" s="2246" t="s">
        <v>5451</v>
      </c>
      <c r="C795" s="2247" t="s">
        <v>408</v>
      </c>
      <c r="D795" s="2247" t="s">
        <v>2450</v>
      </c>
      <c r="E795" s="2248"/>
      <c r="F795" s="2249" t="s">
        <v>383</v>
      </c>
      <c r="G795" s="2249">
        <v>2</v>
      </c>
      <c r="H795" s="2717" t="s">
        <v>1150</v>
      </c>
      <c r="I795" s="2718" t="s">
        <v>5452</v>
      </c>
    </row>
    <row r="796" spans="1:9" ht="18.75" outlineLevel="1" x14ac:dyDescent="0.25">
      <c r="B796" s="2246" t="s">
        <v>5453</v>
      </c>
      <c r="C796" s="2247" t="s">
        <v>410</v>
      </c>
      <c r="D796" s="2247" t="s">
        <v>427</v>
      </c>
      <c r="E796" s="2248"/>
      <c r="F796" s="2249" t="s">
        <v>383</v>
      </c>
      <c r="G796" s="2249">
        <v>2</v>
      </c>
      <c r="H796" s="2717" t="s">
        <v>1150</v>
      </c>
      <c r="I796" s="2718" t="s">
        <v>5454</v>
      </c>
    </row>
    <row r="797" spans="1:9" ht="18.75" outlineLevel="1" x14ac:dyDescent="0.25">
      <c r="B797" s="2246" t="s">
        <v>5455</v>
      </c>
      <c r="C797" s="2247" t="s">
        <v>412</v>
      </c>
      <c r="D797" s="2247" t="s">
        <v>428</v>
      </c>
      <c r="E797" s="2248"/>
      <c r="F797" s="2249" t="s">
        <v>383</v>
      </c>
      <c r="G797" s="2249">
        <v>2</v>
      </c>
      <c r="H797" s="2717" t="s">
        <v>1150</v>
      </c>
      <c r="I797" s="2718" t="s">
        <v>5456</v>
      </c>
    </row>
    <row r="798" spans="1:9" ht="18.75" outlineLevel="1" x14ac:dyDescent="0.25">
      <c r="B798" s="2246" t="s">
        <v>5457</v>
      </c>
      <c r="C798" s="2247" t="s">
        <v>414</v>
      </c>
      <c r="D798" s="2247" t="s">
        <v>429</v>
      </c>
      <c r="E798" s="2248"/>
      <c r="F798" s="2249" t="s">
        <v>383</v>
      </c>
      <c r="G798" s="2249">
        <v>2</v>
      </c>
      <c r="H798" s="2717" t="s">
        <v>1150</v>
      </c>
      <c r="I798" s="2718" t="s">
        <v>5458</v>
      </c>
    </row>
    <row r="799" spans="1:9" ht="18.75" outlineLevel="1" x14ac:dyDescent="0.25">
      <c r="B799" s="2246" t="s">
        <v>5459</v>
      </c>
      <c r="C799" s="2247" t="s">
        <v>416</v>
      </c>
      <c r="D799" s="2247" t="s">
        <v>430</v>
      </c>
      <c r="E799" s="2248"/>
      <c r="F799" s="2249" t="s">
        <v>383</v>
      </c>
      <c r="G799" s="2249">
        <v>2</v>
      </c>
      <c r="H799" s="2717" t="s">
        <v>1150</v>
      </c>
      <c r="I799" s="2718" t="s">
        <v>5460</v>
      </c>
    </row>
    <row r="800" spans="1:9" ht="18.75" outlineLevel="1" x14ac:dyDescent="0.25">
      <c r="B800" s="2246" t="s">
        <v>417</v>
      </c>
      <c r="C800" s="2247" t="s">
        <v>418</v>
      </c>
      <c r="D800" s="2247" t="s">
        <v>2871</v>
      </c>
      <c r="E800" s="2248"/>
      <c r="F800" s="2249" t="s">
        <v>383</v>
      </c>
      <c r="G800" s="2249">
        <v>2</v>
      </c>
      <c r="H800" s="2717" t="s">
        <v>1150</v>
      </c>
      <c r="I800" s="2718" t="s">
        <v>5461</v>
      </c>
    </row>
    <row r="801" spans="1:9" ht="18.75" outlineLevel="1" x14ac:dyDescent="0.25">
      <c r="B801" s="2246" t="s">
        <v>5462</v>
      </c>
      <c r="C801" s="2247" t="s">
        <v>420</v>
      </c>
      <c r="D801" s="2247" t="s">
        <v>2872</v>
      </c>
      <c r="E801" s="2248"/>
      <c r="F801" s="2249" t="s">
        <v>383</v>
      </c>
      <c r="G801" s="2249">
        <v>2</v>
      </c>
      <c r="H801" s="2717" t="s">
        <v>1150</v>
      </c>
      <c r="I801" s="2718" t="s">
        <v>5463</v>
      </c>
    </row>
    <row r="802" spans="1:9" ht="18" outlineLevel="1" x14ac:dyDescent="0.25">
      <c r="B802" s="2246" t="s">
        <v>5464</v>
      </c>
      <c r="C802" s="2247" t="s">
        <v>995</v>
      </c>
      <c r="D802" s="2247" t="s">
        <v>991</v>
      </c>
      <c r="E802" s="2248"/>
      <c r="F802" s="2249" t="s">
        <v>383</v>
      </c>
      <c r="G802" s="2249">
        <v>2</v>
      </c>
      <c r="H802" s="2717" t="s">
        <v>1150</v>
      </c>
      <c r="I802" s="2718" t="s">
        <v>5465</v>
      </c>
    </row>
    <row r="803" spans="1:9" ht="18" outlineLevel="1" x14ac:dyDescent="0.25">
      <c r="B803" s="2246" t="s">
        <v>5466</v>
      </c>
      <c r="C803" s="2247" t="s">
        <v>996</v>
      </c>
      <c r="D803" s="2247" t="s">
        <v>992</v>
      </c>
      <c r="E803" s="2248"/>
      <c r="F803" s="2249" t="s">
        <v>383</v>
      </c>
      <c r="G803" s="2249">
        <v>2</v>
      </c>
      <c r="H803" s="2717" t="s">
        <v>1150</v>
      </c>
      <c r="I803" s="2718" t="s">
        <v>5467</v>
      </c>
    </row>
    <row r="804" spans="1:9" ht="18" outlineLevel="1" x14ac:dyDescent="0.25">
      <c r="B804" s="2246" t="s">
        <v>5468</v>
      </c>
      <c r="C804" s="2247" t="s">
        <v>1051</v>
      </c>
      <c r="D804" s="2247" t="s">
        <v>1161</v>
      </c>
      <c r="E804" s="2248"/>
      <c r="F804" s="2249" t="s">
        <v>383</v>
      </c>
      <c r="G804" s="2249">
        <v>2</v>
      </c>
      <c r="H804" s="2717" t="s">
        <v>1150</v>
      </c>
      <c r="I804" s="2718" t="s">
        <v>5469</v>
      </c>
    </row>
    <row r="805" spans="1:9" ht="18" outlineLevel="1" x14ac:dyDescent="0.25">
      <c r="B805" s="2246" t="s">
        <v>5470</v>
      </c>
      <c r="C805" s="2247" t="s">
        <v>1044</v>
      </c>
      <c r="D805" s="2247" t="s">
        <v>1101</v>
      </c>
      <c r="E805" s="2248"/>
      <c r="F805" s="2249" t="s">
        <v>383</v>
      </c>
      <c r="G805" s="2249">
        <v>2</v>
      </c>
      <c r="H805" s="2717" t="s">
        <v>1150</v>
      </c>
      <c r="I805" s="2718" t="s">
        <v>5471</v>
      </c>
    </row>
    <row r="806" spans="1:9" ht="18" outlineLevel="1" x14ac:dyDescent="0.25">
      <c r="B806" s="2246" t="s">
        <v>5472</v>
      </c>
      <c r="C806" s="2247" t="s">
        <v>1053</v>
      </c>
      <c r="D806" s="2247" t="s">
        <v>1162</v>
      </c>
      <c r="E806" s="2248"/>
      <c r="F806" s="2249" t="s">
        <v>383</v>
      </c>
      <c r="G806" s="2249">
        <v>2</v>
      </c>
      <c r="H806" s="2717" t="s">
        <v>1150</v>
      </c>
      <c r="I806" s="2718" t="s">
        <v>5473</v>
      </c>
    </row>
    <row r="807" spans="1:9" ht="18.75" outlineLevel="1" x14ac:dyDescent="0.25">
      <c r="B807" s="2246" t="s">
        <v>5480</v>
      </c>
      <c r="C807" s="2247" t="s">
        <v>3327</v>
      </c>
      <c r="D807" s="2247" t="s">
        <v>3345</v>
      </c>
      <c r="E807" s="2248"/>
      <c r="F807" s="2249" t="s">
        <v>383</v>
      </c>
      <c r="G807" s="2249">
        <v>2</v>
      </c>
      <c r="H807" s="2717" t="s">
        <v>1150</v>
      </c>
      <c r="I807" s="2718"/>
    </row>
    <row r="808" spans="1:9" ht="18.75" outlineLevel="1" x14ac:dyDescent="0.25">
      <c r="B808" s="2246" t="s">
        <v>5481</v>
      </c>
      <c r="C808" s="2247" t="s">
        <v>3330</v>
      </c>
      <c r="D808" s="2247" t="s">
        <v>3346</v>
      </c>
      <c r="E808" s="2248"/>
      <c r="F808" s="2249" t="s">
        <v>383</v>
      </c>
      <c r="G808" s="2249">
        <v>2</v>
      </c>
      <c r="H808" s="2717" t="s">
        <v>1150</v>
      </c>
      <c r="I808" s="2718"/>
    </row>
    <row r="809" spans="1:9" ht="18.75" outlineLevel="1" x14ac:dyDescent="0.25">
      <c r="B809" s="2246" t="s">
        <v>5482</v>
      </c>
      <c r="C809" s="2247" t="s">
        <v>3332</v>
      </c>
      <c r="D809" s="2247" t="s">
        <v>3347</v>
      </c>
      <c r="E809" s="2248"/>
      <c r="F809" s="2249" t="s">
        <v>383</v>
      </c>
      <c r="G809" s="2249">
        <v>2</v>
      </c>
      <c r="H809" s="2717" t="s">
        <v>1150</v>
      </c>
      <c r="I809" s="2718"/>
    </row>
    <row r="810" spans="1:9" ht="18.75" outlineLevel="1" x14ac:dyDescent="0.25">
      <c r="B810" s="2246" t="s">
        <v>5483</v>
      </c>
      <c r="C810" s="2247" t="s">
        <v>3334</v>
      </c>
      <c r="D810" s="2247" t="s">
        <v>3348</v>
      </c>
      <c r="E810" s="2248"/>
      <c r="F810" s="2249" t="s">
        <v>383</v>
      </c>
      <c r="G810" s="2249">
        <v>2</v>
      </c>
      <c r="H810" s="2717" t="s">
        <v>1150</v>
      </c>
      <c r="I810" s="2718"/>
    </row>
    <row r="811" spans="1:9" ht="18.75" outlineLevel="1" x14ac:dyDescent="0.25">
      <c r="B811" s="2246" t="s">
        <v>5484</v>
      </c>
      <c r="C811" s="2247" t="s">
        <v>3337</v>
      </c>
      <c r="D811" s="2247" t="s">
        <v>3349</v>
      </c>
      <c r="E811" s="2248"/>
      <c r="F811" s="2249" t="s">
        <v>383</v>
      </c>
      <c r="G811" s="2249">
        <v>2</v>
      </c>
      <c r="H811" s="2717" t="s">
        <v>1150</v>
      </c>
      <c r="I811" s="2718"/>
    </row>
    <row r="812" spans="1:9" ht="18.75" outlineLevel="1" x14ac:dyDescent="0.25">
      <c r="B812" s="2246" t="s">
        <v>5485</v>
      </c>
      <c r="C812" s="2247" t="s">
        <v>3339</v>
      </c>
      <c r="D812" s="2247" t="s">
        <v>3350</v>
      </c>
      <c r="E812" s="2248"/>
      <c r="F812" s="2249" t="s">
        <v>383</v>
      </c>
      <c r="G812" s="2249">
        <v>2</v>
      </c>
      <c r="H812" s="2717" t="s">
        <v>1150</v>
      </c>
      <c r="I812" s="2718"/>
    </row>
    <row r="813" spans="1:9" ht="18.75" outlineLevel="1" thickBot="1" x14ac:dyDescent="0.3">
      <c r="B813" s="957" t="s">
        <v>5474</v>
      </c>
      <c r="C813" s="2068" t="s">
        <v>1049</v>
      </c>
      <c r="D813" s="2068" t="s">
        <v>1598</v>
      </c>
      <c r="E813" s="959"/>
      <c r="F813" s="958" t="s">
        <v>383</v>
      </c>
      <c r="G813" s="958">
        <v>2</v>
      </c>
      <c r="H813" s="2719" t="s">
        <v>1150</v>
      </c>
      <c r="I813" s="620" t="s">
        <v>5475</v>
      </c>
    </row>
    <row r="814" spans="1:9" s="1154" customFormat="1" ht="18" customHeight="1" thickBot="1" x14ac:dyDescent="0.3">
      <c r="A814" s="4"/>
      <c r="B814" s="4"/>
      <c r="C814" s="4"/>
      <c r="D814" s="4"/>
      <c r="E814" s="1917"/>
      <c r="F814" s="4"/>
      <c r="G814" s="4"/>
      <c r="H814" s="4"/>
      <c r="I814" s="4"/>
    </row>
    <row r="815" spans="1:9" s="1154" customFormat="1" ht="18" customHeight="1" thickBot="1" x14ac:dyDescent="0.3">
      <c r="A815" s="4"/>
      <c r="B815" s="115"/>
      <c r="C815" s="2707" t="s">
        <v>393</v>
      </c>
      <c r="D815" s="13" t="s">
        <v>299</v>
      </c>
      <c r="E815" s="13"/>
      <c r="F815" s="115"/>
      <c r="G815" s="115"/>
      <c r="H815" s="115"/>
      <c r="I815" s="115"/>
    </row>
    <row r="816" spans="1:9" s="1154" customFormat="1" ht="18" customHeight="1" thickBot="1" x14ac:dyDescent="0.3">
      <c r="A816" s="4"/>
      <c r="B816" s="2708" t="s">
        <v>0</v>
      </c>
      <c r="C816" s="2709" t="s">
        <v>1</v>
      </c>
      <c r="D816" s="2710" t="s">
        <v>5</v>
      </c>
      <c r="E816" s="2710" t="s">
        <v>152</v>
      </c>
      <c r="F816" s="2710" t="s">
        <v>2</v>
      </c>
      <c r="G816" s="2710" t="s">
        <v>298</v>
      </c>
      <c r="H816" s="2710" t="s">
        <v>116</v>
      </c>
      <c r="I816" s="2711" t="s">
        <v>117</v>
      </c>
    </row>
    <row r="817" spans="1:9" ht="18.75" outlineLevel="1" x14ac:dyDescent="0.25">
      <c r="B817" s="2712" t="s">
        <v>894</v>
      </c>
      <c r="C817" s="2713" t="s">
        <v>895</v>
      </c>
      <c r="D817" s="2713" t="s">
        <v>1878</v>
      </c>
      <c r="E817" s="2714"/>
      <c r="F817" s="2715" t="s">
        <v>383</v>
      </c>
      <c r="G817" s="2715">
        <v>3</v>
      </c>
      <c r="H817" s="2715" t="s">
        <v>1150</v>
      </c>
      <c r="I817" s="2716"/>
    </row>
    <row r="818" spans="1:9" ht="18.75" outlineLevel="1" x14ac:dyDescent="0.25">
      <c r="B818" s="2246" t="s">
        <v>896</v>
      </c>
      <c r="C818" s="2247" t="s">
        <v>897</v>
      </c>
      <c r="D818" s="2247" t="s">
        <v>1879</v>
      </c>
      <c r="E818" s="2248"/>
      <c r="F818" s="2249" t="s">
        <v>383</v>
      </c>
      <c r="G818" s="2249">
        <v>3</v>
      </c>
      <c r="H818" s="2717" t="s">
        <v>1150</v>
      </c>
      <c r="I818" s="2718"/>
    </row>
    <row r="819" spans="1:9" ht="18.75" outlineLevel="1" x14ac:dyDescent="0.25">
      <c r="B819" s="2246" t="s">
        <v>898</v>
      </c>
      <c r="C819" s="2247" t="s">
        <v>899</v>
      </c>
      <c r="D819" s="2247" t="s">
        <v>2869</v>
      </c>
      <c r="E819" s="2248"/>
      <c r="F819" s="2249" t="s">
        <v>383</v>
      </c>
      <c r="G819" s="2249">
        <v>3</v>
      </c>
      <c r="H819" s="2717" t="s">
        <v>1150</v>
      </c>
      <c r="I819" s="2718"/>
    </row>
    <row r="820" spans="1:9" ht="18.75" outlineLevel="1" x14ac:dyDescent="0.25">
      <c r="B820" s="2246" t="s">
        <v>2381</v>
      </c>
      <c r="C820" s="2247" t="s">
        <v>2382</v>
      </c>
      <c r="D820" s="2247" t="s">
        <v>2870</v>
      </c>
      <c r="E820" s="2248"/>
      <c r="F820" s="2249" t="s">
        <v>383</v>
      </c>
      <c r="G820" s="2249">
        <v>3</v>
      </c>
      <c r="H820" s="2717" t="s">
        <v>1150</v>
      </c>
      <c r="I820" s="2718"/>
    </row>
    <row r="821" spans="1:9" ht="18.75" outlineLevel="1" x14ac:dyDescent="0.25">
      <c r="B821" s="2246" t="s">
        <v>3539</v>
      </c>
      <c r="C821" s="2247" t="s">
        <v>3540</v>
      </c>
      <c r="D821" s="2247" t="s">
        <v>3541</v>
      </c>
      <c r="E821" s="2248">
        <f>(conc_Hp_Ieq*K_S1*S_H2S/(A_MS*1000))/(conc_Hp_Ieq^2+conc_Hp_Ieq*K_S1+K_S1*K_S2)</f>
        <v>5.1164182299031669E-10</v>
      </c>
      <c r="F821" s="2249" t="s">
        <v>383</v>
      </c>
      <c r="G821" s="2249">
        <v>3</v>
      </c>
      <c r="H821" s="2717" t="s">
        <v>1150</v>
      </c>
      <c r="I821" s="2718"/>
    </row>
    <row r="822" spans="1:9" ht="38.25" outlineLevel="1" thickBot="1" x14ac:dyDescent="0.3">
      <c r="B822" s="957" t="s">
        <v>1280</v>
      </c>
      <c r="C822" s="2068" t="s">
        <v>393</v>
      </c>
      <c r="D822" s="2068" t="s">
        <v>3542</v>
      </c>
      <c r="E822" s="959">
        <f>(3*conc_PO43m_I+2*conc_HPO42m_I)-2*conc_HPO42m_Ieq+conc_H2PO4m_I-conc_H2PO4m_Ieq+conc_OHm_I+conc_NO2m_I-conc_NO2m_Ieq+conc_NH3_I+2*conc_CO32m_I+conc_HCO3m_I+conc_Acm_I-conc_Acm_Ieq+conc_HSm_I-conc_HSm_Ieq-conc_Hp_I</f>
        <v>5.5301651895425527E-3</v>
      </c>
      <c r="F822" s="958" t="s">
        <v>1880</v>
      </c>
      <c r="G822" s="958">
        <v>4</v>
      </c>
      <c r="H822" s="2719" t="s">
        <v>1150</v>
      </c>
      <c r="I822" s="620"/>
    </row>
    <row r="823" spans="1:9" s="1154" customFormat="1" ht="18" customHeight="1" thickBot="1" x14ac:dyDescent="0.3">
      <c r="A823" s="4"/>
      <c r="B823" s="4"/>
      <c r="C823" s="4"/>
      <c r="D823" s="4"/>
      <c r="E823" s="1917"/>
      <c r="F823" s="4"/>
      <c r="G823" s="4"/>
      <c r="H823" s="4"/>
      <c r="I823" s="4"/>
    </row>
    <row r="824" spans="1:9" s="1154" customFormat="1" ht="18" customHeight="1" thickBot="1" x14ac:dyDescent="0.3">
      <c r="A824" s="4"/>
      <c r="B824" s="115"/>
      <c r="C824" s="2707" t="s">
        <v>5476</v>
      </c>
      <c r="D824" s="13" t="s">
        <v>299</v>
      </c>
      <c r="E824" s="13"/>
      <c r="F824" s="115"/>
      <c r="G824" s="115"/>
      <c r="H824" s="115"/>
      <c r="I824" s="115"/>
    </row>
    <row r="825" spans="1:9" s="1154" customFormat="1" ht="18" customHeight="1" thickBot="1" x14ac:dyDescent="0.3">
      <c r="A825" s="4"/>
      <c r="B825" s="2721" t="s">
        <v>0</v>
      </c>
      <c r="C825" s="2722" t="s">
        <v>1</v>
      </c>
      <c r="D825" s="2723" t="s">
        <v>5</v>
      </c>
      <c r="E825" s="2723" t="s">
        <v>152</v>
      </c>
      <c r="F825" s="2723" t="s">
        <v>2</v>
      </c>
      <c r="G825" s="2723" t="s">
        <v>298</v>
      </c>
      <c r="H825" s="2723" t="s">
        <v>116</v>
      </c>
      <c r="I825" s="2724" t="s">
        <v>117</v>
      </c>
    </row>
    <row r="826" spans="1:9" ht="18" outlineLevel="1" x14ac:dyDescent="0.25">
      <c r="B826" s="2712" t="s">
        <v>3615</v>
      </c>
      <c r="C826" s="2713" t="s">
        <v>3674</v>
      </c>
      <c r="D826" s="2725" t="s">
        <v>3675</v>
      </c>
      <c r="E826" s="2726">
        <f>k_LaGCO2_bub*(S_GCO2_bub_sat-conc_H2CO3_I*M_MEQ_GCO2*c_L_m3)</f>
        <v>2861.6873452767227</v>
      </c>
      <c r="F826" s="2715" t="s">
        <v>1313</v>
      </c>
      <c r="G826" s="2715">
        <v>1</v>
      </c>
      <c r="H826" s="2715"/>
      <c r="I826" s="2716"/>
    </row>
    <row r="827" spans="1:9" ht="18" outlineLevel="1" x14ac:dyDescent="0.25">
      <c r="B827" s="2727" t="s">
        <v>3623</v>
      </c>
      <c r="C827" s="2728" t="s">
        <v>3676</v>
      </c>
      <c r="D827" s="2729" t="s">
        <v>3677</v>
      </c>
      <c r="E827" s="2730">
        <f>k_LaGNH3_bub*(S_GNH3_bub_sat-conc_NH3_I*M_MEQ_GNH3*c_L_m3)</f>
        <v>0</v>
      </c>
      <c r="F827" s="2717" t="s">
        <v>1313</v>
      </c>
      <c r="G827" s="2717">
        <v>1</v>
      </c>
      <c r="H827" s="2717"/>
      <c r="I827" s="2718"/>
    </row>
    <row r="828" spans="1:9" ht="18" outlineLevel="1" x14ac:dyDescent="0.25">
      <c r="B828" s="2246" t="s">
        <v>3627</v>
      </c>
      <c r="C828" s="2247" t="s">
        <v>3905</v>
      </c>
      <c r="D828" s="2247" t="s">
        <v>3906</v>
      </c>
      <c r="E828" s="2756">
        <f>k_LaGH2S_bub*(S_GH2S_bub_sat-conc_H2S_I*M_MEQ_GH2S*c_L_m3)</f>
        <v>286423.9357096504</v>
      </c>
      <c r="F828" s="2249" t="s">
        <v>1313</v>
      </c>
      <c r="G828" s="2249">
        <v>1</v>
      </c>
      <c r="H828" s="2757"/>
      <c r="I828" s="2758"/>
    </row>
    <row r="829" spans="1:9" ht="18" outlineLevel="1" x14ac:dyDescent="0.25">
      <c r="B829" s="2727" t="s">
        <v>3630</v>
      </c>
      <c r="C829" s="2728" t="s">
        <v>3678</v>
      </c>
      <c r="D829" s="2729" t="s">
        <v>3903</v>
      </c>
      <c r="E829" s="2730">
        <f>k_LaGCO2_sur*(S_GCO2_sur_sat-conc_H2CO3_I*M_MEQ_GCO2*c_L_m3)</f>
        <v>85.864791591722664</v>
      </c>
      <c r="F829" s="2717" t="s">
        <v>1313</v>
      </c>
      <c r="G829" s="2717">
        <v>1</v>
      </c>
      <c r="H829" s="2717"/>
      <c r="I829" s="2718"/>
    </row>
    <row r="830" spans="1:9" ht="18" outlineLevel="1" x14ac:dyDescent="0.25">
      <c r="B830" s="2246" t="s">
        <v>3640</v>
      </c>
      <c r="C830" s="2247" t="s">
        <v>3679</v>
      </c>
      <c r="D830" s="2247" t="s">
        <v>3904</v>
      </c>
      <c r="E830" s="2756">
        <f>k_LaGNH3_sur*(S_GNH3_sur_sat-conc_NH3_I*M_MEQ_GNH3*c_L_m3)</f>
        <v>0</v>
      </c>
      <c r="F830" s="2249" t="s">
        <v>1313</v>
      </c>
      <c r="G830" s="2249">
        <v>1</v>
      </c>
      <c r="H830" s="2757"/>
      <c r="I830" s="2758"/>
    </row>
    <row r="831" spans="1:9" ht="18.75" outlineLevel="1" thickBot="1" x14ac:dyDescent="0.3">
      <c r="B831" s="619" t="s">
        <v>3645</v>
      </c>
      <c r="C831" s="2731" t="s">
        <v>3907</v>
      </c>
      <c r="D831" s="2731" t="s">
        <v>3908</v>
      </c>
      <c r="E831" s="2732">
        <f>k_LaGH2S_sur*(S_GH2S_sur_sat-conc_H2S_I*M_MEQ_GH2S*c_L_m3)</f>
        <v>8592.4931369141996</v>
      </c>
      <c r="F831" s="2719" t="s">
        <v>1313</v>
      </c>
      <c r="G831" s="2719">
        <v>1</v>
      </c>
      <c r="H831" s="2760"/>
      <c r="I831" s="620"/>
    </row>
    <row r="832" spans="1:9" s="1154" customFormat="1" ht="18" customHeight="1" thickBot="1" x14ac:dyDescent="0.3">
      <c r="A832" s="4"/>
      <c r="B832" s="4"/>
      <c r="C832" s="4"/>
      <c r="D832" s="4"/>
      <c r="E832" s="1917"/>
      <c r="F832" s="4"/>
      <c r="G832" s="4"/>
      <c r="H832" s="4"/>
      <c r="I832" s="4"/>
    </row>
    <row r="833" spans="1:9" s="1154" customFormat="1" ht="18" customHeight="1" thickBot="1" x14ac:dyDescent="0.3">
      <c r="A833" s="4"/>
      <c r="B833" s="115"/>
      <c r="C833" s="2707" t="s">
        <v>442</v>
      </c>
      <c r="D833" s="13" t="s">
        <v>299</v>
      </c>
      <c r="E833" s="13"/>
      <c r="F833" s="115"/>
      <c r="G833" s="115"/>
      <c r="H833" s="115"/>
      <c r="I833" s="115"/>
    </row>
    <row r="834" spans="1:9" s="1154" customFormat="1" ht="18" customHeight="1" thickBot="1" x14ac:dyDescent="0.3">
      <c r="A834" s="4"/>
      <c r="B834" s="2708" t="s">
        <v>0</v>
      </c>
      <c r="C834" s="2709" t="s">
        <v>1</v>
      </c>
      <c r="D834" s="2710" t="s">
        <v>5</v>
      </c>
      <c r="E834" s="2710" t="s">
        <v>152</v>
      </c>
      <c r="F834" s="2710" t="s">
        <v>2</v>
      </c>
      <c r="G834" s="2710" t="s">
        <v>298</v>
      </c>
      <c r="H834" s="2710" t="s">
        <v>116</v>
      </c>
      <c r="I834" s="2711" t="s">
        <v>117</v>
      </c>
    </row>
    <row r="835" spans="1:9" ht="18" outlineLevel="1" x14ac:dyDescent="0.25">
      <c r="B835" s="2759" t="s">
        <v>4106</v>
      </c>
      <c r="C835" s="2052" t="s">
        <v>4112</v>
      </c>
      <c r="D835" s="2052" t="s">
        <v>4118</v>
      </c>
      <c r="E835" s="1812">
        <f>f_kL_GH2S*(D_GH2S_25/D_GO2_25)^0.5*k_L_GO2_bub</f>
        <v>9.9323067664742055</v>
      </c>
      <c r="F835" s="1271" t="s">
        <v>3606</v>
      </c>
      <c r="G835" s="1271">
        <v>2</v>
      </c>
      <c r="H835" s="2610"/>
      <c r="I835" s="2734"/>
    </row>
    <row r="836" spans="1:9" ht="18" outlineLevel="1" x14ac:dyDescent="0.25">
      <c r="B836" s="2759" t="s">
        <v>4107</v>
      </c>
      <c r="C836" s="2052" t="s">
        <v>4113</v>
      </c>
      <c r="D836" s="2052" t="s">
        <v>4119</v>
      </c>
      <c r="E836" s="1812">
        <f>f_kL_GN2*(D_GN2_25/D_GO2_25)^0.5*k_L_GO2_bub</f>
        <v>11.827508281675817</v>
      </c>
      <c r="F836" s="1271" t="s">
        <v>3606</v>
      </c>
      <c r="G836" s="1271">
        <v>2</v>
      </c>
      <c r="H836" s="2610"/>
      <c r="I836" s="2734"/>
    </row>
    <row r="837" spans="1:9" ht="18" outlineLevel="1" x14ac:dyDescent="0.25">
      <c r="B837" s="2733" t="s">
        <v>4108</v>
      </c>
      <c r="C837" s="2052" t="s">
        <v>4114</v>
      </c>
      <c r="D837" s="2052" t="s">
        <v>4120</v>
      </c>
      <c r="E837" s="1812">
        <f>f_kL_GCO2*(D_GCO2_25/D_GO2_25)^0.5*k_L_GO2_bub</f>
        <v>11.5508031163023</v>
      </c>
      <c r="F837" s="2052" t="s">
        <v>3606</v>
      </c>
      <c r="G837" s="2052">
        <v>2</v>
      </c>
      <c r="H837" s="1271"/>
      <c r="I837" s="2734"/>
    </row>
    <row r="838" spans="1:9" ht="18" outlineLevel="1" x14ac:dyDescent="0.25">
      <c r="B838" s="2733" t="s">
        <v>4109</v>
      </c>
      <c r="C838" s="2052" t="s">
        <v>4115</v>
      </c>
      <c r="D838" s="2052" t="s">
        <v>4121</v>
      </c>
      <c r="E838" s="1812">
        <f>f_kL_GCH4*(D_GCH4_25/D_GO2_25)^0.5*k_L_GO2_bub</f>
        <v>10.976486395405258</v>
      </c>
      <c r="F838" s="2052" t="s">
        <v>3606</v>
      </c>
      <c r="G838" s="2052">
        <v>2</v>
      </c>
      <c r="H838" s="1271"/>
      <c r="I838" s="2734"/>
    </row>
    <row r="839" spans="1:9" ht="18" outlineLevel="1" x14ac:dyDescent="0.25">
      <c r="B839" s="2733" t="s">
        <v>4110</v>
      </c>
      <c r="C839" s="2052" t="s">
        <v>4116</v>
      </c>
      <c r="D839" s="2052" t="s">
        <v>4122</v>
      </c>
      <c r="E839" s="1812">
        <f>f_kL_GH2*(D_GH2_25/D_GO2_25)^0.5*k_L_GO2_bub</f>
        <v>19.07552353373622</v>
      </c>
      <c r="F839" s="2052" t="s">
        <v>3606</v>
      </c>
      <c r="G839" s="2052">
        <v>2</v>
      </c>
      <c r="H839" s="1271"/>
      <c r="I839" s="2734"/>
    </row>
    <row r="840" spans="1:9" ht="18" outlineLevel="1" x14ac:dyDescent="0.25">
      <c r="B840" s="2733" t="s">
        <v>4111</v>
      </c>
      <c r="C840" s="2052" t="s">
        <v>4117</v>
      </c>
      <c r="D840" s="2052" t="s">
        <v>4123</v>
      </c>
      <c r="E840" s="1812">
        <f>f_kL_GNH3*(D_GNH3_25/D_GO2_25)^0.5*k_L_GO2_bub</f>
        <v>1.1001798895970079</v>
      </c>
      <c r="F840" s="2052" t="s">
        <v>3606</v>
      </c>
      <c r="G840" s="2052">
        <v>2</v>
      </c>
      <c r="H840" s="1271"/>
      <c r="I840" s="2734"/>
    </row>
    <row r="841" spans="1:9" ht="18" outlineLevel="1" x14ac:dyDescent="0.25">
      <c r="B841" s="2759" t="s">
        <v>4124</v>
      </c>
      <c r="C841" s="2052" t="s">
        <v>4130</v>
      </c>
      <c r="D841" s="2052" t="s">
        <v>4136</v>
      </c>
      <c r="E841" s="1812">
        <f>f_kL_GH2S*(D_GH2S_25/D_GO2_25)^0.5*k_L_GO2_sur</f>
        <v>5.8065793404003045</v>
      </c>
      <c r="F841" s="1271" t="s">
        <v>3606</v>
      </c>
      <c r="G841" s="1271">
        <v>2</v>
      </c>
      <c r="H841" s="2610"/>
      <c r="I841" s="2734"/>
    </row>
    <row r="842" spans="1:9" ht="18" outlineLevel="1" x14ac:dyDescent="0.25">
      <c r="B842" s="2735" t="s">
        <v>4125</v>
      </c>
      <c r="C842" s="2064" t="s">
        <v>4131</v>
      </c>
      <c r="D842" s="2064" t="s">
        <v>4137</v>
      </c>
      <c r="E842" s="1969">
        <f>f_kL_GN2*(D_GN2_25/D_GO2_25)^0.5*k_L_GO2_sur</f>
        <v>6.9145433031335548</v>
      </c>
      <c r="F842" s="2064" t="s">
        <v>3606</v>
      </c>
      <c r="G842" s="2064">
        <v>2</v>
      </c>
      <c r="H842" s="1800"/>
      <c r="I842" s="1801"/>
    </row>
    <row r="843" spans="1:9" ht="18" outlineLevel="1" x14ac:dyDescent="0.25">
      <c r="B843" s="2733" t="s">
        <v>4126</v>
      </c>
      <c r="C843" s="2052" t="s">
        <v>4132</v>
      </c>
      <c r="D843" s="2052" t="s">
        <v>4138</v>
      </c>
      <c r="E843" s="1812">
        <f>f_kL_GCO2*(D_GCO2_25/D_GO2_25)^0.5*k_L_GO2_sur</f>
        <v>6.7527772064536524</v>
      </c>
      <c r="F843" s="2052" t="s">
        <v>3606</v>
      </c>
      <c r="G843" s="2052">
        <v>2</v>
      </c>
      <c r="H843" s="1271"/>
      <c r="I843" s="2734"/>
    </row>
    <row r="844" spans="1:9" ht="18" outlineLevel="1" x14ac:dyDescent="0.25">
      <c r="B844" s="2733" t="s">
        <v>4127</v>
      </c>
      <c r="C844" s="2052" t="s">
        <v>4133</v>
      </c>
      <c r="D844" s="2052" t="s">
        <v>4139</v>
      </c>
      <c r="E844" s="1812">
        <f>f_kL_GCH4*(D_GCH4_25/D_GO2_25)^0.5*k_L_GO2_sur</f>
        <v>6.4170228157753817</v>
      </c>
      <c r="F844" s="2052" t="s">
        <v>3606</v>
      </c>
      <c r="G844" s="2052">
        <v>2</v>
      </c>
      <c r="H844" s="1271"/>
      <c r="I844" s="2734"/>
    </row>
    <row r="845" spans="1:9" ht="18" outlineLevel="1" x14ac:dyDescent="0.25">
      <c r="B845" s="2733" t="s">
        <v>4128</v>
      </c>
      <c r="C845" s="2052" t="s">
        <v>4134</v>
      </c>
      <c r="D845" s="2052" t="s">
        <v>4140</v>
      </c>
      <c r="E845" s="1812">
        <f>f_kL_GH2*(D_GH2_25/D_GO2_25)^0.5*k_L_GO2_sur</f>
        <v>11.151844527415021</v>
      </c>
      <c r="F845" s="2052" t="s">
        <v>3606</v>
      </c>
      <c r="G845" s="2052">
        <v>2</v>
      </c>
      <c r="H845" s="1271"/>
      <c r="I845" s="2734"/>
    </row>
    <row r="846" spans="1:9" ht="18.75" outlineLevel="1" thickBot="1" x14ac:dyDescent="0.3">
      <c r="B846" s="2736" t="s">
        <v>4129</v>
      </c>
      <c r="C846" s="2737" t="s">
        <v>4135</v>
      </c>
      <c r="D846" s="2067" t="s">
        <v>4141</v>
      </c>
      <c r="E846" s="868">
        <f>f_kL_GNH3*(D_GNH3_25/D_GO2_25)^0.5*k_L_GO2_sur</f>
        <v>0.64318208930286602</v>
      </c>
      <c r="F846" s="2067" t="s">
        <v>3606</v>
      </c>
      <c r="G846" s="2067">
        <v>2</v>
      </c>
      <c r="H846" s="785"/>
      <c r="I846" s="786"/>
    </row>
    <row r="847" spans="1:9" s="1154" customFormat="1" ht="18" customHeight="1" thickBot="1" x14ac:dyDescent="0.3">
      <c r="A847" s="4"/>
      <c r="B847" s="4"/>
      <c r="C847" s="4"/>
      <c r="D847" s="4"/>
      <c r="E847" s="1917"/>
      <c r="F847" s="4"/>
      <c r="G847" s="4"/>
      <c r="H847" s="4"/>
      <c r="I847" s="4"/>
    </row>
    <row r="848" spans="1:9" s="1154" customFormat="1" ht="18" customHeight="1" thickBot="1" x14ac:dyDescent="0.3">
      <c r="A848" s="4"/>
      <c r="B848" s="115"/>
      <c r="C848" s="2707" t="s">
        <v>4684</v>
      </c>
      <c r="D848" s="13" t="s">
        <v>299</v>
      </c>
      <c r="E848" s="13"/>
      <c r="F848" s="115"/>
      <c r="G848" s="115"/>
      <c r="H848" s="115"/>
      <c r="I848" s="115"/>
    </row>
    <row r="849" spans="1:9" s="1154" customFormat="1" ht="18" customHeight="1" thickBot="1" x14ac:dyDescent="0.3">
      <c r="A849" s="4"/>
      <c r="B849" s="2708" t="s">
        <v>0</v>
      </c>
      <c r="C849" s="2709" t="s">
        <v>1</v>
      </c>
      <c r="D849" s="2710" t="s">
        <v>5</v>
      </c>
      <c r="E849" s="2710" t="s">
        <v>152</v>
      </c>
      <c r="F849" s="2710" t="s">
        <v>2</v>
      </c>
      <c r="G849" s="2710" t="s">
        <v>298</v>
      </c>
      <c r="H849" s="2710" t="s">
        <v>116</v>
      </c>
      <c r="I849" s="2711" t="s">
        <v>117</v>
      </c>
    </row>
    <row r="850" spans="1:9" s="1154" customFormat="1" ht="18" outlineLevel="1" x14ac:dyDescent="0.25">
      <c r="A850" s="4"/>
      <c r="B850" s="2194" t="s">
        <v>5103</v>
      </c>
      <c r="C850" s="2626" t="s">
        <v>5104</v>
      </c>
      <c r="D850" s="2627" t="s">
        <v>5105</v>
      </c>
      <c r="E850" s="2628">
        <f>q_ALPHA*((1-f_O2_max_ALPHA)*S_O2/(K_O2_ALPHA+S_O2)+f_O2_max_ALPHA)</f>
        <v>1.4512195121951217E-3</v>
      </c>
      <c r="F850" s="2619" t="s">
        <v>4673</v>
      </c>
      <c r="G850" s="2620">
        <v>4</v>
      </c>
      <c r="H850" s="2626"/>
      <c r="I850" s="2195"/>
    </row>
    <row r="851" spans="1:9" s="1154" customFormat="1" ht="18" outlineLevel="1" x14ac:dyDescent="0.25">
      <c r="A851" s="4"/>
      <c r="B851" s="2194" t="s">
        <v>4685</v>
      </c>
      <c r="C851" s="2629" t="s">
        <v>5106</v>
      </c>
      <c r="D851" s="2627" t="s">
        <v>4686</v>
      </c>
      <c r="E851" s="2630">
        <f>1+c_oeffdamp_ALPHA*(S_ALPHA/S_ALPHA_sat)^p_owdamp_ALPHA</f>
        <v>1.0266520317554391</v>
      </c>
      <c r="F851" s="2619" t="s">
        <v>1990</v>
      </c>
      <c r="G851" s="2620">
        <v>2</v>
      </c>
      <c r="H851" s="2626"/>
      <c r="I851" s="2195"/>
    </row>
    <row r="852" spans="1:9" s="1154" customFormat="1" ht="18" outlineLevel="1" x14ac:dyDescent="0.25">
      <c r="A852" s="4"/>
      <c r="B852" s="2194" t="s">
        <v>5107</v>
      </c>
      <c r="C852" s="2629" t="s">
        <v>5108</v>
      </c>
      <c r="D852" s="2627" t="s">
        <v>5109</v>
      </c>
      <c r="E852" s="2630">
        <f>(S_ALPHA-1)*EXP(s_lh_diff_α*h_diff)+1</f>
        <v>0.87571117407946009</v>
      </c>
      <c r="F852" s="2619" t="s">
        <v>1990</v>
      </c>
      <c r="G852" s="2620">
        <v>2</v>
      </c>
      <c r="H852" s="2626" t="s">
        <v>5116</v>
      </c>
      <c r="I852" s="2195"/>
    </row>
    <row r="853" spans="1:9" s="1154" customFormat="1" ht="18" outlineLevel="1" x14ac:dyDescent="0.25">
      <c r="A853" s="4"/>
      <c r="B853" s="2194" t="s">
        <v>4687</v>
      </c>
      <c r="C853" s="2629" t="s">
        <v>5110</v>
      </c>
      <c r="D853" s="2627" t="s">
        <v>4688</v>
      </c>
      <c r="E853" s="2630">
        <f>EXP(s_lTSS_α_def*X_TSS/c_g_kg)</f>
        <v>0.83162200895831306</v>
      </c>
      <c r="F853" s="2619" t="s">
        <v>1990</v>
      </c>
      <c r="G853" s="2620">
        <v>2</v>
      </c>
      <c r="H853" s="2626" t="s">
        <v>5117</v>
      </c>
      <c r="I853" s="2195"/>
    </row>
    <row r="854" spans="1:9" s="1154" customFormat="1" ht="18" outlineLevel="1" x14ac:dyDescent="0.25">
      <c r="A854" s="4"/>
      <c r="B854" s="2194" t="s">
        <v>4687</v>
      </c>
      <c r="C854" s="2629" t="s">
        <v>5110</v>
      </c>
      <c r="D854" s="2627" t="s">
        <v>4689</v>
      </c>
      <c r="E854" s="2630">
        <f>EXP(s_lTSS_α_coarse*X_TSS/c_g_kg)</f>
        <v>0.88433602331382166</v>
      </c>
      <c r="F854" s="2619" t="s">
        <v>1990</v>
      </c>
      <c r="G854" s="2620">
        <v>2</v>
      </c>
      <c r="H854" s="2626" t="s">
        <v>4690</v>
      </c>
      <c r="I854" s="2195"/>
    </row>
    <row r="855" spans="1:9" s="1154" customFormat="1" ht="18" outlineLevel="1" x14ac:dyDescent="0.25">
      <c r="A855" s="4"/>
      <c r="B855" s="2194" t="s">
        <v>4687</v>
      </c>
      <c r="C855" s="2629" t="s">
        <v>5110</v>
      </c>
      <c r="D855" s="2627" t="s">
        <v>4689</v>
      </c>
      <c r="E855" s="2630">
        <f>EXP(s_lTSS_α_coarse*X_TSS/c_g_kg)</f>
        <v>0.88433602331382166</v>
      </c>
      <c r="F855" s="2619" t="s">
        <v>1990</v>
      </c>
      <c r="G855" s="2620">
        <v>2</v>
      </c>
      <c r="H855" s="2626" t="s">
        <v>4691</v>
      </c>
      <c r="I855" s="2195"/>
    </row>
    <row r="856" spans="1:9" s="1154" customFormat="1" ht="18" outlineLevel="1" x14ac:dyDescent="0.25">
      <c r="A856" s="4"/>
      <c r="B856" s="2194" t="s">
        <v>4687</v>
      </c>
      <c r="C856" s="2629" t="s">
        <v>5110</v>
      </c>
      <c r="D856" s="2627" t="s">
        <v>4692</v>
      </c>
      <c r="E856" s="2630">
        <f>c_oefflead_TSS_α_mech*(X_TSS/c_g_kg)^2+c_oefflin_TSS_α_mech*X_TSS/c_g_kg+c_onstTSS_α_mech</f>
        <v>0.93187011025108779</v>
      </c>
      <c r="F856" s="2619" t="s">
        <v>1990</v>
      </c>
      <c r="G856" s="2620">
        <v>2</v>
      </c>
      <c r="H856" s="2626" t="s">
        <v>4693</v>
      </c>
      <c r="I856" s="2195"/>
    </row>
    <row r="857" spans="1:9" s="1154" customFormat="1" ht="18" outlineLevel="1" x14ac:dyDescent="0.25">
      <c r="A857" s="4"/>
      <c r="B857" s="2738" t="s">
        <v>4694</v>
      </c>
      <c r="C857" s="2631" t="s">
        <v>4695</v>
      </c>
      <c r="D857" s="2632" t="s">
        <v>5111</v>
      </c>
      <c r="E857" s="2633">
        <f>S_ALPHA/c_orrh_diff_α*c_orrTSS_α</f>
        <v>0.47482665151127418</v>
      </c>
      <c r="F857" s="2621" t="s">
        <v>1990</v>
      </c>
      <c r="G857" s="2622">
        <v>2</v>
      </c>
      <c r="H857" s="2739" t="s">
        <v>5116</v>
      </c>
      <c r="I857" s="2740"/>
    </row>
    <row r="858" spans="1:9" s="1154" customFormat="1" ht="18.75" outlineLevel="1" thickBot="1" x14ac:dyDescent="0.3">
      <c r="A858" s="4"/>
      <c r="B858" s="1180" t="s">
        <v>4694</v>
      </c>
      <c r="C858" s="2741" t="s">
        <v>4695</v>
      </c>
      <c r="D858" s="2742" t="s">
        <v>5118</v>
      </c>
      <c r="E858" s="2743">
        <f>S_ALPHA*c_orrTSS_α</f>
        <v>0.41581100447915653</v>
      </c>
      <c r="F858" s="2744" t="s">
        <v>1990</v>
      </c>
      <c r="G858" s="2745">
        <v>2</v>
      </c>
      <c r="H858" s="2741" t="s">
        <v>4693</v>
      </c>
      <c r="I858" s="2196"/>
    </row>
    <row r="859" spans="1:9" s="1154" customFormat="1" ht="15.75" thickBot="1" x14ac:dyDescent="0.3">
      <c r="B859" s="2746"/>
      <c r="C859" s="151"/>
      <c r="D859" s="2747"/>
      <c r="E859" s="2748"/>
      <c r="F859" s="2749"/>
      <c r="G859" s="155"/>
      <c r="H859" s="151"/>
      <c r="I859" s="2750"/>
    </row>
    <row r="860" spans="1:9" ht="15.75" thickBot="1" x14ac:dyDescent="0.3">
      <c r="C860" s="2673" t="s">
        <v>279</v>
      </c>
      <c r="D860" s="13" t="s">
        <v>1212</v>
      </c>
      <c r="E860" s="13"/>
      <c r="H860" s="115"/>
    </row>
    <row r="861" spans="1:9" ht="15.75" thickBot="1" x14ac:dyDescent="0.3">
      <c r="B861" s="2674" t="s">
        <v>0</v>
      </c>
      <c r="C861" s="2751" t="s">
        <v>1</v>
      </c>
      <c r="D861" s="2752" t="s">
        <v>5</v>
      </c>
      <c r="E861" s="2752" t="s">
        <v>152</v>
      </c>
      <c r="F861" s="2752" t="s">
        <v>2</v>
      </c>
      <c r="G861" s="2752" t="s">
        <v>298</v>
      </c>
      <c r="H861" s="2752" t="s">
        <v>116</v>
      </c>
      <c r="I861" s="2753" t="s">
        <v>117</v>
      </c>
    </row>
    <row r="862" spans="1:9" ht="18" outlineLevel="1" x14ac:dyDescent="0.25">
      <c r="B862" s="1799" t="s">
        <v>1852</v>
      </c>
      <c r="C862" s="2064" t="s">
        <v>1213</v>
      </c>
      <c r="D862" s="2064" t="s">
        <v>3680</v>
      </c>
      <c r="E862" s="2754">
        <f>T__+T_STP_K</f>
        <v>293.14999999999998</v>
      </c>
      <c r="F862" s="1800" t="s">
        <v>474</v>
      </c>
      <c r="G862" s="1800">
        <v>1</v>
      </c>
      <c r="H862" s="1800"/>
      <c r="I862" s="1801"/>
    </row>
    <row r="863" spans="1:9" ht="18.75" outlineLevel="1" thickBot="1" x14ac:dyDescent="0.3">
      <c r="B863" s="284" t="s">
        <v>284</v>
      </c>
      <c r="C863" s="2737" t="s">
        <v>1214</v>
      </c>
      <c r="D863" s="2737" t="s">
        <v>5371</v>
      </c>
      <c r="E863" s="2755">
        <f>(S_H-H_STP)/c_p_water</f>
        <v>20</v>
      </c>
      <c r="F863" s="2696" t="s">
        <v>1215</v>
      </c>
      <c r="G863" s="2696">
        <v>1</v>
      </c>
      <c r="H863" s="2696"/>
      <c r="I863" s="406"/>
    </row>
    <row r="864" spans="1:9" s="1154" customFormat="1" ht="15.75" thickBot="1" x14ac:dyDescent="0.3">
      <c r="B864" s="2746"/>
      <c r="C864" s="151"/>
      <c r="D864" s="2747"/>
      <c r="E864" s="2748"/>
      <c r="F864" s="2749"/>
      <c r="G864" s="155"/>
      <c r="H864" s="151"/>
      <c r="I864" s="2750"/>
    </row>
    <row r="865" spans="2:9" ht="15.75" thickBot="1" x14ac:dyDescent="0.3">
      <c r="C865" s="2673" t="s">
        <v>5581</v>
      </c>
      <c r="D865" s="13" t="s">
        <v>299</v>
      </c>
      <c r="E865" s="13"/>
      <c r="H865" s="115"/>
    </row>
    <row r="866" spans="2:9" ht="15.75" thickBot="1" x14ac:dyDescent="0.3">
      <c r="B866" s="2674" t="s">
        <v>0</v>
      </c>
      <c r="C866" s="2751" t="s">
        <v>1</v>
      </c>
      <c r="D866" s="2752" t="s">
        <v>5</v>
      </c>
      <c r="E866" s="2752" t="s">
        <v>152</v>
      </c>
      <c r="F866" s="2752" t="s">
        <v>2</v>
      </c>
      <c r="G866" s="2752" t="s">
        <v>298</v>
      </c>
      <c r="H866" s="2752" t="s">
        <v>116</v>
      </c>
      <c r="I866" s="2753" t="s">
        <v>117</v>
      </c>
    </row>
    <row r="867" spans="2:9" ht="126.75" outlineLevel="1" thickBot="1" x14ac:dyDescent="0.3">
      <c r="B867" s="2905" t="s">
        <v>5582</v>
      </c>
      <c r="C867" s="2906" t="s">
        <v>5583</v>
      </c>
      <c r="D867" s="2906" t="s">
        <v>5977</v>
      </c>
      <c r="E867" s="2911">
        <f>(+(-v_1_SO2*r_1)+(-v_4_SO2*r_4)+(-v_9_SO2*r_9)+(-v_16_SO2*r_16)+(-v_19_SO2*r_19)+(-v_22_SO2*r_22)+(-v_27_SO2*r_27)+(-v_37_SO2*r_37)+(-v_40_SO2*r_40)+(-v_58_SO2*r_58)+(-v_61_SO2*r_61)+(-v_66_SO2*r_66)+(-v_67_SO2*r_67)+(-v_68_SO2*r_68)+(-v_84_SO2*r_84)+(-v_85_SO2*r_85)+(-v_103_SO2*r_103)+(-v_104_SO2*r_104)+(+E_EQN2_NO3*v_2_SN2*r_2)+(+E_EQN2_NO3*v_5_SN2*r_5)+(+E_EQN2_NO3*v_12_SN2*r_12)+(+E_EQN2_NO3*v_17_SN2*r_17)+(+E_EQN2_NO3*v_20_SN2*r_20)+(+E_EQN2_NO3*v_23_SN2*r_23)+(+E_EQN2_NO3*v_28_SN2*r_28)+(+E_EQN2_NO3*v_43_SN2*r_43)+(+E_EQN2_NO3*v_59_SN2*r_59)+(+E_EQN2_NO3*v_62_SN2*r_62))*D_eltaHbio</f>
        <v>6.8247892793498437</v>
      </c>
      <c r="F867" s="2909" t="s">
        <v>5584</v>
      </c>
      <c r="G867" s="2909">
        <v>2</v>
      </c>
      <c r="H867" s="2909" t="s">
        <v>5245</v>
      </c>
      <c r="I867" s="2910"/>
    </row>
    <row r="868" spans="2:9" s="1154" customFormat="1" ht="15.75" thickBot="1" x14ac:dyDescent="0.3">
      <c r="B868" s="2746"/>
      <c r="C868" s="151"/>
      <c r="D868" s="2747"/>
      <c r="E868" s="2748"/>
      <c r="F868" s="2749"/>
      <c r="G868" s="155"/>
      <c r="H868" s="151"/>
      <c r="I868" s="2750"/>
    </row>
    <row r="869" spans="2:9" ht="15.75" thickBot="1" x14ac:dyDescent="0.3">
      <c r="C869" s="2673" t="s">
        <v>5585</v>
      </c>
      <c r="D869" s="13" t="s">
        <v>299</v>
      </c>
      <c r="E869" s="13"/>
      <c r="H869" s="115"/>
    </row>
    <row r="870" spans="2:9" ht="15.75" thickBot="1" x14ac:dyDescent="0.3">
      <c r="B870" s="2674" t="s">
        <v>0</v>
      </c>
      <c r="C870" s="2751" t="s">
        <v>1</v>
      </c>
      <c r="D870" s="2752" t="s">
        <v>5</v>
      </c>
      <c r="E870" s="2752" t="s">
        <v>152</v>
      </c>
      <c r="F870" s="2752" t="s">
        <v>2</v>
      </c>
      <c r="G870" s="2752" t="s">
        <v>298</v>
      </c>
      <c r="H870" s="2752" t="s">
        <v>116</v>
      </c>
      <c r="I870" s="2753" t="s">
        <v>117</v>
      </c>
    </row>
    <row r="871" spans="2:9" ht="15.75" outlineLevel="1" thickBot="1" x14ac:dyDescent="0.3">
      <c r="B871" s="2905" t="s">
        <v>5586</v>
      </c>
      <c r="C871" s="2906" t="s">
        <v>5985</v>
      </c>
      <c r="D871" s="2907" t="s">
        <v>5966</v>
      </c>
      <c r="E871" s="2908">
        <f>-v_127_SH2S*r_127-v_120_SH2S*r_120</f>
        <v>-295016.42884656461</v>
      </c>
      <c r="F871" s="2908" t="s">
        <v>5587</v>
      </c>
      <c r="G871" s="2908">
        <v>2</v>
      </c>
      <c r="H871" s="2909"/>
      <c r="I871" s="2910"/>
    </row>
    <row r="872" spans="2:9" s="1154" customFormat="1" ht="15.75" thickBot="1" x14ac:dyDescent="0.3">
      <c r="B872" s="2746"/>
      <c r="C872" s="151"/>
      <c r="D872" s="2747"/>
      <c r="E872" s="2748"/>
      <c r="F872" s="2749"/>
      <c r="G872" s="155"/>
      <c r="H872" s="151"/>
      <c r="I872" s="2750"/>
    </row>
    <row r="873" spans="2:9" ht="15.75" thickBot="1" x14ac:dyDescent="0.3">
      <c r="C873" s="2673" t="s">
        <v>5588</v>
      </c>
      <c r="D873" s="13" t="s">
        <v>299</v>
      </c>
      <c r="E873" s="13"/>
      <c r="H873" s="115"/>
    </row>
    <row r="874" spans="2:9" ht="15.75" thickBot="1" x14ac:dyDescent="0.3">
      <c r="B874" s="2674" t="s">
        <v>0</v>
      </c>
      <c r="C874" s="2751" t="s">
        <v>1</v>
      </c>
      <c r="D874" s="2752" t="s">
        <v>5</v>
      </c>
      <c r="E874" s="2752" t="s">
        <v>152</v>
      </c>
      <c r="F874" s="2752" t="s">
        <v>2</v>
      </c>
      <c r="G874" s="2752" t="s">
        <v>298</v>
      </c>
      <c r="H874" s="2752" t="s">
        <v>116</v>
      </c>
      <c r="I874" s="2753" t="s">
        <v>117</v>
      </c>
    </row>
    <row r="875" spans="2:9" outlineLevel="1" x14ac:dyDescent="0.25">
      <c r="B875" s="2895" t="s">
        <v>5589</v>
      </c>
      <c r="C875" s="2880" t="s">
        <v>5986</v>
      </c>
      <c r="D875" s="2902" t="s">
        <v>5965</v>
      </c>
      <c r="E875" s="2881">
        <f>((v_122_SCH4*r_122)+(v_123_SH2*r_123))</f>
        <v>-6.9349999999999995E-2</v>
      </c>
      <c r="F875" s="2881" t="s">
        <v>5587</v>
      </c>
      <c r="G875" s="2882" t="s">
        <v>5590</v>
      </c>
      <c r="H875" s="2882" t="s">
        <v>5245</v>
      </c>
      <c r="I875" s="2896"/>
    </row>
    <row r="876" spans="2:9" ht="60" outlineLevel="1" x14ac:dyDescent="0.25">
      <c r="B876" s="2897" t="s">
        <v>5591</v>
      </c>
      <c r="C876" s="2885" t="s">
        <v>5987</v>
      </c>
      <c r="D876" s="2903" t="s">
        <v>5964</v>
      </c>
      <c r="E876" s="2886">
        <f>-((v_1_SO2*r_1*-1)+(v_4_SO2*r_4*-1)+(v_9_SO2*r_9*-1)+(v_16_SO2*r_16*-1)+(v_19_SO2*r_19*-1)+(v_22_SO2*r_22*-1)+(v_27_SO2*r_27*-1)+(v_58_SO2*r_58*-1)+(v_61_SO2*r_61*-1)+(v_68_SO2*r_68*-1)+(v_84_SO2*r_84*-1)+(v_85_SO2*r_85*-1)+(v_104_SO2*r_104*-1))</f>
        <v>-470.24054249997579</v>
      </c>
      <c r="F876" s="2886" t="s">
        <v>5587</v>
      </c>
      <c r="G876" s="2887" t="s">
        <v>5590</v>
      </c>
      <c r="H876" s="2887" t="s">
        <v>5245</v>
      </c>
      <c r="I876" s="2898"/>
    </row>
    <row r="877" spans="2:9" ht="234" outlineLevel="1" x14ac:dyDescent="0.35">
      <c r="B877" s="2897" t="s">
        <v>5592</v>
      </c>
      <c r="C877" s="2885" t="s">
        <v>5988</v>
      </c>
      <c r="D877" s="2903" t="s">
        <v>5963</v>
      </c>
      <c r="E877" s="2886">
        <f>-((v_3_SNO3*r_3*-E_EQNO3)+(v_6_SNO3*r_6*-E_EQNO3)+(v_13_SNO3*r_13*-E_EQNO3)+(v_18_SNO3*r_18*-E_EQNO3)+(v_21_SNO3*r_21*-E_EQNO3)+(v_24_SNO3*r_24*-E_EQNO3)+(v_29_SNO3*r_29*-E_EQNO3)+(v_60_SNO3*r_60*-E_EQNO3)+(v_63_SNO3*r_63*-E_EQNO3)+(v_83_SNO3*r_83*-E_EQNO3)+(v_2_SNO2*r_2*-E_EQNO2)+(v_3_SNO2*r_3*-E_EQNO2)+(v_5_SNO2*r_5*-E_EQNO2)+(v_6_SNO2*r_6*-E_EQNO2)+(v_12_SNO2*r_12*-E_EQNO2)+(v_13_SNO2*r_13*-E_EQNO2)+(v_17_SNO2*r_17*-E_EQNO2)+(v_18_SNO2*r_18*-E_EQNO2)+(v_20_SNO2*r_20*-E_EQNO2)+(v_21_SNO2*r_21*-E_EQNO2)+(v_23_SNO2*r_23*-E_EQNO2)+(v_24_SNO2*r_24*-E_EQNO2)+(v_28_SNO2*r_28*-E_EQNO2)+(v_29_SNO2*r_29*-E_EQNO2)+(v_59_SNO2*r_59*-E_EQNO2)+(v_60_SNO2*r_60*-E_EQNO2)+(v_62_SNO2*r_62*-E_EQNO2)+(v_63_SNO2*r_63*-E_EQNO2)+(v_82_SNO2*r_82*-E_EQNO2)+(v_2_SN2*r_2*-E_EQN2)+(v_5_SN2*r_5*-E_EQN2)+(v_12_SN2*r_12*-E_EQN2)+(v_17_SN2*r_17*-E_EQN2)+(v_20_SN2*r_20*-E_EQN2)+(v_23_SN2*r_23*-E_EQN2)+(v_28_SN2*r_28*-E_EQN2)+(v_59_SN2*r_59*-E_EQN2)+(v_62_SN2*r_62*-E_EQN2))</f>
        <v>-34.411010871009061</v>
      </c>
      <c r="F877" s="2886" t="s">
        <v>5587</v>
      </c>
      <c r="G877" s="2887" t="s">
        <v>5590</v>
      </c>
      <c r="H877" s="2887" t="s">
        <v>5245</v>
      </c>
      <c r="I877" s="2898"/>
    </row>
    <row r="878" spans="2:9" outlineLevel="1" x14ac:dyDescent="0.25">
      <c r="B878" s="2897" t="s">
        <v>5593</v>
      </c>
      <c r="C878" s="2885" t="s">
        <v>5989</v>
      </c>
      <c r="D878" s="2903" t="s">
        <v>5594</v>
      </c>
      <c r="E878" s="2886">
        <f>((v_67_XALGAE*r_67)+(v_66_XALGAE*r_66))</f>
        <v>0</v>
      </c>
      <c r="F878" s="2886" t="s">
        <v>5587</v>
      </c>
      <c r="G878" s="2887" t="s">
        <v>5590</v>
      </c>
      <c r="H878" s="2887" t="s">
        <v>5245</v>
      </c>
      <c r="I878" s="2898"/>
    </row>
    <row r="879" spans="2:9" ht="15.75" outlineLevel="1" thickBot="1" x14ac:dyDescent="0.3">
      <c r="B879" s="2899" t="s">
        <v>5595</v>
      </c>
      <c r="C879" s="2891" t="s">
        <v>5990</v>
      </c>
      <c r="D879" s="2904" t="s">
        <v>5596</v>
      </c>
      <c r="E879" s="2900">
        <f>((v_37_XAOB*r_37)+(v_40_XNOB*r_40))</f>
        <v>18.669101897838274</v>
      </c>
      <c r="F879" s="2900" t="s">
        <v>5587</v>
      </c>
      <c r="G879" s="2893" t="s">
        <v>5590</v>
      </c>
      <c r="H879" s="2893" t="s">
        <v>5245</v>
      </c>
      <c r="I879" s="2901"/>
    </row>
    <row r="880" spans="2:9" s="1154" customFormat="1" ht="15.75" thickBot="1" x14ac:dyDescent="0.3">
      <c r="B880" s="2746"/>
      <c r="C880" s="151"/>
      <c r="D880" s="2747"/>
      <c r="E880" s="2748"/>
      <c r="F880" s="2749"/>
      <c r="G880" s="155"/>
      <c r="H880" s="151"/>
      <c r="I880" s="2750"/>
    </row>
    <row r="881" spans="2:9" ht="15.75" thickBot="1" x14ac:dyDescent="0.3">
      <c r="C881" s="2673" t="s">
        <v>5597</v>
      </c>
      <c r="D881" s="13" t="s">
        <v>299</v>
      </c>
      <c r="E881" s="13"/>
      <c r="H881" s="115"/>
    </row>
    <row r="882" spans="2:9" ht="15.75" thickBot="1" x14ac:dyDescent="0.3">
      <c r="B882" s="2674" t="s">
        <v>0</v>
      </c>
      <c r="C882" s="2751" t="s">
        <v>1</v>
      </c>
      <c r="D882" s="2752" t="s">
        <v>5</v>
      </c>
      <c r="E882" s="2752" t="s">
        <v>152</v>
      </c>
      <c r="F882" s="2752" t="s">
        <v>2</v>
      </c>
      <c r="G882" s="2752" t="s">
        <v>298</v>
      </c>
      <c r="H882" s="2752" t="s">
        <v>116</v>
      </c>
      <c r="I882" s="2753" t="s">
        <v>117</v>
      </c>
    </row>
    <row r="883" spans="2:9" outlineLevel="1" x14ac:dyDescent="0.25">
      <c r="B883" s="2895" t="s">
        <v>5598</v>
      </c>
      <c r="C883" s="2880" t="s">
        <v>5991</v>
      </c>
      <c r="D883" s="2880" t="s">
        <v>5962</v>
      </c>
      <c r="E883" s="2881">
        <f>((v_125_SNHx*r_125))</f>
        <v>0</v>
      </c>
      <c r="F883" s="2881" t="s">
        <v>5587</v>
      </c>
      <c r="G883" s="2882" t="s">
        <v>5590</v>
      </c>
      <c r="H883" s="2882" t="s">
        <v>5245</v>
      </c>
      <c r="I883" s="2896"/>
    </row>
    <row r="884" spans="2:9" ht="120.75" outlineLevel="1" thickBot="1" x14ac:dyDescent="0.3">
      <c r="B884" s="2899" t="s">
        <v>5599</v>
      </c>
      <c r="C884" s="2891" t="s">
        <v>5992</v>
      </c>
      <c r="D884" s="2891" t="s">
        <v>5961</v>
      </c>
      <c r="E884" s="2900">
        <f>+((v_3_SNO3*r_3*1)+(v_6_SNO3*r_6*1)+(v_13_SNO3*r_13*1)+(v_18_SNO3*r_18*1)+(v_21_SNO3*r_21*1)+(v_24_SNO3*r_24*1)+(v_29_SNO3*r_29*1)+(v_60_SNO3*r_60*1)+(v_63_SNO3*r_63*1)+(v_83_SNO3*r_83*1)+(v_2_SNO2*r_2*1)+(v_3_SNO2*r_3*1)+(v_5_SNO2*r_5*1)+(v_6_SNO2*r_6*1)+(v_12_SNO2*r_12*1)+(v_13_SNO2*r_13*1)+(v_17_SNO2*r_17*1)+(v_18_SNO2*r_18*1)+(v_20_SNO2*r_20*1)+(v_21_SNO2*r_21*1)+(v_23_SNO2*r_23*1)+(v_24_SNO2*r_24*1)+(v_28_SNO2*r_28*1)+(v_29_SNO2*r_29*1)+(v_59_SNO2*r_59*1)+(v_60_SNO2*r_60*1)+(v_62_SNO2*r_62*1)+(v_63_SNO2*r_63*1)+(v_82_SNO2*r_82*1))</f>
        <v>-9.8031154513823644</v>
      </c>
      <c r="F884" s="2900" t="s">
        <v>5587</v>
      </c>
      <c r="G884" s="2893" t="s">
        <v>5590</v>
      </c>
      <c r="H884" s="2893" t="s">
        <v>5245</v>
      </c>
      <c r="I884" s="2901"/>
    </row>
    <row r="885" spans="2:9" s="1154" customFormat="1" ht="15.75" thickBot="1" x14ac:dyDescent="0.3">
      <c r="B885" s="2746"/>
      <c r="C885" s="151"/>
      <c r="D885" s="2747"/>
      <c r="E885" s="2748"/>
      <c r="F885" s="2749"/>
      <c r="G885" s="155"/>
      <c r="H885" s="151"/>
      <c r="I885" s="2750"/>
    </row>
    <row r="886" spans="2:9" ht="15.75" thickBot="1" x14ac:dyDescent="0.3">
      <c r="C886" s="2673" t="s">
        <v>5600</v>
      </c>
      <c r="D886" s="13" t="s">
        <v>299</v>
      </c>
      <c r="E886" s="13"/>
      <c r="H886" s="115"/>
    </row>
    <row r="887" spans="2:9" ht="15.75" thickBot="1" x14ac:dyDescent="0.3">
      <c r="B887" s="2674" t="s">
        <v>0</v>
      </c>
      <c r="C887" s="2751" t="s">
        <v>1</v>
      </c>
      <c r="D887" s="2752" t="s">
        <v>5</v>
      </c>
      <c r="E887" s="2752" t="s">
        <v>152</v>
      </c>
      <c r="F887" s="2752" t="s">
        <v>2</v>
      </c>
      <c r="G887" s="2752" t="s">
        <v>298</v>
      </c>
      <c r="H887" s="2752" t="s">
        <v>116</v>
      </c>
      <c r="I887" s="2753" t="s">
        <v>117</v>
      </c>
    </row>
    <row r="888" spans="2:9" outlineLevel="1" x14ac:dyDescent="0.25">
      <c r="B888" s="2895" t="s">
        <v>5601</v>
      </c>
      <c r="C888" s="2880" t="s">
        <v>5993</v>
      </c>
      <c r="D888" s="2880" t="s">
        <v>5960</v>
      </c>
      <c r="E888" s="2881">
        <f>((v_124_SO2*r_124))*S_OTRaerator/S_OTRsur</f>
        <v>12</v>
      </c>
      <c r="F888" s="2881" t="s">
        <v>5587</v>
      </c>
      <c r="G888" s="2882" t="s">
        <v>5590</v>
      </c>
      <c r="H888" s="2882" t="s">
        <v>5245</v>
      </c>
      <c r="I888" s="2896"/>
    </row>
    <row r="889" spans="2:9" outlineLevel="1" x14ac:dyDescent="0.25">
      <c r="B889" s="2897" t="s">
        <v>5602</v>
      </c>
      <c r="C889" s="2885" t="s">
        <v>5994</v>
      </c>
      <c r="D889" s="2885" t="s">
        <v>5959</v>
      </c>
      <c r="E889" s="2886">
        <f>((v_124_SO2*r_124))*S_OTRsur_min/S_OTRsur</f>
        <v>12</v>
      </c>
      <c r="F889" s="2886" t="s">
        <v>5587</v>
      </c>
      <c r="G889" s="2887" t="s">
        <v>5590</v>
      </c>
      <c r="H889" s="2887" t="s">
        <v>5245</v>
      </c>
      <c r="I889" s="2898"/>
    </row>
    <row r="890" spans="2:9" ht="45" outlineLevel="1" x14ac:dyDescent="0.25">
      <c r="B890" s="2897" t="s">
        <v>5603</v>
      </c>
      <c r="C890" s="2885" t="s">
        <v>5995</v>
      </c>
      <c r="D890" s="2885" t="s">
        <v>5958</v>
      </c>
      <c r="E890" s="2886">
        <f>-((v_1_SO2*r_1*-1)+(v_4_SO2*r_4*-1)+(v_9_SO2*r_9*-1)+(v_16_SO2*r_16*-1)+(v_19_SO2*r_19*-1)+(v_22_SO2*r_22*-1)+(v_27_SO2*r_27*-1)+(v_58_SO2*r_58*-1)+(v_61_SO2*r_61*-1)+(v_84_SO2*r_84*-1)+(v_85_SO2*r_85*-1)+(v_104_SO2*r_104*-1))</f>
        <v>-470.24054249997579</v>
      </c>
      <c r="F890" s="2886" t="s">
        <v>5587</v>
      </c>
      <c r="G890" s="2887" t="s">
        <v>5590</v>
      </c>
      <c r="H890" s="2887" t="s">
        <v>5245</v>
      </c>
      <c r="I890" s="2898"/>
    </row>
    <row r="891" spans="2:9" outlineLevel="1" x14ac:dyDescent="0.25">
      <c r="B891" s="2897" t="s">
        <v>5604</v>
      </c>
      <c r="C891" s="2885" t="s">
        <v>5996</v>
      </c>
      <c r="D891" s="2885" t="s">
        <v>5605</v>
      </c>
      <c r="E891" s="2886">
        <f>((v_37_SO2*r_37)+(v_40_SO2*r_40))</f>
        <v>-356.6185267817163</v>
      </c>
      <c r="F891" s="2886" t="s">
        <v>5587</v>
      </c>
      <c r="G891" s="2887" t="s">
        <v>5590</v>
      </c>
      <c r="H891" s="2887" t="s">
        <v>5245</v>
      </c>
      <c r="I891" s="2898"/>
    </row>
    <row r="892" spans="2:9" outlineLevel="1" x14ac:dyDescent="0.25">
      <c r="B892" s="2897" t="s">
        <v>5606</v>
      </c>
      <c r="C892" s="2885" t="s">
        <v>5997</v>
      </c>
      <c r="D892" s="2885" t="s">
        <v>5957</v>
      </c>
      <c r="E892" s="2886">
        <f>((v_103_SO2*r_103))</f>
        <v>-6.6629603949469767E-50</v>
      </c>
      <c r="F892" s="2886" t="s">
        <v>5587</v>
      </c>
      <c r="G892" s="2887" t="s">
        <v>5590</v>
      </c>
      <c r="H892" s="2887" t="s">
        <v>5245</v>
      </c>
      <c r="I892" s="2898"/>
    </row>
    <row r="893" spans="2:9" outlineLevel="1" x14ac:dyDescent="0.25">
      <c r="B893" s="2897" t="s">
        <v>5607</v>
      </c>
      <c r="C893" s="2885" t="s">
        <v>5998</v>
      </c>
      <c r="D893" s="2885" t="s">
        <v>5608</v>
      </c>
      <c r="E893" s="2886">
        <f>((v_67_SO2*r_67)+(v_66_SO2*r_66))</f>
        <v>0</v>
      </c>
      <c r="F893" s="2886" t="s">
        <v>5587</v>
      </c>
      <c r="G893" s="2887" t="s">
        <v>5590</v>
      </c>
      <c r="H893" s="2887" t="s">
        <v>5245</v>
      </c>
      <c r="I893" s="2898"/>
    </row>
    <row r="894" spans="2:9" ht="15.75" outlineLevel="1" thickBot="1" x14ac:dyDescent="0.3">
      <c r="B894" s="2899" t="s">
        <v>5609</v>
      </c>
      <c r="C894" s="2891" t="s">
        <v>5999</v>
      </c>
      <c r="D894" s="2891" t="s">
        <v>5610</v>
      </c>
      <c r="E894" s="2900">
        <f>((v_68_SO2*r_68))</f>
        <v>0</v>
      </c>
      <c r="F894" s="2900" t="s">
        <v>5587</v>
      </c>
      <c r="G894" s="2893" t="s">
        <v>5590</v>
      </c>
      <c r="H894" s="2893" t="s">
        <v>5245</v>
      </c>
      <c r="I894" s="2901"/>
    </row>
    <row r="895" spans="2:9" s="1154" customFormat="1" ht="15.75" thickBot="1" x14ac:dyDescent="0.3">
      <c r="B895" s="2746"/>
      <c r="C895" s="151"/>
      <c r="D895" s="2747"/>
      <c r="E895" s="2748"/>
      <c r="F895" s="2749"/>
      <c r="G895" s="155"/>
      <c r="H895" s="151"/>
      <c r="I895" s="2750"/>
    </row>
    <row r="896" spans="2:9" ht="15.75" thickBot="1" x14ac:dyDescent="0.3">
      <c r="C896" s="2673" t="s">
        <v>5611</v>
      </c>
      <c r="D896" s="13" t="s">
        <v>299</v>
      </c>
      <c r="E896" s="13"/>
      <c r="H896" s="115"/>
    </row>
    <row r="897" spans="2:9" ht="15.75" thickBot="1" x14ac:dyDescent="0.3">
      <c r="B897" s="2674" t="s">
        <v>0</v>
      </c>
      <c r="C897" s="2751" t="s">
        <v>1</v>
      </c>
      <c r="D897" s="2752" t="s">
        <v>5</v>
      </c>
      <c r="E897" s="2752" t="s">
        <v>152</v>
      </c>
      <c r="F897" s="2752" t="s">
        <v>2</v>
      </c>
      <c r="G897" s="2752" t="s">
        <v>298</v>
      </c>
      <c r="H897" s="2752" t="s">
        <v>116</v>
      </c>
      <c r="I897" s="2753" t="s">
        <v>117</v>
      </c>
    </row>
    <row r="898" spans="2:9" ht="45" outlineLevel="1" x14ac:dyDescent="0.25">
      <c r="B898" s="2895" t="s">
        <v>5612</v>
      </c>
      <c r="C898" s="2880" t="s">
        <v>6001</v>
      </c>
      <c r="D898" s="2880" t="s">
        <v>5613</v>
      </c>
      <c r="E898" s="2881">
        <f>((v_1_SNHx*r_1)+(v_2_SNHx*r_2)+(v_3_SNHx*r_3)+(v_4_SNHx*r_4)+(v_5_SNHx*r_5)+(v_6_SNHx*r_6)+(v_7_SNHx*r_7)+(v_8_SNHx*r_8)+(v_9_SNHx*r_9)+(v_10_SNHx*r_10)+(v_11_SNHx*r_11))</f>
        <v>-24.298754009023739</v>
      </c>
      <c r="F898" s="2881" t="s">
        <v>5587</v>
      </c>
      <c r="G898" s="2882" t="s">
        <v>5590</v>
      </c>
      <c r="H898" s="2882" t="s">
        <v>5245</v>
      </c>
      <c r="I898" s="2896"/>
    </row>
    <row r="899" spans="2:9" ht="30" outlineLevel="1" x14ac:dyDescent="0.25">
      <c r="B899" s="2897" t="s">
        <v>5614</v>
      </c>
      <c r="C899" s="2885" t="s">
        <v>6002</v>
      </c>
      <c r="D899" s="2885" t="s">
        <v>5615</v>
      </c>
      <c r="E899" s="2886">
        <f>((v_37_SNHx*r_37)+(v_38_SNHx*r_38)+(v_39_SNHx*r_39)+(v_40_SNHx*r_40)+(v_41_SNHx*r_41)+(v_42_SNHx*r_42))</f>
        <v>-92.134401250463341</v>
      </c>
      <c r="F899" s="2886" t="s">
        <v>5587</v>
      </c>
      <c r="G899" s="2887" t="s">
        <v>5590</v>
      </c>
      <c r="H899" s="2887" t="s">
        <v>5245</v>
      </c>
      <c r="I899" s="2898"/>
    </row>
    <row r="900" spans="2:9" outlineLevel="1" x14ac:dyDescent="0.25">
      <c r="B900" s="2897" t="s">
        <v>5616</v>
      </c>
      <c r="C900" s="2885" t="s">
        <v>6003</v>
      </c>
      <c r="D900" s="2885" t="s">
        <v>5617</v>
      </c>
      <c r="E900" s="2886">
        <f>((v_67_SNHx*r_67)+(v_68_SNHx*r_68)+(v_69_SNHx*r_69))</f>
        <v>0</v>
      </c>
      <c r="F900" s="2886" t="s">
        <v>5587</v>
      </c>
      <c r="G900" s="2887" t="s">
        <v>5590</v>
      </c>
      <c r="H900" s="2887" t="s">
        <v>5245</v>
      </c>
      <c r="I900" s="2898"/>
    </row>
    <row r="901" spans="2:9" ht="15.75" outlineLevel="1" thickBot="1" x14ac:dyDescent="0.3">
      <c r="B901" s="2899" t="s">
        <v>5618</v>
      </c>
      <c r="C901" s="2891" t="s">
        <v>6004</v>
      </c>
      <c r="D901" s="2891" t="s">
        <v>5956</v>
      </c>
      <c r="E901" s="2900">
        <f>((v_76_SNHx*r_76)+(v_82_SNHx*r_82)+(v_83_SNHx*r_83))</f>
        <v>25.77725808093405</v>
      </c>
      <c r="F901" s="2900" t="s">
        <v>5587</v>
      </c>
      <c r="G901" s="2893" t="s">
        <v>5590</v>
      </c>
      <c r="H901" s="2893" t="s">
        <v>5245</v>
      </c>
      <c r="I901" s="2901"/>
    </row>
    <row r="902" spans="2:9" s="1154" customFormat="1" ht="15.75" thickBot="1" x14ac:dyDescent="0.3">
      <c r="B902" s="2746"/>
      <c r="C902" s="151"/>
      <c r="D902" s="2747"/>
      <c r="E902" s="2748"/>
      <c r="F902" s="2749"/>
      <c r="G902" s="155"/>
      <c r="H902" s="151"/>
      <c r="I902" s="2750"/>
    </row>
    <row r="903" spans="2:9" ht="15.75" thickBot="1" x14ac:dyDescent="0.3">
      <c r="C903" s="2673" t="s">
        <v>5619</v>
      </c>
      <c r="D903" s="13" t="s">
        <v>299</v>
      </c>
      <c r="E903" s="13"/>
      <c r="H903" s="115"/>
    </row>
    <row r="904" spans="2:9" ht="15.75" thickBot="1" x14ac:dyDescent="0.3">
      <c r="B904" s="2674" t="s">
        <v>0</v>
      </c>
      <c r="C904" s="2751" t="s">
        <v>1</v>
      </c>
      <c r="D904" s="2752" t="s">
        <v>5</v>
      </c>
      <c r="E904" s="2752" t="s">
        <v>152</v>
      </c>
      <c r="F904" s="2752" t="s">
        <v>2</v>
      </c>
      <c r="G904" s="2752" t="s">
        <v>298</v>
      </c>
      <c r="H904" s="2752" t="s">
        <v>116</v>
      </c>
      <c r="I904" s="2753" t="s">
        <v>117</v>
      </c>
    </row>
    <row r="905" spans="2:9" outlineLevel="1" x14ac:dyDescent="0.25">
      <c r="B905" s="2895" t="s">
        <v>5620</v>
      </c>
      <c r="C905" s="2880" t="s">
        <v>6005</v>
      </c>
      <c r="D905" s="2880" t="s">
        <v>5621</v>
      </c>
      <c r="E905" s="2881">
        <f>((v_3_SNO3*r_3)+(v_6_SNO3*r_6))</f>
        <v>-4.4206956123703414</v>
      </c>
      <c r="F905" s="2881" t="s">
        <v>5587</v>
      </c>
      <c r="G905" s="2882" t="s">
        <v>5590</v>
      </c>
      <c r="H905" s="2882" t="s">
        <v>5245</v>
      </c>
      <c r="I905" s="2896"/>
    </row>
    <row r="906" spans="2:9" outlineLevel="1" x14ac:dyDescent="0.25">
      <c r="B906" s="2897" t="s">
        <v>5622</v>
      </c>
      <c r="C906" s="2885" t="s">
        <v>6006</v>
      </c>
      <c r="D906" s="2885" t="s">
        <v>5623</v>
      </c>
      <c r="E906" s="2886">
        <f>((v_40_SNO3*r_40))</f>
        <v>56.04486335890374</v>
      </c>
      <c r="F906" s="2886" t="s">
        <v>5587</v>
      </c>
      <c r="G906" s="2887" t="s">
        <v>5590</v>
      </c>
      <c r="H906" s="2887" t="s">
        <v>5245</v>
      </c>
      <c r="I906" s="2898"/>
    </row>
    <row r="907" spans="2:9" ht="15.75" outlineLevel="1" thickBot="1" x14ac:dyDescent="0.3">
      <c r="B907" s="2899" t="s">
        <v>5624</v>
      </c>
      <c r="C907" s="2891" t="s">
        <v>6007</v>
      </c>
      <c r="D907" s="2891" t="s">
        <v>5625</v>
      </c>
      <c r="E907" s="2900">
        <f>((v_66_SNO3*r_66))</f>
        <v>0</v>
      </c>
      <c r="F907" s="2900" t="s">
        <v>5587</v>
      </c>
      <c r="G907" s="2893" t="s">
        <v>5590</v>
      </c>
      <c r="H907" s="2893" t="s">
        <v>5245</v>
      </c>
      <c r="I907" s="2901"/>
    </row>
    <row r="908" spans="2:9" s="1154" customFormat="1" ht="15.75" thickBot="1" x14ac:dyDescent="0.3">
      <c r="B908" s="2746"/>
      <c r="C908" s="151"/>
      <c r="D908" s="2747"/>
      <c r="E908" s="2748"/>
      <c r="F908" s="2749"/>
      <c r="G908" s="155"/>
      <c r="H908" s="151"/>
      <c r="I908" s="2750"/>
    </row>
    <row r="909" spans="2:9" ht="15.75" thickBot="1" x14ac:dyDescent="0.3">
      <c r="C909" s="2673" t="s">
        <v>5626</v>
      </c>
      <c r="D909" s="13" t="s">
        <v>299</v>
      </c>
      <c r="E909" s="13"/>
      <c r="H909" s="115"/>
    </row>
    <row r="910" spans="2:9" ht="15.75" thickBot="1" x14ac:dyDescent="0.3">
      <c r="B910" s="2674" t="s">
        <v>0</v>
      </c>
      <c r="C910" s="2751" t="s">
        <v>1</v>
      </c>
      <c r="D910" s="2752" t="s">
        <v>5</v>
      </c>
      <c r="E910" s="2752" t="s">
        <v>152</v>
      </c>
      <c r="F910" s="2752" t="s">
        <v>2</v>
      </c>
      <c r="G910" s="2752" t="s">
        <v>298</v>
      </c>
      <c r="H910" s="2752" t="s">
        <v>116</v>
      </c>
      <c r="I910" s="2753" t="s">
        <v>117</v>
      </c>
    </row>
    <row r="911" spans="2:9" ht="30" outlineLevel="1" x14ac:dyDescent="0.25">
      <c r="B911" s="2895" t="s">
        <v>5627</v>
      </c>
      <c r="C911" s="2880" t="s">
        <v>6008</v>
      </c>
      <c r="D911" s="2880" t="s">
        <v>5628</v>
      </c>
      <c r="E911" s="2881">
        <f>((v_1_SPO4*r_1)+(v_2_SPO4*r_2)+(v_3_SPO4*r_3)+(v_4_SPO4*r_4)+(v_5_SPO4*r_5)+(v_6_SPO4*r_6)+(v_7_SPO4*r_7)+(v_8_SPO4*r_8)+(v_9_SPO4*r_9))</f>
        <v>-7.0108041354685771</v>
      </c>
      <c r="F911" s="2881" t="s">
        <v>5587</v>
      </c>
      <c r="G911" s="2882" t="s">
        <v>5590</v>
      </c>
      <c r="H911" s="2882" t="s">
        <v>5245</v>
      </c>
      <c r="I911" s="2896"/>
    </row>
    <row r="912" spans="2:9" outlineLevel="1" x14ac:dyDescent="0.25">
      <c r="B912" s="2897" t="s">
        <v>5629</v>
      </c>
      <c r="C912" s="2885" t="s">
        <v>6009</v>
      </c>
      <c r="D912" s="2885" t="s">
        <v>5630</v>
      </c>
      <c r="E912" s="2886">
        <f>((v_37_SPO4*r_37)+(v_40_SPO4*r_40))</f>
        <v>-0.3733820379567655</v>
      </c>
      <c r="F912" s="2886" t="s">
        <v>5587</v>
      </c>
      <c r="G912" s="2887" t="s">
        <v>5590</v>
      </c>
      <c r="H912" s="2887" t="s">
        <v>5245</v>
      </c>
      <c r="I912" s="2898"/>
    </row>
    <row r="913" spans="2:9" outlineLevel="1" x14ac:dyDescent="0.25">
      <c r="B913" s="2897" t="s">
        <v>5631</v>
      </c>
      <c r="C913" s="2885" t="s">
        <v>6010</v>
      </c>
      <c r="D913" s="2885" t="s">
        <v>5632</v>
      </c>
      <c r="E913" s="2886">
        <f>((v_66_SPO4*r_66)+(v_67_SPO4*r_67)+(v_68_SPO4*r_68)+(v_69_SPO4*r_69))</f>
        <v>0</v>
      </c>
      <c r="F913" s="2886" t="s">
        <v>5587</v>
      </c>
      <c r="G913" s="2887" t="s">
        <v>5590</v>
      </c>
      <c r="H913" s="2887" t="s">
        <v>5245</v>
      </c>
      <c r="I913" s="2898"/>
    </row>
    <row r="914" spans="2:9" outlineLevel="1" x14ac:dyDescent="0.25">
      <c r="B914" s="2897" t="s">
        <v>5633</v>
      </c>
      <c r="C914" s="2885" t="s">
        <v>6011</v>
      </c>
      <c r="D914" s="2885" t="s">
        <v>5955</v>
      </c>
      <c r="E914" s="2886">
        <f>((v_77_SPO4*r_77)+(v_82_SPO4*r_82)+(v_83_SPO4*r_83))</f>
        <v>5.0441627226205883</v>
      </c>
      <c r="F914" s="2886" t="s">
        <v>5587</v>
      </c>
      <c r="G914" s="2887" t="s">
        <v>5590</v>
      </c>
      <c r="H914" s="2887" t="s">
        <v>5245</v>
      </c>
      <c r="I914" s="2898"/>
    </row>
    <row r="915" spans="2:9" ht="60.75" outlineLevel="1" thickBot="1" x14ac:dyDescent="0.3">
      <c r="B915" s="2899" t="s">
        <v>5634</v>
      </c>
      <c r="C915" s="2891" t="s">
        <v>6012</v>
      </c>
      <c r="D915" s="2891" t="s">
        <v>5967</v>
      </c>
      <c r="E915" s="2900">
        <f>((v_89_SPO4*r_89)+(v_90_SPO4*r_90)+(v_91_SPO4*r_91)+(v_92_SPO4*r_92)+(v_93_SPO4*r_93)+(v_96_SPO4*r_96)+(v_97_SPO4*r_97)+(v_98_SPO4*r_98)+(v_99_SPO4*r_99)+(v_100_SPO4*r_100)+(v_101_SPO4*r_101)+(v_102_SPO4*r_102)+(v_106_SPO4*r_106)+(v_107_SPO4*r_107)+(v_108_SPO4*r_108)+(v_109_SPO4*r_109))</f>
        <v>-2.4189831497123265E-48</v>
      </c>
      <c r="F915" s="2900" t="s">
        <v>5587</v>
      </c>
      <c r="G915" s="2893" t="s">
        <v>5590</v>
      </c>
      <c r="H915" s="2893" t="s">
        <v>5245</v>
      </c>
      <c r="I915" s="2901"/>
    </row>
    <row r="916" spans="2:9" s="1154" customFormat="1" ht="15.75" thickBot="1" x14ac:dyDescent="0.3">
      <c r="B916" s="2746"/>
      <c r="C916" s="151"/>
      <c r="D916" s="2747"/>
      <c r="E916" s="2748"/>
      <c r="F916" s="2749"/>
      <c r="G916" s="155"/>
      <c r="H916" s="151"/>
      <c r="I916" s="2750"/>
    </row>
    <row r="917" spans="2:9" ht="15.75" thickBot="1" x14ac:dyDescent="0.3">
      <c r="C917" s="2673" t="s">
        <v>5635</v>
      </c>
      <c r="D917" s="13" t="s">
        <v>299</v>
      </c>
      <c r="E917" s="13"/>
      <c r="H917" s="115"/>
    </row>
    <row r="918" spans="2:9" ht="15.75" thickBot="1" x14ac:dyDescent="0.3">
      <c r="B918" s="2674" t="s">
        <v>0</v>
      </c>
      <c r="C918" s="2751" t="s">
        <v>1</v>
      </c>
      <c r="D918" s="2752" t="s">
        <v>5</v>
      </c>
      <c r="E918" s="2752" t="s">
        <v>152</v>
      </c>
      <c r="F918" s="2752" t="s">
        <v>2</v>
      </c>
      <c r="G918" s="2752" t="s">
        <v>298</v>
      </c>
      <c r="H918" s="2752" t="s">
        <v>116</v>
      </c>
      <c r="I918" s="2753" t="s">
        <v>117</v>
      </c>
    </row>
    <row r="919" spans="2:9" outlineLevel="1" x14ac:dyDescent="0.25">
      <c r="B919" s="2895" t="s">
        <v>5636</v>
      </c>
      <c r="C919" s="2882" t="s">
        <v>6000</v>
      </c>
      <c r="D919" s="2880" t="s">
        <v>5954</v>
      </c>
      <c r="E919" s="2881">
        <f>((v_121_SCO2*r_121))</f>
        <v>85.864791591722664</v>
      </c>
      <c r="F919" s="2881" t="s">
        <v>5587</v>
      </c>
      <c r="G919" s="2882" t="s">
        <v>5590</v>
      </c>
      <c r="H919" s="2882" t="s">
        <v>5245</v>
      </c>
      <c r="I919" s="2896"/>
    </row>
    <row r="920" spans="2:9" ht="45" outlineLevel="1" x14ac:dyDescent="0.25">
      <c r="B920" s="2897" t="s">
        <v>5637</v>
      </c>
      <c r="C920" s="2887" t="s">
        <v>6013</v>
      </c>
      <c r="D920" s="2885" t="s">
        <v>5638</v>
      </c>
      <c r="E920" s="2886">
        <f>((v_1_SCO2*r_1)+(v_2_SCO2*r_2)+(v_3_SCO2*r_3)+(v_4_SCO2*r_4)+(v_5_SCO2*r_5)+(v_6_SCO2*r_6)+(v_7_SCO2*r_7)+(v_8_SCO2*r_8)+(v_9_SCO2*r_9)+(v_10_SCO2*r_10)+(v_11_SCO2*r_11))</f>
        <v>53.41557397036005</v>
      </c>
      <c r="F920" s="2886" t="s">
        <v>5587</v>
      </c>
      <c r="G920" s="2887" t="s">
        <v>5590</v>
      </c>
      <c r="H920" s="2887" t="s">
        <v>5245</v>
      </c>
      <c r="I920" s="2898"/>
    </row>
    <row r="921" spans="2:9" ht="30" outlineLevel="1" x14ac:dyDescent="0.25">
      <c r="B921" s="2897" t="s">
        <v>5639</v>
      </c>
      <c r="C921" s="2887" t="s">
        <v>6014</v>
      </c>
      <c r="D921" s="2885" t="s">
        <v>5640</v>
      </c>
      <c r="E921" s="2886">
        <f>((v_37_SCO2*r_37)+(v_38_SCO2*r_38)+(v_39_SCO2*r_39)+(v_40_SCO2*r_40)+(v_41_SCO2*r_41)+(v_42_SCO2*r_42))</f>
        <v>-6.1011574533022301</v>
      </c>
      <c r="F921" s="2886" t="s">
        <v>5587</v>
      </c>
      <c r="G921" s="2887" t="s">
        <v>5590</v>
      </c>
      <c r="H921" s="2887" t="s">
        <v>5245</v>
      </c>
      <c r="I921" s="2898"/>
    </row>
    <row r="922" spans="2:9" outlineLevel="1" x14ac:dyDescent="0.25">
      <c r="B922" s="2897" t="s">
        <v>5641</v>
      </c>
      <c r="C922" s="2887" t="s">
        <v>6015</v>
      </c>
      <c r="D922" s="2885" t="s">
        <v>5642</v>
      </c>
      <c r="E922" s="2886">
        <f>((v_66_SCO2*r_66)+(v_67_SCO2*r_67)+(v_68_SCO2*r_68)+(v_69_SCO2*r_69))</f>
        <v>0</v>
      </c>
      <c r="F922" s="2886" t="s">
        <v>5587</v>
      </c>
      <c r="G922" s="2887" t="s">
        <v>5590</v>
      </c>
      <c r="H922" s="2887" t="s">
        <v>5245</v>
      </c>
      <c r="I922" s="2898"/>
    </row>
    <row r="923" spans="2:9" ht="30" outlineLevel="1" x14ac:dyDescent="0.25">
      <c r="B923" s="2897" t="s">
        <v>5643</v>
      </c>
      <c r="C923" s="2887" t="s">
        <v>6016</v>
      </c>
      <c r="D923" s="2885" t="s">
        <v>5953</v>
      </c>
      <c r="E923" s="2886">
        <f>((v_78_SCO2*r_78)+(v_79_SCO2*r_79)+(v_81_SCO2*r_81)+(v_82_SCO2*r_82)+(v_83_SCO2*r_83))</f>
        <v>1.016298696736192</v>
      </c>
      <c r="F923" s="2886" t="s">
        <v>5587</v>
      </c>
      <c r="G923" s="2887" t="s">
        <v>5590</v>
      </c>
      <c r="H923" s="2887" t="s">
        <v>5245</v>
      </c>
      <c r="I923" s="2898"/>
    </row>
    <row r="924" spans="2:9" ht="15.75" outlineLevel="1" thickBot="1" x14ac:dyDescent="0.3">
      <c r="B924" s="2899" t="s">
        <v>5644</v>
      </c>
      <c r="C924" s="2893" t="s">
        <v>6017</v>
      </c>
      <c r="D924" s="2891" t="s">
        <v>5952</v>
      </c>
      <c r="E924" s="2900">
        <f>((v_101_SCO2*r_101)+(v_105_SCO2*r_105))</f>
        <v>2.8103784824724214E-21</v>
      </c>
      <c r="F924" s="2900" t="s">
        <v>5587</v>
      </c>
      <c r="G924" s="2893" t="s">
        <v>5590</v>
      </c>
      <c r="H924" s="2893" t="s">
        <v>5245</v>
      </c>
      <c r="I924" s="2901"/>
    </row>
    <row r="925" spans="2:9" s="1154" customFormat="1" ht="15.75" thickBot="1" x14ac:dyDescent="0.3">
      <c r="B925" s="2746"/>
      <c r="C925" s="151"/>
      <c r="D925" s="2747"/>
      <c r="E925" s="2748"/>
      <c r="F925" s="2749"/>
      <c r="G925" s="155"/>
      <c r="H925" s="151"/>
      <c r="I925" s="2750"/>
    </row>
    <row r="926" spans="2:9" ht="15.75" thickBot="1" x14ac:dyDescent="0.3">
      <c r="C926" s="2673" t="s">
        <v>5645</v>
      </c>
      <c r="D926" s="13" t="s">
        <v>299</v>
      </c>
      <c r="E926" s="13"/>
      <c r="H926" s="115"/>
    </row>
    <row r="927" spans="2:9" ht="15.75" thickBot="1" x14ac:dyDescent="0.3">
      <c r="B927" s="2674" t="s">
        <v>0</v>
      </c>
      <c r="C927" s="2751" t="s">
        <v>1</v>
      </c>
      <c r="D927" s="2752" t="s">
        <v>5</v>
      </c>
      <c r="E927" s="2752" t="s">
        <v>152</v>
      </c>
      <c r="F927" s="2752" t="s">
        <v>2</v>
      </c>
      <c r="G927" s="2752" t="s">
        <v>298</v>
      </c>
      <c r="H927" s="2752" t="s">
        <v>116</v>
      </c>
      <c r="I927" s="2753" t="s">
        <v>117</v>
      </c>
    </row>
    <row r="928" spans="2:9" outlineLevel="1" x14ac:dyDescent="0.25">
      <c r="B928" s="2895" t="s">
        <v>5646</v>
      </c>
      <c r="C928" s="2880" t="s">
        <v>5647</v>
      </c>
      <c r="D928" s="2880" t="s">
        <v>5951</v>
      </c>
      <c r="E928" s="2881">
        <f>(v_117_SO2*r_117)</f>
        <v>800</v>
      </c>
      <c r="F928" s="2881" t="s">
        <v>5587</v>
      </c>
      <c r="G928" s="2882" t="s">
        <v>5590</v>
      </c>
      <c r="H928" s="2882" t="s">
        <v>5245</v>
      </c>
      <c r="I928" s="2896"/>
    </row>
    <row r="929" spans="2:9" ht="15.75" outlineLevel="1" thickBot="1" x14ac:dyDescent="0.3">
      <c r="B929" s="2899" t="s">
        <v>5648</v>
      </c>
      <c r="C929" s="2891" t="s">
        <v>5649</v>
      </c>
      <c r="D929" s="2891" t="s">
        <v>5950</v>
      </c>
      <c r="E929" s="2900">
        <f>(v_124_SO2*r_124)</f>
        <v>24</v>
      </c>
      <c r="F929" s="2900" t="s">
        <v>5587</v>
      </c>
      <c r="G929" s="2893" t="s">
        <v>5590</v>
      </c>
      <c r="H929" s="2893" t="s">
        <v>5245</v>
      </c>
      <c r="I929" s="2901"/>
    </row>
    <row r="930" spans="2:9" s="1154" customFormat="1" ht="15.75" thickBot="1" x14ac:dyDescent="0.3">
      <c r="B930" s="2746"/>
      <c r="C930" s="151"/>
      <c r="D930" s="2747"/>
      <c r="E930" s="2748"/>
      <c r="F930" s="2749"/>
      <c r="G930" s="155"/>
      <c r="H930" s="151"/>
      <c r="I930" s="2750"/>
    </row>
    <row r="931" spans="2:9" ht="15.75" thickBot="1" x14ac:dyDescent="0.3">
      <c r="C931" s="2673" t="s">
        <v>5650</v>
      </c>
      <c r="D931" s="13" t="s">
        <v>299</v>
      </c>
      <c r="E931" s="13"/>
      <c r="H931" s="115"/>
    </row>
    <row r="932" spans="2:9" ht="15.75" thickBot="1" x14ac:dyDescent="0.3">
      <c r="B932" s="2674" t="s">
        <v>0</v>
      </c>
      <c r="C932" s="2751" t="s">
        <v>1</v>
      </c>
      <c r="D932" s="2752" t="s">
        <v>5</v>
      </c>
      <c r="E932" s="2752" t="s">
        <v>152</v>
      </c>
      <c r="F932" s="2752" t="s">
        <v>2</v>
      </c>
      <c r="G932" s="2752" t="s">
        <v>298</v>
      </c>
      <c r="H932" s="2752" t="s">
        <v>116</v>
      </c>
      <c r="I932" s="2753" t="s">
        <v>117</v>
      </c>
    </row>
    <row r="933" spans="2:9" ht="18" outlineLevel="1" x14ac:dyDescent="0.25">
      <c r="B933" s="2895" t="s">
        <v>5653</v>
      </c>
      <c r="C933" s="2880" t="s">
        <v>5654</v>
      </c>
      <c r="D933" s="2880" t="s">
        <v>5768</v>
      </c>
      <c r="E933" s="2881">
        <f>µ_AOB_T</f>
        <v>0.9</v>
      </c>
      <c r="F933" s="2881" t="s">
        <v>1314</v>
      </c>
      <c r="G933" s="2882">
        <v>2</v>
      </c>
      <c r="H933" s="2882" t="s">
        <v>5245</v>
      </c>
      <c r="I933" s="2896"/>
    </row>
    <row r="934" spans="2:9" ht="18" outlineLevel="1" x14ac:dyDescent="0.25">
      <c r="B934" s="2897" t="s">
        <v>5655</v>
      </c>
      <c r="C934" s="2885" t="s">
        <v>5656</v>
      </c>
      <c r="D934" s="2885" t="s">
        <v>5769</v>
      </c>
      <c r="E934" s="2886">
        <f>X_AOB</f>
        <v>33</v>
      </c>
      <c r="F934" s="2886" t="s">
        <v>5651</v>
      </c>
      <c r="G934" s="2887">
        <v>2</v>
      </c>
      <c r="H934" s="2887" t="s">
        <v>5245</v>
      </c>
      <c r="I934" s="2898"/>
    </row>
    <row r="935" spans="2:9" ht="18" outlineLevel="1" x14ac:dyDescent="0.25">
      <c r="B935" s="2897" t="s">
        <v>5657</v>
      </c>
      <c r="C935" s="2885" t="s">
        <v>5658</v>
      </c>
      <c r="D935" s="2885" t="s">
        <v>5770</v>
      </c>
      <c r="E935" s="2886">
        <f>M_satSNHx_KNHx_AOB</f>
        <v>0.58823529411764708</v>
      </c>
      <c r="F935" s="2889" t="s">
        <v>282</v>
      </c>
      <c r="G935" s="2887">
        <v>2</v>
      </c>
      <c r="H935" s="2887" t="s">
        <v>5245</v>
      </c>
      <c r="I935" s="2898"/>
    </row>
    <row r="936" spans="2:9" ht="18" outlineLevel="1" x14ac:dyDescent="0.25">
      <c r="B936" s="2897" t="s">
        <v>5659</v>
      </c>
      <c r="C936" s="2885" t="s">
        <v>5660</v>
      </c>
      <c r="D936" s="2885" t="s">
        <v>5771</v>
      </c>
      <c r="E936" s="2886">
        <f>L_ogsatpHCO2_AOB</f>
        <v>0.99999999997903732</v>
      </c>
      <c r="F936" s="2889" t="s">
        <v>282</v>
      </c>
      <c r="G936" s="2887">
        <v>2</v>
      </c>
      <c r="H936" s="2887" t="s">
        <v>5245</v>
      </c>
      <c r="I936" s="2898"/>
    </row>
    <row r="937" spans="2:9" ht="18" outlineLevel="1" x14ac:dyDescent="0.25">
      <c r="B937" s="2897" t="s">
        <v>5661</v>
      </c>
      <c r="C937" s="2885" t="s">
        <v>5662</v>
      </c>
      <c r="D937" s="2885" t="s">
        <v>5772</v>
      </c>
      <c r="E937" s="2886">
        <f>M_satSO2_KO2_AOB</f>
        <v>0.8</v>
      </c>
      <c r="F937" s="2889" t="s">
        <v>282</v>
      </c>
      <c r="G937" s="2887">
        <v>2</v>
      </c>
      <c r="H937" s="2887" t="s">
        <v>5245</v>
      </c>
      <c r="I937" s="2898"/>
    </row>
    <row r="938" spans="2:9" ht="18" outlineLevel="1" x14ac:dyDescent="0.25">
      <c r="B938" s="2897" t="s">
        <v>5663</v>
      </c>
      <c r="C938" s="2885" t="s">
        <v>5664</v>
      </c>
      <c r="D938" s="2885" t="s">
        <v>5773</v>
      </c>
      <c r="E938" s="2886">
        <f>M_satSPO4_KPO4_BIO</f>
        <v>0.99601593625498008</v>
      </c>
      <c r="F938" s="2889" t="s">
        <v>282</v>
      </c>
      <c r="G938" s="2887">
        <v>2</v>
      </c>
      <c r="H938" s="2887" t="s">
        <v>5245</v>
      </c>
      <c r="I938" s="2898"/>
    </row>
    <row r="939" spans="2:9" ht="18" outlineLevel="1" x14ac:dyDescent="0.25">
      <c r="B939" s="2897" t="s">
        <v>5665</v>
      </c>
      <c r="C939" s="2885" t="s">
        <v>5666</v>
      </c>
      <c r="D939" s="2885" t="s">
        <v>5774</v>
      </c>
      <c r="E939" s="2886">
        <f>M_satSCAT_KCAT</f>
        <v>0.99715099715099709</v>
      </c>
      <c r="F939" s="2889" t="s">
        <v>282</v>
      </c>
      <c r="G939" s="2887">
        <v>2</v>
      </c>
      <c r="H939" s="2887" t="s">
        <v>5245</v>
      </c>
      <c r="I939" s="2898"/>
    </row>
    <row r="940" spans="2:9" ht="18" outlineLevel="1" x14ac:dyDescent="0.25">
      <c r="B940" s="2897" t="s">
        <v>5667</v>
      </c>
      <c r="C940" s="2885" t="s">
        <v>5668</v>
      </c>
      <c r="D940" s="2885" t="s">
        <v>5775</v>
      </c>
      <c r="E940" s="2886">
        <f>M_satSAN_KAN</f>
        <v>0.99933377748167895</v>
      </c>
      <c r="F940" s="2889" t="s">
        <v>282</v>
      </c>
      <c r="G940" s="2887">
        <v>2</v>
      </c>
      <c r="H940" s="2887" t="s">
        <v>5245</v>
      </c>
      <c r="I940" s="2898"/>
    </row>
    <row r="941" spans="2:9" ht="18" outlineLevel="1" x14ac:dyDescent="0.25">
      <c r="B941" s="2897" t="s">
        <v>5669</v>
      </c>
      <c r="C941" s="2885" t="s">
        <v>5670</v>
      </c>
      <c r="D941" s="2885" t="s">
        <v>5776</v>
      </c>
      <c r="E941" s="2886">
        <f>M_satSCa_KCa</f>
        <v>0.99999933333377777</v>
      </c>
      <c r="F941" s="2889" t="s">
        <v>282</v>
      </c>
      <c r="G941" s="2887">
        <v>2</v>
      </c>
      <c r="H941" s="2887" t="s">
        <v>5245</v>
      </c>
      <c r="I941" s="2898"/>
    </row>
    <row r="942" spans="2:9" ht="18" outlineLevel="1" x14ac:dyDescent="0.25">
      <c r="B942" s="2897" t="s">
        <v>5671</v>
      </c>
      <c r="C942" s="2885" t="s">
        <v>5672</v>
      </c>
      <c r="D942" s="2885" t="s">
        <v>5777</v>
      </c>
      <c r="E942" s="2886">
        <f>M_satSMg_KMg</f>
        <v>0.99999333337777752</v>
      </c>
      <c r="F942" s="2889" t="s">
        <v>282</v>
      </c>
      <c r="G942" s="2887">
        <v>2</v>
      </c>
      <c r="H942" s="2887" t="s">
        <v>5245</v>
      </c>
      <c r="I942" s="2898"/>
    </row>
    <row r="943" spans="2:9" outlineLevel="1" x14ac:dyDescent="0.25">
      <c r="B943" s="2897" t="s">
        <v>5673</v>
      </c>
      <c r="C943" s="2885" t="s">
        <v>5674</v>
      </c>
      <c r="D943" s="2885">
        <v>-1</v>
      </c>
      <c r="E943" s="2886">
        <f>-1</f>
        <v>-1</v>
      </c>
      <c r="F943" s="2889" t="s">
        <v>282</v>
      </c>
      <c r="G943" s="2887">
        <v>2</v>
      </c>
      <c r="H943" s="2887" t="s">
        <v>5245</v>
      </c>
      <c r="I943" s="2898"/>
    </row>
    <row r="944" spans="2:9" ht="18" outlineLevel="1" x14ac:dyDescent="0.25">
      <c r="B944" s="2897" t="s">
        <v>5675</v>
      </c>
      <c r="C944" s="2885" t="s">
        <v>5676</v>
      </c>
      <c r="D944" s="2885" t="s">
        <v>5778</v>
      </c>
      <c r="E944" s="2886">
        <f>M_inhpHHNO2_AOB</f>
        <v>0.99999999999991396</v>
      </c>
      <c r="F944" s="2889" t="s">
        <v>282</v>
      </c>
      <c r="G944" s="2887">
        <v>2</v>
      </c>
      <c r="H944" s="2887" t="s">
        <v>5245</v>
      </c>
      <c r="I944" s="2898"/>
    </row>
    <row r="945" spans="2:9" outlineLevel="1" x14ac:dyDescent="0.25">
      <c r="B945" s="2897" t="s">
        <v>5677</v>
      </c>
      <c r="C945" s="2885" t="s">
        <v>5678</v>
      </c>
      <c r="D945" s="2885">
        <v>-1</v>
      </c>
      <c r="E945" s="2886">
        <f>-1</f>
        <v>-1</v>
      </c>
      <c r="F945" s="2889" t="s">
        <v>1990</v>
      </c>
      <c r="G945" s="2887">
        <v>2</v>
      </c>
      <c r="H945" s="2887" t="s">
        <v>5245</v>
      </c>
      <c r="I945" s="2898"/>
    </row>
    <row r="946" spans="2:9" ht="18" outlineLevel="1" x14ac:dyDescent="0.25">
      <c r="B946" s="2897" t="s">
        <v>5679</v>
      </c>
      <c r="C946" s="2885" t="s">
        <v>5680</v>
      </c>
      <c r="D946" s="2885" t="s">
        <v>5779</v>
      </c>
      <c r="E946" s="2886">
        <f>B_ellinhpH_AOB</f>
        <v>0.98233028995495941</v>
      </c>
      <c r="F946" s="2889" t="s">
        <v>282</v>
      </c>
      <c r="G946" s="2887">
        <v>2</v>
      </c>
      <c r="H946" s="2887" t="s">
        <v>5245</v>
      </c>
      <c r="I946" s="2898"/>
    </row>
    <row r="947" spans="2:9" ht="15.75" outlineLevel="1" thickBot="1" x14ac:dyDescent="0.3">
      <c r="B947" s="2899" t="s">
        <v>5652</v>
      </c>
      <c r="C947" s="2891" t="s">
        <v>5681</v>
      </c>
      <c r="D947" s="2891">
        <v>-1</v>
      </c>
      <c r="E947" s="2900">
        <f>-1</f>
        <v>-1</v>
      </c>
      <c r="F947" s="2892" t="s">
        <v>1990</v>
      </c>
      <c r="G947" s="2893">
        <v>2</v>
      </c>
      <c r="H947" s="2893" t="s">
        <v>5245</v>
      </c>
      <c r="I947" s="2901"/>
    </row>
    <row r="948" spans="2:9" ht="15.75" thickBot="1" x14ac:dyDescent="0.3"/>
    <row r="949" spans="2:9" ht="15.75" thickBot="1" x14ac:dyDescent="0.3">
      <c r="C949" s="2673" t="s">
        <v>5682</v>
      </c>
      <c r="D949" s="13" t="s">
        <v>299</v>
      </c>
      <c r="E949" s="13"/>
      <c r="H949" s="115"/>
    </row>
    <row r="950" spans="2:9" ht="15.75" thickBot="1" x14ac:dyDescent="0.3">
      <c r="B950" s="2674" t="s">
        <v>0</v>
      </c>
      <c r="C950" s="2751" t="s">
        <v>1</v>
      </c>
      <c r="D950" s="2752" t="s">
        <v>5</v>
      </c>
      <c r="E950" s="2752" t="s">
        <v>152</v>
      </c>
      <c r="F950" s="2752" t="s">
        <v>2</v>
      </c>
      <c r="G950" s="2752" t="s">
        <v>298</v>
      </c>
      <c r="H950" s="2752" t="s">
        <v>116</v>
      </c>
      <c r="I950" s="2753" t="s">
        <v>117</v>
      </c>
    </row>
    <row r="951" spans="2:9" ht="18" outlineLevel="1" x14ac:dyDescent="0.25">
      <c r="B951" s="2879" t="s">
        <v>5683</v>
      </c>
      <c r="C951" s="2880" t="s">
        <v>5684</v>
      </c>
      <c r="D951" s="2880" t="s">
        <v>5762</v>
      </c>
      <c r="E951" s="2880">
        <f>µ_ALGAE_T</f>
        <v>2</v>
      </c>
      <c r="F951" s="2881" t="s">
        <v>1314</v>
      </c>
      <c r="G951" s="2882">
        <v>2</v>
      </c>
      <c r="H951" s="2882" t="s">
        <v>5245</v>
      </c>
      <c r="I951" s="2883"/>
    </row>
    <row r="952" spans="2:9" ht="18" outlineLevel="1" x14ac:dyDescent="0.25">
      <c r="B952" s="2884" t="s">
        <v>5685</v>
      </c>
      <c r="C952" s="2885" t="s">
        <v>5686</v>
      </c>
      <c r="D952" s="2885" t="s">
        <v>5763</v>
      </c>
      <c r="E952" s="2885">
        <f>X_ALGAE</f>
        <v>0</v>
      </c>
      <c r="F952" s="2886" t="s">
        <v>5651</v>
      </c>
      <c r="G952" s="2887">
        <v>2</v>
      </c>
      <c r="H952" s="2887" t="s">
        <v>5245</v>
      </c>
      <c r="I952" s="2888"/>
    </row>
    <row r="953" spans="2:9" ht="30" outlineLevel="1" x14ac:dyDescent="0.25">
      <c r="B953" s="2884" t="s">
        <v>5687</v>
      </c>
      <c r="C953" s="2885" t="s">
        <v>5688</v>
      </c>
      <c r="D953" s="2885" t="s">
        <v>5764</v>
      </c>
      <c r="E953" s="2885">
        <f>M_satSCO2_KCO2_ALGAE</f>
        <v>0.88095238095238093</v>
      </c>
      <c r="F953" s="2889" t="s">
        <v>282</v>
      </c>
      <c r="G953" s="2887">
        <v>2</v>
      </c>
      <c r="H953" s="2887" t="s">
        <v>5245</v>
      </c>
      <c r="I953" s="2888"/>
    </row>
    <row r="954" spans="2:9" outlineLevel="1" x14ac:dyDescent="0.25">
      <c r="B954" s="2884" t="s">
        <v>5689</v>
      </c>
      <c r="C954" s="2885" t="s">
        <v>5690</v>
      </c>
      <c r="D954" s="2885" t="s">
        <v>5242</v>
      </c>
      <c r="E954" s="2885">
        <f>L_ightSwitch</f>
        <v>6.4232175508263598E-70</v>
      </c>
      <c r="F954" s="2889" t="s">
        <v>282</v>
      </c>
      <c r="G954" s="2887">
        <v>2</v>
      </c>
      <c r="H954" s="2887" t="s">
        <v>5245</v>
      </c>
      <c r="I954" s="2888"/>
    </row>
    <row r="955" spans="2:9" ht="30" outlineLevel="1" x14ac:dyDescent="0.25">
      <c r="B955" s="2884" t="s">
        <v>5691</v>
      </c>
      <c r="C955" s="2885" t="s">
        <v>5692</v>
      </c>
      <c r="D955" s="2885" t="s">
        <v>5765</v>
      </c>
      <c r="E955" s="2885">
        <f>M_satSNOx_KNOx_ALGAE</f>
        <v>0.9107142857142857</v>
      </c>
      <c r="F955" s="2889" t="s">
        <v>282</v>
      </c>
      <c r="G955" s="2887">
        <v>2</v>
      </c>
      <c r="H955" s="2887" t="s">
        <v>5245</v>
      </c>
      <c r="I955" s="2888"/>
    </row>
    <row r="956" spans="2:9" ht="30" outlineLevel="1" x14ac:dyDescent="0.25">
      <c r="B956" s="2884" t="s">
        <v>5693</v>
      </c>
      <c r="C956" s="2885" t="s">
        <v>5694</v>
      </c>
      <c r="D956" s="2885" t="s">
        <v>5766</v>
      </c>
      <c r="E956" s="2885">
        <f>M_inhSNHx_KiNHx_ALGAE</f>
        <v>0.33333333333333331</v>
      </c>
      <c r="F956" s="2889" t="s">
        <v>282</v>
      </c>
      <c r="G956" s="2887">
        <v>2</v>
      </c>
      <c r="H956" s="2887" t="s">
        <v>5245</v>
      </c>
      <c r="I956" s="2888"/>
    </row>
    <row r="957" spans="2:9" ht="30.75" outlineLevel="1" thickBot="1" x14ac:dyDescent="0.3">
      <c r="B957" s="2890" t="s">
        <v>5695</v>
      </c>
      <c r="C957" s="2891" t="s">
        <v>5658</v>
      </c>
      <c r="D957" s="2891" t="s">
        <v>5767</v>
      </c>
      <c r="E957" s="2891">
        <f>M_satSNHx_KNHx_ALGAE</f>
        <v>0.58823529411764708</v>
      </c>
      <c r="F957" s="2892" t="s">
        <v>282</v>
      </c>
      <c r="G957" s="2893">
        <v>2</v>
      </c>
      <c r="H957" s="2893" t="s">
        <v>5245</v>
      </c>
      <c r="I957" s="2894"/>
    </row>
  </sheetData>
  <phoneticPr fontId="39" type="noConversion"/>
  <conditionalFormatting sqref="H726">
    <cfRule type="cellIs" dxfId="142" priority="60" stopIfTrue="1" operator="notEqual">
      <formula>INDIRECT("Dummy_for_Comparison5!"&amp;ADDRESS(ROW(),COLUMN()))</formula>
    </cfRule>
  </conditionalFormatting>
  <conditionalFormatting sqref="B712 E712:H712">
    <cfRule type="cellIs" dxfId="141" priority="51" stopIfTrue="1" operator="notEqual">
      <formula>INDIRECT("Dummy_for_Comparison5!"&amp;ADDRESS(ROW(),COLUMN()))</formula>
    </cfRule>
  </conditionalFormatting>
  <conditionalFormatting sqref="D708">
    <cfRule type="cellIs" dxfId="140" priority="52" stopIfTrue="1" operator="notEqual">
      <formula>INDIRECT("Dummy_for_Comparison5!"&amp;ADDRESS(ROW(),COLUMN()))</formula>
    </cfRule>
  </conditionalFormatting>
  <conditionalFormatting sqref="L713">
    <cfRule type="cellIs" dxfId="139" priority="50" stopIfTrue="1" operator="notEqual">
      <formula>INDIRECT("Dummy_for_Comparison5!"&amp;ADDRESS(ROW(),COLUMN()))</formula>
    </cfRule>
  </conditionalFormatting>
  <conditionalFormatting sqref="H713">
    <cfRule type="cellIs" dxfId="138" priority="49" stopIfTrue="1" operator="notEqual">
      <formula>INDIRECT("Dummy_for_Comparison5!"&amp;ADDRESS(ROW(),COLUMN()))</formula>
    </cfRule>
  </conditionalFormatting>
  <conditionalFormatting sqref="B710:B711 E710:E711">
    <cfRule type="cellIs" dxfId="137" priority="48" stopIfTrue="1" operator="notEqual">
      <formula>INDIRECT("Dummy_for_Comparison5!"&amp;ADDRESS(ROW(),COLUMN()))</formula>
    </cfRule>
  </conditionalFormatting>
  <conditionalFormatting sqref="F710:H710">
    <cfRule type="cellIs" dxfId="136" priority="47" stopIfTrue="1" operator="notEqual">
      <formula>INDIRECT("Dummy_for_Comparison5!"&amp;ADDRESS(ROW(),COLUMN()))</formula>
    </cfRule>
  </conditionalFormatting>
  <conditionalFormatting sqref="H711">
    <cfRule type="cellIs" dxfId="135" priority="46" stopIfTrue="1" operator="notEqual">
      <formula>INDIRECT("Dummy_for_Comparison5!"&amp;ADDRESS(ROW(),COLUMN()))</formula>
    </cfRule>
  </conditionalFormatting>
  <conditionalFormatting sqref="D725">
    <cfRule type="cellIs" dxfId="134" priority="63" stopIfTrue="1" operator="notEqual">
      <formula>INDIRECT("Dummy_for_Comparison5!"&amp;ADDRESS(ROW(),COLUMN()))</formula>
    </cfRule>
  </conditionalFormatting>
  <conditionalFormatting sqref="D724">
    <cfRule type="cellIs" dxfId="133" priority="64" stopIfTrue="1" operator="notEqual">
      <formula>INDIRECT("Dummy_for_Comparison5!"&amp;ADDRESS(ROW(),COLUMN()))</formula>
    </cfRule>
  </conditionalFormatting>
  <conditionalFormatting sqref="H724:H725">
    <cfRule type="cellIs" dxfId="132" priority="62" stopIfTrue="1" operator="notEqual">
      <formula>INDIRECT("Dummy_for_Comparison5!"&amp;ADDRESS(ROW(),COLUMN()))</formula>
    </cfRule>
  </conditionalFormatting>
  <conditionalFormatting sqref="D726">
    <cfRule type="cellIs" dxfId="131" priority="61" stopIfTrue="1" operator="notEqual">
      <formula>INDIRECT("Dummy_for_Comparison5!"&amp;ADDRESS(ROW(),COLUMN()))</formula>
    </cfRule>
  </conditionalFormatting>
  <conditionalFormatting sqref="D715">
    <cfRule type="cellIs" dxfId="130" priority="59" stopIfTrue="1" operator="notEqual">
      <formula>INDIRECT("Dummy_for_Comparison5!"&amp;ADDRESS(ROW(),COLUMN()))</formula>
    </cfRule>
  </conditionalFormatting>
  <conditionalFormatting sqref="B719 E719:H719">
    <cfRule type="cellIs" dxfId="129" priority="58" stopIfTrue="1" operator="notEqual">
      <formula>INDIRECT("Dummy_for_Comparison5!"&amp;ADDRESS(ROW(),COLUMN()))</formula>
    </cfRule>
  </conditionalFormatting>
  <conditionalFormatting sqref="H720">
    <cfRule type="cellIs" dxfId="128" priority="56" stopIfTrue="1" operator="notEqual">
      <formula>INDIRECT("Dummy_for_Comparison5!"&amp;ADDRESS(ROW(),COLUMN()))</formula>
    </cfRule>
  </conditionalFormatting>
  <conditionalFormatting sqref="L720">
    <cfRule type="cellIs" dxfId="127" priority="57" stopIfTrue="1" operator="notEqual">
      <formula>INDIRECT("Dummy_for_Comparison5!"&amp;ADDRESS(ROW(),COLUMN()))</formula>
    </cfRule>
  </conditionalFormatting>
  <conditionalFormatting sqref="B717:B718 E717:E718">
    <cfRule type="cellIs" dxfId="126" priority="55" stopIfTrue="1" operator="notEqual">
      <formula>INDIRECT("Dummy_for_Comparison5!"&amp;ADDRESS(ROW(),COLUMN()))</formula>
    </cfRule>
  </conditionalFormatting>
  <conditionalFormatting sqref="F717:H717">
    <cfRule type="cellIs" dxfId="125" priority="54" stopIfTrue="1" operator="notEqual">
      <formula>INDIRECT("Dummy_for_Comparison5!"&amp;ADDRESS(ROW(),COLUMN()))</formula>
    </cfRule>
  </conditionalFormatting>
  <conditionalFormatting sqref="H718">
    <cfRule type="cellIs" dxfId="124" priority="53" stopIfTrue="1" operator="notEqual">
      <formula>INDIRECT("Dummy_for_Comparison5!"&amp;ADDRESS(ROW(),COLUMN()))</formula>
    </cfRule>
  </conditionalFormatting>
  <conditionalFormatting sqref="E705:H705 B705">
    <cfRule type="cellIs" dxfId="123" priority="19" stopIfTrue="1" operator="notEqual">
      <formula>INDIRECT("Dummy_for_Comparison5!"&amp;ADDRESS(ROW(),COLUMN()))</formula>
    </cfRule>
  </conditionalFormatting>
  <conditionalFormatting sqref="C703">
    <cfRule type="cellIs" dxfId="122" priority="20" stopIfTrue="1" operator="notEqual">
      <formula>INDIRECT("Dummy_for_Comparison5!"&amp;ADDRESS(ROW(),COLUMN()))</formula>
    </cfRule>
  </conditionalFormatting>
  <conditionalFormatting sqref="J705">
    <cfRule type="cellIs" dxfId="121" priority="18" stopIfTrue="1" operator="notEqual">
      <formula>INDIRECT("Dummy_for_Comparison5!"&amp;ADDRESS(ROW(),COLUMN()))</formula>
    </cfRule>
  </conditionalFormatting>
  <conditionalFormatting sqref="J700">
    <cfRule type="cellIs" dxfId="120" priority="17" stopIfTrue="1" operator="notEqual">
      <formula>INDIRECT("Dummy_for_Comparison5!"&amp;ADDRESS(ROW(),COLUMN()))</formula>
    </cfRule>
  </conditionalFormatting>
  <conditionalFormatting sqref="J701">
    <cfRule type="cellIs" dxfId="119" priority="16" stopIfTrue="1" operator="notEqual">
      <formula>INDIRECT("Dummy_for_Comparison5!"&amp;ADDRESS(ROW(),COLUMN()))</formula>
    </cfRule>
  </conditionalFormatting>
  <conditionalFormatting sqref="D683 B682:B683">
    <cfRule type="cellIs" dxfId="118" priority="35" stopIfTrue="1" operator="notEqual">
      <formula>INDIRECT("Dummy_for_Comparison5!"&amp;ADDRESS(ROW(),COLUMN()))</formula>
    </cfRule>
  </conditionalFormatting>
  <conditionalFormatting sqref="F682:G682">
    <cfRule type="cellIs" dxfId="117" priority="34" stopIfTrue="1" operator="notEqual">
      <formula>INDIRECT("Dummy_for_Comparison5!"&amp;ADDRESS(ROW(),COLUMN()))</formula>
    </cfRule>
  </conditionalFormatting>
  <conditionalFormatting sqref="C692">
    <cfRule type="cellIs" dxfId="116" priority="12" stopIfTrue="1" operator="notEqual">
      <formula>INDIRECT("Dummy_for_Comparison5!"&amp;ADDRESS(ROW(),COLUMN()))</formula>
    </cfRule>
  </conditionalFormatting>
  <conditionalFormatting sqref="D682 F683:G683">
    <cfRule type="cellIs" dxfId="115" priority="36" stopIfTrue="1" operator="notEqual">
      <formula>INDIRECT("Dummy_for_Comparison5!"&amp;ADDRESS(ROW(),COLUMN()))</formula>
    </cfRule>
  </conditionalFormatting>
  <conditionalFormatting sqref="F694:G694">
    <cfRule type="cellIs" dxfId="114" priority="11" stopIfTrue="1" operator="notEqual">
      <formula>INDIRECT("Dummy_for_Comparison5!"&amp;ADDRESS(ROW(),COLUMN()))</formula>
    </cfRule>
  </conditionalFormatting>
  <conditionalFormatting sqref="L701 E697:K697">
    <cfRule type="cellIs" dxfId="113" priority="33" stopIfTrue="1" operator="notEqual">
      <formula>INDIRECT("Dummy_for_Comparison5!"&amp;ADDRESS(ROW(),COLUMN()))</formula>
    </cfRule>
  </conditionalFormatting>
  <conditionalFormatting sqref="B698 E700:F700 D698:K698 B700 H700">
    <cfRule type="cellIs" dxfId="112" priority="32" stopIfTrue="1" operator="notEqual">
      <formula>INDIRECT("Dummy_for_Comparison5!"&amp;ADDRESS(ROW(),COLUMN()))</formula>
    </cfRule>
  </conditionalFormatting>
  <conditionalFormatting sqref="B697 C698">
    <cfRule type="cellIs" dxfId="111" priority="31" stopIfTrue="1" operator="notEqual">
      <formula>INDIRECT("Dummy_for_Comparison5!"&amp;ADDRESS(ROW(),COLUMN()))</formula>
    </cfRule>
  </conditionalFormatting>
  <conditionalFormatting sqref="D697">
    <cfRule type="cellIs" dxfId="110" priority="30" stopIfTrue="1" operator="notEqual">
      <formula>INDIRECT("Dummy_for_Comparison5!"&amp;ADDRESS(ROW(),COLUMN()))</formula>
    </cfRule>
  </conditionalFormatting>
  <conditionalFormatting sqref="H701">
    <cfRule type="cellIs" dxfId="109" priority="29" stopIfTrue="1" operator="notEqual">
      <formula>INDIRECT("Dummy_for_Comparison5!"&amp;ADDRESS(ROW(),COLUMN()))</formula>
    </cfRule>
  </conditionalFormatting>
  <conditionalFormatting sqref="C697">
    <cfRule type="cellIs" dxfId="108" priority="28" stopIfTrue="1" operator="notEqual">
      <formula>INDIRECT("Dummy_for_Comparison5!"&amp;ADDRESS(ROW(),COLUMN()))</formula>
    </cfRule>
  </conditionalFormatting>
  <conditionalFormatting sqref="E699:H699 B699">
    <cfRule type="cellIs" dxfId="107" priority="27" stopIfTrue="1" operator="notEqual">
      <formula>INDIRECT("Dummy_for_Comparison5!"&amp;ADDRESS(ROW(),COLUMN()))</formula>
    </cfRule>
  </conditionalFormatting>
  <conditionalFormatting sqref="J699">
    <cfRule type="cellIs" dxfId="106" priority="26" stopIfTrue="1" operator="notEqual">
      <formula>INDIRECT("Dummy_for_Comparison5!"&amp;ADDRESS(ROW(),COLUMN()))</formula>
    </cfRule>
  </conditionalFormatting>
  <conditionalFormatting sqref="E703:K703">
    <cfRule type="cellIs" dxfId="105" priority="25" stopIfTrue="1" operator="notEqual">
      <formula>INDIRECT("Dummy_for_Comparison5!"&amp;ADDRESS(ROW(),COLUMN()))</formula>
    </cfRule>
  </conditionalFormatting>
  <conditionalFormatting sqref="B704 E706:F706 D704:K704 B706 H706">
    <cfRule type="cellIs" dxfId="104" priority="24" stopIfTrue="1" operator="notEqual">
      <formula>INDIRECT("Dummy_for_Comparison5!"&amp;ADDRESS(ROW(),COLUMN()))</formula>
    </cfRule>
  </conditionalFormatting>
  <conditionalFormatting sqref="B703 C704">
    <cfRule type="cellIs" dxfId="103" priority="23" stopIfTrue="1" operator="notEqual">
      <formula>INDIRECT("Dummy_for_Comparison5!"&amp;ADDRESS(ROW(),COLUMN()))</formula>
    </cfRule>
  </conditionalFormatting>
  <conditionalFormatting sqref="D703">
    <cfRule type="cellIs" dxfId="102" priority="22" stopIfTrue="1" operator="notEqual">
      <formula>INDIRECT("Dummy_for_Comparison5!"&amp;ADDRESS(ROW(),COLUMN()))</formula>
    </cfRule>
  </conditionalFormatting>
  <conditionalFormatting sqref="J706">
    <cfRule type="cellIs" dxfId="101" priority="21" stopIfTrue="1" operator="notEqual">
      <formula>INDIRECT("Dummy_for_Comparison5!"&amp;ADDRESS(ROW(),COLUMN()))</formula>
    </cfRule>
  </conditionalFormatting>
  <conditionalFormatting sqref="D695 E692:K692 B692:B695 J694:K695">
    <cfRule type="cellIs" dxfId="100" priority="14" stopIfTrue="1" operator="notEqual">
      <formula>INDIRECT("Dummy_for_Comparison5!"&amp;ADDRESS(ROW(),COLUMN()))</formula>
    </cfRule>
  </conditionalFormatting>
  <conditionalFormatting sqref="D693:D694 F693:K693 H694 F695:H695">
    <cfRule type="cellIs" dxfId="99" priority="15" stopIfTrue="1" operator="notEqual">
      <formula>INDIRECT("Dummy_for_Comparison5!"&amp;ADDRESS(ROW(),COLUMN()))</formula>
    </cfRule>
  </conditionalFormatting>
  <conditionalFormatting sqref="D692">
    <cfRule type="cellIs" dxfId="98" priority="13" stopIfTrue="1" operator="notEqual">
      <formula>INDIRECT("Dummy_for_Comparison5!"&amp;ADDRESS(ROW(),COLUMN()))</formula>
    </cfRule>
  </conditionalFormatting>
  <conditionalFormatting sqref="H683">
    <cfRule type="cellIs" dxfId="97" priority="10" stopIfTrue="1" operator="notEqual">
      <formula>INDIRECT("Dummy_for_Comparison5!"&amp;ADDRESS(ROW(),COLUMN()))</formula>
    </cfRule>
  </conditionalFormatting>
  <conditionalFormatting sqref="D684 B684 I684">
    <cfRule type="cellIs" dxfId="96" priority="8" stopIfTrue="1" operator="notEqual">
      <formula>INDIRECT("Dummy_for_Comparison5!"&amp;ADDRESS(ROW(),COLUMN()))</formula>
    </cfRule>
  </conditionalFormatting>
  <conditionalFormatting sqref="F684:H684">
    <cfRule type="cellIs" dxfId="95" priority="9" stopIfTrue="1" operator="notEqual">
      <formula>INDIRECT("Dummy_for_Comparison5!"&amp;ADDRESS(ROW(),COLUMN()))</formula>
    </cfRule>
  </conditionalFormatting>
  <conditionalFormatting sqref="I682:I683">
    <cfRule type="cellIs" dxfId="94" priority="7" stopIfTrue="1" operator="notEqual">
      <formula>INDIRECT("Dummy_for_Comparison5!"&amp;ADDRESS(ROW(),COLUMN()))</formula>
    </cfRule>
  </conditionalFormatting>
  <conditionalFormatting sqref="H682">
    <cfRule type="cellIs" dxfId="93" priority="6" stopIfTrue="1" operator="notEqual">
      <formula>INDIRECT("Dummy_for_Comparison5!"&amp;ADDRESS(ROW(),COLUMN()))</formula>
    </cfRule>
  </conditionalFormatting>
  <conditionalFormatting sqref="D689 B688:B689 I688:I689">
    <cfRule type="cellIs" dxfId="92" priority="4" stopIfTrue="1" operator="notEqual">
      <formula>INDIRECT("Dummy_for_Comparison5!"&amp;ADDRESS(ROW(),COLUMN()))</formula>
    </cfRule>
  </conditionalFormatting>
  <conditionalFormatting sqref="D688 H688 F689:H689">
    <cfRule type="cellIs" dxfId="91" priority="5" stopIfTrue="1" operator="notEqual">
      <formula>INDIRECT("Dummy_for_Comparison5!"&amp;ADDRESS(ROW(),COLUMN()))</formula>
    </cfRule>
  </conditionalFormatting>
  <conditionalFormatting sqref="F688:G688">
    <cfRule type="cellIs" dxfId="90" priority="3" stopIfTrue="1" operator="notEqual">
      <formula>INDIRECT("Dummy_for_Comparison5!"&amp;ADDRESS(ROW(),COLUMN()))</formula>
    </cfRule>
  </conditionalFormatting>
  <conditionalFormatting sqref="D690 B690 I690">
    <cfRule type="cellIs" dxfId="89" priority="1" stopIfTrue="1" operator="notEqual">
      <formula>INDIRECT("Dummy_for_Comparison5!"&amp;ADDRESS(ROW(),COLUMN()))</formula>
    </cfRule>
  </conditionalFormatting>
  <conditionalFormatting sqref="F690:H690">
    <cfRule type="cellIs" dxfId="88" priority="2" stopIfTrue="1" operator="notEqual">
      <formula>INDIRECT("Dummy_for_Comparison5!"&amp;ADDRESS(ROW(),COLUMN()))</formula>
    </cfRule>
  </conditionalFormatting>
  <pageMargins left="0.7" right="0.7" top="0.75" bottom="0.75" header="0.3" footer="0.3"/>
  <pageSetup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Munka8"/>
  <dimension ref="B1:F8"/>
  <sheetViews>
    <sheetView showGridLines="0" workbookViewId="0">
      <selection activeCell="B4" sqref="B4:D8"/>
    </sheetView>
  </sheetViews>
  <sheetFormatPr baseColWidth="10" defaultColWidth="9.140625" defaultRowHeight="15" x14ac:dyDescent="0.25"/>
  <cols>
    <col min="2" max="2" width="24.28515625" customWidth="1"/>
    <col min="3" max="3" width="23.28515625" customWidth="1"/>
    <col min="4" max="4" width="22.140625" customWidth="1"/>
  </cols>
  <sheetData>
    <row r="1" spans="2:6" s="46" customFormat="1" ht="58.5" customHeight="1" thickBot="1" x14ac:dyDescent="0.3"/>
    <row r="2" spans="2:6" ht="15.75" thickBot="1" x14ac:dyDescent="0.3">
      <c r="C2" s="60" t="s">
        <v>133</v>
      </c>
      <c r="D2" s="1"/>
    </row>
    <row r="3" spans="2:6" ht="20.25" customHeight="1" x14ac:dyDescent="0.25">
      <c r="B3" s="51" t="s">
        <v>0</v>
      </c>
      <c r="C3" s="51" t="s">
        <v>1</v>
      </c>
      <c r="D3" s="72" t="s">
        <v>5</v>
      </c>
      <c r="E3" s="72" t="s">
        <v>116</v>
      </c>
      <c r="F3" s="67" t="s">
        <v>2</v>
      </c>
    </row>
    <row r="4" spans="2:6" x14ac:dyDescent="0.25">
      <c r="B4" s="73"/>
      <c r="C4" s="69"/>
      <c r="D4" s="70"/>
      <c r="E4" s="5"/>
      <c r="F4" s="5"/>
    </row>
    <row r="5" spans="2:6" x14ac:dyDescent="0.25">
      <c r="B5" s="73"/>
      <c r="C5" s="69"/>
      <c r="D5" s="69"/>
      <c r="E5" s="5"/>
      <c r="F5" s="5"/>
    </row>
    <row r="6" spans="2:6" x14ac:dyDescent="0.25">
      <c r="B6" s="73"/>
      <c r="C6" s="69"/>
      <c r="D6" s="69"/>
      <c r="E6" s="69"/>
      <c r="F6" s="69"/>
    </row>
    <row r="7" spans="2:6" x14ac:dyDescent="0.25">
      <c r="B7" s="73"/>
      <c r="C7" s="69"/>
      <c r="D7" s="69"/>
      <c r="E7" s="69"/>
      <c r="F7" s="69"/>
    </row>
    <row r="8" spans="2:6" x14ac:dyDescent="0.25">
      <c r="B8" s="73"/>
      <c r="C8" s="69"/>
      <c r="D8" s="69"/>
      <c r="E8" s="69"/>
      <c r="F8" s="69"/>
    </row>
  </sheetData>
  <phoneticPr fontId="39" type="noConversion"/>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Munka10"/>
  <dimension ref="B1:G4"/>
  <sheetViews>
    <sheetView showGridLines="0" zoomScale="110" zoomScaleNormal="110" workbookViewId="0">
      <selection activeCell="C10" sqref="C10"/>
    </sheetView>
  </sheetViews>
  <sheetFormatPr baseColWidth="10" defaultColWidth="9.140625" defaultRowHeight="15" x14ac:dyDescent="0.25"/>
  <cols>
    <col min="1" max="1" width="3.140625" customWidth="1"/>
    <col min="2" max="2" width="10.28515625" customWidth="1"/>
    <col min="3" max="3" width="26.28515625" customWidth="1"/>
    <col min="4" max="4" width="30" customWidth="1"/>
    <col min="5" max="5" width="12.28515625" customWidth="1"/>
    <col min="6" max="6" width="9.7109375" customWidth="1"/>
    <col min="7" max="7" width="20.7109375" customWidth="1"/>
  </cols>
  <sheetData>
    <row r="1" spans="2:7" s="46" customFormat="1" ht="44.25" customHeight="1" thickBot="1" x14ac:dyDescent="0.3"/>
    <row r="2" spans="2:7" ht="16.5" customHeight="1" thickBot="1" x14ac:dyDescent="0.3">
      <c r="B2" s="4"/>
      <c r="C2" s="60"/>
      <c r="D2" s="59"/>
      <c r="E2" s="4"/>
      <c r="F2" s="4"/>
      <c r="G2" s="4"/>
    </row>
    <row r="3" spans="2:7" ht="13.5" customHeight="1" thickBot="1" x14ac:dyDescent="0.3">
      <c r="B3" s="61"/>
      <c r="C3" s="62" t="s">
        <v>1</v>
      </c>
      <c r="D3" s="62" t="s">
        <v>5</v>
      </c>
      <c r="E3" s="64" t="s">
        <v>2</v>
      </c>
      <c r="F3" s="65" t="s">
        <v>116</v>
      </c>
      <c r="G3" s="63" t="s">
        <v>117</v>
      </c>
    </row>
    <row r="4" spans="2:7" ht="20.25" customHeight="1" x14ac:dyDescent="0.25">
      <c r="B4" s="41"/>
      <c r="C4" s="41"/>
      <c r="D4" s="40"/>
      <c r="E4" s="42"/>
      <c r="F4" s="43"/>
      <c r="G4" s="43"/>
    </row>
  </sheetData>
  <phoneticPr fontId="39"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unka12"/>
  <dimension ref="A1:BU18"/>
  <sheetViews>
    <sheetView workbookViewId="0">
      <selection activeCell="B10" sqref="B10:G18"/>
    </sheetView>
  </sheetViews>
  <sheetFormatPr baseColWidth="10" defaultColWidth="9.140625" defaultRowHeight="15" x14ac:dyDescent="0.25"/>
  <cols>
    <col min="1" max="1" width="9.140625" style="9"/>
    <col min="2" max="7" width="16.28515625" style="9" customWidth="1"/>
    <col min="8" max="73" width="9.140625" style="9"/>
  </cols>
  <sheetData>
    <row r="1" spans="2:7" ht="15.75" thickBot="1" x14ac:dyDescent="0.3"/>
    <row r="2" spans="2:7" x14ac:dyDescent="0.25">
      <c r="B2" s="10"/>
      <c r="C2" s="11"/>
      <c r="D2" s="11"/>
      <c r="E2" s="11"/>
      <c r="F2" s="11"/>
      <c r="G2" s="12"/>
    </row>
    <row r="3" spans="2:7" x14ac:dyDescent="0.25">
      <c r="B3" s="3099" t="s">
        <v>109</v>
      </c>
      <c r="C3" s="3100"/>
      <c r="D3" s="3100"/>
      <c r="E3" s="3100"/>
      <c r="F3" s="3100"/>
      <c r="G3" s="3101"/>
    </row>
    <row r="4" spans="2:7" x14ac:dyDescent="0.25">
      <c r="B4" s="3099"/>
      <c r="C4" s="3100"/>
      <c r="D4" s="3100"/>
      <c r="E4" s="3100"/>
      <c r="F4" s="3100"/>
      <c r="G4" s="3101"/>
    </row>
    <row r="5" spans="2:7" x14ac:dyDescent="0.25">
      <c r="B5" s="3099"/>
      <c r="C5" s="3100"/>
      <c r="D5" s="3100"/>
      <c r="E5" s="3100"/>
      <c r="F5" s="3100"/>
      <c r="G5" s="3101"/>
    </row>
    <row r="6" spans="2:7" x14ac:dyDescent="0.25">
      <c r="B6" s="3099"/>
      <c r="C6" s="3100"/>
      <c r="D6" s="3100"/>
      <c r="E6" s="3100"/>
      <c r="F6" s="3100"/>
      <c r="G6" s="3101"/>
    </row>
    <row r="7" spans="2:7" x14ac:dyDescent="0.25">
      <c r="B7" s="3099"/>
      <c r="C7" s="3100"/>
      <c r="D7" s="3100"/>
      <c r="E7" s="3100"/>
      <c r="F7" s="3100"/>
      <c r="G7" s="3101"/>
    </row>
    <row r="8" spans="2:7" ht="15.75" thickBot="1" x14ac:dyDescent="0.3">
      <c r="B8" s="3102"/>
      <c r="C8" s="3103"/>
      <c r="D8" s="3103"/>
      <c r="E8" s="3103"/>
      <c r="F8" s="3103"/>
      <c r="G8" s="3104"/>
    </row>
    <row r="10" spans="2:7" x14ac:dyDescent="0.25">
      <c r="B10" s="3105"/>
      <c r="C10" s="3105"/>
      <c r="D10" s="3105"/>
      <c r="E10" s="3105"/>
      <c r="F10" s="3105"/>
      <c r="G10" s="3105"/>
    </row>
    <row r="11" spans="2:7" x14ac:dyDescent="0.25">
      <c r="B11" s="3105"/>
      <c r="C11" s="3105"/>
      <c r="D11" s="3105"/>
      <c r="E11" s="3105"/>
      <c r="F11" s="3105"/>
      <c r="G11" s="3105"/>
    </row>
    <row r="12" spans="2:7" x14ac:dyDescent="0.25">
      <c r="B12" s="3105"/>
      <c r="C12" s="3105"/>
      <c r="D12" s="3105"/>
      <c r="E12" s="3105"/>
      <c r="F12" s="3105"/>
      <c r="G12" s="3105"/>
    </row>
    <row r="13" spans="2:7" x14ac:dyDescent="0.25">
      <c r="B13" s="3105"/>
      <c r="C13" s="3105"/>
      <c r="D13" s="3105"/>
      <c r="E13" s="3105"/>
      <c r="F13" s="3105"/>
      <c r="G13" s="3105"/>
    </row>
    <row r="14" spans="2:7" x14ac:dyDescent="0.25">
      <c r="B14" s="3105"/>
      <c r="C14" s="3105"/>
      <c r="D14" s="3105"/>
      <c r="E14" s="3105"/>
      <c r="F14" s="3105"/>
      <c r="G14" s="3105"/>
    </row>
    <row r="15" spans="2:7" x14ac:dyDescent="0.25">
      <c r="B15" s="3105"/>
      <c r="C15" s="3105"/>
      <c r="D15" s="3105"/>
      <c r="E15" s="3105"/>
      <c r="F15" s="3105"/>
      <c r="G15" s="3105"/>
    </row>
    <row r="16" spans="2:7" x14ac:dyDescent="0.25">
      <c r="B16" s="3105"/>
      <c r="C16" s="3105"/>
      <c r="D16" s="3105"/>
      <c r="E16" s="3105"/>
      <c r="F16" s="3105"/>
      <c r="G16" s="3105"/>
    </row>
    <row r="17" spans="2:7" x14ac:dyDescent="0.25">
      <c r="B17" s="3105"/>
      <c r="C17" s="3105"/>
      <c r="D17" s="3105"/>
      <c r="E17" s="3105"/>
      <c r="F17" s="3105"/>
      <c r="G17" s="3105"/>
    </row>
    <row r="18" spans="2:7" x14ac:dyDescent="0.25">
      <c r="B18" s="3105"/>
      <c r="C18" s="3105"/>
      <c r="D18" s="3105"/>
      <c r="E18" s="3105"/>
      <c r="F18" s="3105"/>
      <c r="G18" s="3105"/>
    </row>
  </sheetData>
  <sheetProtection selectLockedCells="1" selectUnlockedCells="1"/>
  <mergeCells count="2">
    <mergeCell ref="B3:G8"/>
    <mergeCell ref="B10:G18"/>
  </mergeCell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Munka11"/>
  <dimension ref="A1:C9"/>
  <sheetViews>
    <sheetView workbookViewId="0">
      <selection activeCell="A10" sqref="A10"/>
    </sheetView>
  </sheetViews>
  <sheetFormatPr baseColWidth="10" defaultColWidth="9.140625" defaultRowHeight="15" x14ac:dyDescent="0.25"/>
  <cols>
    <col min="1" max="1" width="14.140625" bestFit="1" customWidth="1"/>
    <col min="2" max="2" width="4" bestFit="1" customWidth="1"/>
    <col min="3" max="3" width="12.7109375" bestFit="1" customWidth="1"/>
  </cols>
  <sheetData>
    <row r="1" spans="1:3" x14ac:dyDescent="0.25">
      <c r="A1" t="s">
        <v>107</v>
      </c>
      <c r="B1" s="8">
        <v>387</v>
      </c>
    </row>
    <row r="2" spans="1:3" x14ac:dyDescent="0.25">
      <c r="A2" t="s">
        <v>108</v>
      </c>
      <c r="B2" s="8">
        <v>441</v>
      </c>
    </row>
    <row r="3" spans="1:3" x14ac:dyDescent="0.25">
      <c r="A3" t="s">
        <v>110</v>
      </c>
      <c r="B3">
        <v>517</v>
      </c>
    </row>
    <row r="4" spans="1:3" x14ac:dyDescent="0.25">
      <c r="A4" t="s">
        <v>113</v>
      </c>
      <c r="B4">
        <v>444</v>
      </c>
    </row>
    <row r="5" spans="1:3" x14ac:dyDescent="0.25">
      <c r="A5" t="s">
        <v>120</v>
      </c>
      <c r="B5">
        <v>364</v>
      </c>
    </row>
    <row r="6" spans="1:3" x14ac:dyDescent="0.25">
      <c r="A6" t="s">
        <v>126</v>
      </c>
      <c r="B6">
        <v>418</v>
      </c>
    </row>
    <row r="7" spans="1:3" x14ac:dyDescent="0.25">
      <c r="A7" t="s">
        <v>127</v>
      </c>
      <c r="B7">
        <v>510</v>
      </c>
    </row>
    <row r="8" spans="1:3" x14ac:dyDescent="0.25">
      <c r="A8" t="s">
        <v>129</v>
      </c>
      <c r="B8">
        <v>452</v>
      </c>
      <c r="C8" t="s">
        <v>130</v>
      </c>
    </row>
    <row r="9" spans="1:3" x14ac:dyDescent="0.25">
      <c r="A9" t="s">
        <v>131</v>
      </c>
      <c r="B9">
        <v>611</v>
      </c>
      <c r="C9" t="s">
        <v>132</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dimension ref="A1:H124"/>
  <sheetViews>
    <sheetView showGridLines="0" workbookViewId="0">
      <selection activeCell="D4" sqref="D4"/>
    </sheetView>
  </sheetViews>
  <sheetFormatPr baseColWidth="10" defaultColWidth="8.7109375" defaultRowHeight="15" x14ac:dyDescent="0.25"/>
  <cols>
    <col min="1" max="1" width="5.7109375" customWidth="1"/>
    <col min="2" max="2" width="51.28515625" customWidth="1"/>
    <col min="3" max="3" width="52" customWidth="1"/>
    <col min="4" max="4" width="75.7109375" style="1122" bestFit="1" customWidth="1"/>
    <col min="5" max="5" width="17.7109375" customWidth="1"/>
    <col min="6" max="6" width="9.28515625" customWidth="1"/>
    <col min="7" max="7" width="2.7109375" customWidth="1"/>
    <col min="8" max="8" width="56.7109375" style="13" customWidth="1"/>
  </cols>
  <sheetData>
    <row r="1" spans="1:8" s="294" customFormat="1" x14ac:dyDescent="0.25">
      <c r="D1" s="1112"/>
    </row>
    <row r="2" spans="1:8" s="294" customFormat="1" ht="15.75" thickBot="1" x14ac:dyDescent="0.3">
      <c r="C2" s="1113" t="s">
        <v>780</v>
      </c>
      <c r="D2" s="1112"/>
    </row>
    <row r="3" spans="1:8" s="294" customFormat="1" ht="15.75" thickBot="1" x14ac:dyDescent="0.3">
      <c r="B3" s="1114" t="s">
        <v>0</v>
      </c>
      <c r="C3" s="600" t="s">
        <v>1</v>
      </c>
      <c r="D3" s="1115" t="s">
        <v>5</v>
      </c>
      <c r="E3" s="1116" t="s">
        <v>116</v>
      </c>
      <c r="F3" s="1116" t="s">
        <v>2</v>
      </c>
      <c r="H3" s="1116" t="s">
        <v>4406</v>
      </c>
    </row>
    <row r="4" spans="1:8" s="1896" customFormat="1" x14ac:dyDescent="0.25">
      <c r="B4" s="1897" t="s">
        <v>165</v>
      </c>
      <c r="C4" s="1898" t="s">
        <v>166</v>
      </c>
      <c r="D4" s="1899" t="s">
        <v>5213</v>
      </c>
      <c r="E4" s="1900"/>
      <c r="F4" s="1900"/>
      <c r="H4" s="1901"/>
    </row>
    <row r="5" spans="1:8" s="294" customFormat="1" x14ac:dyDescent="0.25">
      <c r="B5" s="1117" t="s">
        <v>168</v>
      </c>
      <c r="C5" s="1118" t="s">
        <v>169</v>
      </c>
      <c r="D5" s="1119" t="s">
        <v>170</v>
      </c>
      <c r="E5" s="1120"/>
      <c r="F5" s="1120"/>
      <c r="H5" s="1121"/>
    </row>
    <row r="6" spans="1:8" s="294" customFormat="1" x14ac:dyDescent="0.25">
      <c r="B6" s="1117" t="s">
        <v>267</v>
      </c>
      <c r="C6" s="1118" t="s">
        <v>268</v>
      </c>
      <c r="D6" s="1119" t="s">
        <v>774</v>
      </c>
      <c r="E6" s="1120"/>
      <c r="F6" s="1120"/>
      <c r="H6" s="1121"/>
    </row>
    <row r="7" spans="1:8" s="294" customFormat="1" x14ac:dyDescent="0.25">
      <c r="B7" s="1117" t="s">
        <v>269</v>
      </c>
      <c r="C7" s="1118" t="s">
        <v>270</v>
      </c>
      <c r="D7" s="1119" t="s">
        <v>1375</v>
      </c>
      <c r="E7" s="1120"/>
      <c r="F7" s="1120"/>
      <c r="H7" s="1121"/>
    </row>
    <row r="8" spans="1:8" s="294" customFormat="1" x14ac:dyDescent="0.25">
      <c r="B8" s="1117" t="s">
        <v>171</v>
      </c>
      <c r="C8" s="1118" t="s">
        <v>172</v>
      </c>
      <c r="D8" s="1119" t="s">
        <v>173</v>
      </c>
      <c r="E8" s="1120"/>
      <c r="F8" s="1120"/>
      <c r="H8" s="1121"/>
    </row>
    <row r="9" spans="1:8" s="294" customFormat="1" x14ac:dyDescent="0.25">
      <c r="B9" s="1117" t="s">
        <v>4964</v>
      </c>
      <c r="C9" s="1118" t="s">
        <v>4965</v>
      </c>
      <c r="D9" s="1119" t="s">
        <v>4966</v>
      </c>
      <c r="E9" s="1120"/>
      <c r="F9" s="1120"/>
      <c r="H9" s="1121"/>
    </row>
    <row r="10" spans="1:8" s="1896" customFormat="1" x14ac:dyDescent="0.25">
      <c r="A10" s="294"/>
      <c r="B10" s="1897" t="s">
        <v>5036</v>
      </c>
      <c r="C10" s="1898" t="s">
        <v>5037</v>
      </c>
      <c r="D10" s="1899" t="s">
        <v>5038</v>
      </c>
      <c r="E10" s="1900"/>
      <c r="F10" s="1900"/>
      <c r="H10" s="1901"/>
    </row>
    <row r="11" spans="1:8" s="294" customFormat="1" x14ac:dyDescent="0.25">
      <c r="B11" s="1117" t="s">
        <v>1376</v>
      </c>
      <c r="C11" s="1118" t="s">
        <v>175</v>
      </c>
      <c r="D11" s="1119" t="s">
        <v>5033</v>
      </c>
      <c r="E11" s="1120"/>
      <c r="F11" s="1120"/>
      <c r="H11" s="1901"/>
    </row>
    <row r="12" spans="1:8" s="294" customFormat="1" x14ac:dyDescent="0.25">
      <c r="B12" s="1117" t="s">
        <v>1377</v>
      </c>
      <c r="C12" s="1118" t="s">
        <v>178</v>
      </c>
      <c r="D12" s="1119" t="s">
        <v>5034</v>
      </c>
      <c r="E12" s="1120"/>
      <c r="F12" s="1120"/>
      <c r="H12" s="1901"/>
    </row>
    <row r="13" spans="1:8" s="294" customFormat="1" x14ac:dyDescent="0.25">
      <c r="B13" s="1117" t="s">
        <v>4967</v>
      </c>
      <c r="C13" s="1118" t="s">
        <v>4968</v>
      </c>
      <c r="D13" s="1119" t="s">
        <v>1135</v>
      </c>
      <c r="E13" s="1120"/>
      <c r="F13" s="1120"/>
      <c r="H13" s="1121"/>
    </row>
    <row r="14" spans="1:8" s="294" customFormat="1" x14ac:dyDescent="0.25">
      <c r="B14" s="1117" t="s">
        <v>4969</v>
      </c>
      <c r="C14" s="1118" t="s">
        <v>4970</v>
      </c>
      <c r="D14" s="1119" t="s">
        <v>1136</v>
      </c>
      <c r="E14" s="1120"/>
      <c r="F14" s="1120"/>
      <c r="H14" s="1121"/>
    </row>
    <row r="15" spans="1:8" s="294" customFormat="1" x14ac:dyDescent="0.25">
      <c r="B15" s="1117" t="s">
        <v>1227</v>
      </c>
      <c r="C15" s="1118" t="s">
        <v>1137</v>
      </c>
      <c r="D15" s="1119" t="s">
        <v>1228</v>
      </c>
      <c r="E15" s="1120"/>
      <c r="F15" s="1120"/>
      <c r="H15" s="1121"/>
    </row>
    <row r="16" spans="1:8" s="294" customFormat="1" x14ac:dyDescent="0.25">
      <c r="B16" s="1117" t="s">
        <v>1138</v>
      </c>
      <c r="C16" s="1118" t="s">
        <v>1139</v>
      </c>
      <c r="D16" s="1119" t="s">
        <v>1140</v>
      </c>
      <c r="E16" s="1120"/>
      <c r="F16" s="1120"/>
      <c r="H16" s="1121"/>
    </row>
    <row r="17" spans="2:8" s="294" customFormat="1" x14ac:dyDescent="0.25">
      <c r="B17" s="1117" t="s">
        <v>180</v>
      </c>
      <c r="C17" s="1118" t="s">
        <v>181</v>
      </c>
      <c r="D17" s="1119" t="s">
        <v>182</v>
      </c>
      <c r="E17" s="1120"/>
      <c r="F17" s="1120"/>
      <c r="H17" s="1121"/>
    </row>
    <row r="18" spans="2:8" s="294" customFormat="1" x14ac:dyDescent="0.25">
      <c r="B18" s="1117" t="s">
        <v>183</v>
      </c>
      <c r="C18" s="1118" t="s">
        <v>184</v>
      </c>
      <c r="D18" s="1119" t="s">
        <v>778</v>
      </c>
      <c r="E18" s="1120"/>
      <c r="F18" s="1120"/>
      <c r="H18" s="1121"/>
    </row>
    <row r="19" spans="2:8" s="294" customFormat="1" x14ac:dyDescent="0.25">
      <c r="B19" s="1117" t="s">
        <v>151</v>
      </c>
      <c r="C19" s="1118" t="s">
        <v>149</v>
      </c>
      <c r="D19" s="1119" t="s">
        <v>150</v>
      </c>
      <c r="E19" s="1120"/>
      <c r="F19" s="1120"/>
      <c r="H19" s="1121"/>
    </row>
    <row r="20" spans="2:8" s="294" customFormat="1" x14ac:dyDescent="0.25">
      <c r="B20" s="1117" t="s">
        <v>775</v>
      </c>
      <c r="C20" s="1118" t="s">
        <v>776</v>
      </c>
      <c r="D20" s="1119" t="s">
        <v>779</v>
      </c>
      <c r="E20" s="1120"/>
      <c r="F20" s="1120"/>
      <c r="H20" s="1121" t="s">
        <v>781</v>
      </c>
    </row>
    <row r="21" spans="2:8" s="294" customFormat="1" x14ac:dyDescent="0.25">
      <c r="B21" s="1117" t="s">
        <v>1405</v>
      </c>
      <c r="C21" s="1118" t="s">
        <v>1406</v>
      </c>
      <c r="D21" s="1119" t="s">
        <v>4407</v>
      </c>
      <c r="E21" s="1120"/>
      <c r="F21" s="1120"/>
      <c r="H21" s="1121"/>
    </row>
    <row r="22" spans="2:8" s="294" customFormat="1" ht="18" x14ac:dyDescent="0.25">
      <c r="B22" s="1117" t="s">
        <v>1380</v>
      </c>
      <c r="C22" s="1118" t="s">
        <v>1381</v>
      </c>
      <c r="D22" s="1119" t="s">
        <v>1382</v>
      </c>
      <c r="E22" s="1120"/>
      <c r="F22" s="1120"/>
      <c r="H22" s="1121"/>
    </row>
    <row r="23" spans="2:8" s="294" customFormat="1" ht="18" x14ac:dyDescent="0.25">
      <c r="B23" s="1117" t="s">
        <v>1383</v>
      </c>
      <c r="C23" s="1118" t="s">
        <v>1384</v>
      </c>
      <c r="D23" s="1119" t="s">
        <v>1385</v>
      </c>
      <c r="E23" s="1120"/>
      <c r="F23" s="1120"/>
      <c r="H23" s="1121"/>
    </row>
    <row r="24" spans="2:8" s="294" customFormat="1" ht="18" x14ac:dyDescent="0.25">
      <c r="B24" s="1117" t="s">
        <v>1386</v>
      </c>
      <c r="C24" s="1118" t="s">
        <v>777</v>
      </c>
      <c r="D24" s="1119" t="s">
        <v>1387</v>
      </c>
      <c r="E24" s="1120"/>
      <c r="F24" s="1120"/>
      <c r="H24" s="1121"/>
    </row>
    <row r="25" spans="2:8" s="294" customFormat="1" ht="18" x14ac:dyDescent="0.25">
      <c r="B25" s="1117" t="s">
        <v>1388</v>
      </c>
      <c r="C25" s="1118" t="s">
        <v>1389</v>
      </c>
      <c r="D25" s="1119" t="s">
        <v>1390</v>
      </c>
      <c r="E25" s="1120"/>
      <c r="F25" s="1120"/>
      <c r="H25" s="1121"/>
    </row>
    <row r="26" spans="2:8" s="294" customFormat="1" ht="18" x14ac:dyDescent="0.25">
      <c r="B26" s="1117" t="s">
        <v>1391</v>
      </c>
      <c r="C26" s="1118" t="s">
        <v>1392</v>
      </c>
      <c r="D26" s="1119" t="s">
        <v>1393</v>
      </c>
      <c r="E26" s="1120"/>
      <c r="F26" s="1120"/>
      <c r="H26" s="1121"/>
    </row>
    <row r="27" spans="2:8" s="294" customFormat="1" ht="18" x14ac:dyDescent="0.25">
      <c r="B27" s="1117" t="s">
        <v>1394</v>
      </c>
      <c r="C27" s="1118" t="s">
        <v>1395</v>
      </c>
      <c r="D27" s="1119" t="s">
        <v>1396</v>
      </c>
      <c r="E27" s="1120"/>
      <c r="F27" s="1120"/>
      <c r="H27" s="1121"/>
    </row>
    <row r="28" spans="2:8" s="294" customFormat="1" ht="18" x14ac:dyDescent="0.25">
      <c r="B28" s="1117" t="s">
        <v>1397</v>
      </c>
      <c r="C28" s="1118" t="s">
        <v>1398</v>
      </c>
      <c r="D28" s="1119" t="s">
        <v>1399</v>
      </c>
      <c r="E28" s="1120"/>
      <c r="F28" s="1120"/>
      <c r="H28" s="1121"/>
    </row>
    <row r="29" spans="2:8" s="294" customFormat="1" ht="18" x14ac:dyDescent="0.25">
      <c r="B29" s="1117" t="s">
        <v>4408</v>
      </c>
      <c r="C29" s="1118" t="s">
        <v>4409</v>
      </c>
      <c r="D29" s="1119" t="s">
        <v>4410</v>
      </c>
      <c r="E29" s="1120"/>
      <c r="F29" s="1120"/>
      <c r="H29" s="1121"/>
    </row>
    <row r="30" spans="2:8" s="294" customFormat="1" ht="18" x14ac:dyDescent="0.25">
      <c r="B30" s="1117" t="s">
        <v>4411</v>
      </c>
      <c r="C30" s="1118" t="s">
        <v>4412</v>
      </c>
      <c r="D30" s="1119" t="s">
        <v>4413</v>
      </c>
      <c r="E30" s="1120"/>
      <c r="F30" s="1120"/>
      <c r="H30" s="1121"/>
    </row>
    <row r="31" spans="2:8" s="294" customFormat="1" x14ac:dyDescent="0.25">
      <c r="D31" s="1112"/>
    </row>
    <row r="32" spans="2:8" s="294" customFormat="1" ht="15.75" thickBot="1" x14ac:dyDescent="0.3">
      <c r="C32" s="1113" t="s">
        <v>1400</v>
      </c>
      <c r="D32" s="1112"/>
    </row>
    <row r="33" spans="2:8" s="294" customFormat="1" ht="15.75" thickBot="1" x14ac:dyDescent="0.3">
      <c r="B33" s="1114" t="s">
        <v>0</v>
      </c>
      <c r="C33" s="600" t="s">
        <v>1</v>
      </c>
      <c r="D33" s="1115" t="s">
        <v>5</v>
      </c>
      <c r="E33" s="1116" t="s">
        <v>116</v>
      </c>
      <c r="F33" s="1116" t="s">
        <v>2</v>
      </c>
      <c r="H33" s="1116" t="s">
        <v>1401</v>
      </c>
    </row>
    <row r="34" spans="2:8" s="294" customFormat="1" x14ac:dyDescent="0.25">
      <c r="B34" s="1117" t="s">
        <v>1402</v>
      </c>
      <c r="C34" s="1118" t="s">
        <v>1403</v>
      </c>
      <c r="D34" s="1119" t="s">
        <v>1404</v>
      </c>
      <c r="E34" s="1120"/>
      <c r="F34" s="1120"/>
      <c r="H34" s="1121"/>
    </row>
    <row r="35" spans="2:8" s="294" customFormat="1" ht="120" x14ac:dyDescent="0.25">
      <c r="B35" s="1117" t="s">
        <v>1378</v>
      </c>
      <c r="C35" s="1118" t="s">
        <v>1379</v>
      </c>
      <c r="D35" s="1119" t="s">
        <v>4414</v>
      </c>
      <c r="E35" s="1120"/>
      <c r="F35" s="1120"/>
      <c r="H35" s="1121"/>
    </row>
    <row r="36" spans="2:8" s="294" customFormat="1" x14ac:dyDescent="0.25">
      <c r="B36" s="1117" t="s">
        <v>1407</v>
      </c>
      <c r="C36" s="1118" t="s">
        <v>1408</v>
      </c>
      <c r="D36" s="1119" t="s">
        <v>1409</v>
      </c>
      <c r="E36" s="1120"/>
      <c r="F36" s="1120"/>
      <c r="H36" s="1121"/>
    </row>
    <row r="37" spans="2:8" s="294" customFormat="1" x14ac:dyDescent="0.25">
      <c r="B37" s="1117" t="s">
        <v>1410</v>
      </c>
      <c r="C37" s="1118" t="s">
        <v>1411</v>
      </c>
      <c r="D37" s="1119" t="s">
        <v>1412</v>
      </c>
      <c r="E37" s="1120"/>
      <c r="F37" s="1120"/>
      <c r="H37" s="1121"/>
    </row>
    <row r="38" spans="2:8" s="294" customFormat="1" x14ac:dyDescent="0.25">
      <c r="B38" s="1117" t="s">
        <v>1413</v>
      </c>
      <c r="C38" s="1118" t="s">
        <v>1414</v>
      </c>
      <c r="D38" s="1119" t="s">
        <v>1415</v>
      </c>
      <c r="E38" s="1120"/>
      <c r="F38" s="1120"/>
      <c r="H38" s="1121"/>
    </row>
    <row r="39" spans="2:8" s="294" customFormat="1" x14ac:dyDescent="0.25">
      <c r="B39" s="1117" t="s">
        <v>1416</v>
      </c>
      <c r="C39" s="1118" t="s">
        <v>1417</v>
      </c>
      <c r="D39" s="1119" t="s">
        <v>1418</v>
      </c>
      <c r="E39" s="1120"/>
      <c r="F39" s="1120"/>
      <c r="H39" s="1121"/>
    </row>
    <row r="40" spans="2:8" s="294" customFormat="1" x14ac:dyDescent="0.25">
      <c r="B40" s="1117" t="s">
        <v>1419</v>
      </c>
      <c r="C40" s="1118" t="s">
        <v>1420</v>
      </c>
      <c r="D40" s="1119" t="s">
        <v>1421</v>
      </c>
      <c r="E40" s="1120"/>
      <c r="F40" s="1120"/>
      <c r="H40" s="1121"/>
    </row>
    <row r="41" spans="2:8" s="294" customFormat="1" x14ac:dyDescent="0.25">
      <c r="B41" s="1117" t="s">
        <v>4415</v>
      </c>
      <c r="C41" s="1118" t="s">
        <v>4416</v>
      </c>
      <c r="D41" s="1119" t="s">
        <v>4417</v>
      </c>
      <c r="E41" s="1120"/>
      <c r="F41" s="1120"/>
      <c r="H41" s="1121"/>
    </row>
    <row r="42" spans="2:8" s="294" customFormat="1" ht="90" x14ac:dyDescent="0.25">
      <c r="B42" s="1117" t="s">
        <v>1422</v>
      </c>
      <c r="C42" s="1118" t="s">
        <v>1423</v>
      </c>
      <c r="D42" s="1119" t="s">
        <v>4418</v>
      </c>
      <c r="E42" s="1120"/>
      <c r="F42" s="1120"/>
      <c r="H42" s="1121"/>
    </row>
    <row r="43" spans="2:8" s="294" customFormat="1" x14ac:dyDescent="0.25">
      <c r="B43" s="1117" t="s">
        <v>1424</v>
      </c>
      <c r="C43" s="1118" t="s">
        <v>1425</v>
      </c>
      <c r="D43" s="1119" t="s">
        <v>1426</v>
      </c>
      <c r="E43" s="1120"/>
      <c r="F43" s="1120"/>
      <c r="H43" s="1121"/>
    </row>
    <row r="44" spans="2:8" s="294" customFormat="1" x14ac:dyDescent="0.25">
      <c r="B44" s="1117" t="s">
        <v>4419</v>
      </c>
      <c r="C44" s="1118"/>
      <c r="D44" s="1119" t="s">
        <v>1426</v>
      </c>
      <c r="E44" s="1120" t="s">
        <v>4420</v>
      </c>
      <c r="F44" s="1120"/>
      <c r="H44" s="1121"/>
    </row>
    <row r="45" spans="2:8" s="294" customFormat="1" ht="90" x14ac:dyDescent="0.25">
      <c r="B45" s="1117" t="s">
        <v>1427</v>
      </c>
      <c r="C45" s="1118" t="s">
        <v>1428</v>
      </c>
      <c r="D45" s="1119" t="s">
        <v>4421</v>
      </c>
      <c r="E45" s="1120"/>
      <c r="F45" s="1120"/>
      <c r="H45" s="1121"/>
    </row>
    <row r="46" spans="2:8" s="294" customFormat="1" ht="270" x14ac:dyDescent="0.25">
      <c r="B46" s="1117" t="s">
        <v>4422</v>
      </c>
      <c r="C46" s="1118" t="s">
        <v>4423</v>
      </c>
      <c r="D46" s="1119" t="s">
        <v>4424</v>
      </c>
      <c r="E46" s="1120"/>
      <c r="F46" s="1120"/>
      <c r="H46" s="1121"/>
    </row>
    <row r="47" spans="2:8" s="294" customFormat="1" ht="90" x14ac:dyDescent="0.25">
      <c r="B47" s="1117" t="s">
        <v>1429</v>
      </c>
      <c r="C47" s="1118" t="s">
        <v>1430</v>
      </c>
      <c r="D47" s="1119" t="s">
        <v>4425</v>
      </c>
      <c r="E47" s="1120"/>
      <c r="F47" s="1120"/>
      <c r="H47" s="1121"/>
    </row>
    <row r="48" spans="2:8" s="294" customFormat="1" ht="90" x14ac:dyDescent="0.25">
      <c r="B48" s="1117" t="s">
        <v>1431</v>
      </c>
      <c r="C48" s="1118" t="s">
        <v>1432</v>
      </c>
      <c r="D48" s="1119" t="s">
        <v>4426</v>
      </c>
      <c r="E48" s="1120"/>
      <c r="F48" s="1120"/>
      <c r="H48" s="1121"/>
    </row>
    <row r="49" spans="2:8" s="294" customFormat="1" ht="90" x14ac:dyDescent="0.25">
      <c r="B49" s="1117" t="s">
        <v>1433</v>
      </c>
      <c r="C49" s="1118" t="s">
        <v>1434</v>
      </c>
      <c r="D49" s="1119" t="s">
        <v>4427</v>
      </c>
      <c r="E49" s="1120"/>
      <c r="F49" s="1120"/>
      <c r="H49" s="1121"/>
    </row>
    <row r="50" spans="2:8" s="294" customFormat="1" ht="105" x14ac:dyDescent="0.25">
      <c r="B50" s="1117" t="s">
        <v>4428</v>
      </c>
      <c r="C50" s="1118" t="s">
        <v>4429</v>
      </c>
      <c r="D50" s="1119" t="s">
        <v>4430</v>
      </c>
      <c r="E50" s="1120"/>
      <c r="F50" s="1120"/>
      <c r="H50" s="1121"/>
    </row>
    <row r="51" spans="2:8" s="294" customFormat="1" ht="90" x14ac:dyDescent="0.25">
      <c r="B51" s="1117" t="s">
        <v>4431</v>
      </c>
      <c r="C51" s="1118" t="s">
        <v>4432</v>
      </c>
      <c r="D51" s="1119" t="s">
        <v>4433</v>
      </c>
      <c r="E51" s="1120"/>
      <c r="F51" s="1120"/>
      <c r="H51" s="1121"/>
    </row>
    <row r="52" spans="2:8" s="294" customFormat="1" x14ac:dyDescent="0.25">
      <c r="B52" s="1117" t="s">
        <v>1435</v>
      </c>
      <c r="C52" s="1118" t="s">
        <v>1436</v>
      </c>
      <c r="D52" s="1119" t="s">
        <v>1437</v>
      </c>
      <c r="E52" s="1120"/>
      <c r="F52" s="1120"/>
      <c r="H52" s="1121"/>
    </row>
    <row r="53" spans="2:8" s="294" customFormat="1" x14ac:dyDescent="0.25">
      <c r="B53" s="1117" t="s">
        <v>1438</v>
      </c>
      <c r="C53" s="1118" t="s">
        <v>1439</v>
      </c>
      <c r="D53" s="1119" t="s">
        <v>1440</v>
      </c>
      <c r="E53" s="1120"/>
      <c r="F53" s="1120"/>
      <c r="H53" s="1121"/>
    </row>
    <row r="54" spans="2:8" s="294" customFormat="1" x14ac:dyDescent="0.25">
      <c r="B54" s="1117" t="s">
        <v>1441</v>
      </c>
      <c r="C54" s="1118" t="s">
        <v>1442</v>
      </c>
      <c r="D54" s="1119" t="s">
        <v>1443</v>
      </c>
      <c r="E54" s="1120"/>
      <c r="F54" s="1120"/>
      <c r="H54" s="1121"/>
    </row>
    <row r="55" spans="2:8" s="294" customFormat="1" x14ac:dyDescent="0.25">
      <c r="B55" s="1117" t="s">
        <v>1444</v>
      </c>
      <c r="C55" s="1118" t="s">
        <v>1445</v>
      </c>
      <c r="D55" s="1119" t="s">
        <v>1446</v>
      </c>
      <c r="E55" s="1120"/>
      <c r="F55" s="1120"/>
      <c r="H55" s="1121"/>
    </row>
    <row r="56" spans="2:8" s="294" customFormat="1" x14ac:dyDescent="0.25">
      <c r="B56" s="1117" t="s">
        <v>1447</v>
      </c>
      <c r="C56" s="1118" t="s">
        <v>1448</v>
      </c>
      <c r="D56" s="1119" t="s">
        <v>1449</v>
      </c>
      <c r="E56" s="1120"/>
      <c r="F56" s="1120"/>
      <c r="H56" s="1121"/>
    </row>
    <row r="57" spans="2:8" s="294" customFormat="1" x14ac:dyDescent="0.25">
      <c r="B57" s="1117" t="s">
        <v>1450</v>
      </c>
      <c r="C57" s="1118" t="s">
        <v>1451</v>
      </c>
      <c r="D57" s="1119" t="s">
        <v>1452</v>
      </c>
      <c r="E57" s="1120"/>
      <c r="F57" s="1120"/>
      <c r="H57" s="1121"/>
    </row>
    <row r="58" spans="2:8" s="294" customFormat="1" x14ac:dyDescent="0.25">
      <c r="B58" s="1117" t="s">
        <v>1453</v>
      </c>
      <c r="C58" s="1118" t="s">
        <v>1454</v>
      </c>
      <c r="D58" s="1119" t="s">
        <v>1455</v>
      </c>
      <c r="E58" s="1120"/>
      <c r="F58" s="1120"/>
      <c r="H58" s="1121"/>
    </row>
    <row r="59" spans="2:8" s="294" customFormat="1" x14ac:dyDescent="0.25">
      <c r="B59" s="1117" t="s">
        <v>1456</v>
      </c>
      <c r="C59" s="1118" t="s">
        <v>1457</v>
      </c>
      <c r="D59" s="1119" t="s">
        <v>1458</v>
      </c>
      <c r="E59" s="1120"/>
      <c r="F59" s="1120"/>
      <c r="H59" s="1121"/>
    </row>
    <row r="60" spans="2:8" s="294" customFormat="1" x14ac:dyDescent="0.25">
      <c r="B60" s="1117" t="s">
        <v>1459</v>
      </c>
      <c r="C60" s="1118" t="s">
        <v>1460</v>
      </c>
      <c r="D60" s="1119" t="s">
        <v>1461</v>
      </c>
      <c r="E60" s="1120"/>
      <c r="F60" s="1120"/>
      <c r="H60" s="1121"/>
    </row>
    <row r="61" spans="2:8" s="294" customFormat="1" x14ac:dyDescent="0.25">
      <c r="B61" s="1117" t="s">
        <v>1462</v>
      </c>
      <c r="C61" s="1118" t="s">
        <v>1463</v>
      </c>
      <c r="D61" s="1119" t="s">
        <v>1464</v>
      </c>
      <c r="E61" s="1120"/>
      <c r="F61" s="1120"/>
      <c r="H61" s="1121"/>
    </row>
    <row r="62" spans="2:8" s="294" customFormat="1" x14ac:dyDescent="0.25">
      <c r="D62" s="1112"/>
    </row>
    <row r="63" spans="2:8" s="294" customFormat="1" ht="15.75" thickBot="1" x14ac:dyDescent="0.3">
      <c r="C63" s="1113"/>
      <c r="D63" s="1112"/>
    </row>
    <row r="64" spans="2:8" s="294" customFormat="1" ht="15.75" thickBot="1" x14ac:dyDescent="0.3">
      <c r="B64" s="1114"/>
      <c r="C64" s="600" t="s">
        <v>1465</v>
      </c>
      <c r="D64" s="1115"/>
      <c r="E64" s="1116"/>
      <c r="F64" s="1116"/>
      <c r="H64" s="1116"/>
    </row>
    <row r="65" spans="2:8" s="294" customFormat="1" x14ac:dyDescent="0.25">
      <c r="B65" s="1117" t="s">
        <v>0</v>
      </c>
      <c r="C65" s="1118" t="s">
        <v>1</v>
      </c>
      <c r="D65" s="1119" t="s">
        <v>5</v>
      </c>
      <c r="E65" s="1120" t="s">
        <v>116</v>
      </c>
      <c r="F65" s="1120" t="s">
        <v>2</v>
      </c>
      <c r="H65" s="1121" t="s">
        <v>1466</v>
      </c>
    </row>
    <row r="66" spans="2:8" s="294" customFormat="1" x14ac:dyDescent="0.25">
      <c r="B66" s="1117" t="s">
        <v>1467</v>
      </c>
      <c r="C66" s="1118" t="s">
        <v>374</v>
      </c>
      <c r="D66" s="1119" t="s">
        <v>1468</v>
      </c>
      <c r="E66" s="1120"/>
      <c r="F66" s="1120"/>
      <c r="H66" s="1121"/>
    </row>
    <row r="67" spans="2:8" s="294" customFormat="1" x14ac:dyDescent="0.25">
      <c r="B67" s="1117" t="s">
        <v>190</v>
      </c>
      <c r="C67" s="1118" t="s">
        <v>375</v>
      </c>
      <c r="D67" s="1119" t="s">
        <v>192</v>
      </c>
      <c r="E67" s="1120"/>
      <c r="F67" s="1120"/>
      <c r="H67" s="1121"/>
    </row>
    <row r="68" spans="2:8" s="294" customFormat="1" x14ac:dyDescent="0.25">
      <c r="B68" s="1117" t="s">
        <v>1469</v>
      </c>
      <c r="C68" s="1118" t="s">
        <v>375</v>
      </c>
      <c r="D68" s="1119" t="s">
        <v>1470</v>
      </c>
      <c r="E68" s="1120"/>
      <c r="F68" s="1120"/>
      <c r="H68" s="1121"/>
    </row>
    <row r="69" spans="2:8" s="294" customFormat="1" x14ac:dyDescent="0.25">
      <c r="B69" s="1117" t="s">
        <v>1471</v>
      </c>
      <c r="C69" s="1118" t="s">
        <v>375</v>
      </c>
      <c r="D69" s="1119" t="s">
        <v>1472</v>
      </c>
      <c r="E69" s="1120"/>
      <c r="F69" s="1120"/>
      <c r="H69" s="1121"/>
    </row>
    <row r="70" spans="2:8" s="294" customFormat="1" x14ac:dyDescent="0.25">
      <c r="B70" s="1117" t="s">
        <v>1473</v>
      </c>
      <c r="C70" s="1118" t="s">
        <v>375</v>
      </c>
      <c r="D70" s="1119" t="s">
        <v>1474</v>
      </c>
      <c r="E70" s="1120"/>
      <c r="F70" s="1120"/>
      <c r="H70" s="1121"/>
    </row>
    <row r="71" spans="2:8" s="294" customFormat="1" x14ac:dyDescent="0.25">
      <c r="B71" s="1117" t="s">
        <v>1475</v>
      </c>
      <c r="C71" s="1118" t="s">
        <v>375</v>
      </c>
      <c r="D71" s="1119" t="s">
        <v>1476</v>
      </c>
      <c r="E71" s="1120"/>
      <c r="F71" s="1120"/>
      <c r="H71" s="1121"/>
    </row>
    <row r="72" spans="2:8" s="294" customFormat="1" x14ac:dyDescent="0.25">
      <c r="B72" s="1117" t="s">
        <v>1477</v>
      </c>
      <c r="C72" s="1118" t="s">
        <v>375</v>
      </c>
      <c r="D72" s="1119" t="s">
        <v>1478</v>
      </c>
      <c r="E72" s="1120"/>
      <c r="F72" s="1120"/>
      <c r="H72" s="1121"/>
    </row>
    <row r="73" spans="2:8" s="294" customFormat="1" x14ac:dyDescent="0.25">
      <c r="B73" s="1117" t="s">
        <v>1479</v>
      </c>
      <c r="C73" s="1118" t="s">
        <v>375</v>
      </c>
      <c r="D73" s="1119" t="s">
        <v>1480</v>
      </c>
      <c r="E73" s="1120"/>
      <c r="F73" s="1120"/>
      <c r="H73" s="1121"/>
    </row>
    <row r="74" spans="2:8" s="294" customFormat="1" x14ac:dyDescent="0.25">
      <c r="B74" s="1117" t="s">
        <v>1481</v>
      </c>
      <c r="C74" s="1118" t="s">
        <v>375</v>
      </c>
      <c r="D74" s="1119" t="s">
        <v>1482</v>
      </c>
      <c r="E74" s="1120"/>
      <c r="F74" s="1120"/>
      <c r="H74" s="1121"/>
    </row>
    <row r="75" spans="2:8" s="294" customFormat="1" x14ac:dyDescent="0.25">
      <c r="B75" s="1117" t="s">
        <v>1483</v>
      </c>
      <c r="C75" s="1118" t="s">
        <v>375</v>
      </c>
      <c r="D75" s="1119" t="s">
        <v>1484</v>
      </c>
      <c r="E75" s="1120"/>
      <c r="F75" s="1120"/>
      <c r="H75" s="1121"/>
    </row>
    <row r="76" spans="2:8" s="294" customFormat="1" x14ac:dyDescent="0.25">
      <c r="B76" s="1117" t="s">
        <v>1485</v>
      </c>
      <c r="C76" s="1118" t="s">
        <v>375</v>
      </c>
      <c r="D76" s="1119" t="s">
        <v>1486</v>
      </c>
      <c r="E76" s="1120"/>
      <c r="F76" s="1120"/>
      <c r="H76" s="1121"/>
    </row>
    <row r="77" spans="2:8" s="294" customFormat="1" x14ac:dyDescent="0.25">
      <c r="B77" s="1117" t="s">
        <v>1487</v>
      </c>
      <c r="C77" s="1118" t="s">
        <v>375</v>
      </c>
      <c r="D77" s="1119" t="s">
        <v>1488</v>
      </c>
      <c r="E77" s="1120"/>
      <c r="F77" s="1120"/>
      <c r="H77" s="1121"/>
    </row>
    <row r="78" spans="2:8" s="294" customFormat="1" x14ac:dyDescent="0.25">
      <c r="B78" s="1117" t="s">
        <v>1489</v>
      </c>
      <c r="C78" s="1118" t="s">
        <v>375</v>
      </c>
      <c r="D78" s="1119" t="s">
        <v>1490</v>
      </c>
      <c r="E78" s="1120"/>
      <c r="F78" s="1120"/>
      <c r="H78" s="1121"/>
    </row>
    <row r="79" spans="2:8" s="294" customFormat="1" x14ac:dyDescent="0.25">
      <c r="B79" s="1117" t="s">
        <v>1491</v>
      </c>
      <c r="C79" s="1118" t="s">
        <v>375</v>
      </c>
      <c r="D79" s="1119" t="s">
        <v>1492</v>
      </c>
      <c r="E79" s="1120"/>
      <c r="F79" s="1120"/>
      <c r="H79" s="1121"/>
    </row>
    <row r="80" spans="2:8" s="294" customFormat="1" x14ac:dyDescent="0.25">
      <c r="B80" s="1117" t="s">
        <v>1493</v>
      </c>
      <c r="C80" s="1118" t="s">
        <v>375</v>
      </c>
      <c r="D80" s="1119" t="s">
        <v>1494</v>
      </c>
      <c r="E80" s="1120"/>
      <c r="F80" s="1120"/>
      <c r="H80" s="1121"/>
    </row>
    <row r="81" spans="2:8" s="294" customFormat="1" x14ac:dyDescent="0.25">
      <c r="B81" s="1117" t="s">
        <v>1495</v>
      </c>
      <c r="C81" s="1118" t="s">
        <v>375</v>
      </c>
      <c r="D81" s="1119" t="s">
        <v>1496</v>
      </c>
      <c r="E81" s="1120"/>
      <c r="F81" s="1120"/>
      <c r="H81" s="1121"/>
    </row>
    <row r="82" spans="2:8" s="294" customFormat="1" x14ac:dyDescent="0.25">
      <c r="B82" s="1117" t="s">
        <v>1497</v>
      </c>
      <c r="C82" s="1118" t="s">
        <v>375</v>
      </c>
      <c r="D82" s="1119" t="s">
        <v>1498</v>
      </c>
      <c r="E82" s="1120"/>
      <c r="F82" s="1120"/>
      <c r="H82" s="1121"/>
    </row>
    <row r="83" spans="2:8" s="294" customFormat="1" x14ac:dyDescent="0.25">
      <c r="B83" s="1117" t="s">
        <v>1499</v>
      </c>
      <c r="C83" s="1118" t="s">
        <v>375</v>
      </c>
      <c r="D83" s="1119" t="s">
        <v>1500</v>
      </c>
      <c r="E83" s="1120"/>
      <c r="F83" s="1120"/>
      <c r="H83" s="1121"/>
    </row>
    <row r="84" spans="2:8" s="294" customFormat="1" x14ac:dyDescent="0.25">
      <c r="B84" s="1117" t="s">
        <v>1501</v>
      </c>
      <c r="C84" s="1118" t="s">
        <v>375</v>
      </c>
      <c r="D84" s="1119" t="s">
        <v>1502</v>
      </c>
      <c r="E84" s="1120"/>
      <c r="F84" s="1120"/>
      <c r="H84" s="1121"/>
    </row>
    <row r="85" spans="2:8" s="294" customFormat="1" x14ac:dyDescent="0.25">
      <c r="B85" s="1117" t="s">
        <v>1503</v>
      </c>
      <c r="C85" s="1118" t="s">
        <v>375</v>
      </c>
      <c r="D85" s="1119" t="s">
        <v>1504</v>
      </c>
      <c r="E85" s="1120"/>
      <c r="F85" s="1120"/>
      <c r="H85" s="1121"/>
    </row>
    <row r="86" spans="2:8" s="294" customFormat="1" x14ac:dyDescent="0.25">
      <c r="B86" s="1117" t="s">
        <v>193</v>
      </c>
      <c r="C86" s="1118" t="s">
        <v>1505</v>
      </c>
      <c r="D86" s="1119" t="s">
        <v>195</v>
      </c>
      <c r="E86" s="1120"/>
      <c r="F86" s="1120"/>
      <c r="H86" s="1121"/>
    </row>
    <row r="87" spans="2:8" s="294" customFormat="1" x14ac:dyDescent="0.25">
      <c r="B87" s="1117" t="s">
        <v>196</v>
      </c>
      <c r="C87" s="1118" t="s">
        <v>1506</v>
      </c>
      <c r="D87" s="1119" t="s">
        <v>198</v>
      </c>
      <c r="E87" s="1120"/>
      <c r="F87" s="1120"/>
      <c r="H87" s="1121"/>
    </row>
    <row r="88" spans="2:8" s="294" customFormat="1" x14ac:dyDescent="0.25">
      <c r="B88" s="1117" t="s">
        <v>199</v>
      </c>
      <c r="C88" s="1118" t="s">
        <v>1507</v>
      </c>
      <c r="D88" s="1119" t="s">
        <v>201</v>
      </c>
      <c r="E88" s="1120"/>
      <c r="F88" s="1120"/>
      <c r="H88" s="1121"/>
    </row>
    <row r="89" spans="2:8" s="294" customFormat="1" x14ac:dyDescent="0.25">
      <c r="B89" s="1117" t="s">
        <v>202</v>
      </c>
      <c r="C89" s="1118" t="s">
        <v>203</v>
      </c>
      <c r="D89" s="1119" t="s">
        <v>204</v>
      </c>
      <c r="E89" s="1120"/>
      <c r="F89" s="1120"/>
      <c r="H89" s="1121" t="s">
        <v>781</v>
      </c>
    </row>
    <row r="90" spans="2:8" s="294" customFormat="1" x14ac:dyDescent="0.25">
      <c r="B90" s="1117" t="s">
        <v>1508</v>
      </c>
      <c r="C90" s="1118" t="s">
        <v>1509</v>
      </c>
      <c r="D90" s="1119" t="s">
        <v>1510</v>
      </c>
      <c r="E90" s="1120"/>
      <c r="F90" s="1120"/>
      <c r="H90" s="1121"/>
    </row>
    <row r="91" spans="2:8" s="294" customFormat="1" x14ac:dyDescent="0.25">
      <c r="B91" s="1117" t="s">
        <v>205</v>
      </c>
      <c r="C91" s="1118" t="s">
        <v>206</v>
      </c>
      <c r="D91" s="1119" t="s">
        <v>207</v>
      </c>
      <c r="E91" s="1120"/>
      <c r="F91" s="1120"/>
      <c r="H91" s="1121"/>
    </row>
    <row r="92" spans="2:8" s="294" customFormat="1" x14ac:dyDescent="0.25">
      <c r="B92" s="1117" t="s">
        <v>1511</v>
      </c>
      <c r="C92" s="1118" t="s">
        <v>1512</v>
      </c>
      <c r="D92" s="1119" t="s">
        <v>1513</v>
      </c>
      <c r="E92" s="1120"/>
      <c r="F92" s="1120"/>
      <c r="H92" s="1121"/>
    </row>
    <row r="93" spans="2:8" s="294" customFormat="1" x14ac:dyDescent="0.25">
      <c r="B93" s="1117" t="s">
        <v>1514</v>
      </c>
      <c r="C93" s="1118" t="s">
        <v>1515</v>
      </c>
      <c r="D93" s="1119" t="s">
        <v>1516</v>
      </c>
      <c r="E93" s="1120"/>
      <c r="F93" s="1120"/>
      <c r="H93" s="1121"/>
    </row>
    <row r="94" spans="2:8" s="294" customFormat="1" x14ac:dyDescent="0.25">
      <c r="B94" s="1117" t="s">
        <v>1517</v>
      </c>
      <c r="C94" s="1118" t="s">
        <v>1518</v>
      </c>
      <c r="D94" s="1119" t="s">
        <v>1519</v>
      </c>
      <c r="E94" s="1120"/>
      <c r="F94" s="1120"/>
      <c r="H94" s="1121"/>
    </row>
    <row r="95" spans="2:8" s="294" customFormat="1" x14ac:dyDescent="0.25">
      <c r="D95" s="1112"/>
    </row>
    <row r="96" spans="2:8" s="294" customFormat="1" ht="15.75" thickBot="1" x14ac:dyDescent="0.3">
      <c r="C96" s="1113" t="s">
        <v>1520</v>
      </c>
      <c r="D96" s="1112" t="s">
        <v>1521</v>
      </c>
      <c r="H96" s="294" t="s">
        <v>1522</v>
      </c>
    </row>
    <row r="97" spans="2:8" s="294" customFormat="1" ht="15.75" thickBot="1" x14ac:dyDescent="0.3">
      <c r="B97" s="1114" t="s">
        <v>0</v>
      </c>
      <c r="C97" s="600" t="s">
        <v>1</v>
      </c>
      <c r="D97" s="1115" t="s">
        <v>5</v>
      </c>
      <c r="E97" s="1116" t="s">
        <v>1523</v>
      </c>
      <c r="F97" s="1116"/>
      <c r="H97" s="1116"/>
    </row>
    <row r="98" spans="2:8" s="294" customFormat="1" x14ac:dyDescent="0.25">
      <c r="B98" s="1117" t="s">
        <v>1524</v>
      </c>
      <c r="C98" s="1118" t="s">
        <v>1525</v>
      </c>
      <c r="D98" s="1119" t="s">
        <v>1524</v>
      </c>
      <c r="E98" s="1120"/>
      <c r="F98" s="1120"/>
      <c r="H98" s="1121"/>
    </row>
    <row r="99" spans="2:8" s="294" customFormat="1" x14ac:dyDescent="0.25">
      <c r="B99" s="1117" t="s">
        <v>1526</v>
      </c>
      <c r="C99" s="1118" t="s">
        <v>1527</v>
      </c>
      <c r="D99" s="1119" t="s">
        <v>1526</v>
      </c>
      <c r="E99" s="1120"/>
      <c r="F99" s="1120"/>
      <c r="H99" s="1121"/>
    </row>
    <row r="100" spans="2:8" s="294" customFormat="1" x14ac:dyDescent="0.25">
      <c r="B100" s="1117" t="s">
        <v>1528</v>
      </c>
      <c r="C100" s="1118" t="s">
        <v>1529</v>
      </c>
      <c r="D100" s="1119" t="s">
        <v>1528</v>
      </c>
      <c r="E100" s="1120"/>
      <c r="F100" s="1120"/>
      <c r="H100" s="1121"/>
    </row>
    <row r="101" spans="2:8" s="294" customFormat="1" x14ac:dyDescent="0.25">
      <c r="B101" s="1117" t="s">
        <v>1530</v>
      </c>
      <c r="C101" s="1118" t="s">
        <v>1531</v>
      </c>
      <c r="D101" s="1119" t="s">
        <v>1530</v>
      </c>
      <c r="E101" s="1120"/>
      <c r="F101" s="1120"/>
      <c r="H101" s="1121"/>
    </row>
    <row r="102" spans="2:8" s="294" customFormat="1" x14ac:dyDescent="0.25">
      <c r="B102" s="1117" t="s">
        <v>1532</v>
      </c>
      <c r="C102" s="1118" t="s">
        <v>1533</v>
      </c>
      <c r="D102" s="1119" t="s">
        <v>1532</v>
      </c>
      <c r="E102" s="1120"/>
      <c r="F102" s="1120"/>
      <c r="H102" s="1121"/>
    </row>
    <row r="103" spans="2:8" s="294" customFormat="1" x14ac:dyDescent="0.25">
      <c r="B103" s="1117" t="s">
        <v>1534</v>
      </c>
      <c r="C103" s="1118" t="s">
        <v>1535</v>
      </c>
      <c r="D103" s="1119" t="s">
        <v>1534</v>
      </c>
      <c r="E103" s="1120"/>
      <c r="F103" s="1120"/>
      <c r="H103" s="1121"/>
    </row>
    <row r="104" spans="2:8" s="294" customFormat="1" x14ac:dyDescent="0.25">
      <c r="B104" s="1117" t="s">
        <v>1536</v>
      </c>
      <c r="C104" s="1118" t="s">
        <v>1537</v>
      </c>
      <c r="D104" s="1119" t="s">
        <v>1536</v>
      </c>
      <c r="E104" s="1120"/>
      <c r="F104" s="1120"/>
      <c r="H104" s="1121"/>
    </row>
    <row r="105" spans="2:8" s="294" customFormat="1" x14ac:dyDescent="0.25">
      <c r="B105" s="1117" t="s">
        <v>1538</v>
      </c>
      <c r="C105" s="1118" t="s">
        <v>1539</v>
      </c>
      <c r="D105" s="1119" t="s">
        <v>1538</v>
      </c>
      <c r="E105" s="1120"/>
      <c r="F105" s="1120"/>
      <c r="H105" s="1121"/>
    </row>
    <row r="106" spans="2:8" s="294" customFormat="1" x14ac:dyDescent="0.25">
      <c r="B106" s="1117" t="s">
        <v>1540</v>
      </c>
      <c r="C106" s="1118" t="s">
        <v>1541</v>
      </c>
      <c r="D106" s="1119" t="s">
        <v>1540</v>
      </c>
      <c r="E106" s="1120"/>
      <c r="F106" s="1120"/>
      <c r="H106" s="1121"/>
    </row>
    <row r="107" spans="2:8" s="294" customFormat="1" x14ac:dyDescent="0.25">
      <c r="B107" s="1117" t="s">
        <v>1542</v>
      </c>
      <c r="C107" s="1118" t="s">
        <v>1543</v>
      </c>
      <c r="D107" s="1119" t="s">
        <v>1542</v>
      </c>
      <c r="E107" s="1120"/>
      <c r="F107" s="1120"/>
      <c r="H107" s="1121"/>
    </row>
    <row r="108" spans="2:8" s="294" customFormat="1" x14ac:dyDescent="0.25">
      <c r="B108" s="1117" t="s">
        <v>1544</v>
      </c>
      <c r="C108" s="1118" t="s">
        <v>1545</v>
      </c>
      <c r="D108" s="1119" t="s">
        <v>1544</v>
      </c>
      <c r="E108" s="1120" t="s">
        <v>1546</v>
      </c>
      <c r="F108" s="1120"/>
      <c r="H108" s="1121"/>
    </row>
    <row r="109" spans="2:8" s="294" customFormat="1" x14ac:dyDescent="0.25">
      <c r="B109" s="1117" t="s">
        <v>1547</v>
      </c>
      <c r="C109" s="1118" t="s">
        <v>1548</v>
      </c>
      <c r="D109" s="1119" t="s">
        <v>1547</v>
      </c>
      <c r="E109" s="1120"/>
      <c r="F109" s="1120"/>
      <c r="H109" s="1121"/>
    </row>
    <row r="110" spans="2:8" s="294" customFormat="1" x14ac:dyDescent="0.25">
      <c r="B110" s="1117" t="s">
        <v>1549</v>
      </c>
      <c r="C110" s="1118" t="s">
        <v>1550</v>
      </c>
      <c r="D110" s="1119" t="s">
        <v>1549</v>
      </c>
      <c r="E110" s="1120"/>
      <c r="F110" s="1120"/>
      <c r="H110" s="1121"/>
    </row>
    <row r="111" spans="2:8" s="294" customFormat="1" x14ac:dyDescent="0.25">
      <c r="B111" s="1117" t="s">
        <v>1551</v>
      </c>
      <c r="C111" s="1118" t="s">
        <v>1552</v>
      </c>
      <c r="D111" s="1119" t="s">
        <v>1551</v>
      </c>
      <c r="E111" s="1120"/>
      <c r="F111" s="1120"/>
      <c r="H111" s="1121"/>
    </row>
    <row r="112" spans="2:8" s="294" customFormat="1" x14ac:dyDescent="0.25">
      <c r="B112" s="1117" t="s">
        <v>1553</v>
      </c>
      <c r="C112" s="1118" t="s">
        <v>1554</v>
      </c>
      <c r="D112" s="1119" t="s">
        <v>1553</v>
      </c>
      <c r="E112" s="1120"/>
      <c r="F112" s="1120"/>
      <c r="H112" s="1121"/>
    </row>
    <row r="113" spans="2:8" s="294" customFormat="1" x14ac:dyDescent="0.25">
      <c r="B113" s="1117" t="s">
        <v>1555</v>
      </c>
      <c r="C113" s="1118" t="s">
        <v>1556</v>
      </c>
      <c r="D113" s="1119" t="s">
        <v>1555</v>
      </c>
      <c r="E113" s="1120"/>
      <c r="F113" s="1120"/>
      <c r="H113" s="1121"/>
    </row>
    <row r="114" spans="2:8" s="294" customFormat="1" x14ac:dyDescent="0.25">
      <c r="B114" s="1117" t="s">
        <v>1557</v>
      </c>
      <c r="C114" s="1118" t="s">
        <v>1558</v>
      </c>
      <c r="D114" s="1119" t="s">
        <v>1557</v>
      </c>
      <c r="E114" s="1120"/>
      <c r="F114" s="1120"/>
      <c r="H114" s="1121"/>
    </row>
    <row r="115" spans="2:8" s="294" customFormat="1" x14ac:dyDescent="0.25">
      <c r="B115" s="1117" t="s">
        <v>1559</v>
      </c>
      <c r="C115" s="1118" t="s">
        <v>1560</v>
      </c>
      <c r="D115" s="1119" t="s">
        <v>1559</v>
      </c>
      <c r="E115" s="1120"/>
      <c r="F115" s="1120"/>
      <c r="H115" s="1121"/>
    </row>
    <row r="116" spans="2:8" s="294" customFormat="1" x14ac:dyDescent="0.25">
      <c r="B116" s="1117" t="s">
        <v>1561</v>
      </c>
      <c r="C116" s="1118" t="s">
        <v>1562</v>
      </c>
      <c r="D116" s="1119" t="s">
        <v>1561</v>
      </c>
      <c r="E116" s="1120"/>
      <c r="F116" s="1120"/>
      <c r="H116" s="1121"/>
    </row>
    <row r="117" spans="2:8" s="294" customFormat="1" x14ac:dyDescent="0.25">
      <c r="B117" s="1117" t="s">
        <v>1563</v>
      </c>
      <c r="C117" s="1118" t="s">
        <v>1564</v>
      </c>
      <c r="D117" s="1119" t="s">
        <v>1563</v>
      </c>
      <c r="E117" s="1120"/>
      <c r="F117" s="1120"/>
      <c r="H117" s="1121"/>
    </row>
    <row r="118" spans="2:8" s="294" customFormat="1" x14ac:dyDescent="0.25">
      <c r="B118" s="1117" t="s">
        <v>1565</v>
      </c>
      <c r="C118" s="1118" t="s">
        <v>1505</v>
      </c>
      <c r="D118" s="1119" t="s">
        <v>1565</v>
      </c>
      <c r="E118" s="1120" t="s">
        <v>1566</v>
      </c>
      <c r="F118" s="1120"/>
      <c r="H118" s="1121"/>
    </row>
    <row r="119" spans="2:8" s="294" customFormat="1" x14ac:dyDescent="0.25">
      <c r="B119" s="1117" t="s">
        <v>197</v>
      </c>
      <c r="C119" s="1118" t="s">
        <v>1567</v>
      </c>
      <c r="D119" s="1119" t="s">
        <v>197</v>
      </c>
      <c r="E119" s="1120"/>
      <c r="F119" s="1120"/>
      <c r="H119" s="1121"/>
    </row>
    <row r="120" spans="2:8" s="294" customFormat="1" x14ac:dyDescent="0.25">
      <c r="B120" s="1117" t="s">
        <v>1568</v>
      </c>
      <c r="C120" s="1118" t="s">
        <v>1569</v>
      </c>
      <c r="D120" s="1119" t="s">
        <v>1568</v>
      </c>
      <c r="E120" s="1120"/>
      <c r="F120" s="1120"/>
      <c r="H120" s="1121"/>
    </row>
    <row r="121" spans="2:8" s="294" customFormat="1" x14ac:dyDescent="0.25">
      <c r="B121" s="1117" t="s">
        <v>1570</v>
      </c>
      <c r="C121" s="1118" t="s">
        <v>1571</v>
      </c>
      <c r="D121" s="1119" t="s">
        <v>1570</v>
      </c>
      <c r="E121" s="1120"/>
      <c r="F121" s="1120"/>
      <c r="H121" s="1121"/>
    </row>
    <row r="122" spans="2:8" s="294" customFormat="1" x14ac:dyDescent="0.25">
      <c r="B122" s="1117" t="s">
        <v>1572</v>
      </c>
      <c r="C122" s="1118" t="s">
        <v>1573</v>
      </c>
      <c r="D122" s="1119" t="s">
        <v>1572</v>
      </c>
      <c r="E122" s="1120"/>
      <c r="F122" s="1120"/>
      <c r="H122" s="1121"/>
    </row>
    <row r="123" spans="2:8" s="294" customFormat="1" x14ac:dyDescent="0.25">
      <c r="B123" s="1117" t="s">
        <v>1574</v>
      </c>
      <c r="C123" s="1118" t="s">
        <v>1575</v>
      </c>
      <c r="D123" s="1119" t="s">
        <v>1574</v>
      </c>
      <c r="E123" s="1120"/>
      <c r="F123" s="1120"/>
      <c r="H123" s="1121"/>
    </row>
    <row r="124" spans="2:8" s="294" customFormat="1" x14ac:dyDescent="0.25">
      <c r="B124" s="1117" t="s">
        <v>1576</v>
      </c>
      <c r="C124" s="1118" t="s">
        <v>1577</v>
      </c>
      <c r="D124" s="1119" t="s">
        <v>1576</v>
      </c>
      <c r="E124" s="1120"/>
      <c r="F124" s="1120"/>
      <c r="H124" s="1121"/>
    </row>
  </sheetData>
  <conditionalFormatting sqref="E6:F8 E22:F30 E34:F61 E15:F20">
    <cfRule type="cellIs" dxfId="87" priority="11" stopIfTrue="1" operator="notEqual">
      <formula>INDIRECT("Dummy_for_Comparison3!"&amp;ADDRESS(ROW(),COLUMN()))</formula>
    </cfRule>
  </conditionalFormatting>
  <conditionalFormatting sqref="E5:F5">
    <cfRule type="cellIs" dxfId="86" priority="10" stopIfTrue="1" operator="notEqual">
      <formula>INDIRECT("Dummy_for_Comparison3!"&amp;ADDRESS(ROW(),COLUMN()))</formula>
    </cfRule>
  </conditionalFormatting>
  <conditionalFormatting sqref="E66:F94 E99:F124">
    <cfRule type="cellIs" dxfId="85" priority="8" stopIfTrue="1" operator="notEqual">
      <formula>INDIRECT("Dummy_for_Comparison3!"&amp;ADDRESS(ROW(),COLUMN()))</formula>
    </cfRule>
  </conditionalFormatting>
  <conditionalFormatting sqref="E65:F65">
    <cfRule type="cellIs" dxfId="84" priority="7" stopIfTrue="1" operator="notEqual">
      <formula>INDIRECT("Dummy_for_Comparison3!"&amp;ADDRESS(ROW(),COLUMN()))</formula>
    </cfRule>
  </conditionalFormatting>
  <conditionalFormatting sqref="E98:F98">
    <cfRule type="cellIs" dxfId="83" priority="6" stopIfTrue="1" operator="notEqual">
      <formula>INDIRECT("Dummy_for_Comparison3!"&amp;ADDRESS(ROW(),COLUMN()))</formula>
    </cfRule>
  </conditionalFormatting>
  <conditionalFormatting sqref="E21:F21">
    <cfRule type="cellIs" dxfId="82" priority="5" stopIfTrue="1" operator="notEqual">
      <formula>INDIRECT("Dummy_for_Comparison3!"&amp;ADDRESS(ROW(),COLUMN()))</formula>
    </cfRule>
  </conditionalFormatting>
  <conditionalFormatting sqref="E11:F14">
    <cfRule type="cellIs" dxfId="81" priority="4" stopIfTrue="1" operator="notEqual">
      <formula>INDIRECT("Dummy_for_Comparison3!"&amp;ADDRESS(ROW(),COLUMN()))</formula>
    </cfRule>
  </conditionalFormatting>
  <conditionalFormatting sqref="E9:F9">
    <cfRule type="cellIs" dxfId="80" priority="3" stopIfTrue="1" operator="notEqual">
      <formula>INDIRECT("Dummy_for_Comparison3!"&amp;ADDRESS(ROW(),COLUMN()))</formula>
    </cfRule>
  </conditionalFormatting>
  <conditionalFormatting sqref="E10:F10">
    <cfRule type="cellIs" dxfId="79" priority="2" stopIfTrue="1" operator="notEqual">
      <formula>INDIRECT("Dummy_for_Comparison3!"&amp;ADDRESS(ROW(),COLUMN()))</formula>
    </cfRule>
  </conditionalFormatting>
  <conditionalFormatting sqref="E4:F4">
    <cfRule type="cellIs" dxfId="78" priority="1" stopIfTrue="1" operator="notEqual">
      <formula>INDIRECT("Dummy_for_Comparison3!"&amp;ADDRESS(ROW(),COLUMN()))</formula>
    </cfRule>
  </conditionalFormatting>
  <hyperlinks>
    <hyperlink ref="B98" r:id="rId1" display="http://www.cplusplus.com/reference/cmath/cos/" xr:uid="{00000000-0004-0000-1000-000000000000}"/>
    <hyperlink ref="B99" r:id="rId2" display="http://www.cplusplus.com/reference/cmath/sin/" xr:uid="{00000000-0004-0000-1000-000001000000}"/>
    <hyperlink ref="B100" r:id="rId3" display="http://www.cplusplus.com/reference/cmath/tan/" xr:uid="{00000000-0004-0000-1000-000002000000}"/>
    <hyperlink ref="B101" r:id="rId4" display="http://www.cplusplus.com/reference/cmath/acos/" xr:uid="{00000000-0004-0000-1000-000003000000}"/>
    <hyperlink ref="B102" r:id="rId5" display="http://www.cplusplus.com/reference/cmath/asin/" xr:uid="{00000000-0004-0000-1000-000004000000}"/>
    <hyperlink ref="B103" r:id="rId6" display="http://www.cplusplus.com/reference/cmath/atan/" xr:uid="{00000000-0004-0000-1000-000005000000}"/>
    <hyperlink ref="B104" r:id="rId7" display="http://www.cplusplus.com/reference/cmath/atan2/" xr:uid="{00000000-0004-0000-1000-000006000000}"/>
    <hyperlink ref="B105" r:id="rId8" display="http://www.cplusplus.com/reference/cmath/cosh/" xr:uid="{00000000-0004-0000-1000-000007000000}"/>
    <hyperlink ref="B106" r:id="rId9" display="http://www.cplusplus.com/reference/cmath/sinh/" xr:uid="{00000000-0004-0000-1000-000008000000}"/>
    <hyperlink ref="B107" r:id="rId10" display="http://www.cplusplus.com/reference/cmath/tanh/" xr:uid="{00000000-0004-0000-1000-000009000000}"/>
    <hyperlink ref="B108" r:id="rId11" display="http://www.cplusplus.com/reference/cmath/exp/" xr:uid="{00000000-0004-0000-1000-00000A000000}"/>
    <hyperlink ref="B109" r:id="rId12" display="http://www.cplusplus.com/reference/cmath/ldexp/" xr:uid="{00000000-0004-0000-1000-00000B000000}"/>
    <hyperlink ref="B110" r:id="rId13" display="http://www.cplusplus.com/reference/cmath/log/" xr:uid="{00000000-0004-0000-1000-00000C000000}"/>
    <hyperlink ref="B111" r:id="rId14" display="http://www.cplusplus.com/reference/cmath/log10/" xr:uid="{00000000-0004-0000-1000-00000D000000}"/>
    <hyperlink ref="B112" r:id="rId15" display="http://www.cplusplus.com/reference/cmath/sqrt/" xr:uid="{00000000-0004-0000-1000-00000E000000}"/>
    <hyperlink ref="B113" r:id="rId16" display="http://www.cplusplus.com/reference/cmath/ceil/" xr:uid="{00000000-0004-0000-1000-00000F000000}"/>
    <hyperlink ref="B114" r:id="rId17" display="http://www.cplusplus.com/reference/cmath/fabs/" xr:uid="{00000000-0004-0000-1000-000010000000}"/>
    <hyperlink ref="B115" r:id="rId18" display="http://www.cplusplus.com/reference/cmath/floor/" xr:uid="{00000000-0004-0000-1000-000011000000}"/>
    <hyperlink ref="B117" r:id="rId19" display="http://www.cplusplus.com/reference/cmath/fmod/" xr:uid="{00000000-0004-0000-1000-000012000000}"/>
    <hyperlink ref="D98" r:id="rId20" display="http://www.cplusplus.com/reference/cmath/cos/" xr:uid="{00000000-0004-0000-1000-000013000000}"/>
    <hyperlink ref="D99" r:id="rId21" display="http://www.cplusplus.com/reference/cmath/sin/" xr:uid="{00000000-0004-0000-1000-000014000000}"/>
    <hyperlink ref="D100" r:id="rId22" display="http://www.cplusplus.com/reference/cmath/tan/" xr:uid="{00000000-0004-0000-1000-000015000000}"/>
    <hyperlink ref="D101" r:id="rId23" display="http://www.cplusplus.com/reference/cmath/acos/" xr:uid="{00000000-0004-0000-1000-000016000000}"/>
    <hyperlink ref="D102" r:id="rId24" display="http://www.cplusplus.com/reference/cmath/asin/" xr:uid="{00000000-0004-0000-1000-000017000000}"/>
    <hyperlink ref="D103" r:id="rId25" display="http://www.cplusplus.com/reference/cmath/atan/" xr:uid="{00000000-0004-0000-1000-000018000000}"/>
    <hyperlink ref="D104" r:id="rId26" display="http://www.cplusplus.com/reference/cmath/atan2/" xr:uid="{00000000-0004-0000-1000-000019000000}"/>
    <hyperlink ref="D105" r:id="rId27" display="http://www.cplusplus.com/reference/cmath/cosh/" xr:uid="{00000000-0004-0000-1000-00001A000000}"/>
    <hyperlink ref="D106" r:id="rId28" display="http://www.cplusplus.com/reference/cmath/sinh/" xr:uid="{00000000-0004-0000-1000-00001B000000}"/>
    <hyperlink ref="D107" r:id="rId29" display="http://www.cplusplus.com/reference/cmath/tanh/" xr:uid="{00000000-0004-0000-1000-00001C000000}"/>
    <hyperlink ref="D108" r:id="rId30" display="http://www.cplusplus.com/reference/cmath/exp/" xr:uid="{00000000-0004-0000-1000-00001D000000}"/>
    <hyperlink ref="D109" r:id="rId31" display="http://www.cplusplus.com/reference/cmath/ldexp/" xr:uid="{00000000-0004-0000-1000-00001E000000}"/>
    <hyperlink ref="D110" r:id="rId32" display="http://www.cplusplus.com/reference/cmath/log/" xr:uid="{00000000-0004-0000-1000-00001F000000}"/>
    <hyperlink ref="D111" r:id="rId33" display="http://www.cplusplus.com/reference/cmath/log10/" xr:uid="{00000000-0004-0000-1000-000020000000}"/>
    <hyperlink ref="D112" r:id="rId34" display="http://www.cplusplus.com/reference/cmath/sqrt/" xr:uid="{00000000-0004-0000-1000-000021000000}"/>
    <hyperlink ref="D113" r:id="rId35" display="http://www.cplusplus.com/reference/cmath/ceil/" xr:uid="{00000000-0004-0000-1000-000022000000}"/>
    <hyperlink ref="D114" r:id="rId36" display="http://www.cplusplus.com/reference/cmath/fabs/" xr:uid="{00000000-0004-0000-1000-000023000000}"/>
    <hyperlink ref="D115" r:id="rId37" display="http://www.cplusplus.com/reference/cmath/floor/" xr:uid="{00000000-0004-0000-1000-000024000000}"/>
    <hyperlink ref="D117" r:id="rId38" display="http://www.cplusplus.com/reference/cmath/fmod/" xr:uid="{00000000-0004-0000-1000-000025000000}"/>
  </hyperlinks>
  <pageMargins left="0.7" right="0.7" top="0.75" bottom="0.75" header="0.3" footer="0.3"/>
  <pageSetup paperSize="9" orientation="portrait" r:id="rId39"/>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Feuil1"/>
  <dimension ref="A2:L517"/>
  <sheetViews>
    <sheetView showGridLines="0" topLeftCell="A260" zoomScaleNormal="100" zoomScalePageLayoutView="85" workbookViewId="0">
      <selection activeCell="B3" sqref="B3:D517"/>
    </sheetView>
  </sheetViews>
  <sheetFormatPr baseColWidth="10" defaultColWidth="9.28515625" defaultRowHeight="15" outlineLevelRow="1" x14ac:dyDescent="0.25"/>
  <cols>
    <col min="1" max="1" width="9.28515625" style="1896"/>
    <col min="2" max="2" width="13.28515625" style="1896" customWidth="1"/>
    <col min="3" max="3" width="58.28515625" style="1896" bestFit="1" customWidth="1"/>
    <col min="4" max="4" width="12.28515625" style="1896" bestFit="1" customWidth="1"/>
    <col min="5" max="5" width="8.7109375" style="1896" bestFit="1" customWidth="1"/>
    <col min="6" max="6" width="10.28515625" style="1896" bestFit="1" customWidth="1"/>
    <col min="7" max="7" width="18" style="1896" bestFit="1" customWidth="1"/>
    <col min="8" max="8" width="8.28515625" style="1896" bestFit="1" customWidth="1"/>
    <col min="9" max="9" width="9.28515625" style="1896"/>
    <col min="10" max="10" width="76.7109375" style="1896" customWidth="1"/>
    <col min="11" max="11" width="9.28515625" style="1896"/>
    <col min="12" max="12" width="29.28515625" style="1896" bestFit="1" customWidth="1"/>
    <col min="13" max="16384" width="9.28515625" style="1896"/>
  </cols>
  <sheetData>
    <row r="2" spans="2:10" ht="15.75" thickBot="1" x14ac:dyDescent="0.3">
      <c r="C2" s="2151" t="s">
        <v>469</v>
      </c>
    </row>
    <row r="3" spans="2:10" ht="15.75" thickBot="1" x14ac:dyDescent="0.3">
      <c r="B3" s="2152" t="s">
        <v>0</v>
      </c>
      <c r="C3" s="2153" t="s">
        <v>1</v>
      </c>
      <c r="D3" s="2154" t="s">
        <v>152</v>
      </c>
      <c r="E3" s="2154" t="s">
        <v>470</v>
      </c>
      <c r="F3" s="2154" t="s">
        <v>471</v>
      </c>
      <c r="G3" s="2154" t="s">
        <v>2</v>
      </c>
      <c r="H3" s="2154" t="s">
        <v>298</v>
      </c>
      <c r="I3" s="2154" t="s">
        <v>116</v>
      </c>
      <c r="J3" s="2155" t="s">
        <v>117</v>
      </c>
    </row>
    <row r="4" spans="2:10" ht="18" x14ac:dyDescent="0.25">
      <c r="B4" s="1897" t="s">
        <v>1002</v>
      </c>
      <c r="C4" s="1898" t="s">
        <v>472</v>
      </c>
      <c r="D4" s="1898">
        <v>1.2059812053432154E-3</v>
      </c>
      <c r="E4" s="1900"/>
      <c r="F4" s="1900"/>
      <c r="G4" s="1898" t="s">
        <v>444</v>
      </c>
      <c r="H4" s="1901"/>
      <c r="I4" s="1901"/>
      <c r="J4" s="1898" t="s">
        <v>4434</v>
      </c>
    </row>
    <row r="5" spans="2:10" ht="18" x14ac:dyDescent="0.25">
      <c r="B5" s="1897" t="s">
        <v>1003</v>
      </c>
      <c r="C5" s="1898" t="s">
        <v>473</v>
      </c>
      <c r="D5" s="1898">
        <v>1842.5346589768687</v>
      </c>
      <c r="E5" s="1900"/>
      <c r="F5" s="1900"/>
      <c r="G5" s="1898" t="s">
        <v>474</v>
      </c>
      <c r="H5" s="1901"/>
      <c r="I5" s="1901"/>
      <c r="J5" s="1898" t="s">
        <v>4434</v>
      </c>
    </row>
    <row r="6" spans="2:10" ht="18" x14ac:dyDescent="0.25">
      <c r="B6" s="1897" t="s">
        <v>1004</v>
      </c>
      <c r="C6" s="1898" t="s">
        <v>475</v>
      </c>
      <c r="D6" s="1898">
        <v>3.5000000000000003E-2</v>
      </c>
      <c r="E6" s="1900"/>
      <c r="F6" s="1900"/>
      <c r="G6" s="1898" t="s">
        <v>444</v>
      </c>
      <c r="H6" s="1901"/>
      <c r="I6" s="1901"/>
      <c r="J6" s="1898" t="s">
        <v>909</v>
      </c>
    </row>
    <row r="7" spans="2:10" ht="18" x14ac:dyDescent="0.25">
      <c r="B7" s="1897" t="s">
        <v>1005</v>
      </c>
      <c r="C7" s="1898" t="s">
        <v>4435</v>
      </c>
      <c r="D7" s="1898">
        <v>2400</v>
      </c>
      <c r="E7" s="1900"/>
      <c r="F7" s="1900"/>
      <c r="G7" s="1898" t="s">
        <v>474</v>
      </c>
      <c r="H7" s="1901"/>
      <c r="I7" s="1901"/>
      <c r="J7" s="1898" t="s">
        <v>909</v>
      </c>
    </row>
    <row r="8" spans="2:10" ht="18" x14ac:dyDescent="0.25">
      <c r="B8" s="1897" t="s">
        <v>1006</v>
      </c>
      <c r="C8" s="1898" t="s">
        <v>477</v>
      </c>
      <c r="D8" s="1898">
        <v>1.9E-3</v>
      </c>
      <c r="E8" s="1900"/>
      <c r="F8" s="1900"/>
      <c r="G8" s="1898" t="s">
        <v>444</v>
      </c>
      <c r="H8" s="1901"/>
      <c r="I8" s="1901"/>
      <c r="J8" s="1898" t="s">
        <v>910</v>
      </c>
    </row>
    <row r="9" spans="2:10" ht="18" x14ac:dyDescent="0.25">
      <c r="B9" s="1897" t="s">
        <v>1007</v>
      </c>
      <c r="C9" s="1898" t="s">
        <v>478</v>
      </c>
      <c r="D9" s="1898">
        <v>1400</v>
      </c>
      <c r="E9" s="1900"/>
      <c r="F9" s="1900"/>
      <c r="G9" s="1898" t="s">
        <v>474</v>
      </c>
      <c r="H9" s="1901"/>
      <c r="I9" s="1901"/>
      <c r="J9" s="1898" t="s">
        <v>910</v>
      </c>
    </row>
    <row r="10" spans="2:10" ht="18" x14ac:dyDescent="0.25">
      <c r="B10" s="1897" t="s">
        <v>1008</v>
      </c>
      <c r="C10" s="1898" t="s">
        <v>479</v>
      </c>
      <c r="D10" s="1898">
        <v>2.5000000000000001E-2</v>
      </c>
      <c r="E10" s="1900"/>
      <c r="F10" s="1900"/>
      <c r="G10" s="1898" t="s">
        <v>444</v>
      </c>
      <c r="H10" s="1901"/>
      <c r="I10" s="1901"/>
      <c r="J10" s="1898" t="s">
        <v>911</v>
      </c>
    </row>
    <row r="11" spans="2:10" ht="18" x14ac:dyDescent="0.25">
      <c r="B11" s="1897" t="s">
        <v>1009</v>
      </c>
      <c r="C11" s="1898" t="s">
        <v>476</v>
      </c>
      <c r="D11" s="1898">
        <v>2600</v>
      </c>
      <c r="E11" s="1900"/>
      <c r="F11" s="1900"/>
      <c r="G11" s="1898" t="s">
        <v>474</v>
      </c>
      <c r="H11" s="1901"/>
      <c r="I11" s="1901"/>
      <c r="J11" s="1898" t="s">
        <v>911</v>
      </c>
    </row>
    <row r="12" spans="2:10" ht="18" x14ac:dyDescent="0.25">
      <c r="B12" s="1897" t="s">
        <v>1010</v>
      </c>
      <c r="C12" s="1898" t="s">
        <v>480</v>
      </c>
      <c r="D12" s="1898">
        <v>6.4999999999999997E-4</v>
      </c>
      <c r="E12" s="1900"/>
      <c r="F12" s="1900"/>
      <c r="G12" s="1898" t="s">
        <v>444</v>
      </c>
      <c r="H12" s="1901"/>
      <c r="I12" s="1901"/>
      <c r="J12" s="1898" t="s">
        <v>912</v>
      </c>
    </row>
    <row r="13" spans="2:10" ht="18" x14ac:dyDescent="0.25">
      <c r="B13" s="1897" t="s">
        <v>1011</v>
      </c>
      <c r="C13" s="1898" t="s">
        <v>481</v>
      </c>
      <c r="D13" s="1898">
        <v>1300</v>
      </c>
      <c r="E13" s="1900"/>
      <c r="F13" s="1900"/>
      <c r="G13" s="1898" t="s">
        <v>474</v>
      </c>
      <c r="H13" s="1901"/>
      <c r="I13" s="1901"/>
      <c r="J13" s="1898" t="s">
        <v>912</v>
      </c>
    </row>
    <row r="14" spans="2:10" ht="18" x14ac:dyDescent="0.25">
      <c r="B14" s="1897" t="s">
        <v>1012</v>
      </c>
      <c r="C14" s="1898" t="s">
        <v>482</v>
      </c>
      <c r="D14" s="1898">
        <v>7.7999999999999999E-4</v>
      </c>
      <c r="E14" s="1900"/>
      <c r="F14" s="1900"/>
      <c r="G14" s="1898" t="s">
        <v>444</v>
      </c>
      <c r="H14" s="1901"/>
      <c r="I14" s="1901"/>
      <c r="J14" s="1898" t="s">
        <v>1194</v>
      </c>
    </row>
    <row r="15" spans="2:10" ht="18" x14ac:dyDescent="0.25">
      <c r="B15" s="1897" t="s">
        <v>1013</v>
      </c>
      <c r="C15" s="1898" t="s">
        <v>483</v>
      </c>
      <c r="D15" s="1898">
        <v>500</v>
      </c>
      <c r="E15" s="1900"/>
      <c r="F15" s="1900"/>
      <c r="G15" s="1898" t="s">
        <v>474</v>
      </c>
      <c r="H15" s="1901"/>
      <c r="I15" s="1901"/>
      <c r="J15" s="1898" t="s">
        <v>1194</v>
      </c>
    </row>
    <row r="16" spans="2:10" ht="18" x14ac:dyDescent="0.25">
      <c r="B16" s="1897" t="s">
        <v>1014</v>
      </c>
      <c r="C16" s="1898" t="s">
        <v>445</v>
      </c>
      <c r="D16" s="1898">
        <v>1.4E-3</v>
      </c>
      <c r="E16" s="1900"/>
      <c r="F16" s="1900"/>
      <c r="G16" s="1898" t="s">
        <v>444</v>
      </c>
      <c r="H16" s="1901"/>
      <c r="I16" s="1901"/>
      <c r="J16" s="1898" t="s">
        <v>1195</v>
      </c>
    </row>
    <row r="17" spans="2:12" ht="18" x14ac:dyDescent="0.25">
      <c r="B17" s="1897" t="s">
        <v>1015</v>
      </c>
      <c r="C17" s="1898" t="s">
        <v>484</v>
      </c>
      <c r="D17" s="1898">
        <v>1600</v>
      </c>
      <c r="E17" s="1900"/>
      <c r="F17" s="1900"/>
      <c r="G17" s="1898" t="s">
        <v>474</v>
      </c>
      <c r="H17" s="1901"/>
      <c r="I17" s="1901"/>
      <c r="J17" s="1898" t="s">
        <v>1195</v>
      </c>
    </row>
    <row r="18" spans="2:12" ht="18" x14ac:dyDescent="0.25">
      <c r="B18" s="1897" t="s">
        <v>1196</v>
      </c>
      <c r="C18" s="1898" t="s">
        <v>1197</v>
      </c>
      <c r="D18" s="1898">
        <v>61</v>
      </c>
      <c r="E18" s="1900"/>
      <c r="F18" s="1900"/>
      <c r="G18" s="1898" t="s">
        <v>444</v>
      </c>
      <c r="H18" s="1901"/>
      <c r="I18" s="1901"/>
      <c r="J18" s="1898" t="s">
        <v>1198</v>
      </c>
    </row>
    <row r="19" spans="2:12" ht="18" x14ac:dyDescent="0.25">
      <c r="B19" s="1897" t="s">
        <v>1199</v>
      </c>
      <c r="C19" s="1898" t="s">
        <v>1200</v>
      </c>
      <c r="D19" s="1898">
        <v>4100</v>
      </c>
      <c r="E19" s="1900"/>
      <c r="F19" s="1900"/>
      <c r="G19" s="1898" t="s">
        <v>474</v>
      </c>
      <c r="H19" s="1901"/>
      <c r="I19" s="1901"/>
      <c r="J19" s="1898" t="s">
        <v>1198</v>
      </c>
    </row>
    <row r="20" spans="2:12" ht="18" x14ac:dyDescent="0.25">
      <c r="B20" s="1897" t="s">
        <v>1151</v>
      </c>
      <c r="C20" s="1898" t="s">
        <v>1201</v>
      </c>
      <c r="D20" s="1898">
        <v>0.1</v>
      </c>
      <c r="E20" s="1900"/>
      <c r="F20" s="1900"/>
      <c r="G20" s="1898" t="s">
        <v>444</v>
      </c>
      <c r="H20" s="1901"/>
      <c r="I20" s="1901"/>
      <c r="J20" s="1898" t="s">
        <v>1202</v>
      </c>
    </row>
    <row r="21" spans="2:12" ht="18" x14ac:dyDescent="0.25">
      <c r="B21" s="1897" t="s">
        <v>1152</v>
      </c>
      <c r="C21" s="1898" t="s">
        <v>1153</v>
      </c>
      <c r="D21" s="1898">
        <v>2200</v>
      </c>
      <c r="E21" s="1900"/>
      <c r="F21" s="1900"/>
      <c r="G21" s="1898" t="s">
        <v>474</v>
      </c>
      <c r="H21" s="1901"/>
      <c r="I21" s="1901"/>
      <c r="J21" s="1898" t="s">
        <v>1202</v>
      </c>
    </row>
    <row r="23" spans="2:12" ht="15.75" thickBot="1" x14ac:dyDescent="0.3">
      <c r="C23" s="2151" t="s">
        <v>3939</v>
      </c>
    </row>
    <row r="24" spans="2:12" ht="15.75" thickBot="1" x14ac:dyDescent="0.3">
      <c r="B24" s="2152" t="s">
        <v>0</v>
      </c>
      <c r="C24" s="2153" t="s">
        <v>1</v>
      </c>
      <c r="D24" s="2154" t="s">
        <v>152</v>
      </c>
      <c r="E24" s="2154" t="s">
        <v>470</v>
      </c>
      <c r="F24" s="2154" t="s">
        <v>471</v>
      </c>
      <c r="G24" s="2154" t="s">
        <v>2</v>
      </c>
      <c r="H24" s="2154" t="s">
        <v>298</v>
      </c>
      <c r="I24" s="2154" t="s">
        <v>116</v>
      </c>
      <c r="J24" s="2155" t="s">
        <v>117</v>
      </c>
    </row>
    <row r="25" spans="2:12" ht="18" x14ac:dyDescent="0.25">
      <c r="B25" s="1897" t="s">
        <v>3748</v>
      </c>
      <c r="C25" s="1898" t="s">
        <v>454</v>
      </c>
      <c r="D25" s="1898">
        <v>2.0900000000000001E-4</v>
      </c>
      <c r="E25" s="1900"/>
      <c r="F25" s="1900"/>
      <c r="G25" s="1898" t="s">
        <v>485</v>
      </c>
      <c r="H25" s="1901">
        <v>2</v>
      </c>
      <c r="I25" s="1901"/>
      <c r="J25" s="1898"/>
    </row>
    <row r="26" spans="2:12" ht="18" x14ac:dyDescent="0.25">
      <c r="B26" s="1897" t="s">
        <v>3749</v>
      </c>
      <c r="C26" s="1898" t="s">
        <v>455</v>
      </c>
      <c r="D26" s="1898">
        <v>1.73E-4</v>
      </c>
      <c r="E26" s="1900"/>
      <c r="F26" s="1900"/>
      <c r="G26" s="1898" t="s">
        <v>485</v>
      </c>
      <c r="H26" s="1901">
        <v>2</v>
      </c>
      <c r="I26" s="1901"/>
      <c r="J26" s="1898"/>
    </row>
    <row r="27" spans="2:12" ht="18" x14ac:dyDescent="0.25">
      <c r="B27" s="1897" t="s">
        <v>3750</v>
      </c>
      <c r="C27" s="1898" t="s">
        <v>1063</v>
      </c>
      <c r="D27" s="1898">
        <f>0.0000693*216/25</f>
        <v>5.9875200000000003E-4</v>
      </c>
      <c r="E27" s="1900"/>
      <c r="F27" s="1900"/>
      <c r="G27" s="1898" t="s">
        <v>485</v>
      </c>
      <c r="H27" s="1901">
        <v>2</v>
      </c>
      <c r="I27" s="1901"/>
      <c r="J27" s="1898"/>
    </row>
    <row r="28" spans="2:12" ht="18" x14ac:dyDescent="0.25">
      <c r="B28" s="1897" t="s">
        <v>3751</v>
      </c>
      <c r="C28" s="1898" t="s">
        <v>456</v>
      </c>
      <c r="D28" s="1898">
        <v>1.65E-4</v>
      </c>
      <c r="E28" s="1900"/>
      <c r="F28" s="1900"/>
      <c r="G28" s="1898" t="s">
        <v>485</v>
      </c>
      <c r="H28" s="1901">
        <v>2</v>
      </c>
      <c r="I28" s="1901"/>
      <c r="J28" s="1898"/>
    </row>
    <row r="29" spans="2:12" ht="18" x14ac:dyDescent="0.25">
      <c r="B29" s="1897" t="s">
        <v>3752</v>
      </c>
      <c r="C29" s="1898" t="s">
        <v>457</v>
      </c>
      <c r="D29" s="1898">
        <v>4.4999999999999999E-4</v>
      </c>
      <c r="E29" s="1900"/>
      <c r="F29" s="1900"/>
      <c r="G29" s="1898" t="s">
        <v>486</v>
      </c>
      <c r="H29" s="1901">
        <v>2</v>
      </c>
      <c r="I29" s="1901"/>
      <c r="J29" s="1898"/>
    </row>
    <row r="30" spans="2:12" ht="18" x14ac:dyDescent="0.25">
      <c r="B30" s="1897" t="s">
        <v>3753</v>
      </c>
      <c r="C30" s="1898" t="s">
        <v>458</v>
      </c>
      <c r="D30" s="1898">
        <v>1.4899999999999999E-4</v>
      </c>
      <c r="E30" s="1900"/>
      <c r="F30" s="1900"/>
      <c r="G30" s="1898" t="s">
        <v>486</v>
      </c>
      <c r="H30" s="1901">
        <v>2</v>
      </c>
      <c r="I30" s="1901"/>
      <c r="J30" s="1898"/>
      <c r="L30" s="1896" t="s">
        <v>4436</v>
      </c>
    </row>
    <row r="31" spans="2:12" ht="18" x14ac:dyDescent="0.25">
      <c r="B31" s="1897" t="s">
        <v>3754</v>
      </c>
      <c r="C31" s="1898" t="s">
        <v>782</v>
      </c>
      <c r="D31" s="1898">
        <f>0.000211</f>
        <v>2.1100000000000001E-4</v>
      </c>
      <c r="E31" s="1900"/>
      <c r="F31" s="1900"/>
      <c r="G31" s="1898" t="s">
        <v>486</v>
      </c>
      <c r="H31" s="1901">
        <v>2</v>
      </c>
      <c r="I31" s="1901"/>
      <c r="J31" s="1898" t="s">
        <v>4437</v>
      </c>
      <c r="K31" s="1898">
        <f>0.0001909*1.024^(25-20)</f>
        <v>2.1493429221625696E-4</v>
      </c>
      <c r="L31" s="1898">
        <v>2.9499999999999999E-5</v>
      </c>
    </row>
    <row r="32" spans="2:12" ht="18" x14ac:dyDescent="0.25">
      <c r="B32" s="1897" t="s">
        <v>3755</v>
      </c>
      <c r="C32" s="1898" t="s">
        <v>1255</v>
      </c>
      <c r="D32" s="1898">
        <f>0.000245</f>
        <v>2.4499999999999999E-4</v>
      </c>
      <c r="E32" s="1900"/>
      <c r="F32" s="1900"/>
      <c r="G32" s="1898" t="s">
        <v>486</v>
      </c>
      <c r="H32" s="1901">
        <v>2</v>
      </c>
      <c r="I32" s="1901"/>
      <c r="J32" s="1898" t="s">
        <v>4437</v>
      </c>
      <c r="K32" s="1898">
        <f>0.00015293*1.024^(25-20)</f>
        <v>1.7218387275344247E-4</v>
      </c>
      <c r="L32" s="1898">
        <v>1.8E-5</v>
      </c>
    </row>
    <row r="33" spans="2:10" ht="18" x14ac:dyDescent="0.25">
      <c r="B33" s="1897" t="s">
        <v>3756</v>
      </c>
      <c r="C33" s="1898" t="s">
        <v>1203</v>
      </c>
      <c r="D33" s="1898">
        <v>1.22E-4</v>
      </c>
      <c r="E33" s="1900"/>
      <c r="F33" s="1900"/>
      <c r="G33" s="1898" t="s">
        <v>485</v>
      </c>
      <c r="H33" s="1901">
        <v>2</v>
      </c>
      <c r="I33" s="1901"/>
      <c r="J33" s="1898"/>
    </row>
    <row r="35" spans="2:10" ht="15.75" thickBot="1" x14ac:dyDescent="0.3">
      <c r="C35" s="2151" t="s">
        <v>487</v>
      </c>
    </row>
    <row r="36" spans="2:10" ht="15.75" thickBot="1" x14ac:dyDescent="0.3">
      <c r="B36" s="2152" t="s">
        <v>0</v>
      </c>
      <c r="C36" s="2153" t="s">
        <v>1</v>
      </c>
      <c r="D36" s="2154" t="s">
        <v>152</v>
      </c>
      <c r="E36" s="2154" t="s">
        <v>470</v>
      </c>
      <c r="F36" s="2154" t="s">
        <v>471</v>
      </c>
      <c r="G36" s="2154" t="s">
        <v>2</v>
      </c>
      <c r="H36" s="2154" t="s">
        <v>298</v>
      </c>
      <c r="I36" s="2154" t="s">
        <v>116</v>
      </c>
      <c r="J36" s="2155" t="s">
        <v>117</v>
      </c>
    </row>
    <row r="37" spans="2:10" ht="18" x14ac:dyDescent="0.25">
      <c r="B37" s="1897" t="s">
        <v>488</v>
      </c>
      <c r="C37" s="1898" t="s">
        <v>489</v>
      </c>
      <c r="D37" s="1898">
        <v>8.0713100000000004</v>
      </c>
      <c r="E37" s="1900"/>
      <c r="F37" s="1900"/>
      <c r="G37" s="1898" t="s">
        <v>282</v>
      </c>
      <c r="H37" s="1901"/>
      <c r="I37" s="1901"/>
      <c r="J37" s="1898"/>
    </row>
    <row r="38" spans="2:10" ht="18" x14ac:dyDescent="0.25">
      <c r="B38" s="1897" t="s">
        <v>490</v>
      </c>
      <c r="C38" s="1898" t="s">
        <v>491</v>
      </c>
      <c r="D38" s="1898">
        <v>1730.63</v>
      </c>
      <c r="E38" s="1900"/>
      <c r="F38" s="1900"/>
      <c r="G38" s="1898" t="s">
        <v>282</v>
      </c>
      <c r="H38" s="1901"/>
      <c r="I38" s="1901"/>
      <c r="J38" s="1898"/>
    </row>
    <row r="39" spans="2:10" ht="18" x14ac:dyDescent="0.25">
      <c r="B39" s="1897" t="s">
        <v>492</v>
      </c>
      <c r="C39" s="1898" t="s">
        <v>493</v>
      </c>
      <c r="D39" s="1898">
        <v>233.42599999999999</v>
      </c>
      <c r="E39" s="1900"/>
      <c r="F39" s="1900"/>
      <c r="G39" s="1898" t="s">
        <v>282</v>
      </c>
      <c r="H39" s="1901"/>
      <c r="I39" s="1901"/>
      <c r="J39" s="1898"/>
    </row>
    <row r="40" spans="2:10" ht="18" x14ac:dyDescent="0.25">
      <c r="B40" s="1897" t="s">
        <v>3757</v>
      </c>
      <c r="C40" s="1898" t="s">
        <v>3758</v>
      </c>
      <c r="D40" s="1898">
        <v>7.2800000000000004E-2</v>
      </c>
      <c r="E40" s="1900"/>
      <c r="F40" s="1900"/>
      <c r="G40" s="1898" t="s">
        <v>3759</v>
      </c>
      <c r="H40" s="1901"/>
      <c r="I40" s="1901"/>
      <c r="J40" s="1898"/>
    </row>
    <row r="41" spans="2:10" ht="18" x14ac:dyDescent="0.25">
      <c r="B41" s="1897" t="s">
        <v>494</v>
      </c>
      <c r="C41" s="1898" t="s">
        <v>3760</v>
      </c>
      <c r="D41" s="1898">
        <v>1000000</v>
      </c>
      <c r="E41" s="1900"/>
      <c r="F41" s="1900"/>
      <c r="G41" s="1898" t="s">
        <v>783</v>
      </c>
      <c r="H41" s="1901"/>
      <c r="I41" s="1901"/>
      <c r="J41" s="1898"/>
    </row>
    <row r="42" spans="2:10" ht="18" x14ac:dyDescent="0.25">
      <c r="B42" s="1897" t="s">
        <v>1578</v>
      </c>
      <c r="C42" s="1898" t="s">
        <v>3761</v>
      </c>
      <c r="D42" s="1898">
        <f>10^-3</f>
        <v>1E-3</v>
      </c>
      <c r="E42" s="1900"/>
      <c r="F42" s="1900"/>
      <c r="G42" s="1898" t="s">
        <v>1579</v>
      </c>
      <c r="H42" s="1901"/>
      <c r="I42" s="1901"/>
      <c r="J42" s="1898"/>
    </row>
    <row r="44" spans="2:10" ht="15.75" thickBot="1" x14ac:dyDescent="0.3">
      <c r="C44" s="2151" t="s">
        <v>495</v>
      </c>
    </row>
    <row r="45" spans="2:10" ht="15.75" thickBot="1" x14ac:dyDescent="0.3">
      <c r="B45" s="2152" t="s">
        <v>0</v>
      </c>
      <c r="C45" s="2153" t="s">
        <v>1</v>
      </c>
      <c r="D45" s="2154" t="s">
        <v>152</v>
      </c>
      <c r="E45" s="2154" t="s">
        <v>470</v>
      </c>
      <c r="F45" s="2154" t="s">
        <v>471</v>
      </c>
      <c r="G45" s="2154" t="s">
        <v>2</v>
      </c>
      <c r="H45" s="2154" t="s">
        <v>298</v>
      </c>
      <c r="I45" s="2154" t="s">
        <v>116</v>
      </c>
      <c r="J45" s="2155" t="s">
        <v>117</v>
      </c>
    </row>
    <row r="46" spans="2:10" ht="18" x14ac:dyDescent="0.25">
      <c r="B46" s="1897" t="s">
        <v>496</v>
      </c>
      <c r="C46" s="1898" t="s">
        <v>497</v>
      </c>
      <c r="D46" s="1898">
        <v>0.20949999999999999</v>
      </c>
      <c r="E46" s="1900">
        <v>0</v>
      </c>
      <c r="F46" s="1900">
        <v>1</v>
      </c>
      <c r="G46" s="1898" t="s">
        <v>498</v>
      </c>
      <c r="H46" s="1901"/>
      <c r="I46" s="1901"/>
      <c r="J46" s="1898"/>
    </row>
    <row r="47" spans="2:10" ht="18" x14ac:dyDescent="0.25">
      <c r="B47" s="1897" t="s">
        <v>499</v>
      </c>
      <c r="C47" s="1898" t="s">
        <v>500</v>
      </c>
      <c r="D47" s="1898">
        <v>0.78080000000000005</v>
      </c>
      <c r="E47" s="1900">
        <v>0</v>
      </c>
      <c r="F47" s="1900">
        <v>1</v>
      </c>
      <c r="G47" s="1898" t="s">
        <v>498</v>
      </c>
      <c r="H47" s="1901"/>
      <c r="I47" s="1901"/>
      <c r="J47" s="1898"/>
    </row>
    <row r="48" spans="2:10" ht="18" x14ac:dyDescent="0.25">
      <c r="B48" s="1897" t="s">
        <v>501</v>
      </c>
      <c r="C48" s="1898" t="s">
        <v>502</v>
      </c>
      <c r="D48" s="1898">
        <v>9.2999999999999992E-3</v>
      </c>
      <c r="E48" s="1900">
        <v>0</v>
      </c>
      <c r="F48" s="1900">
        <v>1</v>
      </c>
      <c r="G48" s="1898" t="s">
        <v>498</v>
      </c>
      <c r="H48" s="1901"/>
      <c r="I48" s="1901"/>
      <c r="J48" s="1898"/>
    </row>
    <row r="49" spans="2:12" ht="18" x14ac:dyDescent="0.25">
      <c r="B49" s="1897" t="s">
        <v>503</v>
      </c>
      <c r="C49" s="1898" t="s">
        <v>504</v>
      </c>
      <c r="D49" s="1898">
        <v>4.0000000000000002E-4</v>
      </c>
      <c r="E49" s="1900">
        <v>0</v>
      </c>
      <c r="F49" s="1900">
        <v>1</v>
      </c>
      <c r="G49" s="1898" t="s">
        <v>498</v>
      </c>
      <c r="H49" s="1901"/>
      <c r="I49" s="1901"/>
      <c r="J49" s="1898"/>
    </row>
    <row r="50" spans="2:12" ht="18" x14ac:dyDescent="0.25">
      <c r="B50" s="1897" t="s">
        <v>3762</v>
      </c>
      <c r="C50" s="1898" t="s">
        <v>3763</v>
      </c>
      <c r="D50" s="1898">
        <v>1200</v>
      </c>
      <c r="E50" s="1900"/>
      <c r="F50" s="1900"/>
      <c r="G50" s="1898" t="s">
        <v>783</v>
      </c>
      <c r="H50" s="1901"/>
      <c r="I50" s="1901"/>
      <c r="J50" s="1898"/>
    </row>
    <row r="51" spans="2:12" ht="18" x14ac:dyDescent="0.25">
      <c r="B51" s="1897" t="s">
        <v>3764</v>
      </c>
      <c r="C51" s="1898" t="s">
        <v>3747</v>
      </c>
      <c r="D51" s="1898">
        <v>101325</v>
      </c>
      <c r="E51" s="1900">
        <v>0</v>
      </c>
      <c r="F51" s="1900"/>
      <c r="G51" s="1898" t="s">
        <v>784</v>
      </c>
      <c r="H51" s="1901"/>
      <c r="I51" s="1901"/>
      <c r="J51" s="1898"/>
    </row>
    <row r="52" spans="2:12" ht="18" x14ac:dyDescent="0.25">
      <c r="B52" s="1897" t="s">
        <v>4438</v>
      </c>
      <c r="C52" s="1898" t="s">
        <v>3765</v>
      </c>
      <c r="D52" s="1898">
        <v>101325</v>
      </c>
      <c r="E52" s="1900">
        <v>0</v>
      </c>
      <c r="F52" s="1900"/>
      <c r="G52" s="1898" t="s">
        <v>784</v>
      </c>
      <c r="H52" s="1901"/>
      <c r="I52" s="1901"/>
      <c r="J52" s="1898"/>
    </row>
    <row r="54" spans="2:12" ht="15.75" thickBot="1" x14ac:dyDescent="0.3">
      <c r="C54" s="2151" t="s">
        <v>5071</v>
      </c>
    </row>
    <row r="55" spans="2:12" ht="15.75" thickBot="1" x14ac:dyDescent="0.3">
      <c r="B55" s="2152" t="s">
        <v>0</v>
      </c>
      <c r="C55" s="2153" t="s">
        <v>1</v>
      </c>
      <c r="D55" s="2154" t="s">
        <v>152</v>
      </c>
      <c r="E55" s="2154" t="s">
        <v>470</v>
      </c>
      <c r="F55" s="2154" t="s">
        <v>471</v>
      </c>
      <c r="G55" s="2154" t="s">
        <v>2</v>
      </c>
      <c r="H55" s="2154" t="s">
        <v>298</v>
      </c>
      <c r="I55" s="2154" t="s">
        <v>116</v>
      </c>
      <c r="J55" s="2155" t="s">
        <v>117</v>
      </c>
    </row>
    <row r="56" spans="2:12" ht="18" x14ac:dyDescent="0.25">
      <c r="B56" s="1897" t="s">
        <v>3772</v>
      </c>
      <c r="C56" s="1898" t="s">
        <v>3773</v>
      </c>
      <c r="D56" s="1898">
        <v>1</v>
      </c>
      <c r="E56" s="1900">
        <v>0</v>
      </c>
      <c r="F56" s="1900">
        <v>1</v>
      </c>
      <c r="G56" s="1898" t="s">
        <v>3774</v>
      </c>
      <c r="H56" s="1901"/>
      <c r="I56" s="1901"/>
      <c r="J56" s="1898" t="s">
        <v>3775</v>
      </c>
    </row>
    <row r="58" spans="2:12" ht="15.75" thickBot="1" x14ac:dyDescent="0.3">
      <c r="C58" s="2151" t="s">
        <v>505</v>
      </c>
    </row>
    <row r="59" spans="2:12" ht="15.75" thickBot="1" x14ac:dyDescent="0.3">
      <c r="B59" s="2152" t="s">
        <v>0</v>
      </c>
      <c r="C59" s="2153" t="s">
        <v>1</v>
      </c>
      <c r="D59" s="2154" t="s">
        <v>152</v>
      </c>
      <c r="E59" s="2154" t="s">
        <v>470</v>
      </c>
      <c r="F59" s="2154" t="s">
        <v>471</v>
      </c>
      <c r="G59" s="2154" t="s">
        <v>2</v>
      </c>
      <c r="H59" s="2154" t="s">
        <v>298</v>
      </c>
      <c r="I59" s="2154" t="s">
        <v>116</v>
      </c>
      <c r="J59" s="2155" t="s">
        <v>117</v>
      </c>
    </row>
    <row r="60" spans="2:12" ht="17.25" x14ac:dyDescent="0.25">
      <c r="B60" s="1897" t="s">
        <v>506</v>
      </c>
      <c r="C60" s="1898" t="s">
        <v>507</v>
      </c>
      <c r="D60" s="1898">
        <v>8.3144721500000003</v>
      </c>
      <c r="E60" s="1900"/>
      <c r="F60" s="1900"/>
      <c r="G60" s="1898" t="s">
        <v>508</v>
      </c>
      <c r="H60" s="1901"/>
      <c r="I60" s="1901"/>
      <c r="J60" s="1898"/>
    </row>
    <row r="61" spans="2:12" ht="18" x14ac:dyDescent="0.25">
      <c r="B61" s="1897" t="s">
        <v>1580</v>
      </c>
      <c r="C61" s="1898" t="s">
        <v>1581</v>
      </c>
      <c r="D61" s="1898">
        <v>287.10199999999998</v>
      </c>
      <c r="E61" s="1900"/>
      <c r="F61" s="1900"/>
      <c r="G61" s="1898" t="s">
        <v>1582</v>
      </c>
      <c r="H61" s="1901"/>
      <c r="I61" s="1901"/>
      <c r="J61" s="1898"/>
    </row>
    <row r="62" spans="2:12" ht="18" x14ac:dyDescent="0.25">
      <c r="B62" s="1897" t="s">
        <v>2383</v>
      </c>
      <c r="C62" s="1898" t="s">
        <v>2384</v>
      </c>
      <c r="D62" s="1898" t="e">
        <f>(T_STP_K*R__)/p_N</f>
        <v>#NAME?</v>
      </c>
      <c r="E62" s="1900"/>
      <c r="F62" s="1900"/>
      <c r="G62" s="1898" t="s">
        <v>2385</v>
      </c>
      <c r="H62" s="1901"/>
      <c r="I62" s="1901"/>
      <c r="J62" s="1898"/>
    </row>
    <row r="63" spans="2:12" x14ac:dyDescent="0.25">
      <c r="B63" s="1897" t="s">
        <v>1583</v>
      </c>
      <c r="C63" s="1898" t="s">
        <v>3940</v>
      </c>
      <c r="D63" s="1898">
        <v>1.4</v>
      </c>
      <c r="E63" s="1900"/>
      <c r="F63" s="1900"/>
      <c r="G63" s="1898" t="s">
        <v>282</v>
      </c>
      <c r="H63" s="1901"/>
      <c r="I63" s="1901"/>
      <c r="J63" s="1898"/>
      <c r="L63" s="1896">
        <v>2.24139952407846E-2</v>
      </c>
    </row>
    <row r="64" spans="2:12" ht="17.25" x14ac:dyDescent="0.25">
      <c r="B64" s="1897" t="s">
        <v>509</v>
      </c>
      <c r="C64" s="1898" t="s">
        <v>510</v>
      </c>
      <c r="D64" s="1898">
        <v>96485.339924</v>
      </c>
      <c r="E64" s="1900"/>
      <c r="F64" s="1900"/>
      <c r="G64" s="1898" t="s">
        <v>511</v>
      </c>
      <c r="H64" s="1901"/>
      <c r="I64" s="1901"/>
      <c r="J64" s="1898"/>
    </row>
    <row r="65" spans="2:10" ht="18" x14ac:dyDescent="0.25">
      <c r="B65" s="1897" t="s">
        <v>512</v>
      </c>
      <c r="C65" s="1898" t="s">
        <v>513</v>
      </c>
      <c r="D65" s="1898">
        <v>9.8066499999999994</v>
      </c>
      <c r="E65" s="1900"/>
      <c r="F65" s="1900"/>
      <c r="G65" s="1898" t="s">
        <v>514</v>
      </c>
      <c r="H65" s="1901"/>
      <c r="I65" s="1901"/>
      <c r="J65" s="1898"/>
    </row>
    <row r="66" spans="2:10" ht="18" x14ac:dyDescent="0.25">
      <c r="B66" s="1897" t="s">
        <v>913</v>
      </c>
      <c r="C66" s="1898" t="s">
        <v>914</v>
      </c>
      <c r="D66" s="1898">
        <v>4.1813000000000002</v>
      </c>
      <c r="E66" s="1900"/>
      <c r="F66" s="1900"/>
      <c r="G66" s="1898" t="s">
        <v>3869</v>
      </c>
      <c r="H66" s="1901"/>
      <c r="I66" s="1901"/>
      <c r="J66" s="1898"/>
    </row>
    <row r="67" spans="2:10" ht="18" x14ac:dyDescent="0.25">
      <c r="B67" s="1897" t="s">
        <v>3776</v>
      </c>
      <c r="C67" s="1898" t="s">
        <v>3777</v>
      </c>
      <c r="D67" s="1898">
        <v>298.14999999999998</v>
      </c>
      <c r="E67" s="1900"/>
      <c r="F67" s="1900"/>
      <c r="G67" s="1898" t="s">
        <v>474</v>
      </c>
      <c r="H67" s="1901"/>
      <c r="I67" s="1901"/>
      <c r="J67" s="1898" t="s">
        <v>3778</v>
      </c>
    </row>
    <row r="68" spans="2:10" ht="18" x14ac:dyDescent="0.25">
      <c r="B68" s="1897" t="s">
        <v>3779</v>
      </c>
      <c r="C68" s="1898" t="s">
        <v>3780</v>
      </c>
      <c r="D68" s="1898">
        <v>293.14999999999998</v>
      </c>
      <c r="E68" s="1900"/>
      <c r="F68" s="1900"/>
      <c r="G68" s="1898" t="s">
        <v>474</v>
      </c>
      <c r="H68" s="1901"/>
      <c r="I68" s="1901"/>
      <c r="J68" s="1898" t="s">
        <v>3781</v>
      </c>
    </row>
    <row r="69" spans="2:10" ht="18" x14ac:dyDescent="0.25">
      <c r="B69" s="1897" t="s">
        <v>3782</v>
      </c>
      <c r="C69" s="1898" t="s">
        <v>3783</v>
      </c>
      <c r="D69" s="1898">
        <v>273.14999999999998</v>
      </c>
      <c r="E69" s="1900"/>
      <c r="F69" s="1900"/>
      <c r="G69" s="1898" t="s">
        <v>474</v>
      </c>
      <c r="H69" s="1901"/>
      <c r="I69" s="1901"/>
      <c r="J69" s="1898" t="s">
        <v>3784</v>
      </c>
    </row>
    <row r="70" spans="2:10" ht="18" x14ac:dyDescent="0.25">
      <c r="B70" s="1897" t="s">
        <v>3785</v>
      </c>
      <c r="C70" s="1898" t="s">
        <v>1204</v>
      </c>
      <c r="D70" s="1898">
        <v>0</v>
      </c>
      <c r="E70" s="1900"/>
      <c r="F70" s="1900"/>
      <c r="G70" s="1898" t="s">
        <v>3002</v>
      </c>
      <c r="H70" s="1901"/>
      <c r="I70" s="1901"/>
      <c r="J70" s="1898" t="s">
        <v>1584</v>
      </c>
    </row>
    <row r="72" spans="2:10" ht="15.75" thickBot="1" x14ac:dyDescent="0.3">
      <c r="C72" s="2151" t="s">
        <v>515</v>
      </c>
    </row>
    <row r="73" spans="2:10" ht="15.75" thickBot="1" x14ac:dyDescent="0.3">
      <c r="B73" s="2152" t="s">
        <v>0</v>
      </c>
      <c r="C73" s="2153" t="s">
        <v>1</v>
      </c>
      <c r="D73" s="2154" t="s">
        <v>152</v>
      </c>
      <c r="E73" s="2154" t="s">
        <v>470</v>
      </c>
      <c r="F73" s="2154" t="s">
        <v>471</v>
      </c>
      <c r="G73" s="2154" t="s">
        <v>2</v>
      </c>
      <c r="H73" s="2154" t="s">
        <v>298</v>
      </c>
      <c r="I73" s="2154" t="s">
        <v>116</v>
      </c>
      <c r="J73" s="2155" t="s">
        <v>117</v>
      </c>
    </row>
    <row r="74" spans="2:10" x14ac:dyDescent="0.25">
      <c r="B74" s="1897" t="s">
        <v>516</v>
      </c>
      <c r="C74" s="1898" t="s">
        <v>517</v>
      </c>
      <c r="D74" s="1898">
        <v>3.1415926500000002</v>
      </c>
      <c r="E74" s="1900"/>
      <c r="F74" s="1900"/>
      <c r="G74" s="1898" t="s">
        <v>282</v>
      </c>
      <c r="H74" s="1901"/>
      <c r="I74" s="1901"/>
      <c r="J74" s="1898"/>
    </row>
    <row r="76" spans="2:10" ht="15.75" thickBot="1" x14ac:dyDescent="0.3">
      <c r="C76" s="2151" t="s">
        <v>518</v>
      </c>
    </row>
    <row r="77" spans="2:10" ht="15.75" thickBot="1" x14ac:dyDescent="0.3">
      <c r="B77" s="2152" t="s">
        <v>0</v>
      </c>
      <c r="C77" s="2153" t="s">
        <v>1</v>
      </c>
      <c r="D77" s="2154" t="s">
        <v>152</v>
      </c>
      <c r="E77" s="2154" t="s">
        <v>470</v>
      </c>
      <c r="F77" s="2154" t="s">
        <v>471</v>
      </c>
      <c r="G77" s="2154" t="s">
        <v>2</v>
      </c>
      <c r="H77" s="2154" t="s">
        <v>298</v>
      </c>
      <c r="I77" s="2154" t="s">
        <v>116</v>
      </c>
      <c r="J77" s="2155" t="s">
        <v>117</v>
      </c>
    </row>
    <row r="78" spans="2:10" ht="18" hidden="1" outlineLevel="1" x14ac:dyDescent="0.25">
      <c r="B78" s="1897" t="s">
        <v>368</v>
      </c>
      <c r="C78" s="1898" t="s">
        <v>271</v>
      </c>
      <c r="D78" s="1898">
        <v>1.0079400000000001</v>
      </c>
      <c r="E78" s="1900"/>
      <c r="F78" s="1900"/>
      <c r="G78" s="1898" t="s">
        <v>360</v>
      </c>
      <c r="H78" s="1901"/>
      <c r="I78" s="1901"/>
      <c r="J78" s="1898"/>
    </row>
    <row r="79" spans="2:10" ht="18" hidden="1" outlineLevel="1" x14ac:dyDescent="0.25">
      <c r="B79" s="1897" t="s">
        <v>519</v>
      </c>
      <c r="C79" s="1898" t="s">
        <v>520</v>
      </c>
      <c r="D79" s="1898">
        <v>4.0026020000000004</v>
      </c>
      <c r="E79" s="1900"/>
      <c r="F79" s="1900"/>
      <c r="G79" s="1898" t="s">
        <v>360</v>
      </c>
      <c r="H79" s="1901"/>
      <c r="I79" s="1901"/>
      <c r="J79" s="1898"/>
    </row>
    <row r="80" spans="2:10" ht="18" hidden="1" outlineLevel="1" x14ac:dyDescent="0.25">
      <c r="B80" s="1897" t="s">
        <v>521</v>
      </c>
      <c r="C80" s="1898" t="s">
        <v>522</v>
      </c>
      <c r="D80" s="1898">
        <v>6.9409999999999998</v>
      </c>
      <c r="E80" s="1900"/>
      <c r="F80" s="1900"/>
      <c r="G80" s="1898" t="s">
        <v>360</v>
      </c>
      <c r="H80" s="1901"/>
      <c r="I80" s="1901"/>
      <c r="J80" s="1898"/>
    </row>
    <row r="81" spans="2:10" ht="18" hidden="1" outlineLevel="1" x14ac:dyDescent="0.25">
      <c r="B81" s="1897" t="s">
        <v>523</v>
      </c>
      <c r="C81" s="1898" t="s">
        <v>524</v>
      </c>
      <c r="D81" s="1898">
        <v>9.0121819999999992</v>
      </c>
      <c r="E81" s="1900"/>
      <c r="F81" s="1900"/>
      <c r="G81" s="1898" t="s">
        <v>360</v>
      </c>
      <c r="H81" s="1901"/>
      <c r="I81" s="1901"/>
      <c r="J81" s="1898"/>
    </row>
    <row r="82" spans="2:10" ht="18" hidden="1" outlineLevel="1" x14ac:dyDescent="0.25">
      <c r="B82" s="1897" t="s">
        <v>525</v>
      </c>
      <c r="C82" s="1898" t="s">
        <v>526</v>
      </c>
      <c r="D82" s="1898">
        <v>10.811</v>
      </c>
      <c r="E82" s="1900"/>
      <c r="F82" s="1900"/>
      <c r="G82" s="1898" t="s">
        <v>360</v>
      </c>
      <c r="H82" s="1901"/>
      <c r="I82" s="1901"/>
      <c r="J82" s="1898"/>
    </row>
    <row r="83" spans="2:10" ht="18" hidden="1" outlineLevel="1" x14ac:dyDescent="0.25">
      <c r="B83" s="1897" t="s">
        <v>359</v>
      </c>
      <c r="C83" s="1898" t="s">
        <v>278</v>
      </c>
      <c r="D83" s="1898">
        <v>12.0107</v>
      </c>
      <c r="E83" s="1900"/>
      <c r="F83" s="1900"/>
      <c r="G83" s="1898" t="s">
        <v>360</v>
      </c>
      <c r="H83" s="1901"/>
      <c r="I83" s="1901"/>
      <c r="J83" s="1898"/>
    </row>
    <row r="84" spans="2:10" ht="18" hidden="1" outlineLevel="1" x14ac:dyDescent="0.25">
      <c r="B84" s="1897" t="s">
        <v>362</v>
      </c>
      <c r="C84" s="1898" t="s">
        <v>262</v>
      </c>
      <c r="D84" s="1898">
        <v>14.0067</v>
      </c>
      <c r="E84" s="1900"/>
      <c r="F84" s="1900"/>
      <c r="G84" s="1898" t="s">
        <v>360</v>
      </c>
      <c r="H84" s="1901"/>
      <c r="I84" s="1901"/>
      <c r="J84" s="1898"/>
    </row>
    <row r="85" spans="2:10" ht="18" hidden="1" outlineLevel="1" x14ac:dyDescent="0.25">
      <c r="B85" s="1897" t="s">
        <v>363</v>
      </c>
      <c r="C85" s="1898" t="s">
        <v>261</v>
      </c>
      <c r="D85" s="1898">
        <v>15.9994</v>
      </c>
      <c r="E85" s="1900"/>
      <c r="F85" s="1900"/>
      <c r="G85" s="1898" t="s">
        <v>360</v>
      </c>
      <c r="H85" s="1901"/>
      <c r="I85" s="1901"/>
      <c r="J85" s="1898"/>
    </row>
    <row r="86" spans="2:10" ht="18" hidden="1" outlineLevel="1" x14ac:dyDescent="0.25">
      <c r="B86" s="1897" t="s">
        <v>527</v>
      </c>
      <c r="C86" s="1898" t="s">
        <v>528</v>
      </c>
      <c r="D86" s="1898">
        <v>18.998403</v>
      </c>
      <c r="E86" s="1900"/>
      <c r="F86" s="1900"/>
      <c r="G86" s="1898" t="s">
        <v>360</v>
      </c>
      <c r="H86" s="1901"/>
      <c r="I86" s="1901"/>
      <c r="J86" s="1898"/>
    </row>
    <row r="87" spans="2:10" ht="18" hidden="1" outlineLevel="1" x14ac:dyDescent="0.25">
      <c r="B87" s="1897" t="s">
        <v>529</v>
      </c>
      <c r="C87" s="1898" t="s">
        <v>530</v>
      </c>
      <c r="D87" s="1898">
        <v>20.1797</v>
      </c>
      <c r="E87" s="1900"/>
      <c r="F87" s="1900"/>
      <c r="G87" s="1898" t="s">
        <v>360</v>
      </c>
      <c r="H87" s="1901"/>
      <c r="I87" s="1901"/>
      <c r="J87" s="1898"/>
    </row>
    <row r="88" spans="2:10" ht="18" hidden="1" outlineLevel="1" x14ac:dyDescent="0.25">
      <c r="B88" s="1897" t="s">
        <v>369</v>
      </c>
      <c r="C88" s="1898" t="s">
        <v>291</v>
      </c>
      <c r="D88" s="1898">
        <v>22.989768999999999</v>
      </c>
      <c r="E88" s="1900"/>
      <c r="F88" s="1900"/>
      <c r="G88" s="1898" t="s">
        <v>360</v>
      </c>
      <c r="H88" s="1901"/>
      <c r="I88" s="1901"/>
      <c r="J88" s="1898"/>
    </row>
    <row r="89" spans="2:10" ht="18" hidden="1" outlineLevel="1" x14ac:dyDescent="0.25">
      <c r="B89" s="1897" t="s">
        <v>531</v>
      </c>
      <c r="C89" s="1898" t="s">
        <v>532</v>
      </c>
      <c r="D89" s="1898">
        <v>24.305</v>
      </c>
      <c r="E89" s="1900"/>
      <c r="F89" s="1900"/>
      <c r="G89" s="1898" t="s">
        <v>360</v>
      </c>
      <c r="H89" s="1901"/>
      <c r="I89" s="1901"/>
      <c r="J89" s="1898"/>
    </row>
    <row r="90" spans="2:10" ht="18" hidden="1" outlineLevel="1" x14ac:dyDescent="0.25">
      <c r="B90" s="1897" t="s">
        <v>367</v>
      </c>
      <c r="C90" s="1898" t="s">
        <v>265</v>
      </c>
      <c r="D90" s="1898">
        <v>26.9815</v>
      </c>
      <c r="E90" s="1900"/>
      <c r="F90" s="1900"/>
      <c r="G90" s="1898" t="s">
        <v>360</v>
      </c>
      <c r="H90" s="1901"/>
      <c r="I90" s="1901"/>
      <c r="J90" s="1898"/>
    </row>
    <row r="91" spans="2:10" ht="18" hidden="1" outlineLevel="1" x14ac:dyDescent="0.25">
      <c r="B91" s="1897" t="s">
        <v>533</v>
      </c>
      <c r="C91" s="1898" t="s">
        <v>534</v>
      </c>
      <c r="D91" s="1898">
        <v>28.0855</v>
      </c>
      <c r="E91" s="1900"/>
      <c r="F91" s="1900"/>
      <c r="G91" s="1898" t="s">
        <v>360</v>
      </c>
      <c r="H91" s="1901"/>
      <c r="I91" s="1901"/>
      <c r="J91" s="1898"/>
    </row>
    <row r="92" spans="2:10" ht="18" hidden="1" outlineLevel="1" x14ac:dyDescent="0.25">
      <c r="B92" s="1897" t="s">
        <v>361</v>
      </c>
      <c r="C92" s="1898" t="s">
        <v>266</v>
      </c>
      <c r="D92" s="1898">
        <v>30.973762199999999</v>
      </c>
      <c r="E92" s="1900"/>
      <c r="F92" s="1900"/>
      <c r="G92" s="1898" t="s">
        <v>360</v>
      </c>
      <c r="H92" s="1901"/>
      <c r="I92" s="1901"/>
      <c r="J92" s="1898"/>
    </row>
    <row r="93" spans="2:10" ht="18" hidden="1" outlineLevel="1" x14ac:dyDescent="0.25">
      <c r="B93" s="1897" t="s">
        <v>535</v>
      </c>
      <c r="C93" s="1898" t="s">
        <v>536</v>
      </c>
      <c r="D93" s="1898">
        <v>32.064999999999998</v>
      </c>
      <c r="E93" s="1900"/>
      <c r="F93" s="1900"/>
      <c r="G93" s="1898" t="s">
        <v>360</v>
      </c>
      <c r="H93" s="1901"/>
      <c r="I93" s="1901"/>
      <c r="J93" s="1898"/>
    </row>
    <row r="94" spans="2:10" ht="18" hidden="1" outlineLevel="1" x14ac:dyDescent="0.25">
      <c r="B94" s="1897" t="s">
        <v>370</v>
      </c>
      <c r="C94" s="1898" t="s">
        <v>371</v>
      </c>
      <c r="D94" s="1898">
        <v>35.453000000000003</v>
      </c>
      <c r="E94" s="1900"/>
      <c r="F94" s="1900"/>
      <c r="G94" s="1898" t="s">
        <v>360</v>
      </c>
      <c r="H94" s="1901"/>
      <c r="I94" s="1901"/>
      <c r="J94" s="1898"/>
    </row>
    <row r="95" spans="2:10" ht="18" hidden="1" outlineLevel="1" x14ac:dyDescent="0.25">
      <c r="B95" s="1897" t="s">
        <v>537</v>
      </c>
      <c r="C95" s="1898" t="s">
        <v>538</v>
      </c>
      <c r="D95" s="1898">
        <v>39.948</v>
      </c>
      <c r="E95" s="1900"/>
      <c r="F95" s="1900"/>
      <c r="G95" s="1898" t="s">
        <v>360</v>
      </c>
      <c r="H95" s="1901"/>
      <c r="I95" s="1901"/>
      <c r="J95" s="1898"/>
    </row>
    <row r="96" spans="2:10" ht="18" hidden="1" outlineLevel="1" x14ac:dyDescent="0.25">
      <c r="B96" s="1897" t="s">
        <v>539</v>
      </c>
      <c r="C96" s="1898" t="s">
        <v>540</v>
      </c>
      <c r="D96" s="1898">
        <v>39.098300000000002</v>
      </c>
      <c r="E96" s="1900"/>
      <c r="F96" s="1900"/>
      <c r="G96" s="1898" t="s">
        <v>360</v>
      </c>
      <c r="H96" s="1901"/>
      <c r="I96" s="1901"/>
      <c r="J96" s="1898"/>
    </row>
    <row r="97" spans="2:10" ht="18" hidden="1" outlineLevel="1" x14ac:dyDescent="0.25">
      <c r="B97" s="1897" t="s">
        <v>364</v>
      </c>
      <c r="C97" s="1898" t="s">
        <v>365</v>
      </c>
      <c r="D97" s="1898">
        <v>40.078000000000003</v>
      </c>
      <c r="E97" s="1900"/>
      <c r="F97" s="1900"/>
      <c r="G97" s="1898" t="s">
        <v>360</v>
      </c>
      <c r="H97" s="1901"/>
      <c r="I97" s="1901"/>
      <c r="J97" s="1898"/>
    </row>
    <row r="98" spans="2:10" ht="18" hidden="1" outlineLevel="1" x14ac:dyDescent="0.25">
      <c r="B98" s="1897" t="s">
        <v>541</v>
      </c>
      <c r="C98" s="1898" t="s">
        <v>542</v>
      </c>
      <c r="D98" s="1898">
        <v>44.955911999999998</v>
      </c>
      <c r="E98" s="1900"/>
      <c r="F98" s="1900"/>
      <c r="G98" s="1898" t="s">
        <v>360</v>
      </c>
      <c r="H98" s="1901"/>
      <c r="I98" s="1901"/>
      <c r="J98" s="1898"/>
    </row>
    <row r="99" spans="2:10" ht="18" hidden="1" outlineLevel="1" x14ac:dyDescent="0.25">
      <c r="B99" s="1897" t="s">
        <v>543</v>
      </c>
      <c r="C99" s="1898" t="s">
        <v>544</v>
      </c>
      <c r="D99" s="1898">
        <v>47.866999999999997</v>
      </c>
      <c r="E99" s="1900"/>
      <c r="F99" s="1900"/>
      <c r="G99" s="1898" t="s">
        <v>360</v>
      </c>
      <c r="H99" s="1901"/>
      <c r="I99" s="1901"/>
      <c r="J99" s="1898"/>
    </row>
    <row r="100" spans="2:10" ht="18" hidden="1" outlineLevel="1" x14ac:dyDescent="0.25">
      <c r="B100" s="1897" t="s">
        <v>545</v>
      </c>
      <c r="C100" s="1898" t="s">
        <v>546</v>
      </c>
      <c r="D100" s="1898">
        <v>50.941499999999998</v>
      </c>
      <c r="E100" s="1900"/>
      <c r="F100" s="1900"/>
      <c r="G100" s="1898" t="s">
        <v>360</v>
      </c>
      <c r="H100" s="1901"/>
      <c r="I100" s="1901"/>
      <c r="J100" s="1898"/>
    </row>
    <row r="101" spans="2:10" ht="18" hidden="1" outlineLevel="1" x14ac:dyDescent="0.25">
      <c r="B101" s="1897" t="s">
        <v>547</v>
      </c>
      <c r="C101" s="1898" t="s">
        <v>548</v>
      </c>
      <c r="D101" s="1898">
        <v>51.996099999999998</v>
      </c>
      <c r="E101" s="1900"/>
      <c r="F101" s="1900"/>
      <c r="G101" s="1898" t="s">
        <v>360</v>
      </c>
      <c r="H101" s="1901"/>
      <c r="I101" s="1901"/>
      <c r="J101" s="1898"/>
    </row>
    <row r="102" spans="2:10" ht="18" hidden="1" outlineLevel="1" x14ac:dyDescent="0.25">
      <c r="B102" s="1897" t="s">
        <v>549</v>
      </c>
      <c r="C102" s="1898" t="s">
        <v>550</v>
      </c>
      <c r="D102" s="1898">
        <v>54.938045000000002</v>
      </c>
      <c r="E102" s="1900"/>
      <c r="F102" s="1900"/>
      <c r="G102" s="1898" t="s">
        <v>360</v>
      </c>
      <c r="H102" s="1901"/>
      <c r="I102" s="1901"/>
      <c r="J102" s="1898"/>
    </row>
    <row r="103" spans="2:10" ht="18" hidden="1" outlineLevel="1" x14ac:dyDescent="0.25">
      <c r="B103" s="1897" t="s">
        <v>366</v>
      </c>
      <c r="C103" s="1898" t="s">
        <v>264</v>
      </c>
      <c r="D103" s="1898">
        <v>55.844999999999999</v>
      </c>
      <c r="E103" s="1900"/>
      <c r="F103" s="1900"/>
      <c r="G103" s="1898" t="s">
        <v>360</v>
      </c>
      <c r="H103" s="1901"/>
      <c r="I103" s="1901"/>
      <c r="J103" s="1898"/>
    </row>
    <row r="104" spans="2:10" ht="18" hidden="1" outlineLevel="1" x14ac:dyDescent="0.25">
      <c r="B104" s="1897" t="s">
        <v>551</v>
      </c>
      <c r="C104" s="1898" t="s">
        <v>552</v>
      </c>
      <c r="D104" s="1898">
        <v>58.933194999999998</v>
      </c>
      <c r="E104" s="1900"/>
      <c r="F104" s="1900"/>
      <c r="G104" s="1898" t="s">
        <v>360</v>
      </c>
      <c r="H104" s="1901"/>
      <c r="I104" s="1901"/>
      <c r="J104" s="1898"/>
    </row>
    <row r="105" spans="2:10" ht="18" hidden="1" outlineLevel="1" x14ac:dyDescent="0.25">
      <c r="B105" s="1897" t="s">
        <v>553</v>
      </c>
      <c r="C105" s="1898" t="s">
        <v>554</v>
      </c>
      <c r="D105" s="1898">
        <v>58.693399999999997</v>
      </c>
      <c r="E105" s="1900"/>
      <c r="F105" s="1900"/>
      <c r="G105" s="1898" t="s">
        <v>360</v>
      </c>
      <c r="H105" s="1901"/>
      <c r="I105" s="1901"/>
      <c r="J105" s="1898"/>
    </row>
    <row r="106" spans="2:10" ht="18" hidden="1" outlineLevel="1" x14ac:dyDescent="0.25">
      <c r="B106" s="1897" t="s">
        <v>555</v>
      </c>
      <c r="C106" s="1898" t="s">
        <v>556</v>
      </c>
      <c r="D106" s="1898">
        <v>63.545999999999999</v>
      </c>
      <c r="E106" s="1900"/>
      <c r="F106" s="1900"/>
      <c r="G106" s="1898" t="s">
        <v>360</v>
      </c>
      <c r="H106" s="1901"/>
      <c r="I106" s="1901"/>
      <c r="J106" s="1898"/>
    </row>
    <row r="107" spans="2:10" ht="18" hidden="1" outlineLevel="1" x14ac:dyDescent="0.25">
      <c r="B107" s="1897" t="s">
        <v>557</v>
      </c>
      <c r="C107" s="1898" t="s">
        <v>558</v>
      </c>
      <c r="D107" s="1898">
        <v>65.38</v>
      </c>
      <c r="E107" s="1900"/>
      <c r="F107" s="1900"/>
      <c r="G107" s="1898" t="s">
        <v>360</v>
      </c>
      <c r="H107" s="1901"/>
      <c r="I107" s="1901"/>
      <c r="J107" s="1898"/>
    </row>
    <row r="108" spans="2:10" ht="18" hidden="1" outlineLevel="1" x14ac:dyDescent="0.25">
      <c r="B108" s="1897" t="s">
        <v>559</v>
      </c>
      <c r="C108" s="1898" t="s">
        <v>560</v>
      </c>
      <c r="D108" s="1898">
        <v>69.722999999999999</v>
      </c>
      <c r="E108" s="1900"/>
      <c r="F108" s="1900"/>
      <c r="G108" s="1898" t="s">
        <v>360</v>
      </c>
      <c r="H108" s="1901"/>
      <c r="I108" s="1901"/>
      <c r="J108" s="1898"/>
    </row>
    <row r="109" spans="2:10" ht="18" hidden="1" outlineLevel="1" x14ac:dyDescent="0.25">
      <c r="B109" s="1897" t="s">
        <v>561</v>
      </c>
      <c r="C109" s="1898" t="s">
        <v>562</v>
      </c>
      <c r="D109" s="1898">
        <v>72.64</v>
      </c>
      <c r="E109" s="1900"/>
      <c r="F109" s="1900"/>
      <c r="G109" s="1898" t="s">
        <v>360</v>
      </c>
      <c r="H109" s="1901"/>
      <c r="I109" s="1901"/>
      <c r="J109" s="1898"/>
    </row>
    <row r="110" spans="2:10" ht="18" hidden="1" outlineLevel="1" x14ac:dyDescent="0.25">
      <c r="B110" s="1897" t="s">
        <v>563</v>
      </c>
      <c r="C110" s="1898" t="s">
        <v>564</v>
      </c>
      <c r="D110" s="1898">
        <v>74.921599999999998</v>
      </c>
      <c r="E110" s="1900"/>
      <c r="F110" s="1900"/>
      <c r="G110" s="1898" t="s">
        <v>360</v>
      </c>
      <c r="H110" s="1901"/>
      <c r="I110" s="1901"/>
      <c r="J110" s="1898"/>
    </row>
    <row r="111" spans="2:10" ht="18" hidden="1" outlineLevel="1" x14ac:dyDescent="0.25">
      <c r="B111" s="1897" t="s">
        <v>565</v>
      </c>
      <c r="C111" s="1898" t="s">
        <v>566</v>
      </c>
      <c r="D111" s="1898">
        <v>78.959999999999994</v>
      </c>
      <c r="E111" s="1900"/>
      <c r="F111" s="1900"/>
      <c r="G111" s="1898" t="s">
        <v>360</v>
      </c>
      <c r="H111" s="1901"/>
      <c r="I111" s="1901"/>
      <c r="J111" s="1898"/>
    </row>
    <row r="112" spans="2:10" ht="18" hidden="1" outlineLevel="1" x14ac:dyDescent="0.25">
      <c r="B112" s="1897" t="s">
        <v>567</v>
      </c>
      <c r="C112" s="1898" t="s">
        <v>568</v>
      </c>
      <c r="D112" s="1898">
        <v>79.903999999999996</v>
      </c>
      <c r="E112" s="1900"/>
      <c r="F112" s="1900"/>
      <c r="G112" s="1898" t="s">
        <v>360</v>
      </c>
      <c r="H112" s="1901"/>
      <c r="I112" s="1901"/>
      <c r="J112" s="1898"/>
    </row>
    <row r="113" spans="2:10" ht="18" hidden="1" outlineLevel="1" x14ac:dyDescent="0.25">
      <c r="B113" s="1897" t="s">
        <v>569</v>
      </c>
      <c r="C113" s="1898" t="s">
        <v>570</v>
      </c>
      <c r="D113" s="1898">
        <v>83.798000000000002</v>
      </c>
      <c r="E113" s="1900"/>
      <c r="F113" s="1900"/>
      <c r="G113" s="1898" t="s">
        <v>360</v>
      </c>
      <c r="H113" s="1901"/>
      <c r="I113" s="1901"/>
      <c r="J113" s="1898"/>
    </row>
    <row r="114" spans="2:10" ht="18" hidden="1" outlineLevel="1" x14ac:dyDescent="0.25">
      <c r="B114" s="1897" t="s">
        <v>571</v>
      </c>
      <c r="C114" s="1898" t="s">
        <v>572</v>
      </c>
      <c r="D114" s="1898">
        <v>85.467799999999997</v>
      </c>
      <c r="E114" s="1900"/>
      <c r="F114" s="1900"/>
      <c r="G114" s="1898" t="s">
        <v>360</v>
      </c>
      <c r="H114" s="1901"/>
      <c r="I114" s="1901"/>
      <c r="J114" s="1898"/>
    </row>
    <row r="115" spans="2:10" ht="18" hidden="1" outlineLevel="1" x14ac:dyDescent="0.25">
      <c r="B115" s="1897" t="s">
        <v>573</v>
      </c>
      <c r="C115" s="1898" t="s">
        <v>574</v>
      </c>
      <c r="D115" s="1898">
        <v>87.62</v>
      </c>
      <c r="E115" s="1900"/>
      <c r="F115" s="1900"/>
      <c r="G115" s="1898" t="s">
        <v>360</v>
      </c>
      <c r="H115" s="1901"/>
      <c r="I115" s="1901"/>
      <c r="J115" s="1898"/>
    </row>
    <row r="116" spans="2:10" ht="18" hidden="1" outlineLevel="1" x14ac:dyDescent="0.25">
      <c r="B116" s="1897" t="s">
        <v>575</v>
      </c>
      <c r="C116" s="1898" t="s">
        <v>576</v>
      </c>
      <c r="D116" s="1898">
        <v>88.905850000000001</v>
      </c>
      <c r="E116" s="1900"/>
      <c r="F116" s="1900"/>
      <c r="G116" s="1898" t="s">
        <v>360</v>
      </c>
      <c r="H116" s="1901"/>
      <c r="I116" s="1901"/>
      <c r="J116" s="1898"/>
    </row>
    <row r="117" spans="2:10" ht="18" hidden="1" outlineLevel="1" x14ac:dyDescent="0.25">
      <c r="B117" s="1897" t="s">
        <v>577</v>
      </c>
      <c r="C117" s="1898" t="s">
        <v>578</v>
      </c>
      <c r="D117" s="1898">
        <v>91.224000000000004</v>
      </c>
      <c r="E117" s="1900"/>
      <c r="F117" s="1900"/>
      <c r="G117" s="1898" t="s">
        <v>360</v>
      </c>
      <c r="H117" s="1901"/>
      <c r="I117" s="1901"/>
      <c r="J117" s="1898"/>
    </row>
    <row r="118" spans="2:10" ht="18" hidden="1" outlineLevel="1" x14ac:dyDescent="0.25">
      <c r="B118" s="1897" t="s">
        <v>579</v>
      </c>
      <c r="C118" s="1898" t="s">
        <v>580</v>
      </c>
      <c r="D118" s="1898">
        <v>92.906379999999999</v>
      </c>
      <c r="E118" s="1900"/>
      <c r="F118" s="1900"/>
      <c r="G118" s="1898" t="s">
        <v>360</v>
      </c>
      <c r="H118" s="1901"/>
      <c r="I118" s="1901"/>
      <c r="J118" s="1898"/>
    </row>
    <row r="119" spans="2:10" ht="18" hidden="1" outlineLevel="1" x14ac:dyDescent="0.25">
      <c r="B119" s="1897" t="s">
        <v>581</v>
      </c>
      <c r="C119" s="1898" t="s">
        <v>582</v>
      </c>
      <c r="D119" s="1898">
        <v>95.94</v>
      </c>
      <c r="E119" s="1900"/>
      <c r="F119" s="1900"/>
      <c r="G119" s="1898" t="s">
        <v>360</v>
      </c>
      <c r="H119" s="1901"/>
      <c r="I119" s="1901"/>
      <c r="J119" s="1898"/>
    </row>
    <row r="120" spans="2:10" ht="18" hidden="1" outlineLevel="1" x14ac:dyDescent="0.25">
      <c r="B120" s="1897" t="s">
        <v>583</v>
      </c>
      <c r="C120" s="1898" t="s">
        <v>584</v>
      </c>
      <c r="D120" s="1898">
        <v>98</v>
      </c>
      <c r="E120" s="1900"/>
      <c r="F120" s="1900"/>
      <c r="G120" s="1898" t="s">
        <v>360</v>
      </c>
      <c r="H120" s="1901"/>
      <c r="I120" s="1901"/>
      <c r="J120" s="1898"/>
    </row>
    <row r="121" spans="2:10" ht="18" hidden="1" outlineLevel="1" x14ac:dyDescent="0.25">
      <c r="B121" s="1897" t="s">
        <v>585</v>
      </c>
      <c r="C121" s="1898" t="s">
        <v>586</v>
      </c>
      <c r="D121" s="1898">
        <v>101.07</v>
      </c>
      <c r="E121" s="1900"/>
      <c r="F121" s="1900"/>
      <c r="G121" s="1898" t="s">
        <v>360</v>
      </c>
      <c r="H121" s="1901"/>
      <c r="I121" s="1901"/>
      <c r="J121" s="1898"/>
    </row>
    <row r="122" spans="2:10" ht="18" hidden="1" outlineLevel="1" x14ac:dyDescent="0.25">
      <c r="B122" s="1897" t="s">
        <v>587</v>
      </c>
      <c r="C122" s="1898" t="s">
        <v>588</v>
      </c>
      <c r="D122" s="1898">
        <v>102.9055</v>
      </c>
      <c r="E122" s="1900"/>
      <c r="F122" s="1900"/>
      <c r="G122" s="1898" t="s">
        <v>360</v>
      </c>
      <c r="H122" s="1901"/>
      <c r="I122" s="1901"/>
      <c r="J122" s="1898"/>
    </row>
    <row r="123" spans="2:10" ht="18" hidden="1" outlineLevel="1" x14ac:dyDescent="0.25">
      <c r="B123" s="1897" t="s">
        <v>589</v>
      </c>
      <c r="C123" s="1898" t="s">
        <v>590</v>
      </c>
      <c r="D123" s="1898">
        <v>106.42</v>
      </c>
      <c r="E123" s="1900"/>
      <c r="F123" s="1900"/>
      <c r="G123" s="1898" t="s">
        <v>360</v>
      </c>
      <c r="H123" s="1901"/>
      <c r="I123" s="1901"/>
      <c r="J123" s="1898"/>
    </row>
    <row r="124" spans="2:10" ht="18" hidden="1" outlineLevel="1" x14ac:dyDescent="0.25">
      <c r="B124" s="1897" t="s">
        <v>591</v>
      </c>
      <c r="C124" s="1898" t="s">
        <v>592</v>
      </c>
      <c r="D124" s="1898">
        <v>107.8682</v>
      </c>
      <c r="E124" s="1900"/>
      <c r="F124" s="1900"/>
      <c r="G124" s="1898" t="s">
        <v>360</v>
      </c>
      <c r="H124" s="1901"/>
      <c r="I124" s="1901"/>
      <c r="J124" s="1898"/>
    </row>
    <row r="125" spans="2:10" ht="18" hidden="1" outlineLevel="1" x14ac:dyDescent="0.25">
      <c r="B125" s="1897" t="s">
        <v>593</v>
      </c>
      <c r="C125" s="1898" t="s">
        <v>594</v>
      </c>
      <c r="D125" s="1898">
        <v>112.411</v>
      </c>
      <c r="E125" s="1900"/>
      <c r="F125" s="1900"/>
      <c r="G125" s="1898" t="s">
        <v>360</v>
      </c>
      <c r="H125" s="1901"/>
      <c r="I125" s="1901"/>
      <c r="J125" s="1898"/>
    </row>
    <row r="126" spans="2:10" ht="18" hidden="1" outlineLevel="1" x14ac:dyDescent="0.25">
      <c r="B126" s="1897" t="s">
        <v>595</v>
      </c>
      <c r="C126" s="1898" t="s">
        <v>596</v>
      </c>
      <c r="D126" s="1898">
        <v>114.818</v>
      </c>
      <c r="E126" s="1900"/>
      <c r="F126" s="1900"/>
      <c r="G126" s="1898" t="s">
        <v>360</v>
      </c>
      <c r="H126" s="1901"/>
      <c r="I126" s="1901"/>
      <c r="J126" s="1898"/>
    </row>
    <row r="127" spans="2:10" ht="18" hidden="1" outlineLevel="1" x14ac:dyDescent="0.25">
      <c r="B127" s="1897" t="s">
        <v>597</v>
      </c>
      <c r="C127" s="1898" t="s">
        <v>598</v>
      </c>
      <c r="D127" s="1898">
        <v>118.71</v>
      </c>
      <c r="E127" s="1900"/>
      <c r="F127" s="1900"/>
      <c r="G127" s="1898" t="s">
        <v>360</v>
      </c>
      <c r="H127" s="1901"/>
      <c r="I127" s="1901"/>
      <c r="J127" s="1898"/>
    </row>
    <row r="128" spans="2:10" ht="18" hidden="1" outlineLevel="1" x14ac:dyDescent="0.25">
      <c r="B128" s="1897" t="s">
        <v>599</v>
      </c>
      <c r="C128" s="1898" t="s">
        <v>600</v>
      </c>
      <c r="D128" s="1898">
        <v>121.76</v>
      </c>
      <c r="E128" s="1900"/>
      <c r="F128" s="1900"/>
      <c r="G128" s="1898" t="s">
        <v>360</v>
      </c>
      <c r="H128" s="1901"/>
      <c r="I128" s="1901"/>
      <c r="J128" s="1898"/>
    </row>
    <row r="129" spans="2:10" ht="18" hidden="1" outlineLevel="1" x14ac:dyDescent="0.25">
      <c r="B129" s="1897" t="s">
        <v>601</v>
      </c>
      <c r="C129" s="1898" t="s">
        <v>602</v>
      </c>
      <c r="D129" s="1898">
        <v>127.6</v>
      </c>
      <c r="E129" s="1900"/>
      <c r="F129" s="1900"/>
      <c r="G129" s="1898" t="s">
        <v>360</v>
      </c>
      <c r="H129" s="1901"/>
      <c r="I129" s="1901"/>
      <c r="J129" s="1898"/>
    </row>
    <row r="130" spans="2:10" ht="18" hidden="1" outlineLevel="1" x14ac:dyDescent="0.25">
      <c r="B130" s="1897" t="s">
        <v>603</v>
      </c>
      <c r="C130" s="1898" t="s">
        <v>604</v>
      </c>
      <c r="D130" s="1898">
        <v>126.90447</v>
      </c>
      <c r="E130" s="1900"/>
      <c r="F130" s="1900"/>
      <c r="G130" s="1898" t="s">
        <v>360</v>
      </c>
      <c r="H130" s="1901"/>
      <c r="I130" s="1901"/>
      <c r="J130" s="1898"/>
    </row>
    <row r="131" spans="2:10" ht="18" hidden="1" outlineLevel="1" x14ac:dyDescent="0.25">
      <c r="B131" s="1897" t="s">
        <v>605</v>
      </c>
      <c r="C131" s="1898" t="s">
        <v>606</v>
      </c>
      <c r="D131" s="1898">
        <v>131.29300000000001</v>
      </c>
      <c r="E131" s="1900"/>
      <c r="F131" s="1900"/>
      <c r="G131" s="1898" t="s">
        <v>360</v>
      </c>
      <c r="H131" s="1901"/>
      <c r="I131" s="1901"/>
      <c r="J131" s="1898"/>
    </row>
    <row r="132" spans="2:10" ht="18" hidden="1" outlineLevel="1" x14ac:dyDescent="0.25">
      <c r="B132" s="1897" t="s">
        <v>607</v>
      </c>
      <c r="C132" s="1898" t="s">
        <v>608</v>
      </c>
      <c r="D132" s="1898">
        <v>132.90545</v>
      </c>
      <c r="E132" s="1900"/>
      <c r="F132" s="1900"/>
      <c r="G132" s="1898" t="s">
        <v>360</v>
      </c>
      <c r="H132" s="1901"/>
      <c r="I132" s="1901"/>
      <c r="J132" s="1898"/>
    </row>
    <row r="133" spans="2:10" ht="18" hidden="1" outlineLevel="1" x14ac:dyDescent="0.25">
      <c r="B133" s="1897" t="s">
        <v>609</v>
      </c>
      <c r="C133" s="1898" t="s">
        <v>610</v>
      </c>
      <c r="D133" s="1898">
        <v>137.327</v>
      </c>
      <c r="E133" s="1900"/>
      <c r="F133" s="1900"/>
      <c r="G133" s="1898" t="s">
        <v>360</v>
      </c>
      <c r="H133" s="1901"/>
      <c r="I133" s="1901"/>
      <c r="J133" s="1898"/>
    </row>
    <row r="134" spans="2:10" ht="18" hidden="1" outlineLevel="1" x14ac:dyDescent="0.25">
      <c r="B134" s="1897" t="s">
        <v>611</v>
      </c>
      <c r="C134" s="1898" t="s">
        <v>612</v>
      </c>
      <c r="D134" s="1898">
        <v>138.90547000000001</v>
      </c>
      <c r="E134" s="1900"/>
      <c r="F134" s="1900"/>
      <c r="G134" s="1898" t="s">
        <v>360</v>
      </c>
      <c r="H134" s="1901"/>
      <c r="I134" s="1901"/>
      <c r="J134" s="1898"/>
    </row>
    <row r="135" spans="2:10" ht="18" hidden="1" outlineLevel="1" x14ac:dyDescent="0.25">
      <c r="B135" s="1897" t="s">
        <v>613</v>
      </c>
      <c r="C135" s="1898" t="s">
        <v>614</v>
      </c>
      <c r="D135" s="1898">
        <v>140.11600000000001</v>
      </c>
      <c r="E135" s="1900"/>
      <c r="F135" s="1900"/>
      <c r="G135" s="1898" t="s">
        <v>360</v>
      </c>
      <c r="H135" s="1901"/>
      <c r="I135" s="1901"/>
      <c r="J135" s="1898"/>
    </row>
    <row r="136" spans="2:10" ht="18" hidden="1" outlineLevel="1" x14ac:dyDescent="0.25">
      <c r="B136" s="1897" t="s">
        <v>615</v>
      </c>
      <c r="C136" s="1898" t="s">
        <v>616</v>
      </c>
      <c r="D136" s="1898">
        <v>140.90764999999999</v>
      </c>
      <c r="E136" s="1900"/>
      <c r="F136" s="1900"/>
      <c r="G136" s="1898" t="s">
        <v>360</v>
      </c>
      <c r="H136" s="1901"/>
      <c r="I136" s="1901"/>
      <c r="J136" s="1898"/>
    </row>
    <row r="137" spans="2:10" ht="18" hidden="1" outlineLevel="1" x14ac:dyDescent="0.25">
      <c r="B137" s="1897" t="s">
        <v>617</v>
      </c>
      <c r="C137" s="1898" t="s">
        <v>618</v>
      </c>
      <c r="D137" s="1898">
        <v>144.24199999999999</v>
      </c>
      <c r="E137" s="1900"/>
      <c r="F137" s="1900"/>
      <c r="G137" s="1898" t="s">
        <v>360</v>
      </c>
      <c r="H137" s="1901"/>
      <c r="I137" s="1901"/>
      <c r="J137" s="1898"/>
    </row>
    <row r="138" spans="2:10" ht="18" hidden="1" outlineLevel="1" x14ac:dyDescent="0.25">
      <c r="B138" s="1897" t="s">
        <v>619</v>
      </c>
      <c r="C138" s="1898" t="s">
        <v>620</v>
      </c>
      <c r="D138" s="1898">
        <v>145</v>
      </c>
      <c r="E138" s="1900"/>
      <c r="F138" s="1900"/>
      <c r="G138" s="1898" t="s">
        <v>360</v>
      </c>
      <c r="H138" s="1901"/>
      <c r="I138" s="1901"/>
      <c r="J138" s="1898"/>
    </row>
    <row r="139" spans="2:10" ht="18" hidden="1" outlineLevel="1" x14ac:dyDescent="0.25">
      <c r="B139" s="1897" t="s">
        <v>621</v>
      </c>
      <c r="C139" s="1898" t="s">
        <v>622</v>
      </c>
      <c r="D139" s="1898">
        <v>150.36000000000001</v>
      </c>
      <c r="E139" s="1900"/>
      <c r="F139" s="1900"/>
      <c r="G139" s="1898" t="s">
        <v>360</v>
      </c>
      <c r="H139" s="1901"/>
      <c r="I139" s="1901"/>
      <c r="J139" s="1898"/>
    </row>
    <row r="140" spans="2:10" ht="18" hidden="1" outlineLevel="1" x14ac:dyDescent="0.25">
      <c r="B140" s="1897" t="s">
        <v>623</v>
      </c>
      <c r="C140" s="1898" t="s">
        <v>624</v>
      </c>
      <c r="D140" s="1898">
        <v>151.964</v>
      </c>
      <c r="E140" s="1900"/>
      <c r="F140" s="1900"/>
      <c r="G140" s="1898" t="s">
        <v>360</v>
      </c>
      <c r="H140" s="1901"/>
      <c r="I140" s="1901"/>
      <c r="J140" s="1898"/>
    </row>
    <row r="141" spans="2:10" ht="18" hidden="1" outlineLevel="1" x14ac:dyDescent="0.25">
      <c r="B141" s="1897" t="s">
        <v>625</v>
      </c>
      <c r="C141" s="1898" t="s">
        <v>626</v>
      </c>
      <c r="D141" s="1898">
        <v>157.25</v>
      </c>
      <c r="E141" s="1900"/>
      <c r="F141" s="1900"/>
      <c r="G141" s="1898" t="s">
        <v>360</v>
      </c>
      <c r="H141" s="1901"/>
      <c r="I141" s="1901"/>
      <c r="J141" s="1898"/>
    </row>
    <row r="142" spans="2:10" ht="18" hidden="1" outlineLevel="1" x14ac:dyDescent="0.25">
      <c r="B142" s="1897" t="s">
        <v>627</v>
      </c>
      <c r="C142" s="1898" t="s">
        <v>628</v>
      </c>
      <c r="D142" s="1898">
        <v>158.92535000000001</v>
      </c>
      <c r="E142" s="1900"/>
      <c r="F142" s="1900"/>
      <c r="G142" s="1898" t="s">
        <v>360</v>
      </c>
      <c r="H142" s="1901"/>
      <c r="I142" s="1901"/>
      <c r="J142" s="1898"/>
    </row>
    <row r="143" spans="2:10" ht="18" hidden="1" outlineLevel="1" x14ac:dyDescent="0.25">
      <c r="B143" s="1897" t="s">
        <v>629</v>
      </c>
      <c r="C143" s="1898" t="s">
        <v>630</v>
      </c>
      <c r="D143" s="1898">
        <v>162.5</v>
      </c>
      <c r="E143" s="1900"/>
      <c r="F143" s="1900"/>
      <c r="G143" s="1898" t="s">
        <v>360</v>
      </c>
      <c r="H143" s="1901"/>
      <c r="I143" s="1901"/>
      <c r="J143" s="1898"/>
    </row>
    <row r="144" spans="2:10" ht="18" hidden="1" outlineLevel="1" x14ac:dyDescent="0.25">
      <c r="B144" s="1897" t="s">
        <v>631</v>
      </c>
      <c r="C144" s="1898" t="s">
        <v>632</v>
      </c>
      <c r="D144" s="1898">
        <v>164.93031999999999</v>
      </c>
      <c r="E144" s="1900"/>
      <c r="F144" s="1900"/>
      <c r="G144" s="1898" t="s">
        <v>360</v>
      </c>
      <c r="H144" s="1901"/>
      <c r="I144" s="1901"/>
      <c r="J144" s="1898"/>
    </row>
    <row r="145" spans="2:10" ht="18" hidden="1" outlineLevel="1" x14ac:dyDescent="0.25">
      <c r="B145" s="1897" t="s">
        <v>633</v>
      </c>
      <c r="C145" s="1898" t="s">
        <v>634</v>
      </c>
      <c r="D145" s="1898">
        <v>167.25899999999999</v>
      </c>
      <c r="E145" s="1900"/>
      <c r="F145" s="1900"/>
      <c r="G145" s="1898" t="s">
        <v>360</v>
      </c>
      <c r="H145" s="1901"/>
      <c r="I145" s="1901"/>
      <c r="J145" s="1898"/>
    </row>
    <row r="146" spans="2:10" ht="18" hidden="1" outlineLevel="1" x14ac:dyDescent="0.25">
      <c r="B146" s="1897" t="s">
        <v>635</v>
      </c>
      <c r="C146" s="1898" t="s">
        <v>636</v>
      </c>
      <c r="D146" s="1898">
        <v>168.93421000000001</v>
      </c>
      <c r="E146" s="1900"/>
      <c r="F146" s="1900"/>
      <c r="G146" s="1898" t="s">
        <v>360</v>
      </c>
      <c r="H146" s="1901"/>
      <c r="I146" s="1901"/>
      <c r="J146" s="1898"/>
    </row>
    <row r="147" spans="2:10" ht="18" hidden="1" outlineLevel="1" x14ac:dyDescent="0.25">
      <c r="B147" s="1897" t="s">
        <v>637</v>
      </c>
      <c r="C147" s="1898" t="s">
        <v>638</v>
      </c>
      <c r="D147" s="1898">
        <v>173.04</v>
      </c>
      <c r="E147" s="1900"/>
      <c r="F147" s="1900"/>
      <c r="G147" s="1898" t="s">
        <v>360</v>
      </c>
      <c r="H147" s="1901"/>
      <c r="I147" s="1901"/>
      <c r="J147" s="1898"/>
    </row>
    <row r="148" spans="2:10" ht="18" hidden="1" outlineLevel="1" x14ac:dyDescent="0.25">
      <c r="B148" s="1897" t="s">
        <v>639</v>
      </c>
      <c r="C148" s="1898" t="s">
        <v>640</v>
      </c>
      <c r="D148" s="1898">
        <v>174.96700000000001</v>
      </c>
      <c r="E148" s="1900"/>
      <c r="F148" s="1900"/>
      <c r="G148" s="1898" t="s">
        <v>360</v>
      </c>
      <c r="H148" s="1901"/>
      <c r="I148" s="1901"/>
      <c r="J148" s="1898"/>
    </row>
    <row r="149" spans="2:10" ht="18" hidden="1" outlineLevel="1" x14ac:dyDescent="0.25">
      <c r="B149" s="1897" t="s">
        <v>641</v>
      </c>
      <c r="C149" s="1898" t="s">
        <v>642</v>
      </c>
      <c r="D149" s="1898">
        <v>178.49</v>
      </c>
      <c r="E149" s="1900"/>
      <c r="F149" s="1900"/>
      <c r="G149" s="1898" t="s">
        <v>360</v>
      </c>
      <c r="H149" s="1901"/>
      <c r="I149" s="1901"/>
      <c r="J149" s="1898"/>
    </row>
    <row r="150" spans="2:10" ht="18" hidden="1" outlineLevel="1" x14ac:dyDescent="0.25">
      <c r="B150" s="1897" t="s">
        <v>643</v>
      </c>
      <c r="C150" s="1898" t="s">
        <v>644</v>
      </c>
      <c r="D150" s="1898">
        <v>180.94788</v>
      </c>
      <c r="E150" s="1900"/>
      <c r="F150" s="1900"/>
      <c r="G150" s="1898" t="s">
        <v>360</v>
      </c>
      <c r="H150" s="1901"/>
      <c r="I150" s="1901"/>
      <c r="J150" s="1898"/>
    </row>
    <row r="151" spans="2:10" ht="18" hidden="1" outlineLevel="1" x14ac:dyDescent="0.25">
      <c r="B151" s="1897" t="s">
        <v>645</v>
      </c>
      <c r="C151" s="1898" t="s">
        <v>646</v>
      </c>
      <c r="D151" s="1898">
        <v>183.84</v>
      </c>
      <c r="E151" s="1900"/>
      <c r="F151" s="1900"/>
      <c r="G151" s="1898" t="s">
        <v>360</v>
      </c>
      <c r="H151" s="1901"/>
      <c r="I151" s="1901"/>
      <c r="J151" s="1898"/>
    </row>
    <row r="152" spans="2:10" ht="18" hidden="1" outlineLevel="1" x14ac:dyDescent="0.25">
      <c r="B152" s="1897" t="s">
        <v>647</v>
      </c>
      <c r="C152" s="1898" t="s">
        <v>648</v>
      </c>
      <c r="D152" s="1898">
        <v>186.20699999999999</v>
      </c>
      <c r="E152" s="1900"/>
      <c r="F152" s="1900"/>
      <c r="G152" s="1898" t="s">
        <v>360</v>
      </c>
      <c r="H152" s="1901"/>
      <c r="I152" s="1901"/>
      <c r="J152" s="1898"/>
    </row>
    <row r="153" spans="2:10" ht="18" hidden="1" outlineLevel="1" x14ac:dyDescent="0.25">
      <c r="B153" s="1897" t="s">
        <v>649</v>
      </c>
      <c r="C153" s="1898" t="s">
        <v>650</v>
      </c>
      <c r="D153" s="1898">
        <v>190.23</v>
      </c>
      <c r="E153" s="1900"/>
      <c r="F153" s="1900"/>
      <c r="G153" s="1898" t="s">
        <v>360</v>
      </c>
      <c r="H153" s="1901"/>
      <c r="I153" s="1901"/>
      <c r="J153" s="1898"/>
    </row>
    <row r="154" spans="2:10" ht="18" hidden="1" outlineLevel="1" x14ac:dyDescent="0.25">
      <c r="B154" s="1897" t="s">
        <v>651</v>
      </c>
      <c r="C154" s="1898" t="s">
        <v>652</v>
      </c>
      <c r="D154" s="1898">
        <v>192.21700000000001</v>
      </c>
      <c r="E154" s="1900"/>
      <c r="F154" s="1900"/>
      <c r="G154" s="1898" t="s">
        <v>360</v>
      </c>
      <c r="H154" s="1901"/>
      <c r="I154" s="1901"/>
      <c r="J154" s="1898"/>
    </row>
    <row r="155" spans="2:10" ht="18" hidden="1" outlineLevel="1" x14ac:dyDescent="0.25">
      <c r="B155" s="1897" t="s">
        <v>653</v>
      </c>
      <c r="C155" s="1898" t="s">
        <v>654</v>
      </c>
      <c r="D155" s="1898">
        <v>195.084</v>
      </c>
      <c r="E155" s="1900"/>
      <c r="F155" s="1900"/>
      <c r="G155" s="1898" t="s">
        <v>360</v>
      </c>
      <c r="H155" s="1901"/>
      <c r="I155" s="1901"/>
      <c r="J155" s="1898"/>
    </row>
    <row r="156" spans="2:10" ht="18" hidden="1" outlineLevel="1" x14ac:dyDescent="0.25">
      <c r="B156" s="1897" t="s">
        <v>655</v>
      </c>
      <c r="C156" s="1898" t="s">
        <v>656</v>
      </c>
      <c r="D156" s="1898">
        <v>196.96656999999999</v>
      </c>
      <c r="E156" s="1900"/>
      <c r="F156" s="1900"/>
      <c r="G156" s="1898" t="s">
        <v>360</v>
      </c>
      <c r="H156" s="1901"/>
      <c r="I156" s="1901"/>
      <c r="J156" s="1898"/>
    </row>
    <row r="157" spans="2:10" ht="18" hidden="1" outlineLevel="1" x14ac:dyDescent="0.25">
      <c r="B157" s="1897" t="s">
        <v>657</v>
      </c>
      <c r="C157" s="1898" t="s">
        <v>658</v>
      </c>
      <c r="D157" s="1898">
        <v>200.59</v>
      </c>
      <c r="E157" s="1900"/>
      <c r="F157" s="1900"/>
      <c r="G157" s="1898" t="s">
        <v>360</v>
      </c>
      <c r="H157" s="1901"/>
      <c r="I157" s="1901"/>
      <c r="J157" s="1898"/>
    </row>
    <row r="158" spans="2:10" ht="18" hidden="1" outlineLevel="1" x14ac:dyDescent="0.25">
      <c r="B158" s="1897" t="s">
        <v>659</v>
      </c>
      <c r="C158" s="1898" t="s">
        <v>660</v>
      </c>
      <c r="D158" s="1898">
        <v>204.38329999999999</v>
      </c>
      <c r="E158" s="1900"/>
      <c r="F158" s="1900"/>
      <c r="G158" s="1898" t="s">
        <v>360</v>
      </c>
      <c r="H158" s="1901"/>
      <c r="I158" s="1901"/>
      <c r="J158" s="1898"/>
    </row>
    <row r="159" spans="2:10" ht="18" hidden="1" outlineLevel="1" x14ac:dyDescent="0.25">
      <c r="B159" s="1897" t="s">
        <v>661</v>
      </c>
      <c r="C159" s="1898" t="s">
        <v>662</v>
      </c>
      <c r="D159" s="1898">
        <v>207.2</v>
      </c>
      <c r="E159" s="1900"/>
      <c r="F159" s="1900"/>
      <c r="G159" s="1898" t="s">
        <v>360</v>
      </c>
      <c r="H159" s="1901"/>
      <c r="I159" s="1901"/>
      <c r="J159" s="1898"/>
    </row>
    <row r="160" spans="2:10" ht="18" hidden="1" outlineLevel="1" x14ac:dyDescent="0.25">
      <c r="B160" s="1897" t="s">
        <v>663</v>
      </c>
      <c r="C160" s="1898" t="s">
        <v>664</v>
      </c>
      <c r="D160" s="1898">
        <v>208.9804</v>
      </c>
      <c r="E160" s="1900"/>
      <c r="F160" s="1900"/>
      <c r="G160" s="1898" t="s">
        <v>360</v>
      </c>
      <c r="H160" s="1901"/>
      <c r="I160" s="1901"/>
      <c r="J160" s="1898"/>
    </row>
    <row r="161" spans="2:10" ht="18" hidden="1" outlineLevel="1" x14ac:dyDescent="0.25">
      <c r="B161" s="1897" t="s">
        <v>665</v>
      </c>
      <c r="C161" s="1898" t="s">
        <v>666</v>
      </c>
      <c r="D161" s="1898">
        <v>209</v>
      </c>
      <c r="E161" s="1900"/>
      <c r="F161" s="1900"/>
      <c r="G161" s="1898" t="s">
        <v>360</v>
      </c>
      <c r="H161" s="1901"/>
      <c r="I161" s="1901"/>
      <c r="J161" s="1898"/>
    </row>
    <row r="162" spans="2:10" ht="18" hidden="1" outlineLevel="1" x14ac:dyDescent="0.25">
      <c r="B162" s="1897" t="s">
        <v>667</v>
      </c>
      <c r="C162" s="1898" t="s">
        <v>668</v>
      </c>
      <c r="D162" s="1898">
        <v>210</v>
      </c>
      <c r="E162" s="1900"/>
      <c r="F162" s="1900"/>
      <c r="G162" s="1898" t="s">
        <v>360</v>
      </c>
      <c r="H162" s="1901"/>
      <c r="I162" s="1901"/>
      <c r="J162" s="1898"/>
    </row>
    <row r="163" spans="2:10" ht="18" hidden="1" outlineLevel="1" x14ac:dyDescent="0.25">
      <c r="B163" s="1897" t="s">
        <v>669</v>
      </c>
      <c r="C163" s="1898" t="s">
        <v>670</v>
      </c>
      <c r="D163" s="1898">
        <v>222</v>
      </c>
      <c r="E163" s="1900"/>
      <c r="F163" s="1900"/>
      <c r="G163" s="1898" t="s">
        <v>360</v>
      </c>
      <c r="H163" s="1901"/>
      <c r="I163" s="1901"/>
      <c r="J163" s="1898"/>
    </row>
    <row r="164" spans="2:10" ht="18" hidden="1" outlineLevel="1" x14ac:dyDescent="0.25">
      <c r="B164" s="1897" t="s">
        <v>671</v>
      </c>
      <c r="C164" s="1898" t="s">
        <v>672</v>
      </c>
      <c r="D164" s="1898">
        <v>223</v>
      </c>
      <c r="E164" s="1900"/>
      <c r="F164" s="1900"/>
      <c r="G164" s="1898" t="s">
        <v>360</v>
      </c>
      <c r="H164" s="1901"/>
      <c r="I164" s="1901"/>
      <c r="J164" s="1898"/>
    </row>
    <row r="165" spans="2:10" ht="18" hidden="1" outlineLevel="1" x14ac:dyDescent="0.25">
      <c r="B165" s="1897" t="s">
        <v>673</v>
      </c>
      <c r="C165" s="1898" t="s">
        <v>674</v>
      </c>
      <c r="D165" s="1898">
        <v>226</v>
      </c>
      <c r="E165" s="1900"/>
      <c r="F165" s="1900"/>
      <c r="G165" s="1898" t="s">
        <v>360</v>
      </c>
      <c r="H165" s="1901"/>
      <c r="I165" s="1901"/>
      <c r="J165" s="1898"/>
    </row>
    <row r="166" spans="2:10" ht="18" hidden="1" outlineLevel="1" x14ac:dyDescent="0.25">
      <c r="B166" s="1897" t="s">
        <v>675</v>
      </c>
      <c r="C166" s="1898" t="s">
        <v>676</v>
      </c>
      <c r="D166" s="1898">
        <v>227</v>
      </c>
      <c r="E166" s="1900"/>
      <c r="F166" s="1900"/>
      <c r="G166" s="1898" t="s">
        <v>360</v>
      </c>
      <c r="H166" s="1901"/>
      <c r="I166" s="1901"/>
      <c r="J166" s="1898"/>
    </row>
    <row r="167" spans="2:10" ht="18" hidden="1" outlineLevel="1" x14ac:dyDescent="0.25">
      <c r="B167" s="1897" t="s">
        <v>677</v>
      </c>
      <c r="C167" s="1898" t="s">
        <v>678</v>
      </c>
      <c r="D167" s="1898">
        <v>232.03806</v>
      </c>
      <c r="E167" s="1900"/>
      <c r="F167" s="1900"/>
      <c r="G167" s="1898" t="s">
        <v>360</v>
      </c>
      <c r="H167" s="1901"/>
      <c r="I167" s="1901"/>
      <c r="J167" s="1898"/>
    </row>
    <row r="168" spans="2:10" ht="18" hidden="1" outlineLevel="1" x14ac:dyDescent="0.25">
      <c r="B168" s="1897" t="s">
        <v>679</v>
      </c>
      <c r="C168" s="1898" t="s">
        <v>680</v>
      </c>
      <c r="D168" s="1898">
        <v>231.03587999999999</v>
      </c>
      <c r="E168" s="1900"/>
      <c r="F168" s="1900"/>
      <c r="G168" s="1898" t="s">
        <v>360</v>
      </c>
      <c r="H168" s="1901"/>
      <c r="I168" s="1901"/>
      <c r="J168" s="1898"/>
    </row>
    <row r="169" spans="2:10" ht="18" hidden="1" outlineLevel="1" x14ac:dyDescent="0.25">
      <c r="B169" s="1897" t="s">
        <v>681</v>
      </c>
      <c r="C169" s="1898" t="s">
        <v>682</v>
      </c>
      <c r="D169" s="1898">
        <v>238.02891</v>
      </c>
      <c r="E169" s="1900"/>
      <c r="F169" s="1900"/>
      <c r="G169" s="1898" t="s">
        <v>360</v>
      </c>
      <c r="H169" s="1901"/>
      <c r="I169" s="1901"/>
      <c r="J169" s="1898"/>
    </row>
    <row r="170" spans="2:10" ht="18" hidden="1" outlineLevel="1" x14ac:dyDescent="0.25">
      <c r="B170" s="1897" t="s">
        <v>683</v>
      </c>
      <c r="C170" s="1898" t="s">
        <v>684</v>
      </c>
      <c r="D170" s="1898">
        <v>237</v>
      </c>
      <c r="E170" s="1900"/>
      <c r="F170" s="1900"/>
      <c r="G170" s="1898" t="s">
        <v>360</v>
      </c>
      <c r="H170" s="1901"/>
      <c r="I170" s="1901"/>
      <c r="J170" s="1898"/>
    </row>
    <row r="171" spans="2:10" ht="18" hidden="1" outlineLevel="1" x14ac:dyDescent="0.25">
      <c r="B171" s="1897" t="s">
        <v>685</v>
      </c>
      <c r="C171" s="1898" t="s">
        <v>686</v>
      </c>
      <c r="D171" s="1898">
        <v>244</v>
      </c>
      <c r="E171" s="1900"/>
      <c r="F171" s="1900"/>
      <c r="G171" s="1898" t="s">
        <v>360</v>
      </c>
      <c r="H171" s="1901"/>
      <c r="I171" s="1901"/>
      <c r="J171" s="1898"/>
    </row>
    <row r="172" spans="2:10" ht="18" hidden="1" outlineLevel="1" x14ac:dyDescent="0.25">
      <c r="B172" s="1897" t="s">
        <v>687</v>
      </c>
      <c r="C172" s="1898" t="s">
        <v>688</v>
      </c>
      <c r="D172" s="1898">
        <v>243</v>
      </c>
      <c r="E172" s="1900"/>
      <c r="F172" s="1900"/>
      <c r="G172" s="1898" t="s">
        <v>360</v>
      </c>
      <c r="H172" s="1901"/>
      <c r="I172" s="1901"/>
      <c r="J172" s="1898"/>
    </row>
    <row r="173" spans="2:10" ht="18" hidden="1" outlineLevel="1" x14ac:dyDescent="0.25">
      <c r="B173" s="1897" t="s">
        <v>689</v>
      </c>
      <c r="C173" s="1898" t="s">
        <v>690</v>
      </c>
      <c r="D173" s="1898">
        <v>247</v>
      </c>
      <c r="E173" s="1900"/>
      <c r="F173" s="1900"/>
      <c r="G173" s="1898" t="s">
        <v>360</v>
      </c>
      <c r="H173" s="1901"/>
      <c r="I173" s="1901"/>
      <c r="J173" s="1898"/>
    </row>
    <row r="174" spans="2:10" ht="18" hidden="1" outlineLevel="1" x14ac:dyDescent="0.25">
      <c r="B174" s="1897" t="s">
        <v>691</v>
      </c>
      <c r="C174" s="1898" t="s">
        <v>692</v>
      </c>
      <c r="D174" s="1898">
        <v>247</v>
      </c>
      <c r="E174" s="1900"/>
      <c r="F174" s="1900"/>
      <c r="G174" s="1898" t="s">
        <v>360</v>
      </c>
      <c r="H174" s="1901"/>
      <c r="I174" s="1901"/>
      <c r="J174" s="1898"/>
    </row>
    <row r="175" spans="2:10" ht="18" hidden="1" outlineLevel="1" x14ac:dyDescent="0.25">
      <c r="B175" s="1897" t="s">
        <v>693</v>
      </c>
      <c r="C175" s="1898" t="s">
        <v>694</v>
      </c>
      <c r="D175" s="1898">
        <v>251</v>
      </c>
      <c r="E175" s="1900"/>
      <c r="F175" s="1900"/>
      <c r="G175" s="1898" t="s">
        <v>360</v>
      </c>
      <c r="H175" s="1901"/>
      <c r="I175" s="1901"/>
      <c r="J175" s="1898"/>
    </row>
    <row r="176" spans="2:10" ht="18" hidden="1" outlineLevel="1" x14ac:dyDescent="0.25">
      <c r="B176" s="1897" t="s">
        <v>695</v>
      </c>
      <c r="C176" s="1898" t="s">
        <v>696</v>
      </c>
      <c r="D176" s="1898">
        <v>252</v>
      </c>
      <c r="E176" s="1900"/>
      <c r="F176" s="1900"/>
      <c r="G176" s="1898" t="s">
        <v>360</v>
      </c>
      <c r="H176" s="1901"/>
      <c r="I176" s="1901"/>
      <c r="J176" s="1898"/>
    </row>
    <row r="177" spans="2:10" ht="18" hidden="1" outlineLevel="1" x14ac:dyDescent="0.25">
      <c r="B177" s="1897" t="s">
        <v>697</v>
      </c>
      <c r="C177" s="1898" t="s">
        <v>698</v>
      </c>
      <c r="D177" s="1898">
        <v>257</v>
      </c>
      <c r="E177" s="1900"/>
      <c r="F177" s="1900"/>
      <c r="G177" s="1898" t="s">
        <v>360</v>
      </c>
      <c r="H177" s="1901"/>
      <c r="I177" s="1901"/>
      <c r="J177" s="1898"/>
    </row>
    <row r="178" spans="2:10" ht="18" hidden="1" outlineLevel="1" x14ac:dyDescent="0.25">
      <c r="B178" s="1897" t="s">
        <v>699</v>
      </c>
      <c r="C178" s="1898" t="s">
        <v>700</v>
      </c>
      <c r="D178" s="1898">
        <v>258</v>
      </c>
      <c r="E178" s="1900"/>
      <c r="F178" s="1900"/>
      <c r="G178" s="1898" t="s">
        <v>360</v>
      </c>
      <c r="H178" s="1901"/>
      <c r="I178" s="1901"/>
      <c r="J178" s="1898"/>
    </row>
    <row r="179" spans="2:10" ht="18" hidden="1" outlineLevel="1" x14ac:dyDescent="0.25">
      <c r="B179" s="1897" t="s">
        <v>701</v>
      </c>
      <c r="C179" s="1898" t="s">
        <v>702</v>
      </c>
      <c r="D179" s="1898">
        <v>259</v>
      </c>
      <c r="E179" s="1900"/>
      <c r="F179" s="1900"/>
      <c r="G179" s="1898" t="s">
        <v>360</v>
      </c>
      <c r="H179" s="1901"/>
      <c r="I179" s="1901"/>
      <c r="J179" s="1898"/>
    </row>
    <row r="180" spans="2:10" ht="18" hidden="1" outlineLevel="1" x14ac:dyDescent="0.25">
      <c r="B180" s="1897" t="s">
        <v>703</v>
      </c>
      <c r="C180" s="1898" t="s">
        <v>704</v>
      </c>
      <c r="D180" s="1898">
        <v>262</v>
      </c>
      <c r="E180" s="1900"/>
      <c r="F180" s="1900"/>
      <c r="G180" s="1898" t="s">
        <v>360</v>
      </c>
      <c r="H180" s="1901"/>
      <c r="I180" s="1901"/>
      <c r="J180" s="1898"/>
    </row>
    <row r="181" spans="2:10" ht="18" hidden="1" outlineLevel="1" x14ac:dyDescent="0.25">
      <c r="B181" s="1897" t="s">
        <v>705</v>
      </c>
      <c r="C181" s="1898" t="s">
        <v>706</v>
      </c>
      <c r="D181" s="1898">
        <v>261</v>
      </c>
      <c r="E181" s="1900"/>
      <c r="F181" s="1900"/>
      <c r="G181" s="1898" t="s">
        <v>360</v>
      </c>
      <c r="H181" s="1901"/>
      <c r="I181" s="1901"/>
      <c r="J181" s="1898"/>
    </row>
    <row r="182" spans="2:10" ht="18" hidden="1" outlineLevel="1" x14ac:dyDescent="0.25">
      <c r="B182" s="1897" t="s">
        <v>707</v>
      </c>
      <c r="C182" s="1898" t="s">
        <v>708</v>
      </c>
      <c r="D182" s="1898">
        <v>262</v>
      </c>
      <c r="E182" s="1900"/>
      <c r="F182" s="1900"/>
      <c r="G182" s="1898" t="s">
        <v>360</v>
      </c>
      <c r="H182" s="1901"/>
      <c r="I182" s="1901"/>
      <c r="J182" s="1898"/>
    </row>
    <row r="183" spans="2:10" ht="18" hidden="1" outlineLevel="1" x14ac:dyDescent="0.25">
      <c r="B183" s="1897" t="s">
        <v>709</v>
      </c>
      <c r="C183" s="1898" t="s">
        <v>710</v>
      </c>
      <c r="D183" s="1898">
        <v>266</v>
      </c>
      <c r="E183" s="1900"/>
      <c r="F183" s="1900"/>
      <c r="G183" s="1898" t="s">
        <v>360</v>
      </c>
      <c r="H183" s="1901"/>
      <c r="I183" s="1901"/>
      <c r="J183" s="1898"/>
    </row>
    <row r="184" spans="2:10" ht="18" hidden="1" outlineLevel="1" x14ac:dyDescent="0.25">
      <c r="B184" s="1897" t="s">
        <v>711</v>
      </c>
      <c r="C184" s="1898" t="s">
        <v>712</v>
      </c>
      <c r="D184" s="1898">
        <v>264</v>
      </c>
      <c r="E184" s="1900"/>
      <c r="F184" s="1900"/>
      <c r="G184" s="1898" t="s">
        <v>360</v>
      </c>
      <c r="H184" s="1901"/>
      <c r="I184" s="1901"/>
      <c r="J184" s="1898"/>
    </row>
    <row r="185" spans="2:10" ht="18" hidden="1" outlineLevel="1" x14ac:dyDescent="0.25">
      <c r="B185" s="1897" t="s">
        <v>713</v>
      </c>
      <c r="C185" s="1898" t="s">
        <v>714</v>
      </c>
      <c r="D185" s="1898">
        <v>277</v>
      </c>
      <c r="E185" s="1900"/>
      <c r="F185" s="1900"/>
      <c r="G185" s="1898" t="s">
        <v>360</v>
      </c>
      <c r="H185" s="1901"/>
      <c r="I185" s="1901"/>
      <c r="J185" s="1898"/>
    </row>
    <row r="186" spans="2:10" ht="18" hidden="1" outlineLevel="1" x14ac:dyDescent="0.25">
      <c r="B186" s="1897" t="s">
        <v>715</v>
      </c>
      <c r="C186" s="1898" t="s">
        <v>716</v>
      </c>
      <c r="D186" s="1898">
        <v>268</v>
      </c>
      <c r="E186" s="1900"/>
      <c r="F186" s="1900"/>
      <c r="G186" s="1898" t="s">
        <v>360</v>
      </c>
      <c r="H186" s="1901"/>
      <c r="I186" s="1901"/>
      <c r="J186" s="1898"/>
    </row>
    <row r="187" spans="2:10" ht="18" hidden="1" outlineLevel="1" x14ac:dyDescent="0.25">
      <c r="B187" s="1897" t="s">
        <v>717</v>
      </c>
      <c r="C187" s="1898" t="s">
        <v>718</v>
      </c>
      <c r="D187" s="1898">
        <v>281</v>
      </c>
      <c r="E187" s="1900"/>
      <c r="F187" s="1900"/>
      <c r="G187" s="1898" t="s">
        <v>360</v>
      </c>
      <c r="H187" s="1901"/>
      <c r="I187" s="1901"/>
      <c r="J187" s="1898"/>
    </row>
    <row r="188" spans="2:10" ht="18" hidden="1" outlineLevel="1" x14ac:dyDescent="0.25">
      <c r="B188" s="1897" t="s">
        <v>719</v>
      </c>
      <c r="C188" s="1898" t="s">
        <v>720</v>
      </c>
      <c r="D188" s="1898">
        <v>272</v>
      </c>
      <c r="E188" s="1900"/>
      <c r="F188" s="1900"/>
      <c r="G188" s="1898" t="s">
        <v>360</v>
      </c>
      <c r="H188" s="1901"/>
      <c r="I188" s="1901"/>
      <c r="J188" s="1898"/>
    </row>
    <row r="189" spans="2:10" ht="18" hidden="1" outlineLevel="1" x14ac:dyDescent="0.25">
      <c r="B189" s="1897" t="s">
        <v>721</v>
      </c>
      <c r="C189" s="1898" t="s">
        <v>722</v>
      </c>
      <c r="D189" s="1898">
        <v>285</v>
      </c>
      <c r="E189" s="1900"/>
      <c r="F189" s="1900"/>
      <c r="G189" s="1898" t="s">
        <v>360</v>
      </c>
      <c r="H189" s="1901"/>
      <c r="I189" s="1901"/>
      <c r="J189" s="1898"/>
    </row>
    <row r="190" spans="2:10" ht="18" hidden="1" outlineLevel="1" x14ac:dyDescent="0.25">
      <c r="B190" s="1897" t="s">
        <v>723</v>
      </c>
      <c r="C190" s="1898" t="s">
        <v>724</v>
      </c>
      <c r="D190" s="1898">
        <v>284</v>
      </c>
      <c r="E190" s="1900"/>
      <c r="F190" s="1900"/>
      <c r="G190" s="1898" t="s">
        <v>360</v>
      </c>
      <c r="H190" s="1901"/>
      <c r="I190" s="1901"/>
      <c r="J190" s="1898"/>
    </row>
    <row r="191" spans="2:10" ht="18" hidden="1" outlineLevel="1" x14ac:dyDescent="0.25">
      <c r="B191" s="1897" t="s">
        <v>725</v>
      </c>
      <c r="C191" s="1898" t="s">
        <v>726</v>
      </c>
      <c r="D191" s="1898">
        <v>289</v>
      </c>
      <c r="E191" s="1900"/>
      <c r="F191" s="1900"/>
      <c r="G191" s="1898" t="s">
        <v>360</v>
      </c>
      <c r="H191" s="1901"/>
      <c r="I191" s="1901"/>
      <c r="J191" s="1898"/>
    </row>
    <row r="192" spans="2:10" ht="18" hidden="1" outlineLevel="1" x14ac:dyDescent="0.25">
      <c r="B192" s="1897" t="s">
        <v>727</v>
      </c>
      <c r="C192" s="1898" t="s">
        <v>728</v>
      </c>
      <c r="D192" s="1898">
        <v>288</v>
      </c>
      <c r="E192" s="1900"/>
      <c r="F192" s="1900"/>
      <c r="G192" s="1898" t="s">
        <v>360</v>
      </c>
      <c r="H192" s="1901"/>
      <c r="I192" s="1901"/>
      <c r="J192" s="1898"/>
    </row>
    <row r="193" spans="2:10" ht="18" hidden="1" outlineLevel="1" x14ac:dyDescent="0.25">
      <c r="B193" s="1897" t="s">
        <v>729</v>
      </c>
      <c r="C193" s="1898" t="s">
        <v>730</v>
      </c>
      <c r="D193" s="1898">
        <v>292</v>
      </c>
      <c r="E193" s="1900"/>
      <c r="F193" s="1900"/>
      <c r="G193" s="1898" t="s">
        <v>360</v>
      </c>
      <c r="H193" s="1901"/>
      <c r="I193" s="1901"/>
      <c r="J193" s="1898"/>
    </row>
    <row r="194" spans="2:10" ht="18" hidden="1" outlineLevel="1" x14ac:dyDescent="0.25">
      <c r="B194" s="1897" t="s">
        <v>731</v>
      </c>
      <c r="C194" s="1898" t="s">
        <v>732</v>
      </c>
      <c r="D194" s="1898">
        <v>292</v>
      </c>
      <c r="E194" s="1900"/>
      <c r="F194" s="1900"/>
      <c r="G194" s="1898" t="s">
        <v>360</v>
      </c>
      <c r="H194" s="1901"/>
      <c r="I194" s="1901"/>
      <c r="J194" s="1898"/>
    </row>
    <row r="195" spans="2:10" ht="18" hidden="1" outlineLevel="1" x14ac:dyDescent="0.25">
      <c r="B195" s="1897" t="s">
        <v>733</v>
      </c>
      <c r="C195" s="1898" t="s">
        <v>734</v>
      </c>
      <c r="D195" s="1898">
        <v>294</v>
      </c>
      <c r="E195" s="1900"/>
      <c r="F195" s="1900"/>
      <c r="G195" s="1898" t="s">
        <v>360</v>
      </c>
      <c r="H195" s="1901"/>
      <c r="I195" s="1901"/>
      <c r="J195" s="1898"/>
    </row>
    <row r="196" spans="2:10" collapsed="1" x14ac:dyDescent="0.25"/>
    <row r="197" spans="2:10" ht="15.75" thickBot="1" x14ac:dyDescent="0.3">
      <c r="C197" s="2151" t="s">
        <v>735</v>
      </c>
    </row>
    <row r="198" spans="2:10" ht="15.75" thickBot="1" x14ac:dyDescent="0.3">
      <c r="B198" s="2152" t="s">
        <v>0</v>
      </c>
      <c r="C198" s="2153" t="s">
        <v>1</v>
      </c>
      <c r="D198" s="2154" t="s">
        <v>152</v>
      </c>
      <c r="E198" s="2154" t="s">
        <v>470</v>
      </c>
      <c r="F198" s="2154" t="s">
        <v>471</v>
      </c>
      <c r="G198" s="2154" t="s">
        <v>2</v>
      </c>
      <c r="H198" s="2154" t="s">
        <v>298</v>
      </c>
      <c r="I198" s="2154" t="s">
        <v>116</v>
      </c>
      <c r="J198" s="2155" t="s">
        <v>117</v>
      </c>
    </row>
    <row r="199" spans="2:10" ht="18" hidden="1" outlineLevel="1" x14ac:dyDescent="0.25">
      <c r="B199" s="1897" t="s">
        <v>2008</v>
      </c>
      <c r="C199" s="1898" t="s">
        <v>2009</v>
      </c>
      <c r="D199" s="1898">
        <v>28.97</v>
      </c>
      <c r="E199" s="1900"/>
      <c r="F199" s="1900"/>
      <c r="G199" s="1898" t="s">
        <v>360</v>
      </c>
      <c r="H199" s="1901"/>
      <c r="I199" s="1901"/>
      <c r="J199" s="1898"/>
    </row>
    <row r="200" spans="2:10" ht="18" hidden="1" outlineLevel="1" x14ac:dyDescent="0.25">
      <c r="B200" s="1897" t="s">
        <v>459</v>
      </c>
      <c r="C200" s="1898" t="s">
        <v>452</v>
      </c>
      <c r="D200" s="1898">
        <f>2*A_MH</f>
        <v>2.0158800000000001</v>
      </c>
      <c r="E200" s="1900"/>
      <c r="F200" s="1900"/>
      <c r="G200" s="1898" t="s">
        <v>360</v>
      </c>
      <c r="H200" s="1901"/>
      <c r="I200" s="1901"/>
      <c r="J200" s="1898"/>
    </row>
    <row r="201" spans="2:10" ht="18" hidden="1" outlineLevel="1" x14ac:dyDescent="0.25">
      <c r="B201" s="1897" t="s">
        <v>460</v>
      </c>
      <c r="C201" s="1898" t="s">
        <v>453</v>
      </c>
      <c r="D201" s="1898">
        <f>A_MC+4*A_MH</f>
        <v>16.042459999999998</v>
      </c>
      <c r="E201" s="1900"/>
      <c r="F201" s="1900"/>
      <c r="G201" s="1898" t="s">
        <v>360</v>
      </c>
      <c r="H201" s="1901"/>
      <c r="I201" s="1901"/>
      <c r="J201" s="1898"/>
    </row>
    <row r="202" spans="2:10" ht="18" hidden="1" outlineLevel="1" x14ac:dyDescent="0.25">
      <c r="B202" s="1897" t="s">
        <v>736</v>
      </c>
      <c r="C202" s="1898" t="s">
        <v>737</v>
      </c>
      <c r="D202" s="1898">
        <f>A_MC+2*A_MO</f>
        <v>44.009500000000003</v>
      </c>
      <c r="E202" s="1900"/>
      <c r="F202" s="1900"/>
      <c r="G202" s="1898" t="s">
        <v>360</v>
      </c>
      <c r="H202" s="1901"/>
      <c r="I202" s="1901"/>
      <c r="J202" s="1898"/>
    </row>
    <row r="203" spans="2:10" ht="18" hidden="1" outlineLevel="1" x14ac:dyDescent="0.25">
      <c r="B203" s="1897" t="s">
        <v>1108</v>
      </c>
      <c r="C203" s="1898" t="s">
        <v>747</v>
      </c>
      <c r="D203" s="1898">
        <f>A_MN+3*A_MH</f>
        <v>17.030519999999999</v>
      </c>
      <c r="E203" s="1900"/>
      <c r="F203" s="1900"/>
      <c r="G203" s="1898" t="s">
        <v>360</v>
      </c>
      <c r="H203" s="1901"/>
      <c r="I203" s="1901"/>
      <c r="J203" s="1898"/>
    </row>
    <row r="204" spans="2:10" ht="18" hidden="1" outlineLevel="1" x14ac:dyDescent="0.25">
      <c r="B204" s="1897" t="s">
        <v>451</v>
      </c>
      <c r="C204" s="1898" t="s">
        <v>450</v>
      </c>
      <c r="D204" s="1898">
        <f>2*A_MN</f>
        <v>28.013400000000001</v>
      </c>
      <c r="E204" s="1900"/>
      <c r="F204" s="1900"/>
      <c r="G204" s="1898" t="s">
        <v>360</v>
      </c>
      <c r="H204" s="1901"/>
      <c r="I204" s="1901"/>
      <c r="J204" s="1898"/>
    </row>
    <row r="205" spans="2:10" ht="18" hidden="1" outlineLevel="1" x14ac:dyDescent="0.25">
      <c r="B205" s="1897" t="s">
        <v>446</v>
      </c>
      <c r="C205" s="1898" t="s">
        <v>447</v>
      </c>
      <c r="D205" s="1898">
        <f>2*A_MO</f>
        <v>31.998799999999999</v>
      </c>
      <c r="E205" s="1900"/>
      <c r="F205" s="1900"/>
      <c r="G205" s="1898" t="s">
        <v>360</v>
      </c>
      <c r="H205" s="1901"/>
      <c r="I205" s="1901"/>
      <c r="J205" s="1898" t="s">
        <v>738</v>
      </c>
    </row>
    <row r="206" spans="2:10" ht="18" hidden="1" outlineLevel="1" x14ac:dyDescent="0.25">
      <c r="B206" s="1897" t="s">
        <v>739</v>
      </c>
      <c r="C206" s="1898" t="s">
        <v>740</v>
      </c>
      <c r="D206" s="1898">
        <f>A_MN+A_MO</f>
        <v>30.0061</v>
      </c>
      <c r="E206" s="1900"/>
      <c r="F206" s="1900"/>
      <c r="G206" s="1898" t="s">
        <v>360</v>
      </c>
      <c r="H206" s="1901"/>
      <c r="I206" s="1901"/>
      <c r="J206" s="1898" t="s">
        <v>741</v>
      </c>
    </row>
    <row r="207" spans="2:10" ht="18" hidden="1" outlineLevel="1" x14ac:dyDescent="0.25">
      <c r="B207" s="1897" t="s">
        <v>742</v>
      </c>
      <c r="C207" s="1898" t="s">
        <v>743</v>
      </c>
      <c r="D207" s="1898">
        <f>2*A_MN+A_MO</f>
        <v>44.012799999999999</v>
      </c>
      <c r="E207" s="1900"/>
      <c r="F207" s="1900"/>
      <c r="G207" s="1898" t="s">
        <v>360</v>
      </c>
      <c r="H207" s="1901"/>
      <c r="I207" s="1901"/>
      <c r="J207" s="1898" t="s">
        <v>744</v>
      </c>
    </row>
    <row r="208" spans="2:10" ht="18" hidden="1" outlineLevel="1" x14ac:dyDescent="0.25">
      <c r="B208" s="1897" t="s">
        <v>1154</v>
      </c>
      <c r="C208" s="1898" t="s">
        <v>1205</v>
      </c>
      <c r="D208" s="1898">
        <f>M_MH2S</f>
        <v>34.080880000000001</v>
      </c>
      <c r="E208" s="1900"/>
      <c r="F208" s="1900"/>
      <c r="G208" s="1898" t="s">
        <v>360</v>
      </c>
      <c r="H208" s="1901"/>
      <c r="I208" s="1901"/>
      <c r="J208" s="1898"/>
    </row>
    <row r="209" spans="1:10" collapsed="1" x14ac:dyDescent="0.25"/>
    <row r="210" spans="1:10" ht="15.75" thickBot="1" x14ac:dyDescent="0.3">
      <c r="C210" s="2151" t="s">
        <v>745</v>
      </c>
    </row>
    <row r="211" spans="1:10" ht="15.75" thickBot="1" x14ac:dyDescent="0.3">
      <c r="B211" s="2152" t="s">
        <v>0</v>
      </c>
      <c r="C211" s="2153" t="s">
        <v>1</v>
      </c>
      <c r="D211" s="2154" t="s">
        <v>152</v>
      </c>
      <c r="E211" s="2154" t="s">
        <v>470</v>
      </c>
      <c r="F211" s="2154" t="s">
        <v>471</v>
      </c>
      <c r="G211" s="2154" t="s">
        <v>2</v>
      </c>
      <c r="H211" s="2154" t="s">
        <v>298</v>
      </c>
      <c r="I211" s="2154" t="s">
        <v>116</v>
      </c>
      <c r="J211" s="2155" t="s">
        <v>117</v>
      </c>
    </row>
    <row r="212" spans="1:10" ht="18" outlineLevel="1" x14ac:dyDescent="0.25">
      <c r="B212" s="1897" t="s">
        <v>1206</v>
      </c>
      <c r="C212" s="1898" t="s">
        <v>1130</v>
      </c>
      <c r="D212" s="1898">
        <f>3*A_MCa+2*M_MPO4+4*M_MH2O</f>
        <v>382.23784440000003</v>
      </c>
      <c r="E212" s="1900"/>
      <c r="F212" s="1900"/>
      <c r="G212" s="1898" t="s">
        <v>360</v>
      </c>
      <c r="H212" s="1901"/>
      <c r="I212" s="1901"/>
      <c r="J212" s="1898" t="s">
        <v>4439</v>
      </c>
    </row>
    <row r="213" spans="1:10" ht="18" outlineLevel="1" x14ac:dyDescent="0.25">
      <c r="B213" s="1897" t="s">
        <v>4440</v>
      </c>
      <c r="C213" s="1898" t="s">
        <v>4441</v>
      </c>
      <c r="D213" s="1898">
        <f>2*A_MAl+3*A_MS+12*A_MO</f>
        <v>342.1508</v>
      </c>
      <c r="E213" s="1900"/>
      <c r="F213" s="1900"/>
      <c r="G213" s="1898" t="s">
        <v>360</v>
      </c>
      <c r="H213" s="1901"/>
      <c r="I213" s="1901"/>
      <c r="J213" s="1898"/>
    </row>
    <row r="214" spans="1:10" ht="18" outlineLevel="1" x14ac:dyDescent="0.25">
      <c r="B214" s="1897" t="s">
        <v>4442</v>
      </c>
      <c r="C214" s="1898" t="s">
        <v>4443</v>
      </c>
      <c r="D214" s="1898">
        <f>A_MAl+3*A_MCl</f>
        <v>133.34050000000002</v>
      </c>
      <c r="E214" s="1900"/>
      <c r="F214" s="1900"/>
      <c r="G214" s="1898" t="s">
        <v>360</v>
      </c>
      <c r="H214" s="1901"/>
      <c r="I214" s="1901"/>
      <c r="J214" s="1898"/>
    </row>
    <row r="215" spans="1:10" ht="18" outlineLevel="1" x14ac:dyDescent="0.25">
      <c r="B215" s="1897" t="s">
        <v>3787</v>
      </c>
      <c r="C215" s="1898" t="s">
        <v>3004</v>
      </c>
      <c r="D215" s="1898">
        <f>A_MAl+3*(A_MO+A_MH)</f>
        <v>78.003519999999995</v>
      </c>
      <c r="E215" s="1900"/>
      <c r="F215" s="1900"/>
      <c r="G215" s="1898" t="s">
        <v>360</v>
      </c>
      <c r="H215" s="1901"/>
      <c r="I215" s="1901"/>
      <c r="J215" s="1898"/>
    </row>
    <row r="216" spans="1:10" ht="18" outlineLevel="1" x14ac:dyDescent="0.25">
      <c r="B216" s="1897" t="s">
        <v>3788</v>
      </c>
      <c r="C216" s="1898" t="s">
        <v>3005</v>
      </c>
      <c r="D216" s="1898">
        <f>A_MAl+A_MP+4*A_MO</f>
        <v>121.9528622</v>
      </c>
      <c r="E216" s="1900"/>
      <c r="F216" s="1900"/>
      <c r="G216" s="1898" t="s">
        <v>360</v>
      </c>
      <c r="H216" s="1901"/>
      <c r="I216" s="1901"/>
      <c r="J216" s="1898"/>
    </row>
    <row r="217" spans="1:10" ht="18" x14ac:dyDescent="0.25">
      <c r="A217" s="2156"/>
      <c r="B217" s="1897" t="s">
        <v>4444</v>
      </c>
      <c r="C217" s="1898" t="s">
        <v>4445</v>
      </c>
      <c r="D217" s="1898">
        <f>1*A_MCa+1*A_MH+1*M_MPO4+2*M_MH2O</f>
        <v>172.08786220000002</v>
      </c>
      <c r="E217" s="1900"/>
      <c r="F217" s="1900"/>
      <c r="G217" s="1898" t="s">
        <v>360</v>
      </c>
      <c r="H217" s="1901"/>
      <c r="I217" s="1901"/>
      <c r="J217" s="1898"/>
    </row>
    <row r="218" spans="1:10" s="2157" customFormat="1" ht="18" outlineLevel="1" x14ac:dyDescent="0.25">
      <c r="B218" s="1897" t="s">
        <v>4446</v>
      </c>
      <c r="C218" s="1898" t="s">
        <v>4447</v>
      </c>
      <c r="D218" s="1898">
        <f>A_MCa+2*A_MCl</f>
        <v>110.98400000000001</v>
      </c>
      <c r="E218" s="1900"/>
      <c r="F218" s="1900"/>
      <c r="G218" s="1898" t="s">
        <v>360</v>
      </c>
      <c r="H218" s="2158"/>
      <c r="I218" s="2158"/>
      <c r="J218" s="2159"/>
    </row>
    <row r="219" spans="1:10" s="2157" customFormat="1" ht="18" outlineLevel="1" x14ac:dyDescent="0.25">
      <c r="B219" s="1897" t="s">
        <v>1260</v>
      </c>
      <c r="C219" s="1898" t="s">
        <v>1028</v>
      </c>
      <c r="D219" s="1898">
        <f>A_MCa+A_MC+3*A_MO</f>
        <v>100.0869</v>
      </c>
      <c r="E219" s="1900"/>
      <c r="F219" s="1900"/>
      <c r="G219" s="1898" t="s">
        <v>360</v>
      </c>
      <c r="H219" s="2158"/>
      <c r="I219" s="2158"/>
      <c r="J219" s="2159"/>
    </row>
    <row r="220" spans="1:10" ht="18" outlineLevel="1" x14ac:dyDescent="0.25">
      <c r="B220" s="1897" t="s">
        <v>1299</v>
      </c>
      <c r="C220" s="1898" t="s">
        <v>1331</v>
      </c>
      <c r="D220" s="1898">
        <f>A_MCa+2*A_MH+A_MP+4*A_MO</f>
        <v>137.0652422</v>
      </c>
      <c r="E220" s="1900"/>
      <c r="F220" s="1900"/>
      <c r="G220" s="1898" t="s">
        <v>360</v>
      </c>
      <c r="H220" s="1901"/>
      <c r="I220" s="1901"/>
      <c r="J220" s="1898"/>
    </row>
    <row r="221" spans="1:10" ht="18" outlineLevel="1" x14ac:dyDescent="0.25">
      <c r="B221" s="1897" t="s">
        <v>1296</v>
      </c>
      <c r="C221" s="1898" t="s">
        <v>1328</v>
      </c>
      <c r="D221" s="1898">
        <f>A_MCa+A_MH+A_MC+3*A_MO</f>
        <v>101.09484</v>
      </c>
      <c r="E221" s="1900"/>
      <c r="F221" s="1900"/>
      <c r="G221" s="1898" t="s">
        <v>360</v>
      </c>
      <c r="H221" s="1901"/>
      <c r="I221" s="1901"/>
      <c r="J221" s="1898"/>
    </row>
    <row r="222" spans="1:10" ht="18" outlineLevel="1" x14ac:dyDescent="0.25">
      <c r="B222" s="1897" t="s">
        <v>1298</v>
      </c>
      <c r="C222" s="1898" t="s">
        <v>1330</v>
      </c>
      <c r="D222" s="1898">
        <f>A_MCa+A_MH+A_MP+4*A_MO</f>
        <v>136.05730220000001</v>
      </c>
      <c r="E222" s="1900"/>
      <c r="F222" s="1900"/>
      <c r="G222" s="1898" t="s">
        <v>360</v>
      </c>
      <c r="H222" s="1901"/>
      <c r="I222" s="1901"/>
      <c r="J222" s="1898"/>
    </row>
    <row r="223" spans="1:10" ht="18" outlineLevel="1" x14ac:dyDescent="0.25">
      <c r="B223" s="1897" t="s">
        <v>1294</v>
      </c>
      <c r="C223" s="1898" t="s">
        <v>1295</v>
      </c>
      <c r="D223" s="1898">
        <f>A_MCa+A_MO+A_MH</f>
        <v>57.085340000000002</v>
      </c>
      <c r="E223" s="1900"/>
      <c r="F223" s="1900"/>
      <c r="G223" s="1898" t="s">
        <v>360</v>
      </c>
      <c r="H223" s="1901"/>
      <c r="I223" s="1901"/>
      <c r="J223" s="1898"/>
    </row>
    <row r="224" spans="1:10" ht="18" outlineLevel="1" x14ac:dyDescent="0.25">
      <c r="B224" s="1897" t="s">
        <v>4448</v>
      </c>
      <c r="C224" s="1898" t="s">
        <v>4449</v>
      </c>
      <c r="D224" s="1898">
        <f>A_MCa+2*(A_MO+A_MH)</f>
        <v>74.092680000000001</v>
      </c>
      <c r="E224" s="1900"/>
      <c r="F224" s="1900"/>
      <c r="G224" s="1898" t="s">
        <v>360</v>
      </c>
      <c r="H224" s="1901"/>
      <c r="I224" s="1901"/>
      <c r="J224" s="1898"/>
    </row>
    <row r="225" spans="2:10" ht="18" outlineLevel="1" x14ac:dyDescent="0.25">
      <c r="B225" s="1897" t="s">
        <v>1297</v>
      </c>
      <c r="C225" s="1898" t="s">
        <v>1329</v>
      </c>
      <c r="D225" s="1898">
        <f>A_MCa+A_MP+4*A_MO</f>
        <v>135.04936219999999</v>
      </c>
      <c r="E225" s="1900"/>
      <c r="F225" s="1900"/>
      <c r="G225" s="1898" t="s">
        <v>360</v>
      </c>
      <c r="H225" s="1901"/>
      <c r="I225" s="1901"/>
      <c r="J225" s="1898"/>
    </row>
    <row r="226" spans="2:10" ht="18" outlineLevel="1" x14ac:dyDescent="0.25">
      <c r="B226" s="1897" t="s">
        <v>751</v>
      </c>
      <c r="C226" s="1898" t="s">
        <v>752</v>
      </c>
      <c r="D226" s="1898">
        <f>A_MC+3*A_MH+A_MC+2*A_MO+A_MH</f>
        <v>60.051960000000001</v>
      </c>
      <c r="E226" s="1900"/>
      <c r="F226" s="1900"/>
      <c r="G226" s="1898" t="s">
        <v>360</v>
      </c>
      <c r="H226" s="1901"/>
      <c r="I226" s="1901"/>
      <c r="J226" s="1898"/>
    </row>
    <row r="227" spans="2:10" ht="18" outlineLevel="1" x14ac:dyDescent="0.25">
      <c r="B227" s="1897" t="s">
        <v>749</v>
      </c>
      <c r="C227" s="1898" t="s">
        <v>750</v>
      </c>
      <c r="D227" s="1898">
        <f>A_MC+3*A_MH+A_MO+A_MH</f>
        <v>32.04186</v>
      </c>
      <c r="E227" s="1900"/>
      <c r="F227" s="1900"/>
      <c r="G227" s="1898" t="s">
        <v>360</v>
      </c>
      <c r="H227" s="1901"/>
      <c r="I227" s="1901"/>
      <c r="J227" s="1898"/>
    </row>
    <row r="228" spans="2:10" ht="18" outlineLevel="1" x14ac:dyDescent="0.25">
      <c r="B228" s="1897" t="s">
        <v>1259</v>
      </c>
      <c r="C228" s="1898" t="s">
        <v>737</v>
      </c>
      <c r="D228" s="1898">
        <f>A_MC+2*A_MO</f>
        <v>44.009500000000003</v>
      </c>
      <c r="E228" s="1900"/>
      <c r="F228" s="1900"/>
      <c r="G228" s="1898" t="s">
        <v>360</v>
      </c>
      <c r="H228" s="1901"/>
      <c r="I228" s="1901"/>
      <c r="J228" s="1898"/>
    </row>
    <row r="229" spans="2:10" ht="18" outlineLevel="1" x14ac:dyDescent="0.25">
      <c r="B229" s="1897" t="s">
        <v>1019</v>
      </c>
      <c r="C229" s="1898" t="s">
        <v>1020</v>
      </c>
      <c r="D229" s="1898">
        <f>A_MC + 3*A_MO</f>
        <v>60.008899999999997</v>
      </c>
      <c r="E229" s="1900"/>
      <c r="F229" s="1900"/>
      <c r="G229" s="1898" t="s">
        <v>360</v>
      </c>
      <c r="H229" s="1901"/>
      <c r="I229" s="1901"/>
      <c r="J229" s="1898"/>
    </row>
    <row r="230" spans="2:10" ht="18" outlineLevel="1" x14ac:dyDescent="0.25">
      <c r="B230" s="1897" t="s">
        <v>1256</v>
      </c>
      <c r="C230" s="1898" t="s">
        <v>1257</v>
      </c>
      <c r="D230" s="1898">
        <f>2*A_MFe+3*A_MO</f>
        <v>159.68819999999999</v>
      </c>
      <c r="E230" s="1900"/>
      <c r="F230" s="1900"/>
      <c r="G230" s="1898" t="s">
        <v>360</v>
      </c>
      <c r="H230" s="1901"/>
      <c r="I230" s="1901"/>
      <c r="J230" s="1898"/>
    </row>
    <row r="231" spans="2:10" ht="18" outlineLevel="1" x14ac:dyDescent="0.25">
      <c r="B231" s="1897" t="s">
        <v>4450</v>
      </c>
      <c r="C231" s="1898" t="s">
        <v>4451</v>
      </c>
      <c r="D231" s="1898">
        <f>2*A_MFe+3*A_MS+12*A_MO</f>
        <v>399.87779999999998</v>
      </c>
      <c r="E231" s="1900"/>
      <c r="F231" s="1900"/>
      <c r="G231" s="1898" t="s">
        <v>360</v>
      </c>
      <c r="H231" s="1901"/>
      <c r="I231" s="1901"/>
      <c r="J231" s="1898"/>
    </row>
    <row r="232" spans="2:10" ht="18" outlineLevel="1" x14ac:dyDescent="0.25">
      <c r="B232" s="1897" t="s">
        <v>2388</v>
      </c>
      <c r="C232" s="1898" t="s">
        <v>2389</v>
      </c>
      <c r="D232" s="1898">
        <f>A_MFe+2*A_MCl</f>
        <v>126.751</v>
      </c>
      <c r="E232" s="1900"/>
      <c r="F232" s="1900"/>
      <c r="G232" s="1898" t="s">
        <v>360</v>
      </c>
      <c r="H232" s="1901"/>
      <c r="I232" s="1901"/>
      <c r="J232" s="1898"/>
    </row>
    <row r="233" spans="2:10" ht="18" outlineLevel="1" x14ac:dyDescent="0.25">
      <c r="B233" s="1897" t="s">
        <v>2386</v>
      </c>
      <c r="C233" s="1898" t="s">
        <v>2387</v>
      </c>
      <c r="D233" s="1898">
        <f>A_MFe+3*A_MCl</f>
        <v>162.20400000000001</v>
      </c>
      <c r="E233" s="1900"/>
      <c r="F233" s="1900"/>
      <c r="G233" s="1898" t="s">
        <v>360</v>
      </c>
      <c r="H233" s="1901"/>
      <c r="I233" s="1901"/>
      <c r="J233" s="1898"/>
    </row>
    <row r="234" spans="2:10" ht="18" outlineLevel="1" x14ac:dyDescent="0.25">
      <c r="B234" s="1897" t="s">
        <v>3786</v>
      </c>
      <c r="C234" s="1898" t="s">
        <v>3003</v>
      </c>
      <c r="D234" s="1898">
        <f>A_MFe+3*(A_MO+A_MH)</f>
        <v>106.86702</v>
      </c>
      <c r="E234" s="1900"/>
      <c r="F234" s="1900"/>
      <c r="G234" s="1898" t="s">
        <v>360</v>
      </c>
      <c r="H234" s="1901"/>
      <c r="I234" s="1901"/>
      <c r="J234" s="1898"/>
    </row>
    <row r="235" spans="2:10" ht="18" outlineLevel="1" x14ac:dyDescent="0.25">
      <c r="B235" s="1897" t="s">
        <v>1119</v>
      </c>
      <c r="C235" s="1898" t="s">
        <v>1115</v>
      </c>
      <c r="D235" s="1898">
        <f>A_MFe+A_MS</f>
        <v>87.91</v>
      </c>
      <c r="E235" s="1900"/>
      <c r="F235" s="1900"/>
      <c r="G235" s="1898" t="s">
        <v>360</v>
      </c>
      <c r="H235" s="1901"/>
      <c r="I235" s="1901"/>
      <c r="J235" s="1898"/>
    </row>
    <row r="236" spans="2:10" ht="18" outlineLevel="1" x14ac:dyDescent="0.25">
      <c r="B236" s="1897" t="s">
        <v>2390</v>
      </c>
      <c r="C236" s="1898" t="s">
        <v>2391</v>
      </c>
      <c r="D236" s="1898">
        <f>A_MFe+M_MSO4</f>
        <v>151.9076</v>
      </c>
      <c r="E236" s="1900"/>
      <c r="F236" s="1900"/>
      <c r="G236" s="1898" t="s">
        <v>360</v>
      </c>
      <c r="H236" s="1901"/>
      <c r="I236" s="1901"/>
      <c r="J236" s="1898"/>
    </row>
    <row r="237" spans="2:10" ht="18" outlineLevel="1" x14ac:dyDescent="0.25">
      <c r="B237" s="1897" t="s">
        <v>1023</v>
      </c>
      <c r="C237" s="1898" t="s">
        <v>1024</v>
      </c>
      <c r="D237" s="1898">
        <f>2*A_MH+A_MC + 3*A_MO</f>
        <v>62.024779999999993</v>
      </c>
      <c r="E237" s="1900"/>
      <c r="F237" s="1900"/>
      <c r="G237" s="1898" t="s">
        <v>360</v>
      </c>
      <c r="H237" s="1901"/>
      <c r="I237" s="1901"/>
      <c r="J237" s="1898"/>
    </row>
    <row r="238" spans="2:10" ht="18" outlineLevel="1" x14ac:dyDescent="0.25">
      <c r="B238" s="1897" t="s">
        <v>1116</v>
      </c>
      <c r="C238" s="1898" t="s">
        <v>1117</v>
      </c>
      <c r="D238" s="1898">
        <f>2*A_MH+A_MO</f>
        <v>18.015280000000001</v>
      </c>
      <c r="E238" s="1900"/>
      <c r="F238" s="1900"/>
      <c r="G238" s="1898" t="s">
        <v>360</v>
      </c>
      <c r="H238" s="1901"/>
      <c r="I238" s="1901"/>
      <c r="J238" s="1898"/>
    </row>
    <row r="239" spans="2:10" ht="18" outlineLevel="1" x14ac:dyDescent="0.25">
      <c r="B239" s="1897" t="s">
        <v>4452</v>
      </c>
      <c r="C239" s="1898" t="s">
        <v>4453</v>
      </c>
      <c r="D239" s="1898">
        <f>3*A_MH + A_MP+4*A_MO</f>
        <v>97.995182199999988</v>
      </c>
      <c r="E239" s="1900"/>
      <c r="F239" s="1900"/>
      <c r="G239" s="1898" t="s">
        <v>360</v>
      </c>
      <c r="H239" s="1901"/>
      <c r="I239" s="1901"/>
      <c r="J239" s="1898"/>
    </row>
    <row r="240" spans="2:10" ht="18" outlineLevel="1" x14ac:dyDescent="0.25">
      <c r="B240" s="1897" t="s">
        <v>1110</v>
      </c>
      <c r="C240" s="1898" t="s">
        <v>1027</v>
      </c>
      <c r="D240" s="1898">
        <f>2*A_MH + A_MS</f>
        <v>34.080880000000001</v>
      </c>
      <c r="E240" s="1900"/>
      <c r="F240" s="1900"/>
      <c r="G240" s="1898" t="s">
        <v>360</v>
      </c>
      <c r="H240" s="1901"/>
      <c r="I240" s="1901"/>
      <c r="J240" s="1898"/>
    </row>
    <row r="241" spans="2:10" ht="18" outlineLevel="1" x14ac:dyDescent="0.25">
      <c r="B241" s="1897" t="s">
        <v>1066</v>
      </c>
      <c r="C241" s="1898" t="s">
        <v>1025</v>
      </c>
      <c r="D241" s="1898">
        <f>2*A_MH + A_MS+4*A_MO</f>
        <v>98.078479999999999</v>
      </c>
      <c r="E241" s="1900"/>
      <c r="F241" s="1900"/>
      <c r="G241" s="1898" t="s">
        <v>360</v>
      </c>
      <c r="H241" s="1901"/>
      <c r="I241" s="1901"/>
      <c r="J241" s="1898"/>
    </row>
    <row r="242" spans="2:10" ht="18" outlineLevel="1" x14ac:dyDescent="0.25">
      <c r="B242" s="1897" t="s">
        <v>1292</v>
      </c>
      <c r="C242" s="1898" t="s">
        <v>1293</v>
      </c>
      <c r="D242" s="1898">
        <f>5*A_MCa+A_MP*3+4*3*A_MO+A_MO+A_MH</f>
        <v>502.3114266</v>
      </c>
      <c r="E242" s="1900"/>
      <c r="F242" s="1900"/>
      <c r="G242" s="1898" t="s">
        <v>360</v>
      </c>
      <c r="H242" s="1901"/>
      <c r="I242" s="1901"/>
      <c r="J242" s="1898" t="s">
        <v>4454</v>
      </c>
    </row>
    <row r="243" spans="2:10" ht="18" outlineLevel="1" x14ac:dyDescent="0.25">
      <c r="B243" s="1897" t="s">
        <v>1026</v>
      </c>
      <c r="C243" s="1898" t="s">
        <v>1106</v>
      </c>
      <c r="D243" s="1898">
        <f>A_MH + A_MCl</f>
        <v>36.460940000000001</v>
      </c>
      <c r="E243" s="1900"/>
      <c r="F243" s="1900"/>
      <c r="G243" s="1898" t="s">
        <v>360</v>
      </c>
      <c r="H243" s="1901"/>
      <c r="I243" s="1901"/>
      <c r="J243" s="1898"/>
    </row>
    <row r="244" spans="2:10" ht="18" outlineLevel="1" x14ac:dyDescent="0.25">
      <c r="B244" s="1897" t="s">
        <v>1021</v>
      </c>
      <c r="C244" s="1898" t="s">
        <v>1022</v>
      </c>
      <c r="D244" s="1898">
        <f>A_MH + A_MC + 3*A_MO</f>
        <v>61.016839999999995</v>
      </c>
      <c r="E244" s="1900"/>
      <c r="F244" s="1900"/>
      <c r="G244" s="1898" t="s">
        <v>360</v>
      </c>
      <c r="H244" s="1901"/>
      <c r="I244" s="1901"/>
      <c r="J244" s="1898"/>
    </row>
    <row r="245" spans="2:10" ht="18" outlineLevel="1" x14ac:dyDescent="0.25">
      <c r="B245" s="1897" t="s">
        <v>1290</v>
      </c>
      <c r="C245" s="1898" t="s">
        <v>1291</v>
      </c>
      <c r="D245" s="1898">
        <f>2*A_MCa+A_MP+4*A_MO+2*(A_MO+A_MH)</f>
        <v>209.14204219999999</v>
      </c>
      <c r="E245" s="1900"/>
      <c r="F245" s="1900"/>
      <c r="G245" s="1898" t="s">
        <v>360</v>
      </c>
      <c r="H245" s="1901"/>
      <c r="I245" s="1901"/>
      <c r="J245" s="1898" t="s">
        <v>4455</v>
      </c>
    </row>
    <row r="246" spans="2:10" ht="18" outlineLevel="1" x14ac:dyDescent="0.25">
      <c r="B246" s="1897" t="s">
        <v>4456</v>
      </c>
      <c r="C246" s="1898" t="s">
        <v>4457</v>
      </c>
      <c r="D246" s="1898">
        <f>A_MH + A_MN+3*A_MO</f>
        <v>63.012839999999997</v>
      </c>
      <c r="E246" s="1900"/>
      <c r="F246" s="1900"/>
      <c r="G246" s="1898" t="s">
        <v>360</v>
      </c>
      <c r="H246" s="1901"/>
      <c r="I246" s="1901"/>
      <c r="J246" s="1898"/>
    </row>
    <row r="247" spans="2:10" ht="18" outlineLevel="1" x14ac:dyDescent="0.25">
      <c r="B247" s="1897" t="s">
        <v>1065</v>
      </c>
      <c r="C247" s="1898" t="s">
        <v>1107</v>
      </c>
      <c r="D247" s="1898">
        <f>A_MH + A_MS+4*A_MO</f>
        <v>97.070539999999994</v>
      </c>
      <c r="E247" s="1900"/>
      <c r="F247" s="1900"/>
      <c r="G247" s="1898" t="s">
        <v>360</v>
      </c>
      <c r="H247" s="1901"/>
      <c r="I247" s="1901"/>
      <c r="J247" s="1898"/>
    </row>
    <row r="248" spans="2:10" ht="18" outlineLevel="1" x14ac:dyDescent="0.25">
      <c r="B248" s="1897" t="s">
        <v>1301</v>
      </c>
      <c r="C248" s="1898" t="s">
        <v>1333</v>
      </c>
      <c r="D248" s="1898">
        <f>A_MMg+A_MC+3*A_MO</f>
        <v>84.31389999999999</v>
      </c>
      <c r="E248" s="1900"/>
      <c r="F248" s="1900"/>
      <c r="G248" s="1898" t="s">
        <v>360</v>
      </c>
      <c r="H248" s="1901"/>
      <c r="I248" s="1901"/>
      <c r="J248" s="1898"/>
    </row>
    <row r="249" spans="2:10" ht="18" outlineLevel="1" x14ac:dyDescent="0.25">
      <c r="B249" s="1897" t="s">
        <v>1305</v>
      </c>
      <c r="C249" s="1898" t="s">
        <v>1337</v>
      </c>
      <c r="D249" s="1898">
        <f>A_MMg+2*A_MH+A_MP+4*A_MO</f>
        <v>121.2922422</v>
      </c>
      <c r="E249" s="1900"/>
      <c r="F249" s="1900"/>
      <c r="G249" s="1898" t="s">
        <v>360</v>
      </c>
      <c r="H249" s="1901"/>
      <c r="I249" s="1901"/>
      <c r="J249" s="1898"/>
    </row>
    <row r="250" spans="2:10" ht="18" outlineLevel="1" x14ac:dyDescent="0.25">
      <c r="B250" s="1897" t="s">
        <v>1302</v>
      </c>
      <c r="C250" s="1898" t="s">
        <v>1334</v>
      </c>
      <c r="D250" s="1898">
        <f>A_MMg+A_MH+A_MC+3*A_MO</f>
        <v>85.321839999999995</v>
      </c>
      <c r="E250" s="1900"/>
      <c r="F250" s="1900"/>
      <c r="G250" s="1898" t="s">
        <v>360</v>
      </c>
      <c r="H250" s="1901"/>
      <c r="I250" s="1901"/>
      <c r="J250" s="1898"/>
    </row>
    <row r="251" spans="2:10" ht="18" outlineLevel="1" x14ac:dyDescent="0.25">
      <c r="B251" s="1897" t="s">
        <v>1303</v>
      </c>
      <c r="C251" s="1898" t="s">
        <v>1335</v>
      </c>
      <c r="D251" s="1898">
        <f>A_MMg+A_MH+A_MP+4*A_MO</f>
        <v>120.2843022</v>
      </c>
      <c r="E251" s="1900"/>
      <c r="F251" s="1900"/>
      <c r="G251" s="1898" t="s">
        <v>360</v>
      </c>
      <c r="H251" s="1901"/>
      <c r="I251" s="1901"/>
      <c r="J251" s="1898"/>
    </row>
    <row r="252" spans="2:10" ht="18" outlineLevel="1" x14ac:dyDescent="0.25">
      <c r="B252" s="1897" t="s">
        <v>1300</v>
      </c>
      <c r="C252" s="1898" t="s">
        <v>1332</v>
      </c>
      <c r="D252" s="1898">
        <f>A_MMg+A_MO+A_MH</f>
        <v>41.312339999999999</v>
      </c>
      <c r="E252" s="1900"/>
      <c r="F252" s="1900"/>
      <c r="G252" s="1898" t="s">
        <v>360</v>
      </c>
      <c r="H252" s="1901"/>
      <c r="I252" s="1901"/>
      <c r="J252" s="1898"/>
    </row>
    <row r="253" spans="2:10" ht="18" outlineLevel="1" x14ac:dyDescent="0.25">
      <c r="B253" s="1897" t="s">
        <v>2392</v>
      </c>
      <c r="C253" s="1898" t="s">
        <v>2393</v>
      </c>
      <c r="D253" s="1898">
        <f>A_MMg+2*(A_MO+A_MH)</f>
        <v>58.319679999999998</v>
      </c>
      <c r="E253" s="1900"/>
      <c r="F253" s="1900"/>
      <c r="G253" s="1898" t="s">
        <v>360</v>
      </c>
      <c r="H253" s="1901"/>
      <c r="I253" s="1901"/>
      <c r="J253" s="1898"/>
    </row>
    <row r="254" spans="2:10" ht="18" outlineLevel="1" x14ac:dyDescent="0.25">
      <c r="B254" s="1897" t="s">
        <v>1304</v>
      </c>
      <c r="C254" s="1898" t="s">
        <v>1336</v>
      </c>
      <c r="D254" s="1898">
        <f>A_MMg+A_MP+4*A_MO</f>
        <v>119.27636219999999</v>
      </c>
      <c r="E254" s="1900"/>
      <c r="F254" s="1900"/>
      <c r="G254" s="1898" t="s">
        <v>360</v>
      </c>
      <c r="H254" s="1901"/>
      <c r="I254" s="1901"/>
      <c r="J254" s="1898"/>
    </row>
    <row r="255" spans="2:10" ht="18" outlineLevel="1" x14ac:dyDescent="0.25">
      <c r="B255" s="1897" t="s">
        <v>1288</v>
      </c>
      <c r="C255" s="1898" t="s">
        <v>1289</v>
      </c>
      <c r="D255" s="1898">
        <f>A_MMg+A_MK+A_MP+4*A_MO+6*2*A_MH+6*A_MO</f>
        <v>266.46634219999999</v>
      </c>
      <c r="E255" s="1900"/>
      <c r="F255" s="1900"/>
      <c r="G255" s="1898" t="s">
        <v>360</v>
      </c>
      <c r="H255" s="1901"/>
      <c r="I255" s="1901"/>
      <c r="J255" s="1898"/>
    </row>
    <row r="256" spans="2:10" ht="18" outlineLevel="1" x14ac:dyDescent="0.25">
      <c r="B256" s="1897" t="s">
        <v>2014</v>
      </c>
      <c r="C256" s="1898" t="s">
        <v>2015</v>
      </c>
      <c r="D256" s="1898">
        <f>4*A_MH+A_MC+A_MS</f>
        <v>48.107459999999996</v>
      </c>
      <c r="E256" s="1900"/>
      <c r="F256" s="1900"/>
      <c r="G256" s="1898" t="s">
        <v>360</v>
      </c>
      <c r="H256" s="1901"/>
      <c r="I256" s="1901"/>
      <c r="J256" s="1899" t="s">
        <v>4458</v>
      </c>
    </row>
    <row r="257" spans="2:10" ht="18" outlineLevel="1" x14ac:dyDescent="0.25">
      <c r="B257" s="1897" t="s">
        <v>449</v>
      </c>
      <c r="C257" s="1898" t="s">
        <v>450</v>
      </c>
      <c r="D257" s="1898">
        <f>2*A_MN</f>
        <v>28.013400000000001</v>
      </c>
      <c r="E257" s="1900"/>
      <c r="F257" s="1900"/>
      <c r="G257" s="1898" t="s">
        <v>360</v>
      </c>
      <c r="H257" s="1901"/>
      <c r="I257" s="1901"/>
      <c r="J257" s="1898"/>
    </row>
    <row r="258" spans="2:10" ht="18" outlineLevel="1" x14ac:dyDescent="0.25">
      <c r="B258" s="2160" t="s">
        <v>4459</v>
      </c>
      <c r="C258" s="2159" t="s">
        <v>4460</v>
      </c>
      <c r="D258" s="2159">
        <f>2*A_MN + A_MO</f>
        <v>44.012799999999999</v>
      </c>
      <c r="E258" s="2161"/>
      <c r="F258" s="2161"/>
      <c r="G258" s="2159" t="s">
        <v>360</v>
      </c>
      <c r="H258" s="1901"/>
      <c r="I258" s="1901"/>
      <c r="J258" s="1898"/>
    </row>
    <row r="259" spans="2:10" ht="18" outlineLevel="1" x14ac:dyDescent="0.25">
      <c r="B259" s="1897" t="s">
        <v>2394</v>
      </c>
      <c r="C259" s="1898" t="s">
        <v>2395</v>
      </c>
      <c r="D259" s="1898">
        <f>2*A_MNa+A_MC+3*A_MO</f>
        <v>105.988438</v>
      </c>
      <c r="E259" s="1900"/>
      <c r="F259" s="1900"/>
      <c r="G259" s="1898" t="s">
        <v>360</v>
      </c>
      <c r="H259" s="1901"/>
      <c r="I259" s="1901"/>
      <c r="J259" s="1898"/>
    </row>
    <row r="260" spans="2:10" ht="18" outlineLevel="1" x14ac:dyDescent="0.25">
      <c r="B260" s="1897" t="s">
        <v>2010</v>
      </c>
      <c r="C260" s="1898" t="s">
        <v>2011</v>
      </c>
      <c r="D260" s="1898">
        <f>A_MNa+A_MCl</f>
        <v>58.442768999999998</v>
      </c>
      <c r="E260" s="1900"/>
      <c r="F260" s="1900"/>
      <c r="G260" s="1898" t="s">
        <v>360</v>
      </c>
      <c r="H260" s="1901"/>
      <c r="I260" s="1901"/>
      <c r="J260" s="1898"/>
    </row>
    <row r="261" spans="2:10" ht="18" outlineLevel="1" x14ac:dyDescent="0.25">
      <c r="B261" s="1897" t="s">
        <v>2396</v>
      </c>
      <c r="C261" s="1898" t="s">
        <v>2397</v>
      </c>
      <c r="D261" s="1898">
        <f>A_MNa+A_MH+A_MC+3*A_MO</f>
        <v>84.006608999999997</v>
      </c>
      <c r="E261" s="1900"/>
      <c r="F261" s="1900"/>
      <c r="G261" s="1898" t="s">
        <v>360</v>
      </c>
      <c r="H261" s="1901"/>
      <c r="I261" s="1901"/>
      <c r="J261" s="1898"/>
    </row>
    <row r="262" spans="2:10" ht="18" outlineLevel="1" x14ac:dyDescent="0.25">
      <c r="B262" s="1897" t="s">
        <v>1306</v>
      </c>
      <c r="C262" s="1898" t="s">
        <v>1338</v>
      </c>
      <c r="D262" s="1898">
        <f>A_MNa+A_MH+A_MP+4*A_MO</f>
        <v>118.9690712</v>
      </c>
      <c r="E262" s="1900"/>
      <c r="F262" s="1900"/>
      <c r="G262" s="1898" t="s">
        <v>360</v>
      </c>
      <c r="H262" s="1901"/>
      <c r="I262" s="1901"/>
      <c r="J262" s="1898"/>
    </row>
    <row r="263" spans="2:10" ht="18" outlineLevel="1" x14ac:dyDescent="0.25">
      <c r="B263" s="1897" t="s">
        <v>4461</v>
      </c>
      <c r="C263" s="1898" t="s">
        <v>4462</v>
      </c>
      <c r="D263" s="1898">
        <f>A_MK+A_MN+2*A_MO</f>
        <v>85.103800000000007</v>
      </c>
      <c r="E263" s="1900"/>
      <c r="F263" s="1900"/>
      <c r="G263" s="1898" t="s">
        <v>360</v>
      </c>
      <c r="H263" s="1901"/>
      <c r="I263" s="1901"/>
      <c r="J263" s="1898"/>
    </row>
    <row r="264" spans="2:10" ht="18" outlineLevel="1" x14ac:dyDescent="0.25">
      <c r="B264" s="1897" t="s">
        <v>4463</v>
      </c>
      <c r="C264" s="1898" t="s">
        <v>4464</v>
      </c>
      <c r="D264" s="1898">
        <f>A_MK+A_MN+3*A_MO</f>
        <v>101.1032</v>
      </c>
      <c r="E264" s="1900"/>
      <c r="F264" s="1900"/>
      <c r="G264" s="1898" t="s">
        <v>360</v>
      </c>
      <c r="H264" s="1901"/>
      <c r="I264" s="1901"/>
      <c r="J264" s="1898"/>
    </row>
    <row r="265" spans="2:10" ht="18" outlineLevel="1" x14ac:dyDescent="0.25">
      <c r="B265" s="1897" t="s">
        <v>2012</v>
      </c>
      <c r="C265" s="1898" t="s">
        <v>2013</v>
      </c>
      <c r="D265" s="1898">
        <f>A_MNa+A_MH+A_MO</f>
        <v>39.997109000000002</v>
      </c>
      <c r="E265" s="1900"/>
      <c r="F265" s="1900"/>
      <c r="G265" s="1898" t="s">
        <v>360</v>
      </c>
      <c r="H265" s="1901"/>
      <c r="I265" s="1901"/>
      <c r="J265" s="1898"/>
    </row>
    <row r="266" spans="2:10" ht="18" outlineLevel="1" x14ac:dyDescent="0.25">
      <c r="B266" s="1897" t="s">
        <v>746</v>
      </c>
      <c r="C266" s="1898" t="s">
        <v>747</v>
      </c>
      <c r="D266" s="1898">
        <f>A_MN+3*A_MH</f>
        <v>17.030519999999999</v>
      </c>
      <c r="E266" s="1900"/>
      <c r="F266" s="1900"/>
      <c r="G266" s="1898" t="s">
        <v>360</v>
      </c>
      <c r="H266" s="1901"/>
      <c r="I266" s="1901"/>
      <c r="J266" s="1898"/>
    </row>
    <row r="267" spans="2:10" ht="18" outlineLevel="1" x14ac:dyDescent="0.25">
      <c r="B267" s="1897" t="s">
        <v>1016</v>
      </c>
      <c r="C267" s="1898" t="s">
        <v>3941</v>
      </c>
      <c r="D267" s="1898">
        <f>A_MN+4*A_MH</f>
        <v>18.038460000000001</v>
      </c>
      <c r="E267" s="1900"/>
      <c r="F267" s="1900"/>
      <c r="G267" s="1898" t="s">
        <v>360</v>
      </c>
      <c r="H267" s="1901"/>
      <c r="I267" s="1901"/>
      <c r="J267" s="1898"/>
    </row>
    <row r="268" spans="2:10" ht="18" outlineLevel="1" x14ac:dyDescent="0.25">
      <c r="B268" s="1897" t="s">
        <v>4465</v>
      </c>
      <c r="C268" s="1898" t="s">
        <v>4466</v>
      </c>
      <c r="D268" s="1898">
        <f>M_MNH4+A_MH+A_MC+3*A_MO</f>
        <v>79.055300000000003</v>
      </c>
      <c r="E268" s="1900"/>
      <c r="F268" s="1900"/>
      <c r="G268" s="1898" t="s">
        <v>360</v>
      </c>
      <c r="H268" s="1901"/>
      <c r="I268" s="1901"/>
      <c r="J268" s="1898"/>
    </row>
    <row r="269" spans="2:10" ht="18" outlineLevel="1" x14ac:dyDescent="0.25">
      <c r="B269" s="2160" t="s">
        <v>4467</v>
      </c>
      <c r="C269" s="2159" t="s">
        <v>4468</v>
      </c>
      <c r="D269" s="2159">
        <f>A_MN + A_MO</f>
        <v>30.0061</v>
      </c>
      <c r="E269" s="2161"/>
      <c r="F269" s="2161"/>
      <c r="G269" s="2159" t="s">
        <v>360</v>
      </c>
      <c r="H269" s="1901"/>
      <c r="I269" s="1901"/>
      <c r="J269" s="1898"/>
    </row>
    <row r="270" spans="2:10" ht="18" outlineLevel="1" x14ac:dyDescent="0.25">
      <c r="B270" s="1897" t="s">
        <v>1017</v>
      </c>
      <c r="C270" s="1898" t="s">
        <v>3942</v>
      </c>
      <c r="D270" s="1898">
        <f>A_MN + 2*A_MO</f>
        <v>46.005499999999998</v>
      </c>
      <c r="E270" s="1900"/>
      <c r="F270" s="1900"/>
      <c r="G270" s="1898" t="s">
        <v>360</v>
      </c>
      <c r="H270" s="1901"/>
      <c r="I270" s="1901"/>
      <c r="J270" s="1898"/>
    </row>
    <row r="271" spans="2:10" ht="18" outlineLevel="1" x14ac:dyDescent="0.25">
      <c r="B271" s="1897" t="s">
        <v>1018</v>
      </c>
      <c r="C271" s="1898" t="s">
        <v>3943</v>
      </c>
      <c r="D271" s="1898">
        <f>A_MN + 3*A_MO</f>
        <v>62.004899999999999</v>
      </c>
      <c r="E271" s="1900"/>
      <c r="F271" s="1900"/>
      <c r="G271" s="1898" t="s">
        <v>360</v>
      </c>
      <c r="H271" s="1901"/>
      <c r="I271" s="1901"/>
      <c r="J271" s="1898"/>
    </row>
    <row r="272" spans="2:10" ht="18" outlineLevel="1" x14ac:dyDescent="0.25">
      <c r="B272" s="1897" t="s">
        <v>448</v>
      </c>
      <c r="C272" s="1898" t="s">
        <v>447</v>
      </c>
      <c r="D272" s="1898">
        <f>2*A_MO</f>
        <v>31.998799999999999</v>
      </c>
      <c r="E272" s="1900"/>
      <c r="F272" s="1900"/>
      <c r="G272" s="1898" t="s">
        <v>360</v>
      </c>
      <c r="H272" s="1901"/>
      <c r="I272" s="1901"/>
      <c r="J272" s="1898"/>
    </row>
    <row r="273" spans="2:10" ht="18" outlineLevel="1" x14ac:dyDescent="0.25">
      <c r="B273" s="1897" t="s">
        <v>1258</v>
      </c>
      <c r="C273" s="1898" t="s">
        <v>748</v>
      </c>
      <c r="D273" s="1898">
        <f>A_MP+4*A_MO</f>
        <v>94.971362200000002</v>
      </c>
      <c r="E273" s="1900"/>
      <c r="F273" s="1900"/>
      <c r="G273" s="1898" t="s">
        <v>360</v>
      </c>
      <c r="H273" s="1901"/>
      <c r="I273" s="1901"/>
      <c r="J273" s="1898"/>
    </row>
    <row r="274" spans="2:10" ht="18" outlineLevel="1" x14ac:dyDescent="0.25">
      <c r="B274" s="1897" t="s">
        <v>1030</v>
      </c>
      <c r="C274" s="1898" t="s">
        <v>1031</v>
      </c>
      <c r="D274" s="1898">
        <f>A_MSi + 2*A_MO</f>
        <v>60.084299999999999</v>
      </c>
      <c r="E274" s="1900"/>
      <c r="F274" s="1900"/>
      <c r="G274" s="1898" t="s">
        <v>360</v>
      </c>
      <c r="H274" s="1901"/>
      <c r="I274" s="1901"/>
      <c r="J274" s="1898"/>
    </row>
    <row r="275" spans="2:10" ht="18" outlineLevel="1" x14ac:dyDescent="0.25">
      <c r="B275" s="1897" t="s">
        <v>1064</v>
      </c>
      <c r="C275" s="1898" t="s">
        <v>1109</v>
      </c>
      <c r="D275" s="1898">
        <f>A_MS+4*A_MO</f>
        <v>96.062600000000003</v>
      </c>
      <c r="E275" s="1900"/>
      <c r="F275" s="1900"/>
      <c r="G275" s="1898" t="s">
        <v>360</v>
      </c>
      <c r="H275" s="1901"/>
      <c r="I275" s="1901"/>
      <c r="J275" s="1898"/>
    </row>
    <row r="276" spans="2:10" ht="18" outlineLevel="1" x14ac:dyDescent="0.25">
      <c r="B276" s="1897" t="s">
        <v>1261</v>
      </c>
      <c r="C276" s="1898" t="s">
        <v>1029</v>
      </c>
      <c r="D276" s="1898">
        <f>A_MMg+A_MN+4*A_MH+A_MP+4*A_MO+6*(M_MH2O)</f>
        <v>245.40650220000001</v>
      </c>
      <c r="E276" s="1900"/>
      <c r="F276" s="1900"/>
      <c r="G276" s="1898" t="s">
        <v>360</v>
      </c>
      <c r="H276" s="1901"/>
      <c r="I276" s="1901"/>
      <c r="J276" s="1898" t="s">
        <v>4469</v>
      </c>
    </row>
    <row r="277" spans="2:10" ht="18" outlineLevel="1" x14ac:dyDescent="0.25">
      <c r="B277" s="1897" t="s">
        <v>1118</v>
      </c>
      <c r="C277" s="1898" t="s">
        <v>1114</v>
      </c>
      <c r="D277" s="1898">
        <f>3*A_MFe+2*(A_MP+4*A_MO)+8*M_MH2O</f>
        <v>501.59996439999998</v>
      </c>
      <c r="E277" s="1900"/>
      <c r="F277" s="1900"/>
      <c r="G277" s="1898" t="s">
        <v>360</v>
      </c>
      <c r="H277" s="1901"/>
      <c r="I277" s="1901"/>
      <c r="J277" s="1898" t="s">
        <v>4470</v>
      </c>
    </row>
    <row r="279" spans="2:10" ht="15.75" thickBot="1" x14ac:dyDescent="0.3">
      <c r="C279" s="2151" t="s">
        <v>753</v>
      </c>
    </row>
    <row r="280" spans="2:10" ht="15.75" thickBot="1" x14ac:dyDescent="0.3">
      <c r="B280" s="2152" t="s">
        <v>0</v>
      </c>
      <c r="C280" s="2153" t="s">
        <v>1</v>
      </c>
      <c r="D280" s="2154" t="s">
        <v>152</v>
      </c>
      <c r="E280" s="2154" t="s">
        <v>470</v>
      </c>
      <c r="F280" s="2154" t="s">
        <v>471</v>
      </c>
      <c r="G280" s="2154" t="s">
        <v>2</v>
      </c>
      <c r="H280" s="2154" t="s">
        <v>298</v>
      </c>
      <c r="I280" s="2154" t="s">
        <v>116</v>
      </c>
      <c r="J280" s="2155" t="s">
        <v>117</v>
      </c>
    </row>
    <row r="281" spans="2:10" ht="18" x14ac:dyDescent="0.25">
      <c r="B281" s="1897" t="s">
        <v>1262</v>
      </c>
      <c r="C281" s="1898" t="s">
        <v>1067</v>
      </c>
      <c r="D281" s="1898">
        <f>2*A_MN</f>
        <v>28.013400000000001</v>
      </c>
      <c r="E281" s="1900"/>
      <c r="F281" s="1900"/>
      <c r="G281" s="1898" t="s">
        <v>2016</v>
      </c>
      <c r="H281" s="1901"/>
      <c r="I281" s="1901"/>
      <c r="J281" s="1898"/>
    </row>
    <row r="282" spans="2:10" ht="18" x14ac:dyDescent="0.25">
      <c r="B282" s="1897" t="s">
        <v>1263</v>
      </c>
      <c r="C282" s="1898" t="s">
        <v>1111</v>
      </c>
      <c r="D282" s="1898">
        <f>A_MN</f>
        <v>14.0067</v>
      </c>
      <c r="E282" s="1900"/>
      <c r="F282" s="1900"/>
      <c r="G282" s="1898" t="s">
        <v>2016</v>
      </c>
      <c r="H282" s="1901"/>
      <c r="I282" s="1901"/>
      <c r="J282" s="1898"/>
    </row>
    <row r="283" spans="2:10" ht="18" x14ac:dyDescent="0.25">
      <c r="B283" s="1897" t="s">
        <v>1264</v>
      </c>
      <c r="C283" s="1898" t="s">
        <v>1068</v>
      </c>
      <c r="D283" s="1898">
        <f>A_MN</f>
        <v>14.0067</v>
      </c>
      <c r="E283" s="1900"/>
      <c r="F283" s="1900"/>
      <c r="G283" s="1898" t="s">
        <v>2016</v>
      </c>
      <c r="H283" s="1901"/>
      <c r="I283" s="1901"/>
      <c r="J283" s="1898"/>
    </row>
    <row r="284" spans="2:10" ht="18" x14ac:dyDescent="0.25">
      <c r="B284" s="1897" t="s">
        <v>1265</v>
      </c>
      <c r="C284" s="1898" t="s">
        <v>1069</v>
      </c>
      <c r="D284" s="1898">
        <f>2*A_MN</f>
        <v>28.013400000000001</v>
      </c>
      <c r="E284" s="1900"/>
      <c r="F284" s="1900"/>
      <c r="G284" s="1898" t="s">
        <v>2016</v>
      </c>
      <c r="H284" s="1901"/>
      <c r="I284" s="1901"/>
      <c r="J284" s="1898"/>
    </row>
    <row r="285" spans="2:10" ht="18" x14ac:dyDescent="0.25">
      <c r="B285" s="1897" t="s">
        <v>1266</v>
      </c>
      <c r="C285" s="1898" t="s">
        <v>1070</v>
      </c>
      <c r="D285" s="1898">
        <v>12.0107</v>
      </c>
      <c r="E285" s="1900"/>
      <c r="F285" s="1900"/>
      <c r="G285" s="1898" t="s">
        <v>360</v>
      </c>
      <c r="H285" s="1901"/>
      <c r="I285" s="1901"/>
      <c r="J285" s="1898" t="s">
        <v>1267</v>
      </c>
    </row>
    <row r="286" spans="2:10" ht="18" x14ac:dyDescent="0.25">
      <c r="B286" s="1897" t="s">
        <v>1268</v>
      </c>
      <c r="C286" s="1898" t="s">
        <v>1071</v>
      </c>
      <c r="D286" s="1898">
        <f>2*A_MO</f>
        <v>31.998799999999999</v>
      </c>
      <c r="E286" s="1900"/>
      <c r="F286" s="1900"/>
      <c r="G286" s="1898" t="s">
        <v>360</v>
      </c>
      <c r="H286" s="1901"/>
      <c r="I286" s="1901"/>
      <c r="J286" s="1898"/>
    </row>
    <row r="287" spans="2:10" ht="18" x14ac:dyDescent="0.25">
      <c r="B287" s="1897" t="s">
        <v>754</v>
      </c>
      <c r="C287" s="1898" t="s">
        <v>1072</v>
      </c>
      <c r="D287" s="1898">
        <v>63.997599999999998</v>
      </c>
      <c r="E287" s="1900"/>
      <c r="F287" s="1900"/>
      <c r="G287" s="1898" t="s">
        <v>2017</v>
      </c>
      <c r="H287" s="1901"/>
      <c r="I287" s="1901"/>
      <c r="J287" s="1898"/>
    </row>
    <row r="288" spans="2:10" ht="18" x14ac:dyDescent="0.25">
      <c r="B288" s="1897" t="s">
        <v>755</v>
      </c>
      <c r="C288" s="1898" t="s">
        <v>1073</v>
      </c>
      <c r="D288" s="1898">
        <f>2*7.9997</f>
        <v>15.9994</v>
      </c>
      <c r="E288" s="1900"/>
      <c r="F288" s="1900"/>
      <c r="G288" s="1898" t="s">
        <v>2017</v>
      </c>
      <c r="H288" s="1901"/>
      <c r="I288" s="1901"/>
      <c r="J288" s="1898"/>
    </row>
    <row r="289" spans="2:10" ht="18" x14ac:dyDescent="0.25">
      <c r="B289" s="1897" t="s">
        <v>1148</v>
      </c>
      <c r="C289" s="1898" t="s">
        <v>1149</v>
      </c>
      <c r="D289" s="1898">
        <f>A_MS</f>
        <v>32.064999999999998</v>
      </c>
      <c r="E289" s="1900"/>
      <c r="F289" s="1900"/>
      <c r="G289" s="1898" t="s">
        <v>2018</v>
      </c>
      <c r="H289" s="1901"/>
      <c r="I289" s="1901"/>
      <c r="J289" s="1898"/>
    </row>
    <row r="291" spans="2:10" ht="15.75" thickBot="1" x14ac:dyDescent="0.3">
      <c r="C291" s="2151" t="s">
        <v>756</v>
      </c>
    </row>
    <row r="292" spans="2:10" x14ac:dyDescent="0.25">
      <c r="B292" s="2162" t="s">
        <v>0</v>
      </c>
      <c r="C292" s="2163" t="s">
        <v>1</v>
      </c>
      <c r="D292" s="2164" t="s">
        <v>152</v>
      </c>
      <c r="E292" s="2164" t="s">
        <v>470</v>
      </c>
      <c r="F292" s="2164" t="s">
        <v>471</v>
      </c>
      <c r="G292" s="2164" t="s">
        <v>2</v>
      </c>
      <c r="H292" s="2164" t="s">
        <v>298</v>
      </c>
      <c r="I292" s="2164" t="s">
        <v>116</v>
      </c>
      <c r="J292" s="2165" t="s">
        <v>117</v>
      </c>
    </row>
    <row r="293" spans="2:10" ht="18" x14ac:dyDescent="0.35">
      <c r="B293" s="1900" t="s">
        <v>915</v>
      </c>
      <c r="C293" s="1900" t="s">
        <v>3006</v>
      </c>
      <c r="D293" s="1900">
        <f>10^-13.997</f>
        <v>1.0069316688518014E-14</v>
      </c>
      <c r="E293" s="1900"/>
      <c r="F293" s="1900"/>
      <c r="G293" s="1900"/>
      <c r="H293" s="1900"/>
      <c r="I293" s="1900"/>
      <c r="J293" s="1900" t="s">
        <v>3007</v>
      </c>
    </row>
    <row r="294" spans="2:10" ht="18" x14ac:dyDescent="0.35">
      <c r="B294" s="1900" t="s">
        <v>3789</v>
      </c>
      <c r="C294" s="1900" t="s">
        <v>3008</v>
      </c>
      <c r="D294" s="1900">
        <f>10^-9.244</f>
        <v>5.7016427228074759E-10</v>
      </c>
      <c r="E294" s="1900"/>
      <c r="F294" s="1900"/>
      <c r="G294" s="1900"/>
      <c r="H294" s="1900"/>
      <c r="I294" s="1900"/>
      <c r="J294" s="1900" t="s">
        <v>3009</v>
      </c>
    </row>
    <row r="295" spans="2:10" ht="18" x14ac:dyDescent="0.35">
      <c r="B295" s="1900" t="s">
        <v>3790</v>
      </c>
      <c r="C295" s="1900" t="s">
        <v>3010</v>
      </c>
      <c r="D295" s="1900">
        <f>10^-3.35</f>
        <v>4.4668359215096267E-4</v>
      </c>
      <c r="E295" s="1900"/>
      <c r="F295" s="1900"/>
      <c r="G295" s="1900"/>
      <c r="H295" s="1900"/>
      <c r="I295" s="1900"/>
      <c r="J295" s="1900" t="s">
        <v>3011</v>
      </c>
    </row>
    <row r="296" spans="2:10" ht="18" x14ac:dyDescent="0.35">
      <c r="B296" s="1900" t="s">
        <v>916</v>
      </c>
      <c r="C296" s="1900" t="s">
        <v>3012</v>
      </c>
      <c r="D296" s="1900">
        <f>10^-6.352</f>
        <v>4.4463126746910741E-7</v>
      </c>
      <c r="E296" s="1900"/>
      <c r="F296" s="1900"/>
      <c r="G296" s="1900"/>
      <c r="H296" s="1900"/>
      <c r="I296" s="1900"/>
      <c r="J296" s="1900" t="s">
        <v>3013</v>
      </c>
    </row>
    <row r="297" spans="2:10" ht="18" x14ac:dyDescent="0.35">
      <c r="B297" s="1900" t="s">
        <v>917</v>
      </c>
      <c r="C297" s="1900" t="s">
        <v>3014</v>
      </c>
      <c r="D297" s="1900">
        <f>10^-10.329</f>
        <v>4.6881338214526346E-11</v>
      </c>
      <c r="E297" s="1900"/>
      <c r="F297" s="1900"/>
      <c r="G297" s="1900"/>
      <c r="H297" s="1900"/>
      <c r="I297" s="1900"/>
      <c r="J297" s="1900" t="s">
        <v>3015</v>
      </c>
    </row>
    <row r="298" spans="2:10" ht="18" x14ac:dyDescent="0.35">
      <c r="B298" s="1900" t="s">
        <v>918</v>
      </c>
      <c r="C298" s="1900" t="s">
        <v>3016</v>
      </c>
      <c r="D298" s="1900">
        <f>10^-2.148</f>
        <v>7.1121351365332815E-3</v>
      </c>
      <c r="E298" s="1900"/>
      <c r="F298" s="1900"/>
      <c r="G298" s="1900"/>
      <c r="H298" s="1900"/>
      <c r="I298" s="1900"/>
      <c r="J298" s="1900" t="s">
        <v>3017</v>
      </c>
    </row>
    <row r="299" spans="2:10" ht="18" x14ac:dyDescent="0.35">
      <c r="B299" s="1900" t="s">
        <v>919</v>
      </c>
      <c r="C299" s="1900" t="s">
        <v>3018</v>
      </c>
      <c r="D299" s="1900">
        <f>10^-7.198</f>
        <v>6.3386971125692633E-8</v>
      </c>
      <c r="E299" s="1900"/>
      <c r="F299" s="1900"/>
      <c r="G299" s="1900"/>
      <c r="H299" s="1900"/>
      <c r="I299" s="1900"/>
      <c r="J299" s="1900" t="s">
        <v>3019</v>
      </c>
    </row>
    <row r="300" spans="2:10" ht="18" x14ac:dyDescent="0.35">
      <c r="B300" s="1900" t="s">
        <v>920</v>
      </c>
      <c r="C300" s="1900" t="s">
        <v>3020</v>
      </c>
      <c r="D300" s="1900">
        <f>10^-12.375</f>
        <v>4.216965034285812E-13</v>
      </c>
      <c r="E300" s="1900"/>
      <c r="F300" s="1900"/>
      <c r="G300" s="1900"/>
      <c r="H300" s="1900"/>
      <c r="I300" s="1900"/>
      <c r="J300" s="1900" t="s">
        <v>3021</v>
      </c>
    </row>
    <row r="301" spans="2:10" ht="18" x14ac:dyDescent="0.35">
      <c r="B301" s="1900" t="s">
        <v>3791</v>
      </c>
      <c r="C301" s="1900" t="s">
        <v>3022</v>
      </c>
      <c r="D301" s="1900">
        <f>10^-4.757</f>
        <v>1.7498466886246563E-5</v>
      </c>
      <c r="E301" s="1900"/>
      <c r="F301" s="1900"/>
      <c r="G301" s="1900"/>
      <c r="H301" s="1900"/>
      <c r="I301" s="1900"/>
      <c r="J301" s="1900" t="s">
        <v>3023</v>
      </c>
    </row>
    <row r="302" spans="2:10" ht="18" x14ac:dyDescent="0.35">
      <c r="B302" s="1900" t="s">
        <v>5072</v>
      </c>
      <c r="C302" s="1900" t="s">
        <v>4471</v>
      </c>
      <c r="D302" s="1900">
        <v>1.3365955165464412E-5</v>
      </c>
      <c r="E302" s="1900"/>
      <c r="F302" s="1900"/>
      <c r="G302" s="1900"/>
      <c r="H302" s="1900"/>
      <c r="I302" s="1900"/>
      <c r="J302" s="1900" t="s">
        <v>4474</v>
      </c>
    </row>
    <row r="303" spans="2:10" ht="18" x14ac:dyDescent="0.35">
      <c r="B303" s="1900" t="s">
        <v>4472</v>
      </c>
      <c r="C303" s="1900" t="s">
        <v>4473</v>
      </c>
      <c r="D303" s="1900">
        <v>1.5170503674593348E-5</v>
      </c>
      <c r="E303" s="1900"/>
      <c r="F303" s="1900"/>
      <c r="G303" s="1900"/>
      <c r="H303" s="1900"/>
      <c r="I303" s="1900"/>
      <c r="J303" s="1900" t="s">
        <v>4474</v>
      </c>
    </row>
    <row r="304" spans="2:10" ht="18" x14ac:dyDescent="0.35">
      <c r="B304" s="1900" t="s">
        <v>4475</v>
      </c>
      <c r="C304" s="1900" t="s">
        <v>4476</v>
      </c>
      <c r="D304" s="1900">
        <v>1.4354894333536556E-5</v>
      </c>
      <c r="E304" s="1900"/>
      <c r="F304" s="1900"/>
      <c r="G304" s="1900"/>
      <c r="H304" s="1900"/>
      <c r="I304" s="1900"/>
      <c r="J304" s="1900" t="s">
        <v>4474</v>
      </c>
    </row>
    <row r="305" spans="1:10" ht="18" x14ac:dyDescent="0.35">
      <c r="B305" s="1900" t="s">
        <v>1339</v>
      </c>
      <c r="C305" s="1900" t="s">
        <v>3024</v>
      </c>
      <c r="D305" s="1900">
        <f>10^(-7.02)</f>
        <v>9.5499258602143556E-8</v>
      </c>
      <c r="E305" s="1900"/>
      <c r="F305" s="1900"/>
      <c r="G305" s="1900"/>
      <c r="H305" s="1900"/>
      <c r="I305" s="1900"/>
      <c r="J305" s="1900" t="s">
        <v>3025</v>
      </c>
    </row>
    <row r="306" spans="1:10" ht="18" x14ac:dyDescent="0.35">
      <c r="B306" s="1900" t="s">
        <v>1340</v>
      </c>
      <c r="C306" s="1900" t="s">
        <v>3026</v>
      </c>
      <c r="D306" s="1900">
        <f>10^(-17.3)</f>
        <v>5.0118723362726963E-18</v>
      </c>
      <c r="E306" s="1900"/>
      <c r="F306" s="1900"/>
      <c r="G306" s="1900"/>
      <c r="H306" s="1900"/>
      <c r="I306" s="1900"/>
      <c r="J306" s="1900" t="s">
        <v>3025</v>
      </c>
    </row>
    <row r="307" spans="1:10" ht="18" x14ac:dyDescent="0.35">
      <c r="B307" s="1900" t="s">
        <v>1341</v>
      </c>
      <c r="C307" s="1900" t="s">
        <v>3027</v>
      </c>
      <c r="D307" s="1900">
        <f>10^(3)</f>
        <v>1000</v>
      </c>
      <c r="E307" s="1900"/>
      <c r="F307" s="1900"/>
      <c r="G307" s="1900"/>
      <c r="H307" s="1900"/>
      <c r="I307" s="1900"/>
      <c r="J307" s="1900" t="s">
        <v>1269</v>
      </c>
    </row>
    <row r="308" spans="1:10" ht="18" x14ac:dyDescent="0.35">
      <c r="B308" s="1900" t="s">
        <v>1342</v>
      </c>
      <c r="C308" s="1900" t="s">
        <v>3028</v>
      </c>
      <c r="D308" s="1900">
        <f>10^(-1.99)</f>
        <v>1.0232929922807535E-2</v>
      </c>
      <c r="E308" s="1900"/>
      <c r="F308" s="1900"/>
      <c r="G308" s="1900"/>
      <c r="H308" s="1900"/>
      <c r="I308" s="1900"/>
      <c r="J308" s="1900" t="s">
        <v>3029</v>
      </c>
    </row>
    <row r="309" spans="1:10" ht="18" x14ac:dyDescent="0.35">
      <c r="B309" s="1900" t="s">
        <v>3792</v>
      </c>
      <c r="C309" s="1900" t="s">
        <v>3024</v>
      </c>
      <c r="D309" s="1900">
        <f>10^(-7.02)</f>
        <v>9.5499258602143556E-8</v>
      </c>
      <c r="E309" s="1900"/>
      <c r="F309" s="1900"/>
      <c r="G309" s="1900"/>
      <c r="H309" s="1900"/>
      <c r="I309" s="1900"/>
      <c r="J309" s="1900" t="s">
        <v>3029</v>
      </c>
    </row>
    <row r="311" spans="1:10" ht="15.75" thickBot="1" x14ac:dyDescent="0.3">
      <c r="C311" s="2151" t="s">
        <v>1307</v>
      </c>
    </row>
    <row r="312" spans="1:10" ht="15.75" thickBot="1" x14ac:dyDescent="0.3">
      <c r="B312" s="2152" t="s">
        <v>0</v>
      </c>
      <c r="C312" s="2153" t="s">
        <v>1</v>
      </c>
      <c r="D312" s="2154" t="s">
        <v>152</v>
      </c>
      <c r="E312" s="2154" t="s">
        <v>470</v>
      </c>
      <c r="F312" s="2154" t="s">
        <v>471</v>
      </c>
      <c r="G312" s="2154" t="s">
        <v>2</v>
      </c>
      <c r="H312" s="2154" t="s">
        <v>298</v>
      </c>
      <c r="I312" s="2154" t="s">
        <v>116</v>
      </c>
      <c r="J312" s="2155" t="s">
        <v>117</v>
      </c>
    </row>
    <row r="313" spans="1:10" ht="18" x14ac:dyDescent="0.25">
      <c r="B313" s="1897" t="s">
        <v>1317</v>
      </c>
      <c r="C313" s="1898" t="s">
        <v>3944</v>
      </c>
      <c r="D313" s="1898">
        <f>10^(-6.35)</f>
        <v>4.4668359215096327E-7</v>
      </c>
      <c r="E313" s="1900"/>
      <c r="F313" s="1900"/>
      <c r="G313" s="1898"/>
      <c r="H313" s="1901"/>
      <c r="I313" s="1901"/>
      <c r="J313" s="1898"/>
    </row>
    <row r="314" spans="1:10" ht="18" x14ac:dyDescent="0.25">
      <c r="B314" s="1897" t="s">
        <v>1318</v>
      </c>
      <c r="C314" s="1898" t="s">
        <v>3945</v>
      </c>
      <c r="D314" s="1898">
        <v>6.9180000000000002E-14</v>
      </c>
      <c r="E314" s="1900"/>
      <c r="F314" s="1900"/>
      <c r="G314" s="1898"/>
      <c r="H314" s="1901"/>
      <c r="I314" s="1901"/>
      <c r="J314" s="1898"/>
    </row>
    <row r="315" spans="1:10" ht="18" x14ac:dyDescent="0.25">
      <c r="B315" s="1897" t="s">
        <v>1322</v>
      </c>
      <c r="C315" s="1898" t="s">
        <v>3030</v>
      </c>
      <c r="D315" s="2166">
        <f>10^(-25.46)</f>
        <v>3.4673685045252971E-26</v>
      </c>
      <c r="E315" s="1900"/>
      <c r="F315" s="1900"/>
      <c r="G315" s="1898"/>
      <c r="H315" s="1901"/>
      <c r="I315" s="1901"/>
      <c r="J315" s="1898" t="s">
        <v>4477</v>
      </c>
    </row>
    <row r="316" spans="1:10" ht="18" x14ac:dyDescent="0.25">
      <c r="A316" s="2156"/>
      <c r="B316" s="1897" t="s">
        <v>4478</v>
      </c>
      <c r="C316" s="1898" t="s">
        <v>4479</v>
      </c>
      <c r="D316" s="2166">
        <f>10^-6.6</f>
        <v>2.511886431509578E-7</v>
      </c>
      <c r="E316" s="1900"/>
      <c r="F316" s="1900"/>
      <c r="G316" s="1898"/>
      <c r="H316" s="1901"/>
      <c r="I316" s="1901"/>
      <c r="J316" s="1898" t="s">
        <v>4480</v>
      </c>
    </row>
    <row r="317" spans="1:10" ht="18" x14ac:dyDescent="0.25">
      <c r="B317" s="1897" t="s">
        <v>1319</v>
      </c>
      <c r="C317" s="1898" t="s">
        <v>3031</v>
      </c>
      <c r="D317" s="1898">
        <v>9.9999999999999994E-37</v>
      </c>
      <c r="E317" s="1900"/>
      <c r="F317" s="1900"/>
      <c r="G317" s="1898"/>
      <c r="H317" s="1901"/>
      <c r="I317" s="1901"/>
      <c r="J317" s="1898" t="s">
        <v>1874</v>
      </c>
    </row>
    <row r="318" spans="1:10" ht="18" x14ac:dyDescent="0.25">
      <c r="B318" s="1897" t="s">
        <v>1343</v>
      </c>
      <c r="C318" s="1898" t="s">
        <v>3032</v>
      </c>
      <c r="D318" s="1898">
        <f>3.7*10^-19</f>
        <v>3.7000000000000001E-19</v>
      </c>
      <c r="E318" s="1900"/>
      <c r="F318" s="1900"/>
      <c r="G318" s="1898"/>
      <c r="H318" s="1901"/>
      <c r="I318" s="1901"/>
      <c r="J318" s="1898"/>
    </row>
    <row r="319" spans="1:10" ht="18" x14ac:dyDescent="0.25">
      <c r="B319" s="1897" t="s">
        <v>1320</v>
      </c>
      <c r="C319" s="1898" t="s">
        <v>3033</v>
      </c>
      <c r="D319" s="1898">
        <v>2.7500000000000001E-22</v>
      </c>
      <c r="E319" s="1900"/>
      <c r="F319" s="1900"/>
      <c r="G319" s="1898"/>
      <c r="H319" s="1901"/>
      <c r="I319" s="1901"/>
      <c r="J319" s="1898"/>
    </row>
    <row r="320" spans="1:10" ht="18" x14ac:dyDescent="0.25">
      <c r="B320" s="1897" t="s">
        <v>1321</v>
      </c>
      <c r="C320" s="1898" t="s">
        <v>3034</v>
      </c>
      <c r="D320" s="1898">
        <f>10^(-16)</f>
        <v>9.9999999999999998E-17</v>
      </c>
      <c r="E320" s="1900"/>
      <c r="F320" s="1900"/>
      <c r="G320" s="1898"/>
      <c r="H320" s="1901"/>
      <c r="I320" s="1901"/>
      <c r="J320" s="1898"/>
    </row>
    <row r="322" spans="1:10" ht="15.75" thickBot="1" x14ac:dyDescent="0.3">
      <c r="C322" s="2151" t="s">
        <v>758</v>
      </c>
    </row>
    <row r="323" spans="1:10" ht="15.75" thickBot="1" x14ac:dyDescent="0.3">
      <c r="B323" s="2152" t="s">
        <v>0</v>
      </c>
      <c r="C323" s="2153" t="s">
        <v>1</v>
      </c>
      <c r="D323" s="2154" t="s">
        <v>152</v>
      </c>
      <c r="E323" s="2154" t="s">
        <v>470</v>
      </c>
      <c r="F323" s="2154" t="s">
        <v>471</v>
      </c>
      <c r="G323" s="2154" t="s">
        <v>2</v>
      </c>
      <c r="H323" s="2154" t="s">
        <v>298</v>
      </c>
      <c r="I323" s="2154" t="s">
        <v>116</v>
      </c>
      <c r="J323" s="2155" t="s">
        <v>117</v>
      </c>
    </row>
    <row r="324" spans="1:10" ht="18" x14ac:dyDescent="0.25">
      <c r="B324" s="1897" t="s">
        <v>759</v>
      </c>
      <c r="C324" s="1898" t="s">
        <v>760</v>
      </c>
      <c r="D324" s="1898">
        <f>3*A_MO/(2*A_MN)</f>
        <v>1.7134014435948508</v>
      </c>
      <c r="E324" s="1900"/>
      <c r="F324" s="1900"/>
      <c r="G324" s="1898" t="s">
        <v>2019</v>
      </c>
      <c r="H324" s="1901"/>
      <c r="I324" s="1901"/>
      <c r="J324" s="1898" t="s">
        <v>263</v>
      </c>
    </row>
    <row r="325" spans="1:10" ht="18" x14ac:dyDescent="0.25">
      <c r="B325" s="1897" t="s">
        <v>761</v>
      </c>
      <c r="C325" s="1898" t="s">
        <v>762</v>
      </c>
      <c r="D325" s="1898">
        <f>2*A_MO/(A_MN)</f>
        <v>2.2845352581264677</v>
      </c>
      <c r="E325" s="1900"/>
      <c r="F325" s="1900"/>
      <c r="G325" s="1898" t="s">
        <v>2019</v>
      </c>
      <c r="H325" s="1901"/>
      <c r="I325" s="1901"/>
      <c r="J325" s="1898" t="s">
        <v>263</v>
      </c>
    </row>
    <row r="326" spans="1:10" ht="18" x14ac:dyDescent="0.25">
      <c r="B326" s="1897" t="s">
        <v>763</v>
      </c>
      <c r="C326" s="1898" t="s">
        <v>764</v>
      </c>
      <c r="D326" s="1898">
        <f>2.5*A_MO/(A_MN)</f>
        <v>2.8556690726580851</v>
      </c>
      <c r="E326" s="1900"/>
      <c r="F326" s="1900"/>
      <c r="G326" s="1898" t="s">
        <v>2019</v>
      </c>
      <c r="H326" s="1901"/>
      <c r="I326" s="1901"/>
      <c r="J326" s="1898" t="s">
        <v>263</v>
      </c>
    </row>
    <row r="327" spans="1:10" ht="18" x14ac:dyDescent="0.25">
      <c r="B327" s="1897" t="s">
        <v>765</v>
      </c>
      <c r="C327" s="1898" t="s">
        <v>766</v>
      </c>
      <c r="D327" s="1898">
        <f>3*A_MO/A_MN</f>
        <v>3.4268028871897016</v>
      </c>
      <c r="E327" s="1900"/>
      <c r="F327" s="1900"/>
      <c r="G327" s="1898" t="s">
        <v>2019</v>
      </c>
      <c r="H327" s="1901"/>
      <c r="I327" s="1901"/>
      <c r="J327" s="1898" t="s">
        <v>263</v>
      </c>
    </row>
    <row r="328" spans="1:10" ht="18" x14ac:dyDescent="0.25">
      <c r="B328" s="1897" t="s">
        <v>767</v>
      </c>
      <c r="C328" s="1898" t="s">
        <v>768</v>
      </c>
      <c r="D328" s="1898">
        <f>4*A_MO/A_MN</f>
        <v>4.5690705162529355</v>
      </c>
      <c r="E328" s="1900"/>
      <c r="F328" s="1900"/>
      <c r="G328" s="1898" t="s">
        <v>2019</v>
      </c>
      <c r="H328" s="1901"/>
      <c r="I328" s="1901"/>
      <c r="J328" s="1898" t="s">
        <v>263</v>
      </c>
    </row>
    <row r="329" spans="1:10" ht="18" x14ac:dyDescent="0.25">
      <c r="A329" s="2167"/>
      <c r="B329" s="1897" t="s">
        <v>4481</v>
      </c>
      <c r="C329" s="1898" t="s">
        <v>4482</v>
      </c>
      <c r="D329" s="1898">
        <f>A_MO/A_MN</f>
        <v>1.1422676290632339</v>
      </c>
      <c r="E329" s="1900"/>
      <c r="F329" s="1900"/>
      <c r="G329" s="1898" t="s">
        <v>2019</v>
      </c>
      <c r="H329" s="1901"/>
      <c r="I329" s="1901"/>
      <c r="J329" s="1898" t="s">
        <v>263</v>
      </c>
    </row>
    <row r="330" spans="1:10" ht="18" x14ac:dyDescent="0.25">
      <c r="A330" s="2167"/>
      <c r="B330" s="1897" t="s">
        <v>4483</v>
      </c>
      <c r="C330" s="1898" t="s">
        <v>4484</v>
      </c>
      <c r="D330" s="1898">
        <f>1.5*A_MO/A_MN</f>
        <v>1.7134014435948508</v>
      </c>
      <c r="E330" s="1900"/>
      <c r="F330" s="1900"/>
      <c r="G330" s="1898" t="s">
        <v>2019</v>
      </c>
      <c r="H330" s="1901"/>
      <c r="I330" s="1901"/>
      <c r="J330" s="1898" t="s">
        <v>263</v>
      </c>
    </row>
    <row r="331" spans="1:10" ht="18" x14ac:dyDescent="0.25">
      <c r="B331" s="1897" t="s">
        <v>1032</v>
      </c>
      <c r="C331" s="1898" t="s">
        <v>769</v>
      </c>
      <c r="D331" s="1898">
        <f>A_MO/A_MN</f>
        <v>1.1422676290632339</v>
      </c>
      <c r="E331" s="1900"/>
      <c r="F331" s="1900"/>
      <c r="G331" s="1898" t="s">
        <v>2019</v>
      </c>
      <c r="H331" s="1901"/>
      <c r="I331" s="1901"/>
      <c r="J331" s="1898"/>
    </row>
    <row r="332" spans="1:10" ht="18" x14ac:dyDescent="0.25">
      <c r="B332" s="1897" t="s">
        <v>1033</v>
      </c>
      <c r="C332" s="1898" t="s">
        <v>770</v>
      </c>
      <c r="D332" s="1898">
        <f>3*A_MO/(2*A_MN)</f>
        <v>1.7134014435948508</v>
      </c>
      <c r="E332" s="1900"/>
      <c r="F332" s="1900"/>
      <c r="G332" s="1898" t="s">
        <v>2019</v>
      </c>
      <c r="H332" s="1901"/>
      <c r="I332" s="1901"/>
      <c r="J332" s="1898"/>
    </row>
    <row r="333" spans="1:10" ht="18" x14ac:dyDescent="0.25">
      <c r="B333" s="1897" t="s">
        <v>1034</v>
      </c>
      <c r="C333" s="1898" t="s">
        <v>771</v>
      </c>
      <c r="D333" s="1898">
        <f>0.5*A_MO/A_MN</f>
        <v>0.57113381453161693</v>
      </c>
      <c r="E333" s="1900"/>
      <c r="F333" s="1900"/>
      <c r="G333" s="1898" t="s">
        <v>2019</v>
      </c>
      <c r="H333" s="1901"/>
      <c r="I333" s="1901"/>
      <c r="J333" s="1898"/>
    </row>
    <row r="334" spans="1:10" ht="18" x14ac:dyDescent="0.25">
      <c r="B334" s="1897" t="s">
        <v>1035</v>
      </c>
      <c r="C334" s="1898" t="s">
        <v>772</v>
      </c>
      <c r="D334" s="1898">
        <f>0.5*A_MO/A_MN</f>
        <v>0.57113381453161693</v>
      </c>
      <c r="E334" s="1900"/>
      <c r="F334" s="1900"/>
      <c r="G334" s="1898" t="s">
        <v>2019</v>
      </c>
      <c r="H334" s="1901"/>
      <c r="I334" s="1901"/>
      <c r="J334" s="1898"/>
    </row>
    <row r="335" spans="1:10" ht="18" x14ac:dyDescent="0.25">
      <c r="B335" s="1897" t="s">
        <v>1036</v>
      </c>
      <c r="C335" s="1898" t="s">
        <v>773</v>
      </c>
      <c r="D335" s="1898">
        <f>0.5*A_MO/A_MN</f>
        <v>0.57113381453161693</v>
      </c>
      <c r="E335" s="1900"/>
      <c r="F335" s="1900"/>
      <c r="G335" s="1898" t="s">
        <v>2019</v>
      </c>
      <c r="H335" s="1901"/>
      <c r="I335" s="1901"/>
      <c r="J335" s="1898"/>
    </row>
    <row r="336" spans="1:10" ht="18" x14ac:dyDescent="0.25">
      <c r="B336" s="1897" t="s">
        <v>1074</v>
      </c>
      <c r="C336" s="1898" t="s">
        <v>788</v>
      </c>
      <c r="D336" s="1898">
        <f>5*A_MO/(2*A_MN)</f>
        <v>2.8556690726580851</v>
      </c>
      <c r="E336" s="1900"/>
      <c r="F336" s="1900"/>
      <c r="G336" s="1898" t="s">
        <v>2019</v>
      </c>
      <c r="H336" s="1901"/>
      <c r="I336" s="1901"/>
      <c r="J336" s="1898"/>
    </row>
    <row r="337" spans="2:10" ht="18" x14ac:dyDescent="0.25">
      <c r="B337" s="1897" t="s">
        <v>1344</v>
      </c>
      <c r="C337" s="1898" t="s">
        <v>1345</v>
      </c>
      <c r="D337" s="1898">
        <f>8/A_MFe</f>
        <v>0.14325364849136002</v>
      </c>
      <c r="E337" s="1900"/>
      <c r="F337" s="1900"/>
      <c r="G337" s="1898" t="s">
        <v>2020</v>
      </c>
      <c r="H337" s="1901"/>
      <c r="I337" s="1901"/>
      <c r="J337" s="1898"/>
    </row>
    <row r="338" spans="2:10" ht="18" x14ac:dyDescent="0.25">
      <c r="B338" s="1897" t="s">
        <v>1327</v>
      </c>
      <c r="C338" s="1898" t="s">
        <v>1315</v>
      </c>
      <c r="D338" s="1898">
        <f>3*A_MO/(A_MS)</f>
        <v>1.4969031654451894</v>
      </c>
      <c r="E338" s="1900"/>
      <c r="F338" s="1900"/>
      <c r="G338" s="1898" t="s">
        <v>2021</v>
      </c>
      <c r="H338" s="1901"/>
      <c r="I338" s="1901"/>
      <c r="J338" s="1898" t="s">
        <v>1270</v>
      </c>
    </row>
    <row r="339" spans="2:10" ht="18" x14ac:dyDescent="0.25">
      <c r="B339" s="1897" t="s">
        <v>1146</v>
      </c>
      <c r="C339" s="1898" t="s">
        <v>1207</v>
      </c>
      <c r="D339" s="1898">
        <f>4*A_MO/(A_MS)</f>
        <v>1.9958708872602526</v>
      </c>
      <c r="E339" s="1900"/>
      <c r="F339" s="1900"/>
      <c r="G339" s="1898" t="s">
        <v>2022</v>
      </c>
      <c r="H339" s="1901"/>
      <c r="I339" s="1901"/>
      <c r="J339" s="1898" t="s">
        <v>1270</v>
      </c>
    </row>
    <row r="341" spans="2:10" ht="15.75" thickBot="1" x14ac:dyDescent="0.3">
      <c r="C341" s="2151" t="s">
        <v>921</v>
      </c>
    </row>
    <row r="342" spans="2:10" ht="15.75" thickBot="1" x14ac:dyDescent="0.3">
      <c r="B342" s="2152" t="s">
        <v>0</v>
      </c>
      <c r="C342" s="2153" t="s">
        <v>1</v>
      </c>
      <c r="D342" s="2154" t="s">
        <v>152</v>
      </c>
      <c r="E342" s="2154" t="s">
        <v>470</v>
      </c>
      <c r="F342" s="2154" t="s">
        <v>471</v>
      </c>
      <c r="G342" s="2154" t="s">
        <v>2</v>
      </c>
      <c r="H342" s="2154" t="s">
        <v>298</v>
      </c>
      <c r="I342" s="2154" t="s">
        <v>116</v>
      </c>
      <c r="J342" s="2155" t="s">
        <v>117</v>
      </c>
    </row>
    <row r="343" spans="2:10" ht="18" x14ac:dyDescent="0.25">
      <c r="B343" s="1897" t="s">
        <v>922</v>
      </c>
      <c r="C343" s="1898" t="s">
        <v>923</v>
      </c>
      <c r="D343" s="1898">
        <v>0.5</v>
      </c>
      <c r="E343" s="1900"/>
      <c r="F343" s="1900"/>
      <c r="G343" s="1898"/>
      <c r="H343" s="1901"/>
      <c r="I343" s="1901"/>
      <c r="J343" s="1898" t="s">
        <v>1075</v>
      </c>
    </row>
    <row r="344" spans="2:10" ht="18" x14ac:dyDescent="0.25">
      <c r="B344" s="1897" t="s">
        <v>924</v>
      </c>
      <c r="C344" s="1898" t="s">
        <v>925</v>
      </c>
      <c r="D344" s="1898">
        <v>0.5</v>
      </c>
      <c r="E344" s="1900"/>
      <c r="F344" s="1900"/>
      <c r="G344" s="1898"/>
      <c r="H344" s="1901"/>
      <c r="I344" s="1901"/>
      <c r="J344" s="1898" t="s">
        <v>1076</v>
      </c>
    </row>
    <row r="345" spans="2:10" ht="18" x14ac:dyDescent="0.25">
      <c r="B345" s="1897" t="s">
        <v>926</v>
      </c>
      <c r="C345" s="1898" t="s">
        <v>927</v>
      </c>
      <c r="D345" s="1898">
        <v>2</v>
      </c>
      <c r="E345" s="1900"/>
      <c r="F345" s="1900"/>
      <c r="G345" s="1898"/>
      <c r="H345" s="1901"/>
      <c r="I345" s="1901"/>
      <c r="J345" s="1898" t="s">
        <v>1077</v>
      </c>
    </row>
    <row r="346" spans="2:10" ht="18" x14ac:dyDescent="0.25">
      <c r="B346" s="1897" t="s">
        <v>928</v>
      </c>
      <c r="C346" s="1898" t="s">
        <v>929</v>
      </c>
      <c r="D346" s="1898">
        <v>2</v>
      </c>
      <c r="E346" s="1900"/>
      <c r="F346" s="1900"/>
      <c r="G346" s="1898"/>
      <c r="H346" s="1901"/>
      <c r="I346" s="1901"/>
      <c r="J346" s="1898" t="s">
        <v>1078</v>
      </c>
    </row>
    <row r="347" spans="2:10" ht="18" x14ac:dyDescent="0.25">
      <c r="B347" s="1897" t="s">
        <v>930</v>
      </c>
      <c r="C347" s="1898" t="s">
        <v>931</v>
      </c>
      <c r="D347" s="1898">
        <v>4.5</v>
      </c>
      <c r="E347" s="1900"/>
      <c r="F347" s="1900"/>
      <c r="G347" s="1898"/>
      <c r="H347" s="1901"/>
      <c r="I347" s="1901"/>
      <c r="J347" s="1898" t="s">
        <v>1079</v>
      </c>
    </row>
    <row r="348" spans="2:10" ht="18" x14ac:dyDescent="0.25">
      <c r="B348" s="1897" t="s">
        <v>932</v>
      </c>
      <c r="C348" s="1898" t="s">
        <v>933</v>
      </c>
      <c r="D348" s="1898">
        <v>4.5</v>
      </c>
      <c r="E348" s="1900"/>
      <c r="F348" s="1900"/>
      <c r="G348" s="1898"/>
      <c r="H348" s="1901"/>
      <c r="I348" s="1901"/>
      <c r="J348" s="1898" t="s">
        <v>1080</v>
      </c>
    </row>
    <row r="350" spans="2:10" ht="15.75" thickBot="1" x14ac:dyDescent="0.3">
      <c r="C350" s="2151" t="s">
        <v>900</v>
      </c>
    </row>
    <row r="351" spans="2:10" ht="15.75" thickBot="1" x14ac:dyDescent="0.3">
      <c r="B351" s="2152" t="s">
        <v>0</v>
      </c>
      <c r="C351" s="2153" t="s">
        <v>1</v>
      </c>
      <c r="D351" s="2154" t="s">
        <v>152</v>
      </c>
      <c r="E351" s="2154" t="s">
        <v>470</v>
      </c>
      <c r="F351" s="2154" t="s">
        <v>471</v>
      </c>
      <c r="G351" s="2154" t="s">
        <v>2</v>
      </c>
      <c r="H351" s="2154" t="s">
        <v>298</v>
      </c>
      <c r="I351" s="2154" t="s">
        <v>116</v>
      </c>
      <c r="J351" s="2155" t="s">
        <v>117</v>
      </c>
    </row>
    <row r="352" spans="2:10" ht="18" x14ac:dyDescent="0.25">
      <c r="B352" s="1897" t="s">
        <v>901</v>
      </c>
      <c r="C352" s="1898" t="s">
        <v>902</v>
      </c>
      <c r="D352" s="1898">
        <v>6.4135999999999997E-5</v>
      </c>
      <c r="E352" s="1900"/>
      <c r="F352" s="1900"/>
      <c r="G352" s="1898" t="s">
        <v>383</v>
      </c>
      <c r="H352" s="1901"/>
      <c r="I352" s="1901"/>
      <c r="J352" s="1898" t="s">
        <v>1271</v>
      </c>
    </row>
    <row r="354" spans="2:10" ht="15.75" thickBot="1" x14ac:dyDescent="0.3">
      <c r="C354" s="2151" t="s">
        <v>900</v>
      </c>
    </row>
    <row r="355" spans="2:10" ht="15.75" thickBot="1" x14ac:dyDescent="0.3">
      <c r="B355" s="2152" t="s">
        <v>0</v>
      </c>
      <c r="C355" s="2153" t="s">
        <v>1</v>
      </c>
      <c r="D355" s="2154" t="s">
        <v>152</v>
      </c>
      <c r="E355" s="2154" t="s">
        <v>470</v>
      </c>
      <c r="F355" s="2154" t="s">
        <v>471</v>
      </c>
      <c r="G355" s="2154" t="s">
        <v>2</v>
      </c>
      <c r="H355" s="2154" t="s">
        <v>298</v>
      </c>
      <c r="I355" s="2154" t="s">
        <v>116</v>
      </c>
      <c r="J355" s="2155" t="s">
        <v>117</v>
      </c>
    </row>
    <row r="356" spans="2:10" ht="18" x14ac:dyDescent="0.25">
      <c r="B356" s="1897" t="s">
        <v>2398</v>
      </c>
      <c r="C356" s="1898" t="s">
        <v>1873</v>
      </c>
      <c r="D356" s="1898">
        <v>0.6</v>
      </c>
      <c r="E356" s="1900" t="s">
        <v>1216</v>
      </c>
      <c r="F356" s="1900" t="s">
        <v>2283</v>
      </c>
      <c r="G356" s="1898" t="s">
        <v>2399</v>
      </c>
      <c r="H356" s="1901"/>
      <c r="I356" s="1901"/>
      <c r="J356" s="1898" t="s">
        <v>2400</v>
      </c>
    </row>
    <row r="358" spans="2:10" ht="15.75" thickBot="1" x14ac:dyDescent="0.3">
      <c r="C358" s="2151" t="s">
        <v>934</v>
      </c>
    </row>
    <row r="359" spans="2:10" ht="15.75" thickBot="1" x14ac:dyDescent="0.3">
      <c r="B359" s="2152" t="s">
        <v>0</v>
      </c>
      <c r="C359" s="2153" t="s">
        <v>1</v>
      </c>
      <c r="D359" s="2154" t="s">
        <v>152</v>
      </c>
      <c r="E359" s="2154" t="s">
        <v>470</v>
      </c>
      <c r="F359" s="2154" t="s">
        <v>471</v>
      </c>
      <c r="G359" s="2154" t="s">
        <v>2</v>
      </c>
      <c r="H359" s="2154" t="s">
        <v>298</v>
      </c>
      <c r="I359" s="2154" t="s">
        <v>116</v>
      </c>
      <c r="J359" s="2155" t="s">
        <v>117</v>
      </c>
    </row>
    <row r="360" spans="2:10" ht="18" outlineLevel="1" x14ac:dyDescent="0.25">
      <c r="B360" s="1897" t="s">
        <v>935</v>
      </c>
      <c r="C360" s="1898" t="s">
        <v>936</v>
      </c>
      <c r="D360" s="1898">
        <v>1000000</v>
      </c>
      <c r="E360" s="1900"/>
      <c r="F360" s="1900"/>
      <c r="G360" s="1898" t="s">
        <v>2023</v>
      </c>
      <c r="H360" s="1901"/>
      <c r="I360" s="1901"/>
      <c r="J360" s="1898"/>
    </row>
    <row r="361" spans="2:10" ht="18" outlineLevel="1" x14ac:dyDescent="0.25">
      <c r="B361" s="1897" t="s">
        <v>1865</v>
      </c>
      <c r="C361" s="1898" t="s">
        <v>1866</v>
      </c>
      <c r="D361" s="1898">
        <v>100</v>
      </c>
      <c r="E361" s="1900"/>
      <c r="F361" s="1900"/>
      <c r="G361" s="1898" t="s">
        <v>2024</v>
      </c>
      <c r="H361" s="1901"/>
      <c r="I361" s="1901"/>
      <c r="J361" s="1898"/>
    </row>
    <row r="362" spans="2:10" ht="18" outlineLevel="1" x14ac:dyDescent="0.25">
      <c r="B362" s="1897" t="s">
        <v>1875</v>
      </c>
      <c r="C362" s="1898" t="s">
        <v>1876</v>
      </c>
      <c r="D362" s="1898">
        <v>100</v>
      </c>
      <c r="E362" s="1900"/>
      <c r="F362" s="1900"/>
      <c r="G362" s="1898" t="s">
        <v>1877</v>
      </c>
      <c r="H362" s="1901"/>
      <c r="I362" s="1901"/>
      <c r="J362" s="1898"/>
    </row>
    <row r="363" spans="2:10" ht="18" outlineLevel="1" x14ac:dyDescent="0.25">
      <c r="B363" s="1897" t="s">
        <v>4485</v>
      </c>
      <c r="C363" s="1898" t="s">
        <v>4486</v>
      </c>
      <c r="D363" s="1898">
        <v>1000</v>
      </c>
      <c r="E363" s="1900"/>
      <c r="F363" s="1900"/>
      <c r="G363" s="1898" t="s">
        <v>4487</v>
      </c>
      <c r="H363" s="1901"/>
      <c r="I363" s="1901"/>
      <c r="J363" s="1898"/>
    </row>
    <row r="364" spans="2:10" ht="18" outlineLevel="1" x14ac:dyDescent="0.25">
      <c r="B364" s="1897" t="s">
        <v>937</v>
      </c>
      <c r="C364" s="1898" t="s">
        <v>1585</v>
      </c>
      <c r="D364" s="1898">
        <v>86400</v>
      </c>
      <c r="E364" s="1900"/>
      <c r="F364" s="1900"/>
      <c r="G364" s="1898" t="s">
        <v>1586</v>
      </c>
      <c r="H364" s="1901"/>
      <c r="I364" s="1901"/>
      <c r="J364" s="1898"/>
    </row>
    <row r="365" spans="2:10" ht="18" outlineLevel="1" x14ac:dyDescent="0.25">
      <c r="B365" s="1897" t="s">
        <v>1587</v>
      </c>
      <c r="C365" s="1898" t="s">
        <v>1588</v>
      </c>
      <c r="D365" s="1898">
        <v>3600</v>
      </c>
      <c r="E365" s="1900"/>
      <c r="F365" s="1900"/>
      <c r="G365" s="1898" t="s">
        <v>1589</v>
      </c>
      <c r="H365" s="1901"/>
      <c r="I365" s="1901"/>
      <c r="J365" s="1898"/>
    </row>
    <row r="366" spans="2:10" ht="18" outlineLevel="1" x14ac:dyDescent="0.25">
      <c r="B366" s="1897" t="s">
        <v>4488</v>
      </c>
      <c r="C366" s="1898" t="s">
        <v>4489</v>
      </c>
      <c r="D366" s="1898">
        <v>60</v>
      </c>
      <c r="E366" s="1900"/>
      <c r="F366" s="1900"/>
      <c r="G366" s="1898" t="s">
        <v>4490</v>
      </c>
      <c r="H366" s="1901"/>
      <c r="I366" s="1901"/>
      <c r="J366" s="1898"/>
    </row>
    <row r="367" spans="2:10" ht="18" outlineLevel="1" x14ac:dyDescent="0.25">
      <c r="B367" s="1897" t="s">
        <v>4491</v>
      </c>
      <c r="C367" s="1898" t="s">
        <v>4492</v>
      </c>
      <c r="D367" s="1898">
        <v>1440</v>
      </c>
      <c r="E367" s="1900"/>
      <c r="F367" s="1900"/>
      <c r="G367" s="1898" t="s">
        <v>4493</v>
      </c>
      <c r="H367" s="1901"/>
      <c r="I367" s="1901"/>
      <c r="J367" s="1898"/>
    </row>
    <row r="368" spans="2:10" ht="18" outlineLevel="1" x14ac:dyDescent="0.25">
      <c r="B368" s="1897" t="s">
        <v>3946</v>
      </c>
      <c r="C368" s="1898" t="s">
        <v>3947</v>
      </c>
      <c r="D368" s="1898">
        <v>60</v>
      </c>
      <c r="E368" s="1900"/>
      <c r="F368" s="1900"/>
      <c r="G368" s="1898" t="s">
        <v>3948</v>
      </c>
      <c r="H368" s="1901"/>
      <c r="I368" s="1901"/>
      <c r="J368" s="1898"/>
    </row>
    <row r="369" spans="2:10" ht="18" outlineLevel="1" x14ac:dyDescent="0.25">
      <c r="B369" s="1897" t="s">
        <v>3949</v>
      </c>
      <c r="C369" s="1898" t="s">
        <v>3950</v>
      </c>
      <c r="D369" s="1898">
        <v>24</v>
      </c>
      <c r="E369" s="1900"/>
      <c r="F369" s="1900"/>
      <c r="G369" s="1898" t="s">
        <v>3951</v>
      </c>
      <c r="H369" s="1901"/>
      <c r="I369" s="1901"/>
      <c r="J369" s="1898"/>
    </row>
    <row r="370" spans="2:10" ht="18" outlineLevel="1" x14ac:dyDescent="0.25">
      <c r="B370" s="1897" t="s">
        <v>2401</v>
      </c>
      <c r="C370" s="1898" t="s">
        <v>2402</v>
      </c>
      <c r="D370" s="1898">
        <v>86400000</v>
      </c>
      <c r="E370" s="1900"/>
      <c r="F370" s="1900"/>
      <c r="G370" s="1898" t="s">
        <v>2403</v>
      </c>
      <c r="H370" s="1901"/>
      <c r="I370" s="1901"/>
      <c r="J370" s="1898"/>
    </row>
    <row r="371" spans="2:10" ht="18" outlineLevel="1" x14ac:dyDescent="0.25">
      <c r="B371" s="1897" t="s">
        <v>1081</v>
      </c>
      <c r="C371" s="1898" t="s">
        <v>1082</v>
      </c>
      <c r="D371" s="1898">
        <v>3600000</v>
      </c>
      <c r="E371" s="1900"/>
      <c r="F371" s="1900"/>
      <c r="G371" s="1898" t="s">
        <v>1083</v>
      </c>
      <c r="H371" s="1901"/>
      <c r="I371" s="1901"/>
      <c r="J371" s="1898"/>
    </row>
    <row r="372" spans="2:10" ht="18" outlineLevel="1" x14ac:dyDescent="0.25">
      <c r="B372" s="1897" t="s">
        <v>3952</v>
      </c>
      <c r="C372" s="1898" t="s">
        <v>3953</v>
      </c>
      <c r="D372" s="1898">
        <v>60000</v>
      </c>
      <c r="E372" s="1900"/>
      <c r="F372" s="1900"/>
      <c r="G372" s="1898" t="s">
        <v>3954</v>
      </c>
      <c r="H372" s="1901"/>
      <c r="I372" s="1901"/>
      <c r="J372" s="1898"/>
    </row>
    <row r="373" spans="2:10" ht="18" outlineLevel="1" x14ac:dyDescent="0.25">
      <c r="B373" s="1897" t="s">
        <v>2404</v>
      </c>
      <c r="C373" s="1898" t="s">
        <v>2405</v>
      </c>
      <c r="D373" s="1898">
        <v>1000</v>
      </c>
      <c r="E373" s="1900"/>
      <c r="F373" s="1900"/>
      <c r="G373" s="1898" t="s">
        <v>2406</v>
      </c>
      <c r="H373" s="1901"/>
      <c r="I373" s="1901"/>
      <c r="J373" s="1898"/>
    </row>
    <row r="374" spans="2:10" ht="18" outlineLevel="1" x14ac:dyDescent="0.25">
      <c r="B374" s="1897" t="s">
        <v>4494</v>
      </c>
      <c r="C374" s="1898" t="s">
        <v>4495</v>
      </c>
      <c r="D374" s="1898">
        <v>7</v>
      </c>
      <c r="E374" s="1900"/>
      <c r="F374" s="1900"/>
      <c r="G374" s="1898" t="s">
        <v>4496</v>
      </c>
      <c r="H374" s="1901"/>
      <c r="I374" s="1901"/>
      <c r="J374" s="1898"/>
    </row>
    <row r="375" spans="2:10" ht="18" outlineLevel="1" x14ac:dyDescent="0.25">
      <c r="B375" s="1897" t="s">
        <v>4497</v>
      </c>
      <c r="C375" s="1898" t="s">
        <v>4498</v>
      </c>
      <c r="D375" s="1898">
        <v>30</v>
      </c>
      <c r="E375" s="1900"/>
      <c r="F375" s="1900"/>
      <c r="G375" s="1898" t="s">
        <v>4499</v>
      </c>
      <c r="H375" s="1901"/>
      <c r="I375" s="1901"/>
      <c r="J375" s="1898"/>
    </row>
    <row r="376" spans="2:10" ht="18" outlineLevel="1" x14ac:dyDescent="0.25">
      <c r="B376" s="1897" t="s">
        <v>4500</v>
      </c>
      <c r="C376" s="1898" t="s">
        <v>4501</v>
      </c>
      <c r="D376" s="1898">
        <v>365</v>
      </c>
      <c r="E376" s="1900"/>
      <c r="F376" s="1900"/>
      <c r="G376" s="1898" t="s">
        <v>4502</v>
      </c>
      <c r="H376" s="1901"/>
      <c r="I376" s="1901"/>
      <c r="J376" s="1898"/>
    </row>
    <row r="377" spans="2:10" ht="18" outlineLevel="1" x14ac:dyDescent="0.25">
      <c r="B377" s="1897" t="s">
        <v>938</v>
      </c>
      <c r="C377" s="1898" t="s">
        <v>939</v>
      </c>
      <c r="D377" s="1898">
        <v>1000</v>
      </c>
      <c r="E377" s="1900"/>
      <c r="F377" s="1900"/>
      <c r="G377" s="1898" t="s">
        <v>1590</v>
      </c>
      <c r="H377" s="1901"/>
      <c r="I377" s="1901"/>
      <c r="J377" s="1898"/>
    </row>
    <row r="378" spans="2:10" ht="18" outlineLevel="1" x14ac:dyDescent="0.25">
      <c r="B378" s="1897" t="s">
        <v>1037</v>
      </c>
      <c r="C378" s="1898" t="s">
        <v>1038</v>
      </c>
      <c r="D378" s="1898">
        <v>1000</v>
      </c>
      <c r="E378" s="1900"/>
      <c r="F378" s="1900"/>
      <c r="G378" s="1898" t="s">
        <v>1591</v>
      </c>
      <c r="H378" s="1901"/>
      <c r="I378" s="1901"/>
      <c r="J378" s="1898"/>
    </row>
    <row r="379" spans="2:10" ht="18" outlineLevel="1" x14ac:dyDescent="0.25">
      <c r="B379" s="1897" t="s">
        <v>4503</v>
      </c>
      <c r="C379" s="1898" t="s">
        <v>4504</v>
      </c>
      <c r="D379" s="1898">
        <v>1000000</v>
      </c>
      <c r="E379" s="1900"/>
      <c r="F379" s="1900"/>
      <c r="G379" s="1898" t="s">
        <v>4505</v>
      </c>
      <c r="H379" s="1901"/>
      <c r="I379" s="1901"/>
      <c r="J379" s="1898"/>
    </row>
    <row r="380" spans="2:10" ht="18" outlineLevel="1" x14ac:dyDescent="0.25">
      <c r="B380" s="1897" t="s">
        <v>940</v>
      </c>
      <c r="C380" s="1898" t="s">
        <v>1592</v>
      </c>
      <c r="D380" s="1898">
        <v>1000</v>
      </c>
      <c r="E380" s="1900"/>
      <c r="F380" s="1900"/>
      <c r="G380" s="1898" t="s">
        <v>1593</v>
      </c>
      <c r="H380" s="1901"/>
      <c r="I380" s="1901"/>
      <c r="J380" s="1898"/>
    </row>
    <row r="381" spans="2:10" ht="18" outlineLevel="1" x14ac:dyDescent="0.25">
      <c r="B381" s="2168" t="s">
        <v>3955</v>
      </c>
      <c r="C381" s="2168" t="s">
        <v>3956</v>
      </c>
      <c r="D381" s="2168">
        <v>1000</v>
      </c>
      <c r="E381" s="2168"/>
      <c r="F381" s="2168"/>
      <c r="G381" s="2168" t="s">
        <v>3957</v>
      </c>
      <c r="H381" s="2168"/>
      <c r="I381" s="2168"/>
      <c r="J381" s="2168"/>
    </row>
    <row r="382" spans="2:10" ht="18" outlineLevel="1" x14ac:dyDescent="0.25">
      <c r="B382" s="2168" t="s">
        <v>4506</v>
      </c>
      <c r="C382" s="2168" t="s">
        <v>3956</v>
      </c>
      <c r="D382" s="2168">
        <v>1000</v>
      </c>
      <c r="E382" s="2168"/>
      <c r="F382" s="2168"/>
      <c r="G382" s="2168" t="s">
        <v>4507</v>
      </c>
      <c r="H382" s="2168"/>
      <c r="I382" s="2168"/>
      <c r="J382" s="2168"/>
    </row>
    <row r="383" spans="2:10" ht="18" outlineLevel="1" x14ac:dyDescent="0.25">
      <c r="B383" s="1897" t="s">
        <v>4508</v>
      </c>
      <c r="C383" s="1898" t="s">
        <v>4509</v>
      </c>
      <c r="D383" s="1898">
        <v>1000000</v>
      </c>
      <c r="E383" s="1900"/>
      <c r="F383" s="1900"/>
      <c r="G383" s="1898" t="s">
        <v>4510</v>
      </c>
      <c r="H383" s="1901"/>
      <c r="I383" s="1901"/>
      <c r="J383" s="1898"/>
    </row>
    <row r="384" spans="2:10" ht="18" outlineLevel="1" x14ac:dyDescent="0.25">
      <c r="B384" s="1897" t="s">
        <v>1039</v>
      </c>
      <c r="C384" s="1898" t="s">
        <v>2025</v>
      </c>
      <c r="D384" s="1898">
        <v>133.32236800000001</v>
      </c>
      <c r="E384" s="1900"/>
      <c r="F384" s="1900"/>
      <c r="G384" s="1898" t="s">
        <v>1594</v>
      </c>
      <c r="H384" s="1901"/>
      <c r="I384" s="1901"/>
      <c r="J384" s="1898"/>
    </row>
    <row r="385" spans="2:10" ht="18" outlineLevel="1" x14ac:dyDescent="0.25">
      <c r="B385" s="1897" t="s">
        <v>1040</v>
      </c>
      <c r="C385" s="1898" t="s">
        <v>2026</v>
      </c>
      <c r="D385" s="1898">
        <v>100000</v>
      </c>
      <c r="E385" s="1900"/>
      <c r="F385" s="1900"/>
      <c r="G385" s="1898" t="s">
        <v>1595</v>
      </c>
      <c r="H385" s="1901"/>
      <c r="I385" s="1901"/>
      <c r="J385" s="1898"/>
    </row>
    <row r="386" spans="2:10" ht="18" outlineLevel="1" x14ac:dyDescent="0.25">
      <c r="B386" s="1897" t="s">
        <v>4511</v>
      </c>
      <c r="C386" s="1898" t="s">
        <v>4512</v>
      </c>
      <c r="D386" s="1898">
        <v>100</v>
      </c>
      <c r="E386" s="1900"/>
      <c r="F386" s="1900"/>
      <c r="G386" s="1898" t="s">
        <v>4513</v>
      </c>
      <c r="H386" s="1901"/>
      <c r="I386" s="1901"/>
      <c r="J386" s="1898"/>
    </row>
    <row r="387" spans="2:10" ht="18" outlineLevel="1" x14ac:dyDescent="0.25">
      <c r="B387" s="1897" t="s">
        <v>4514</v>
      </c>
      <c r="C387" s="1898" t="s">
        <v>4515</v>
      </c>
      <c r="D387" s="1898">
        <v>1000000</v>
      </c>
      <c r="E387" s="1900"/>
      <c r="F387" s="1900"/>
      <c r="G387" s="1898" t="s">
        <v>4516</v>
      </c>
      <c r="H387" s="1901"/>
      <c r="I387" s="1901"/>
      <c r="J387" s="1898"/>
    </row>
    <row r="388" spans="2:10" ht="18" outlineLevel="1" x14ac:dyDescent="0.25">
      <c r="B388" s="1897" t="s">
        <v>4517</v>
      </c>
      <c r="C388" s="1898" t="s">
        <v>4518</v>
      </c>
      <c r="D388" s="1898">
        <v>1000</v>
      </c>
      <c r="E388" s="1900"/>
      <c r="F388" s="1900"/>
      <c r="G388" s="1898" t="s">
        <v>4519</v>
      </c>
      <c r="H388" s="1901"/>
      <c r="I388" s="1901"/>
      <c r="J388" s="1898"/>
    </row>
    <row r="389" spans="2:10" ht="18" outlineLevel="1" x14ac:dyDescent="0.25">
      <c r="B389" s="1897" t="s">
        <v>3958</v>
      </c>
      <c r="C389" s="1898" t="s">
        <v>3959</v>
      </c>
      <c r="D389" s="1898">
        <v>100</v>
      </c>
      <c r="E389" s="1900"/>
      <c r="F389" s="1900"/>
      <c r="G389" s="1898" t="s">
        <v>4520</v>
      </c>
      <c r="H389" s="1901"/>
      <c r="I389" s="1901"/>
      <c r="J389" s="1898"/>
    </row>
    <row r="390" spans="2:10" ht="18" outlineLevel="1" x14ac:dyDescent="0.25">
      <c r="B390" s="1897" t="s">
        <v>1041</v>
      </c>
      <c r="C390" s="1898" t="s">
        <v>2027</v>
      </c>
      <c r="D390" s="1898">
        <v>10000</v>
      </c>
      <c r="E390" s="1900"/>
      <c r="F390" s="1900"/>
      <c r="G390" s="1898" t="s">
        <v>1596</v>
      </c>
      <c r="H390" s="1901"/>
      <c r="I390" s="1901"/>
      <c r="J390" s="1898"/>
    </row>
    <row r="391" spans="2:10" ht="18" outlineLevel="1" x14ac:dyDescent="0.25">
      <c r="B391" s="1897" t="s">
        <v>2028</v>
      </c>
      <c r="C391" s="1898" t="s">
        <v>2029</v>
      </c>
      <c r="D391" s="1898">
        <v>1000000</v>
      </c>
      <c r="E391" s="1900"/>
      <c r="F391" s="1900"/>
      <c r="G391" s="1898" t="s">
        <v>2030</v>
      </c>
      <c r="H391" s="1901"/>
      <c r="I391" s="1901"/>
      <c r="J391" s="1898"/>
    </row>
    <row r="392" spans="2:10" ht="18" outlineLevel="1" x14ac:dyDescent="0.25">
      <c r="B392" s="1897" t="s">
        <v>4521</v>
      </c>
      <c r="C392" s="1898" t="s">
        <v>4522</v>
      </c>
      <c r="D392" s="1898">
        <f>1/3785.411784</f>
        <v>2.6417205235814843E-4</v>
      </c>
      <c r="E392" s="1900"/>
      <c r="F392" s="1900"/>
      <c r="G392" s="1898" t="s">
        <v>4523</v>
      </c>
      <c r="H392" s="1901"/>
      <c r="I392" s="1901"/>
      <c r="J392" s="1898"/>
    </row>
    <row r="393" spans="2:10" ht="18" outlineLevel="1" x14ac:dyDescent="0.25">
      <c r="B393" s="1897" t="s">
        <v>4524</v>
      </c>
      <c r="C393" s="1898" t="s">
        <v>4525</v>
      </c>
      <c r="D393" s="1898">
        <f>1/0.003785411784</f>
        <v>264.17205235814839</v>
      </c>
      <c r="E393" s="1900"/>
      <c r="F393" s="1900"/>
      <c r="G393" s="1898" t="s">
        <v>4526</v>
      </c>
      <c r="H393" s="1901"/>
      <c r="I393" s="1901"/>
      <c r="J393" s="1898"/>
    </row>
    <row r="394" spans="2:10" ht="18" outlineLevel="1" x14ac:dyDescent="0.25">
      <c r="B394" s="1897" t="s">
        <v>4527</v>
      </c>
      <c r="C394" s="1898" t="s">
        <v>4528</v>
      </c>
      <c r="D394" s="1898">
        <v>2.2046226218000002E-3</v>
      </c>
      <c r="E394" s="1900"/>
      <c r="F394" s="1900"/>
      <c r="G394" s="1898" t="s">
        <v>4529</v>
      </c>
      <c r="H394" s="1901"/>
      <c r="I394" s="1901"/>
      <c r="J394" s="1898"/>
    </row>
    <row r="395" spans="2:10" ht="18" outlineLevel="1" x14ac:dyDescent="0.25">
      <c r="B395" s="1897" t="s">
        <v>4530</v>
      </c>
      <c r="C395" s="1898" t="s">
        <v>4531</v>
      </c>
      <c r="D395" s="1900">
        <f>+c_ft_m*c_ft2_m2</f>
        <v>35.314670111696707</v>
      </c>
      <c r="E395" s="1900"/>
      <c r="F395" s="1900"/>
      <c r="G395" s="1898" t="s">
        <v>4532</v>
      </c>
      <c r="H395" s="1901"/>
      <c r="I395" s="1901"/>
      <c r="J395" s="1898"/>
    </row>
    <row r="396" spans="2:10" ht="18" outlineLevel="1" x14ac:dyDescent="0.25">
      <c r="B396" s="1897" t="s">
        <v>4533</v>
      </c>
      <c r="C396" s="1898" t="s">
        <v>4534</v>
      </c>
      <c r="D396" s="1900">
        <f>+c_ft_m^2</f>
        <v>10.7639111056</v>
      </c>
      <c r="E396" s="1900"/>
      <c r="F396" s="1900"/>
      <c r="G396" s="1898" t="s">
        <v>4535</v>
      </c>
      <c r="H396" s="1901"/>
      <c r="I396" s="1901"/>
      <c r="J396" s="1898"/>
    </row>
    <row r="397" spans="2:10" ht="18" outlineLevel="1" x14ac:dyDescent="0.25">
      <c r="B397" s="1897" t="s">
        <v>4536</v>
      </c>
      <c r="C397" s="1898" t="s">
        <v>4537</v>
      </c>
      <c r="D397" s="1898">
        <v>3.28084</v>
      </c>
      <c r="E397" s="1900"/>
      <c r="F397" s="1900"/>
      <c r="G397" s="1898" t="s">
        <v>4538</v>
      </c>
      <c r="H397" s="1901"/>
      <c r="I397" s="1901"/>
      <c r="J397" s="1898"/>
    </row>
    <row r="399" spans="2:10" ht="15.75" thickBot="1" x14ac:dyDescent="0.3">
      <c r="C399" s="2151" t="s">
        <v>956</v>
      </c>
    </row>
    <row r="400" spans="2:10" ht="15.75" thickBot="1" x14ac:dyDescent="0.3">
      <c r="B400" s="2152" t="s">
        <v>0</v>
      </c>
      <c r="C400" s="2153" t="s">
        <v>1</v>
      </c>
      <c r="D400" s="2154" t="s">
        <v>152</v>
      </c>
      <c r="E400" s="2154" t="s">
        <v>470</v>
      </c>
      <c r="F400" s="2154" t="s">
        <v>471</v>
      </c>
      <c r="G400" s="2154" t="s">
        <v>2</v>
      </c>
      <c r="H400" s="2154" t="s">
        <v>298</v>
      </c>
      <c r="I400" s="2154" t="s">
        <v>116</v>
      </c>
      <c r="J400" s="2155" t="s">
        <v>117</v>
      </c>
    </row>
    <row r="401" spans="2:10" ht="18" outlineLevel="1" x14ac:dyDescent="0.25">
      <c r="B401" s="1897" t="s">
        <v>1084</v>
      </c>
      <c r="C401" s="1898" t="s">
        <v>957</v>
      </c>
      <c r="D401" s="1898">
        <v>0</v>
      </c>
      <c r="E401" s="1900"/>
      <c r="F401" s="1900"/>
      <c r="G401" s="1898" t="s">
        <v>3035</v>
      </c>
      <c r="H401" s="1901"/>
      <c r="I401" s="1901"/>
      <c r="J401" s="1898" t="s">
        <v>958</v>
      </c>
    </row>
    <row r="402" spans="2:10" ht="18" outlineLevel="1" x14ac:dyDescent="0.25">
      <c r="B402" s="1897" t="s">
        <v>1085</v>
      </c>
      <c r="C402" s="1898" t="s">
        <v>959</v>
      </c>
      <c r="D402" s="1898">
        <v>-285840</v>
      </c>
      <c r="E402" s="1900"/>
      <c r="F402" s="1900"/>
      <c r="G402" s="1898" t="s">
        <v>3035</v>
      </c>
      <c r="H402" s="1901"/>
      <c r="I402" s="1901"/>
      <c r="J402" s="1898" t="s">
        <v>960</v>
      </c>
    </row>
    <row r="403" spans="2:10" ht="18" outlineLevel="1" x14ac:dyDescent="0.25">
      <c r="B403" s="1897" t="s">
        <v>1086</v>
      </c>
      <c r="C403" s="1898" t="s">
        <v>961</v>
      </c>
      <c r="D403" s="1898">
        <v>-229994</v>
      </c>
      <c r="E403" s="1900"/>
      <c r="F403" s="1900"/>
      <c r="G403" s="1898" t="s">
        <v>3035</v>
      </c>
      <c r="H403" s="1901"/>
      <c r="I403" s="1901"/>
      <c r="J403" s="1898" t="s">
        <v>958</v>
      </c>
    </row>
    <row r="404" spans="2:10" ht="18" outlineLevel="1" x14ac:dyDescent="0.25">
      <c r="B404" s="1897" t="s">
        <v>1087</v>
      </c>
      <c r="C404" s="1898" t="s">
        <v>962</v>
      </c>
      <c r="D404" s="1898">
        <v>-80920</v>
      </c>
      <c r="E404" s="1900"/>
      <c r="F404" s="1900"/>
      <c r="G404" s="1898" t="s">
        <v>3035</v>
      </c>
      <c r="H404" s="1901"/>
      <c r="I404" s="1901"/>
      <c r="J404" s="1898" t="s">
        <v>958</v>
      </c>
    </row>
    <row r="405" spans="2:10" ht="18" outlineLevel="1" x14ac:dyDescent="0.25">
      <c r="B405" s="1897" t="s">
        <v>1088</v>
      </c>
      <c r="C405" s="1898" t="s">
        <v>963</v>
      </c>
      <c r="D405" s="1898">
        <v>-132510</v>
      </c>
      <c r="E405" s="1900"/>
      <c r="F405" s="1900"/>
      <c r="G405" s="1898" t="s">
        <v>3035</v>
      </c>
      <c r="H405" s="1901"/>
      <c r="I405" s="1901"/>
      <c r="J405" s="1898" t="s">
        <v>958</v>
      </c>
    </row>
    <row r="406" spans="2:10" ht="18" outlineLevel="1" x14ac:dyDescent="0.25">
      <c r="B406" s="1897" t="s">
        <v>1089</v>
      </c>
      <c r="C406" s="1898" t="s">
        <v>964</v>
      </c>
      <c r="D406" s="1898">
        <v>-119200</v>
      </c>
      <c r="E406" s="1900"/>
      <c r="F406" s="1900"/>
      <c r="G406" s="1898" t="s">
        <v>3035</v>
      </c>
      <c r="H406" s="1901"/>
      <c r="I406" s="1901"/>
      <c r="J406" s="1898" t="s">
        <v>958</v>
      </c>
    </row>
    <row r="407" spans="2:10" ht="18" outlineLevel="1" x14ac:dyDescent="0.25">
      <c r="B407" s="1897" t="s">
        <v>1090</v>
      </c>
      <c r="C407" s="1898" t="s">
        <v>965</v>
      </c>
      <c r="D407" s="1898">
        <v>-106000</v>
      </c>
      <c r="E407" s="1900"/>
      <c r="F407" s="1900"/>
      <c r="G407" s="1898" t="s">
        <v>3035</v>
      </c>
      <c r="H407" s="1901"/>
      <c r="I407" s="1901"/>
      <c r="J407" s="1898" t="s">
        <v>960</v>
      </c>
    </row>
    <row r="408" spans="2:10" ht="18" outlineLevel="1" x14ac:dyDescent="0.25">
      <c r="B408" s="1897" t="s">
        <v>1091</v>
      </c>
      <c r="C408" s="1898" t="s">
        <v>966</v>
      </c>
      <c r="D408" s="1898">
        <v>-205000</v>
      </c>
      <c r="E408" s="1900"/>
      <c r="F408" s="1900"/>
      <c r="G408" s="1898" t="s">
        <v>3035</v>
      </c>
      <c r="H408" s="1901"/>
      <c r="I408" s="1901"/>
      <c r="J408" s="1898" t="s">
        <v>958</v>
      </c>
    </row>
    <row r="409" spans="2:10" ht="18" outlineLevel="1" x14ac:dyDescent="0.25">
      <c r="B409" s="1897" t="s">
        <v>1092</v>
      </c>
      <c r="C409" s="1898" t="s">
        <v>967</v>
      </c>
      <c r="D409" s="1898">
        <v>-699650</v>
      </c>
      <c r="E409" s="1900"/>
      <c r="F409" s="1900"/>
      <c r="G409" s="1898" t="s">
        <v>3035</v>
      </c>
      <c r="H409" s="1901"/>
      <c r="I409" s="1901"/>
      <c r="J409" s="1898" t="s">
        <v>958</v>
      </c>
    </row>
    <row r="410" spans="2:10" ht="18" outlineLevel="1" x14ac:dyDescent="0.25">
      <c r="B410" s="1897" t="s">
        <v>1093</v>
      </c>
      <c r="C410" s="1898" t="s">
        <v>968</v>
      </c>
      <c r="D410" s="1898">
        <v>-691990</v>
      </c>
      <c r="E410" s="1900"/>
      <c r="F410" s="1900"/>
      <c r="G410" s="1898" t="s">
        <v>3035</v>
      </c>
      <c r="H410" s="1901"/>
      <c r="I410" s="1901"/>
      <c r="J410" s="1898" t="s">
        <v>958</v>
      </c>
    </row>
    <row r="411" spans="2:10" ht="18" outlineLevel="1" x14ac:dyDescent="0.25">
      <c r="B411" s="1897" t="s">
        <v>1094</v>
      </c>
      <c r="C411" s="1898" t="s">
        <v>969</v>
      </c>
      <c r="D411" s="1898">
        <v>-677140</v>
      </c>
      <c r="E411" s="1900"/>
      <c r="F411" s="1900"/>
      <c r="G411" s="1898" t="s">
        <v>3035</v>
      </c>
      <c r="H411" s="1901"/>
      <c r="I411" s="1901"/>
      <c r="J411" s="1898" t="s">
        <v>958</v>
      </c>
    </row>
    <row r="412" spans="2:10" ht="18" outlineLevel="1" x14ac:dyDescent="0.25">
      <c r="B412" s="1897" t="s">
        <v>1095</v>
      </c>
      <c r="C412" s="1898" t="s">
        <v>4539</v>
      </c>
      <c r="D412" s="1898">
        <v>-1299144</v>
      </c>
      <c r="E412" s="1900"/>
      <c r="F412" s="1900"/>
      <c r="G412" s="1898" t="s">
        <v>3035</v>
      </c>
      <c r="H412" s="1901"/>
      <c r="I412" s="1901"/>
      <c r="J412" s="1898" t="s">
        <v>970</v>
      </c>
    </row>
    <row r="413" spans="2:10" ht="18" outlineLevel="1" x14ac:dyDescent="0.25">
      <c r="B413" s="1897" t="s">
        <v>1096</v>
      </c>
      <c r="C413" s="1898" t="s">
        <v>971</v>
      </c>
      <c r="D413" s="1898">
        <v>1296000</v>
      </c>
      <c r="E413" s="1900"/>
      <c r="F413" s="1900"/>
      <c r="G413" s="1898" t="s">
        <v>3035</v>
      </c>
      <c r="H413" s="1901"/>
      <c r="I413" s="1901"/>
      <c r="J413" s="1898" t="s">
        <v>972</v>
      </c>
    </row>
    <row r="414" spans="2:10" ht="18" outlineLevel="1" x14ac:dyDescent="0.25">
      <c r="B414" s="1897" t="s">
        <v>1097</v>
      </c>
      <c r="C414" s="1898" t="s">
        <v>973</v>
      </c>
      <c r="D414" s="1898">
        <v>-1292000</v>
      </c>
      <c r="E414" s="1900"/>
      <c r="F414" s="1900"/>
      <c r="G414" s="1898" t="s">
        <v>3035</v>
      </c>
      <c r="H414" s="1901"/>
      <c r="I414" s="1901"/>
      <c r="J414" s="1898" t="s">
        <v>972</v>
      </c>
    </row>
    <row r="415" spans="2:10" ht="18" outlineLevel="1" x14ac:dyDescent="0.25">
      <c r="B415" s="1897" t="s">
        <v>1098</v>
      </c>
      <c r="C415" s="1898" t="s">
        <v>974</v>
      </c>
      <c r="D415" s="1898">
        <v>-1277400</v>
      </c>
      <c r="E415" s="1900"/>
      <c r="F415" s="1900"/>
      <c r="G415" s="1898" t="s">
        <v>3035</v>
      </c>
      <c r="H415" s="1901"/>
      <c r="I415" s="1901"/>
      <c r="J415" s="1898" t="s">
        <v>958</v>
      </c>
    </row>
    <row r="416" spans="2:10" ht="18" outlineLevel="1" x14ac:dyDescent="0.25">
      <c r="B416" s="1897" t="s">
        <v>1099</v>
      </c>
      <c r="C416" s="1898" t="s">
        <v>975</v>
      </c>
      <c r="D416" s="1898">
        <v>-488453</v>
      </c>
      <c r="E416" s="1900"/>
      <c r="F416" s="1900"/>
      <c r="G416" s="1898" t="s">
        <v>3035</v>
      </c>
      <c r="H416" s="1901"/>
      <c r="I416" s="1901"/>
      <c r="J416" s="1898" t="s">
        <v>960</v>
      </c>
    </row>
    <row r="417" spans="2:10" ht="18" outlineLevel="1" x14ac:dyDescent="0.25">
      <c r="B417" s="1897" t="s">
        <v>1100</v>
      </c>
      <c r="C417" s="1898" t="s">
        <v>976</v>
      </c>
      <c r="D417" s="1898">
        <v>-488871</v>
      </c>
      <c r="E417" s="1900"/>
      <c r="F417" s="1900"/>
      <c r="G417" s="1898" t="s">
        <v>3035</v>
      </c>
      <c r="H417" s="1901"/>
      <c r="I417" s="1901"/>
      <c r="J417" s="1898" t="s">
        <v>960</v>
      </c>
    </row>
    <row r="418" spans="2:10" ht="18" outlineLevel="1" x14ac:dyDescent="0.25">
      <c r="B418" s="1897" t="s">
        <v>1346</v>
      </c>
      <c r="C418" s="1898" t="s">
        <v>1272</v>
      </c>
      <c r="D418" s="1898">
        <v>-39000</v>
      </c>
      <c r="E418" s="1900"/>
      <c r="F418" s="1900"/>
      <c r="G418" s="1898" t="s">
        <v>3035</v>
      </c>
      <c r="H418" s="1901"/>
      <c r="I418" s="1901"/>
      <c r="J418" s="1898" t="s">
        <v>960</v>
      </c>
    </row>
    <row r="419" spans="2:10" ht="18" outlineLevel="1" x14ac:dyDescent="0.25">
      <c r="B419" s="1897" t="s">
        <v>1347</v>
      </c>
      <c r="C419" s="1898" t="s">
        <v>1273</v>
      </c>
      <c r="D419" s="1898">
        <v>-17000</v>
      </c>
      <c r="E419" s="1900"/>
      <c r="F419" s="1900"/>
      <c r="G419" s="1898" t="s">
        <v>3035</v>
      </c>
      <c r="H419" s="1901"/>
      <c r="I419" s="1901"/>
      <c r="J419" s="1898" t="s">
        <v>1274</v>
      </c>
    </row>
    <row r="420" spans="2:10" ht="18" outlineLevel="1" x14ac:dyDescent="0.25">
      <c r="B420" s="1897" t="s">
        <v>1348</v>
      </c>
      <c r="C420" s="1898" t="s">
        <v>1275</v>
      </c>
      <c r="D420" s="1898">
        <v>33000</v>
      </c>
      <c r="E420" s="1900"/>
      <c r="F420" s="1900"/>
      <c r="G420" s="1898" t="s">
        <v>3035</v>
      </c>
      <c r="H420" s="1901"/>
      <c r="I420" s="1901"/>
      <c r="J420" s="1898" t="s">
        <v>960</v>
      </c>
    </row>
    <row r="421" spans="2:10" ht="18" outlineLevel="1" x14ac:dyDescent="0.25">
      <c r="B421" s="1897" t="s">
        <v>1349</v>
      </c>
      <c r="C421" s="1898" t="s">
        <v>1276</v>
      </c>
      <c r="D421" s="1898">
        <v>-909000</v>
      </c>
      <c r="E421" s="1900"/>
      <c r="F421" s="1900"/>
      <c r="G421" s="1898" t="s">
        <v>3035</v>
      </c>
      <c r="H421" s="1901"/>
      <c r="I421" s="1901"/>
      <c r="J421" s="1898" t="s">
        <v>972</v>
      </c>
    </row>
    <row r="422" spans="2:10" ht="18" outlineLevel="1" x14ac:dyDescent="0.25">
      <c r="B422" s="1897" t="s">
        <v>1350</v>
      </c>
      <c r="C422" s="1898" t="s">
        <v>1277</v>
      </c>
      <c r="D422" s="1898">
        <v>-887000</v>
      </c>
      <c r="E422" s="1900"/>
      <c r="F422" s="1900"/>
      <c r="G422" s="1898" t="s">
        <v>3035</v>
      </c>
      <c r="H422" s="1901"/>
      <c r="I422" s="1901"/>
      <c r="J422" s="1898" t="s">
        <v>1278</v>
      </c>
    </row>
    <row r="423" spans="2:10" ht="18" outlineLevel="1" x14ac:dyDescent="0.25">
      <c r="B423" s="1897" t="s">
        <v>1351</v>
      </c>
      <c r="C423" s="1898" t="s">
        <v>1279</v>
      </c>
      <c r="D423" s="1898">
        <v>-909000</v>
      </c>
      <c r="E423" s="1900"/>
      <c r="F423" s="1900"/>
      <c r="G423" s="1898" t="s">
        <v>3035</v>
      </c>
      <c r="H423" s="1901"/>
      <c r="I423" s="1901"/>
      <c r="J423" s="1898" t="s">
        <v>972</v>
      </c>
    </row>
    <row r="424" spans="2:10" ht="18" outlineLevel="1" x14ac:dyDescent="0.25">
      <c r="B424" s="1897" t="s">
        <v>1308</v>
      </c>
      <c r="C424" s="1898" t="s">
        <v>1309</v>
      </c>
      <c r="D424" s="1898">
        <v>-542960</v>
      </c>
      <c r="E424" s="1900"/>
      <c r="F424" s="1900"/>
      <c r="G424" s="1898" t="s">
        <v>3035</v>
      </c>
      <c r="H424" s="1901"/>
      <c r="I424" s="1901"/>
      <c r="J424" s="1898" t="s">
        <v>960</v>
      </c>
    </row>
    <row r="425" spans="2:10" ht="18" outlineLevel="1" x14ac:dyDescent="0.25">
      <c r="B425" s="1897" t="s">
        <v>1310</v>
      </c>
      <c r="C425" s="1898" t="s">
        <v>3960</v>
      </c>
      <c r="D425" s="1898">
        <v>-461960</v>
      </c>
      <c r="E425" s="1900"/>
      <c r="F425" s="1900"/>
      <c r="G425" s="1898" t="s">
        <v>3035</v>
      </c>
      <c r="H425" s="1901"/>
      <c r="I425" s="1901"/>
      <c r="J425" s="1898" t="s">
        <v>960</v>
      </c>
    </row>
    <row r="426" spans="2:10" ht="18" outlineLevel="1" x14ac:dyDescent="0.25">
      <c r="B426" s="1897" t="s">
        <v>1311</v>
      </c>
      <c r="C426" s="1898" t="s">
        <v>1312</v>
      </c>
      <c r="D426" s="1898">
        <v>-239660</v>
      </c>
      <c r="E426" s="1900"/>
      <c r="F426" s="1900"/>
      <c r="G426" s="1898" t="s">
        <v>3035</v>
      </c>
      <c r="H426" s="1901"/>
      <c r="I426" s="1901"/>
      <c r="J426" s="1898" t="s">
        <v>960</v>
      </c>
    </row>
    <row r="428" spans="2:10" ht="15.75" thickBot="1" x14ac:dyDescent="0.3">
      <c r="C428" s="2151" t="s">
        <v>977</v>
      </c>
    </row>
    <row r="429" spans="2:10" ht="15.75" thickBot="1" x14ac:dyDescent="0.3">
      <c r="B429" s="2152" t="s">
        <v>0</v>
      </c>
      <c r="C429" s="2153" t="s">
        <v>1</v>
      </c>
      <c r="D429" s="2154" t="s">
        <v>152</v>
      </c>
      <c r="E429" s="2154" t="s">
        <v>470</v>
      </c>
      <c r="F429" s="2154" t="s">
        <v>471</v>
      </c>
      <c r="G429" s="2154" t="s">
        <v>2</v>
      </c>
      <c r="H429" s="2154" t="s">
        <v>298</v>
      </c>
      <c r="I429" s="2154" t="s">
        <v>116</v>
      </c>
      <c r="J429" s="2155" t="s">
        <v>117</v>
      </c>
    </row>
    <row r="430" spans="2:10" ht="18" x14ac:dyDescent="0.25">
      <c r="B430" s="1897" t="s">
        <v>978</v>
      </c>
      <c r="C430" s="1898" t="s">
        <v>979</v>
      </c>
      <c r="D430" s="1898">
        <v>-286933.08</v>
      </c>
      <c r="E430" s="1900"/>
      <c r="F430" s="1900"/>
      <c r="G430" s="1898" t="s">
        <v>3035</v>
      </c>
      <c r="H430" s="1901"/>
      <c r="I430" s="1901"/>
      <c r="J430" s="1898" t="s">
        <v>980</v>
      </c>
    </row>
    <row r="432" spans="2:10" ht="15.75" thickBot="1" x14ac:dyDescent="0.3">
      <c r="C432" s="2151" t="s">
        <v>2031</v>
      </c>
    </row>
    <row r="433" spans="2:12" ht="15.75" thickBot="1" x14ac:dyDescent="0.3">
      <c r="B433" s="2152" t="s">
        <v>0</v>
      </c>
      <c r="C433" s="2153" t="s">
        <v>1</v>
      </c>
      <c r="D433" s="2154" t="s">
        <v>152</v>
      </c>
      <c r="E433" s="2154" t="s">
        <v>470</v>
      </c>
      <c r="F433" s="2154" t="s">
        <v>471</v>
      </c>
      <c r="G433" s="2154" t="s">
        <v>2</v>
      </c>
      <c r="H433" s="2154" t="s">
        <v>298</v>
      </c>
      <c r="I433" s="2154" t="s">
        <v>116</v>
      </c>
      <c r="J433" s="2155" t="s">
        <v>117</v>
      </c>
      <c r="L433" s="1896" t="s">
        <v>2032</v>
      </c>
    </row>
    <row r="434" spans="2:12" ht="18" outlineLevel="1" x14ac:dyDescent="0.25">
      <c r="B434" s="1897" t="s">
        <v>2033</v>
      </c>
      <c r="C434" s="1898" t="s">
        <v>2034</v>
      </c>
      <c r="D434" s="1898">
        <v>58032.160000000098</v>
      </c>
      <c r="E434" s="1900"/>
      <c r="F434" s="1900"/>
      <c r="G434" s="1898" t="s">
        <v>3035</v>
      </c>
      <c r="H434" s="1901">
        <v>1</v>
      </c>
      <c r="I434" s="1901"/>
      <c r="J434" s="1898" t="s">
        <v>2035</v>
      </c>
      <c r="L434" s="1896">
        <f>(H_OHm+H_H3Op) - 2*H_H2O</f>
        <v>58032.160000000033</v>
      </c>
    </row>
    <row r="435" spans="2:12" ht="18" outlineLevel="1" x14ac:dyDescent="0.25">
      <c r="B435" s="1897" t="s">
        <v>2036</v>
      </c>
      <c r="C435" s="1898" t="s">
        <v>2037</v>
      </c>
      <c r="D435" s="1898">
        <v>5349.0800000000099</v>
      </c>
      <c r="E435" s="1900"/>
      <c r="F435" s="1900"/>
      <c r="G435" s="1898" t="s">
        <v>3035</v>
      </c>
      <c r="H435" s="1901">
        <v>1</v>
      </c>
      <c r="I435" s="1901"/>
      <c r="J435" s="1898" t="s">
        <v>2407</v>
      </c>
      <c r="L435" s="1896">
        <f>(H_NH4p + H_OHm) - (H_NH3 + H_H2O)</f>
        <v>5349.0800000000163</v>
      </c>
    </row>
    <row r="436" spans="2:12" ht="18" outlineLevel="1" x14ac:dyDescent="0.25">
      <c r="B436" s="1897" t="s">
        <v>2408</v>
      </c>
      <c r="C436" s="1898" t="s">
        <v>2409</v>
      </c>
      <c r="D436" s="1898">
        <v>14293.080000000031</v>
      </c>
      <c r="E436" s="1900"/>
      <c r="F436" s="1900"/>
      <c r="G436" s="1898" t="s">
        <v>3035</v>
      </c>
      <c r="H436" s="1901">
        <v>1</v>
      </c>
      <c r="I436" s="1901"/>
      <c r="J436" s="1898" t="s">
        <v>2410</v>
      </c>
      <c r="L436" s="1896">
        <f>(H_H3Op+H_NO2m)-(H_HNO2+H_H2O)</f>
        <v>14293.080000000016</v>
      </c>
    </row>
    <row r="437" spans="2:12" ht="18" outlineLevel="1" x14ac:dyDescent="0.25">
      <c r="B437" s="1897" t="s">
        <v>2038</v>
      </c>
      <c r="C437" s="1898" t="s">
        <v>2039</v>
      </c>
      <c r="D437" s="1898">
        <v>8753.0800000000672</v>
      </c>
      <c r="E437" s="1900"/>
      <c r="F437" s="1900"/>
      <c r="G437" s="1898" t="s">
        <v>3035</v>
      </c>
      <c r="H437" s="1901">
        <v>1</v>
      </c>
      <c r="I437" s="1901"/>
      <c r="J437" s="1898" t="s">
        <v>2040</v>
      </c>
      <c r="L437" s="1896">
        <f>(H_HCO3m + H_H3Op) - (H_H2CO3 + H_H2O)</f>
        <v>8753.0800000000745</v>
      </c>
    </row>
    <row r="438" spans="2:12" ht="18" outlineLevel="1" x14ac:dyDescent="0.25">
      <c r="B438" s="1897" t="s">
        <v>2041</v>
      </c>
      <c r="C438" s="1898" t="s">
        <v>2042</v>
      </c>
      <c r="D438" s="1898">
        <v>15943.080000000009</v>
      </c>
      <c r="E438" s="1900"/>
      <c r="F438" s="1900"/>
      <c r="G438" s="1898" t="s">
        <v>3035</v>
      </c>
      <c r="H438" s="1901">
        <v>1</v>
      </c>
      <c r="I438" s="1901"/>
      <c r="J438" s="1898" t="s">
        <v>2043</v>
      </c>
      <c r="L438" s="1896">
        <f>(H_H3Op + H_CO32m) - (H_HCO3m + H_H2O)</f>
        <v>15943.080000000075</v>
      </c>
    </row>
    <row r="439" spans="2:12" ht="18" outlineLevel="1" x14ac:dyDescent="0.25">
      <c r="B439" s="1897" t="s">
        <v>2044</v>
      </c>
      <c r="C439" s="1898" t="s">
        <v>2045</v>
      </c>
      <c r="D439" s="1898">
        <v>2596237.08</v>
      </c>
      <c r="E439" s="1900"/>
      <c r="F439" s="1900"/>
      <c r="G439" s="1898" t="s">
        <v>3035</v>
      </c>
      <c r="H439" s="1901">
        <v>1</v>
      </c>
      <c r="I439" s="1901"/>
      <c r="J439" s="1898" t="s">
        <v>2046</v>
      </c>
      <c r="L439" s="1896">
        <f>(H_H3Op + H_H2PO4m) - (H_H3PO4 + H_H2O)</f>
        <v>2596237.08</v>
      </c>
    </row>
    <row r="440" spans="2:12" ht="18" outlineLevel="1" x14ac:dyDescent="0.25">
      <c r="B440" s="1897" t="s">
        <v>2047</v>
      </c>
      <c r="C440" s="1898" t="s">
        <v>2048</v>
      </c>
      <c r="D440" s="1898">
        <v>-2586906.92</v>
      </c>
      <c r="E440" s="1900"/>
      <c r="F440" s="1900"/>
      <c r="G440" s="1898" t="s">
        <v>3035</v>
      </c>
      <c r="H440" s="1901">
        <v>1</v>
      </c>
      <c r="I440" s="1901"/>
      <c r="J440" s="1898" t="s">
        <v>2049</v>
      </c>
      <c r="L440" s="1896">
        <f>(H_H3Op + H_HPO42m) - (H_H2PO4m + H_H2O)</f>
        <v>-2586906.92</v>
      </c>
    </row>
    <row r="441" spans="2:12" ht="18" outlineLevel="1" x14ac:dyDescent="0.25">
      <c r="B441" s="1897" t="s">
        <v>2050</v>
      </c>
      <c r="C441" s="1898" t="s">
        <v>2051</v>
      </c>
      <c r="D441" s="1898">
        <v>15693.080000000009</v>
      </c>
      <c r="E441" s="1900"/>
      <c r="F441" s="1900"/>
      <c r="G441" s="1898" t="s">
        <v>3035</v>
      </c>
      <c r="H441" s="1901">
        <v>1</v>
      </c>
      <c r="I441" s="1901"/>
      <c r="J441" s="1898" t="s">
        <v>2052</v>
      </c>
      <c r="L441" s="1896">
        <f>(H_H3Op + H_PO43m) - (H_HPO42m + H_H2O)</f>
        <v>15693.080000000075</v>
      </c>
    </row>
    <row r="442" spans="2:12" ht="18" outlineLevel="1" x14ac:dyDescent="0.25">
      <c r="B442" s="1897" t="s">
        <v>2053</v>
      </c>
      <c r="C442" s="1898" t="s">
        <v>2054</v>
      </c>
      <c r="D442" s="1898">
        <v>675.07999999997992</v>
      </c>
      <c r="E442" s="1900"/>
      <c r="F442" s="1900"/>
      <c r="G442" s="1898" t="s">
        <v>3035</v>
      </c>
      <c r="H442" s="1901">
        <v>1</v>
      </c>
      <c r="I442" s="1901"/>
      <c r="J442" s="1898" t="s">
        <v>2055</v>
      </c>
      <c r="L442" s="1896">
        <f>(H_H3Op + H_Acm) - (H_HAc + H_H2O)</f>
        <v>675.08000000007451</v>
      </c>
    </row>
    <row r="443" spans="2:12" ht="18" outlineLevel="1" x14ac:dyDescent="0.25">
      <c r="B443" s="2169" t="s">
        <v>4540</v>
      </c>
      <c r="C443" s="2169" t="s">
        <v>4541</v>
      </c>
      <c r="D443" s="2169">
        <v>660</v>
      </c>
      <c r="E443" s="2170"/>
      <c r="F443" s="2169"/>
      <c r="G443" s="2171" t="s">
        <v>3035</v>
      </c>
      <c r="H443" s="2172">
        <v>1</v>
      </c>
      <c r="I443" s="2169"/>
      <c r="J443" s="2169" t="s">
        <v>4542</v>
      </c>
    </row>
    <row r="444" spans="2:12" ht="18" outlineLevel="1" x14ac:dyDescent="0.25">
      <c r="B444" s="2169" t="s">
        <v>4543</v>
      </c>
      <c r="C444" s="2169" t="s">
        <v>4544</v>
      </c>
      <c r="D444" s="2169">
        <v>2800</v>
      </c>
      <c r="E444" s="2170"/>
      <c r="F444" s="2169"/>
      <c r="G444" s="2171" t="s">
        <v>3035</v>
      </c>
      <c r="H444" s="2172">
        <v>1</v>
      </c>
      <c r="I444" s="2169"/>
      <c r="J444" s="2169" t="s">
        <v>4542</v>
      </c>
    </row>
    <row r="445" spans="2:12" ht="18" outlineLevel="1" x14ac:dyDescent="0.25">
      <c r="B445" s="2169" t="s">
        <v>4545</v>
      </c>
      <c r="C445" s="2169" t="s">
        <v>4546</v>
      </c>
      <c r="D445" s="2169">
        <v>2887</v>
      </c>
      <c r="E445" s="2170"/>
      <c r="F445" s="2169"/>
      <c r="G445" s="2171" t="s">
        <v>3035</v>
      </c>
      <c r="H445" s="2172">
        <v>1</v>
      </c>
      <c r="I445" s="2169"/>
      <c r="J445" s="2169" t="s">
        <v>4542</v>
      </c>
    </row>
    <row r="446" spans="2:12" ht="18" outlineLevel="1" x14ac:dyDescent="0.25">
      <c r="B446" s="1897" t="s">
        <v>2056</v>
      </c>
      <c r="C446" s="1898" t="s">
        <v>2057</v>
      </c>
      <c r="D446" s="1898">
        <v>23093.080000000042</v>
      </c>
      <c r="E446" s="1900"/>
      <c r="F446" s="1900"/>
      <c r="G446" s="1898" t="s">
        <v>3035</v>
      </c>
      <c r="H446" s="1901">
        <v>1</v>
      </c>
      <c r="I446" s="1901"/>
      <c r="J446" s="1898" t="s">
        <v>2058</v>
      </c>
      <c r="L446" s="1896">
        <f>(H_HSm+H_H3Op)-(H_H2S+H_H2O)</f>
        <v>23093.080000000016</v>
      </c>
    </row>
    <row r="447" spans="2:12" ht="18" outlineLevel="1" x14ac:dyDescent="0.25">
      <c r="B447" s="1897" t="s">
        <v>2059</v>
      </c>
      <c r="C447" s="1898" t="s">
        <v>2060</v>
      </c>
      <c r="D447" s="1898">
        <v>51093.080000000045</v>
      </c>
      <c r="E447" s="1900"/>
      <c r="F447" s="1900"/>
      <c r="G447" s="1898" t="s">
        <v>3035</v>
      </c>
      <c r="H447" s="1901">
        <v>1</v>
      </c>
      <c r="I447" s="1901"/>
      <c r="J447" s="1898" t="s">
        <v>2061</v>
      </c>
      <c r="L447" s="1896">
        <f>(H_H3Op+H_S2m)-(H_HSm+H_H2O)</f>
        <v>51093.080000000016</v>
      </c>
    </row>
    <row r="448" spans="2:12" ht="18" outlineLevel="1" x14ac:dyDescent="0.25">
      <c r="B448" s="1897" t="s">
        <v>2062</v>
      </c>
      <c r="C448" s="1898" t="s">
        <v>2063</v>
      </c>
      <c r="D448" s="1898">
        <v>23093.0800000001</v>
      </c>
      <c r="E448" s="1900"/>
      <c r="F448" s="1900"/>
      <c r="G448" s="1898" t="s">
        <v>3035</v>
      </c>
      <c r="H448" s="1901">
        <v>1</v>
      </c>
      <c r="I448" s="1901"/>
      <c r="J448" s="1898" t="s">
        <v>2064</v>
      </c>
      <c r="L448" s="1896">
        <f>(H_HSO4m+H_H3Op)-(H_H2SO4+H_H2O)</f>
        <v>23093.080000000075</v>
      </c>
    </row>
    <row r="449" spans="2:12" ht="18" outlineLevel="1" x14ac:dyDescent="0.25">
      <c r="B449" s="1897" t="s">
        <v>2065</v>
      </c>
      <c r="C449" s="1898" t="s">
        <v>2066</v>
      </c>
      <c r="D449" s="1898">
        <v>-20906.9199999999</v>
      </c>
      <c r="E449" s="1900"/>
      <c r="F449" s="1900"/>
      <c r="G449" s="1898" t="s">
        <v>3035</v>
      </c>
      <c r="H449" s="1901">
        <v>1</v>
      </c>
      <c r="I449" s="1901"/>
      <c r="J449" s="1898" t="s">
        <v>2067</v>
      </c>
      <c r="L449" s="1896">
        <f>(H_H3Op+H_SO42m)-(H_HSO4m+H_H2O)</f>
        <v>-20906.919999999925</v>
      </c>
    </row>
    <row r="450" spans="2:12" ht="18" outlineLevel="1" x14ac:dyDescent="0.25">
      <c r="B450" s="1897" t="s">
        <v>2068</v>
      </c>
      <c r="C450" s="1898" t="s">
        <v>2069</v>
      </c>
      <c r="D450" s="1898">
        <v>64110</v>
      </c>
      <c r="E450" s="1900"/>
      <c r="F450" s="1900"/>
      <c r="G450" s="1898" t="s">
        <v>3035</v>
      </c>
      <c r="H450" s="1901">
        <v>1</v>
      </c>
      <c r="I450" s="1901"/>
      <c r="J450" s="1898"/>
    </row>
    <row r="451" spans="2:12" ht="18" outlineLevel="1" x14ac:dyDescent="0.25">
      <c r="B451" s="1897" t="s">
        <v>2070</v>
      </c>
      <c r="C451" s="1898" t="s">
        <v>2071</v>
      </c>
      <c r="D451" s="1898">
        <v>16000</v>
      </c>
      <c r="E451" s="1900"/>
      <c r="F451" s="1900"/>
      <c r="G451" s="1898" t="s">
        <v>3035</v>
      </c>
      <c r="H451" s="1901">
        <v>1</v>
      </c>
      <c r="I451" s="1901"/>
      <c r="J451" s="1898"/>
    </row>
    <row r="452" spans="2:12" ht="18" outlineLevel="1" x14ac:dyDescent="0.25">
      <c r="B452" s="1897" t="s">
        <v>2072</v>
      </c>
      <c r="C452" s="1898" t="s">
        <v>2073</v>
      </c>
      <c r="D452" s="1898">
        <v>5400</v>
      </c>
      <c r="E452" s="1900"/>
      <c r="F452" s="1900"/>
      <c r="G452" s="1898" t="s">
        <v>3035</v>
      </c>
      <c r="H452" s="1901">
        <v>1</v>
      </c>
      <c r="I452" s="1901"/>
      <c r="J452" s="1898"/>
    </row>
    <row r="453" spans="2:12" ht="18" outlineLevel="1" x14ac:dyDescent="0.25">
      <c r="B453" s="1897" t="s">
        <v>2074</v>
      </c>
      <c r="C453" s="1898" t="s">
        <v>2075</v>
      </c>
      <c r="D453" s="1898">
        <v>12970.4</v>
      </c>
      <c r="E453" s="1900"/>
      <c r="F453" s="1900"/>
      <c r="G453" s="1898" t="s">
        <v>3035</v>
      </c>
      <c r="H453" s="1901">
        <v>1</v>
      </c>
      <c r="I453" s="1901"/>
      <c r="J453" s="1898"/>
    </row>
    <row r="454" spans="2:12" ht="18" outlineLevel="1" x14ac:dyDescent="0.25">
      <c r="B454" s="1897" t="s">
        <v>2076</v>
      </c>
      <c r="C454" s="1898" t="s">
        <v>2077</v>
      </c>
      <c r="D454" s="1898">
        <v>-3000</v>
      </c>
      <c r="E454" s="1900"/>
      <c r="F454" s="1900"/>
      <c r="G454" s="1898" t="s">
        <v>3035</v>
      </c>
      <c r="H454" s="1901">
        <v>1</v>
      </c>
      <c r="I454" s="1901"/>
      <c r="J454" s="1898"/>
    </row>
    <row r="455" spans="2:12" ht="18" outlineLevel="1" x14ac:dyDescent="0.25">
      <c r="B455" s="1897" t="s">
        <v>2078</v>
      </c>
      <c r="C455" s="1898" t="s">
        <v>2079</v>
      </c>
      <c r="D455" s="1898">
        <v>-6000</v>
      </c>
      <c r="E455" s="1900"/>
      <c r="F455" s="1900"/>
      <c r="G455" s="1898" t="s">
        <v>3035</v>
      </c>
      <c r="H455" s="1901">
        <v>1</v>
      </c>
      <c r="I455" s="1901"/>
      <c r="J455" s="1898"/>
    </row>
    <row r="456" spans="2:12" ht="18" outlineLevel="1" x14ac:dyDescent="0.25">
      <c r="B456" s="1897" t="s">
        <v>2080</v>
      </c>
      <c r="C456" s="1898" t="s">
        <v>2081</v>
      </c>
      <c r="D456" s="1898">
        <v>67810</v>
      </c>
      <c r="E456" s="1900"/>
      <c r="F456" s="1900"/>
      <c r="G456" s="1898" t="s">
        <v>3035</v>
      </c>
      <c r="H456" s="1901">
        <v>1</v>
      </c>
      <c r="I456" s="1901"/>
      <c r="J456" s="1898"/>
    </row>
    <row r="457" spans="2:12" ht="18" outlineLevel="1" x14ac:dyDescent="0.25">
      <c r="B457" s="1897" t="s">
        <v>2082</v>
      </c>
      <c r="C457" s="1898" t="s">
        <v>2083</v>
      </c>
      <c r="D457" s="1898">
        <v>12000</v>
      </c>
      <c r="E457" s="1900"/>
      <c r="F457" s="1900"/>
      <c r="G457" s="1898" t="s">
        <v>3035</v>
      </c>
      <c r="H457" s="1901">
        <v>1</v>
      </c>
      <c r="I457" s="1901"/>
      <c r="J457" s="1898"/>
    </row>
    <row r="458" spans="2:12" ht="18" outlineLevel="1" x14ac:dyDescent="0.25">
      <c r="B458" s="1897" t="s">
        <v>2084</v>
      </c>
      <c r="C458" s="1898" t="s">
        <v>2085</v>
      </c>
      <c r="D458" s="1898">
        <v>-10600</v>
      </c>
      <c r="E458" s="1900"/>
      <c r="F458" s="1900"/>
      <c r="G458" s="1898" t="s">
        <v>3035</v>
      </c>
      <c r="H458" s="1901">
        <v>1</v>
      </c>
      <c r="I458" s="1901"/>
      <c r="J458" s="1898"/>
    </row>
    <row r="459" spans="2:12" ht="18" outlineLevel="1" x14ac:dyDescent="0.25">
      <c r="B459" s="1897" t="s">
        <v>2086</v>
      </c>
      <c r="C459" s="1898" t="s">
        <v>2087</v>
      </c>
      <c r="D459" s="1898">
        <v>-3000</v>
      </c>
      <c r="E459" s="1900"/>
      <c r="F459" s="1900"/>
      <c r="G459" s="1898" t="s">
        <v>3035</v>
      </c>
      <c r="H459" s="1901">
        <v>1</v>
      </c>
      <c r="I459" s="1901"/>
      <c r="J459" s="1898"/>
    </row>
    <row r="460" spans="2:12" ht="18" outlineLevel="1" x14ac:dyDescent="0.25">
      <c r="B460" s="1897" t="s">
        <v>2088</v>
      </c>
      <c r="C460" s="1898" t="s">
        <v>2089</v>
      </c>
      <c r="D460" s="1898">
        <v>12970.4</v>
      </c>
      <c r="E460" s="1900"/>
      <c r="F460" s="1900"/>
      <c r="G460" s="1898" t="s">
        <v>3035</v>
      </c>
      <c r="H460" s="1901">
        <v>1</v>
      </c>
      <c r="I460" s="1901"/>
      <c r="J460" s="1898"/>
    </row>
    <row r="461" spans="2:12" ht="18" outlineLevel="1" x14ac:dyDescent="0.25">
      <c r="B461" s="1897" t="s">
        <v>2090</v>
      </c>
      <c r="C461" s="1898" t="s">
        <v>2091</v>
      </c>
      <c r="D461" s="1898">
        <v>21256.1</v>
      </c>
      <c r="E461" s="1900"/>
      <c r="F461" s="1900"/>
      <c r="G461" s="1898" t="s">
        <v>3035</v>
      </c>
      <c r="H461" s="1901">
        <v>1</v>
      </c>
      <c r="I461" s="1901"/>
      <c r="J461" s="1898"/>
    </row>
    <row r="462" spans="2:12" ht="18" outlineLevel="1" x14ac:dyDescent="0.25">
      <c r="B462" s="1897" t="s">
        <v>2092</v>
      </c>
      <c r="C462" s="1898" t="s">
        <v>2093</v>
      </c>
      <c r="D462" s="1898">
        <v>0</v>
      </c>
      <c r="E462" s="1900"/>
      <c r="F462" s="1900"/>
      <c r="G462" s="1898" t="s">
        <v>3035</v>
      </c>
      <c r="H462" s="1901">
        <v>1</v>
      </c>
      <c r="I462" s="1901"/>
      <c r="J462" s="1898"/>
    </row>
    <row r="464" spans="2:12" ht="15.75" thickBot="1" x14ac:dyDescent="0.3">
      <c r="C464" s="2151" t="s">
        <v>3961</v>
      </c>
    </row>
    <row r="465" spans="2:12" ht="15.75" thickBot="1" x14ac:dyDescent="0.3">
      <c r="B465" s="2152" t="s">
        <v>0</v>
      </c>
      <c r="C465" s="2153" t="s">
        <v>1</v>
      </c>
      <c r="D465" s="2154" t="s">
        <v>152</v>
      </c>
      <c r="E465" s="2154" t="s">
        <v>470</v>
      </c>
      <c r="F465" s="2154" t="s">
        <v>471</v>
      </c>
      <c r="G465" s="2154" t="s">
        <v>2</v>
      </c>
      <c r="H465" s="2154" t="s">
        <v>298</v>
      </c>
      <c r="I465" s="2154" t="s">
        <v>116</v>
      </c>
      <c r="J465" s="2155" t="s">
        <v>117</v>
      </c>
      <c r="L465" s="1896" t="s">
        <v>2032</v>
      </c>
    </row>
    <row r="466" spans="2:12" ht="18" outlineLevel="1" x14ac:dyDescent="0.25">
      <c r="B466" s="1897" t="s">
        <v>3793</v>
      </c>
      <c r="C466" s="1898" t="s">
        <v>3036</v>
      </c>
      <c r="D466" s="1898">
        <v>2.5000000000000001E-5</v>
      </c>
      <c r="E466" s="1900" t="s">
        <v>1216</v>
      </c>
      <c r="F466" s="1900" t="s">
        <v>1253</v>
      </c>
      <c r="G466" s="1898" t="s">
        <v>3794</v>
      </c>
      <c r="H466" s="1901">
        <v>2</v>
      </c>
      <c r="I466" s="1901"/>
      <c r="J466" s="1898" t="s">
        <v>3037</v>
      </c>
    </row>
    <row r="467" spans="2:12" ht="18" outlineLevel="1" x14ac:dyDescent="0.25">
      <c r="B467" s="1897" t="s">
        <v>3795</v>
      </c>
      <c r="C467" s="1898" t="s">
        <v>3036</v>
      </c>
      <c r="D467" s="1898">
        <v>2.5000000000000001E-5</v>
      </c>
      <c r="E467" s="1900" t="s">
        <v>1216</v>
      </c>
      <c r="F467" s="1900" t="s">
        <v>1253</v>
      </c>
      <c r="G467" s="1898" t="s">
        <v>3794</v>
      </c>
      <c r="H467" s="1901">
        <v>2</v>
      </c>
      <c r="I467" s="1901"/>
      <c r="J467" s="1898" t="s">
        <v>3037</v>
      </c>
    </row>
    <row r="468" spans="2:12" ht="18" outlineLevel="1" x14ac:dyDescent="0.25">
      <c r="B468" s="1897" t="s">
        <v>3796</v>
      </c>
      <c r="C468" s="1898" t="s">
        <v>3036</v>
      </c>
      <c r="D468" s="1898">
        <v>2.5000000000000001E-5</v>
      </c>
      <c r="E468" s="1900" t="s">
        <v>1216</v>
      </c>
      <c r="F468" s="1900" t="s">
        <v>1253</v>
      </c>
      <c r="G468" s="1898" t="s">
        <v>3794</v>
      </c>
      <c r="H468" s="1901">
        <v>2</v>
      </c>
      <c r="I468" s="1901"/>
      <c r="J468" s="1898" t="s">
        <v>3037</v>
      </c>
    </row>
    <row r="469" spans="2:12" ht="18" outlineLevel="1" x14ac:dyDescent="0.25">
      <c r="B469" s="1897" t="s">
        <v>3797</v>
      </c>
      <c r="C469" s="1898" t="s">
        <v>3038</v>
      </c>
      <c r="D469" s="1898">
        <v>1.24E-5</v>
      </c>
      <c r="E469" s="1900" t="s">
        <v>1216</v>
      </c>
      <c r="F469" s="1900" t="s">
        <v>1253</v>
      </c>
      <c r="G469" s="1898" t="s">
        <v>3794</v>
      </c>
      <c r="H469" s="1901">
        <v>2</v>
      </c>
      <c r="I469" s="1901"/>
      <c r="J469" s="1898" t="s">
        <v>3037</v>
      </c>
    </row>
    <row r="470" spans="2:12" ht="18" outlineLevel="1" x14ac:dyDescent="0.25">
      <c r="B470" s="1897" t="s">
        <v>3798</v>
      </c>
      <c r="C470" s="1898" t="s">
        <v>3039</v>
      </c>
      <c r="D470" s="1898">
        <v>1.24E-5</v>
      </c>
      <c r="E470" s="1900" t="s">
        <v>1216</v>
      </c>
      <c r="F470" s="1900" t="s">
        <v>1253</v>
      </c>
      <c r="G470" s="1898" t="s">
        <v>3794</v>
      </c>
      <c r="H470" s="1901">
        <v>2</v>
      </c>
      <c r="I470" s="1901"/>
      <c r="J470" s="1898" t="s">
        <v>3037</v>
      </c>
    </row>
    <row r="471" spans="2:12" ht="18" outlineLevel="1" x14ac:dyDescent="0.25">
      <c r="B471" s="1897" t="s">
        <v>3799</v>
      </c>
      <c r="C471" s="1898" t="s">
        <v>3040</v>
      </c>
      <c r="D471" s="1898">
        <v>1.24E-5</v>
      </c>
      <c r="E471" s="1900" t="s">
        <v>1216</v>
      </c>
      <c r="F471" s="1900" t="s">
        <v>1253</v>
      </c>
      <c r="G471" s="1898" t="s">
        <v>3794</v>
      </c>
      <c r="H471" s="1901">
        <v>2</v>
      </c>
      <c r="I471" s="1901"/>
      <c r="J471" s="1898" t="s">
        <v>3037</v>
      </c>
    </row>
    <row r="472" spans="2:12" ht="18" outlineLevel="1" x14ac:dyDescent="0.25">
      <c r="B472" s="1897" t="s">
        <v>3800</v>
      </c>
      <c r="C472" s="1898" t="s">
        <v>3038</v>
      </c>
      <c r="D472" s="1898">
        <v>1.24E-5</v>
      </c>
      <c r="E472" s="1900" t="s">
        <v>1216</v>
      </c>
      <c r="F472" s="1900" t="s">
        <v>1253</v>
      </c>
      <c r="G472" s="1898" t="s">
        <v>3794</v>
      </c>
      <c r="H472" s="1901">
        <v>2</v>
      </c>
      <c r="I472" s="1901"/>
      <c r="J472" s="1898" t="s">
        <v>3037</v>
      </c>
    </row>
    <row r="473" spans="2:12" ht="18" outlineLevel="1" x14ac:dyDescent="0.25">
      <c r="B473" s="1897" t="s">
        <v>5073</v>
      </c>
      <c r="C473" s="1898" t="s">
        <v>5074</v>
      </c>
      <c r="D473" s="1898">
        <v>1.24E-5</v>
      </c>
      <c r="E473" s="1900" t="s">
        <v>1216</v>
      </c>
      <c r="F473" s="1900" t="s">
        <v>1253</v>
      </c>
      <c r="G473" s="1898" t="s">
        <v>3794</v>
      </c>
      <c r="H473" s="1901">
        <v>2</v>
      </c>
      <c r="I473" s="1901"/>
      <c r="J473" s="1898" t="s">
        <v>3037</v>
      </c>
    </row>
    <row r="474" spans="2:12" ht="18" outlineLevel="1" x14ac:dyDescent="0.25">
      <c r="B474" s="1897" t="s">
        <v>3801</v>
      </c>
      <c r="C474" s="1898" t="s">
        <v>3041</v>
      </c>
      <c r="D474" s="1898">
        <v>1.24E-5</v>
      </c>
      <c r="E474" s="1900" t="s">
        <v>1216</v>
      </c>
      <c r="F474" s="1900" t="s">
        <v>1253</v>
      </c>
      <c r="G474" s="1898" t="s">
        <v>3794</v>
      </c>
      <c r="H474" s="1901">
        <v>2</v>
      </c>
      <c r="I474" s="1901"/>
      <c r="J474" s="1898" t="s">
        <v>3037</v>
      </c>
    </row>
    <row r="475" spans="2:12" ht="18" outlineLevel="1" x14ac:dyDescent="0.25">
      <c r="B475" s="1897" t="s">
        <v>3802</v>
      </c>
      <c r="C475" s="1898" t="s">
        <v>3041</v>
      </c>
      <c r="D475" s="1898">
        <v>1.24E-5</v>
      </c>
      <c r="E475" s="1900" t="s">
        <v>1216</v>
      </c>
      <c r="F475" s="1900" t="s">
        <v>1253</v>
      </c>
      <c r="G475" s="1898" t="s">
        <v>3794</v>
      </c>
      <c r="H475" s="1901">
        <v>2</v>
      </c>
      <c r="I475" s="1901"/>
      <c r="J475" s="1898" t="s">
        <v>3037</v>
      </c>
    </row>
    <row r="476" spans="2:12" ht="18" outlineLevel="1" x14ac:dyDescent="0.25">
      <c r="B476" s="1897" t="s">
        <v>3803</v>
      </c>
      <c r="C476" s="1898" t="s">
        <v>3042</v>
      </c>
      <c r="D476" s="1898">
        <v>1.24E-5</v>
      </c>
      <c r="E476" s="1900" t="s">
        <v>1216</v>
      </c>
      <c r="F476" s="1900" t="s">
        <v>1253</v>
      </c>
      <c r="G476" s="1898" t="s">
        <v>3794</v>
      </c>
      <c r="H476" s="1901">
        <v>2</v>
      </c>
      <c r="I476" s="1901"/>
      <c r="J476" s="1898" t="s">
        <v>3037</v>
      </c>
    </row>
    <row r="477" spans="2:12" ht="18" outlineLevel="1" x14ac:dyDescent="0.25">
      <c r="B477" s="1897" t="s">
        <v>3804</v>
      </c>
      <c r="C477" s="1898" t="s">
        <v>3043</v>
      </c>
      <c r="D477" s="1898">
        <v>1.0000000000000001E-5</v>
      </c>
      <c r="E477" s="1900" t="s">
        <v>1216</v>
      </c>
      <c r="F477" s="1900" t="s">
        <v>1253</v>
      </c>
      <c r="G477" s="1898" t="s">
        <v>3794</v>
      </c>
      <c r="H477" s="1901">
        <v>2</v>
      </c>
      <c r="I477" s="1901"/>
      <c r="J477" s="1898"/>
    </row>
    <row r="478" spans="2:12" ht="18" outlineLevel="1" x14ac:dyDescent="0.25">
      <c r="B478" s="1897" t="s">
        <v>3805</v>
      </c>
      <c r="C478" s="1898" t="s">
        <v>3043</v>
      </c>
      <c r="D478" s="1898">
        <v>1.0000000000000001E-5</v>
      </c>
      <c r="E478" s="1900" t="s">
        <v>1216</v>
      </c>
      <c r="F478" s="1900" t="s">
        <v>1253</v>
      </c>
      <c r="G478" s="1898" t="s">
        <v>3794</v>
      </c>
      <c r="H478" s="1901">
        <v>2</v>
      </c>
      <c r="I478" s="1901"/>
      <c r="J478" s="1898"/>
    </row>
    <row r="479" spans="2:12" ht="18" outlineLevel="1" x14ac:dyDescent="0.25">
      <c r="B479" s="1897" t="s">
        <v>3838</v>
      </c>
      <c r="C479" s="1898" t="s">
        <v>3074</v>
      </c>
      <c r="D479" s="1898">
        <v>2.5000000000000002E-6</v>
      </c>
      <c r="E479" s="1900" t="s">
        <v>1216</v>
      </c>
      <c r="F479" s="1900" t="s">
        <v>1253</v>
      </c>
      <c r="G479" s="1898" t="s">
        <v>3794</v>
      </c>
      <c r="H479" s="1901">
        <v>2</v>
      </c>
      <c r="I479" s="1901"/>
      <c r="J479" s="1898" t="s">
        <v>3037</v>
      </c>
    </row>
    <row r="480" spans="2:12" ht="18" outlineLevel="1" x14ac:dyDescent="0.25">
      <c r="B480" s="1897" t="s">
        <v>3839</v>
      </c>
      <c r="C480" s="1898" t="s">
        <v>3075</v>
      </c>
      <c r="D480" s="1898">
        <v>2.5000000000000002E-6</v>
      </c>
      <c r="E480" s="1900" t="s">
        <v>1216</v>
      </c>
      <c r="F480" s="1900" t="s">
        <v>1253</v>
      </c>
      <c r="G480" s="1898" t="s">
        <v>3794</v>
      </c>
      <c r="H480" s="1901">
        <v>2</v>
      </c>
      <c r="I480" s="1901"/>
      <c r="J480" s="1898" t="s">
        <v>3037</v>
      </c>
    </row>
    <row r="481" spans="2:10" ht="18" outlineLevel="1" x14ac:dyDescent="0.25">
      <c r="B481" s="1897" t="s">
        <v>3806</v>
      </c>
      <c r="C481" s="1898" t="s">
        <v>3044</v>
      </c>
      <c r="D481" s="1898">
        <v>2.0000000000000002E-5</v>
      </c>
      <c r="E481" s="1900" t="s">
        <v>1216</v>
      </c>
      <c r="F481" s="1900" t="s">
        <v>1253</v>
      </c>
      <c r="G481" s="1898" t="s">
        <v>3794</v>
      </c>
      <c r="H481" s="1901">
        <v>2</v>
      </c>
      <c r="I481" s="1901"/>
      <c r="J481" s="1898" t="s">
        <v>3045</v>
      </c>
    </row>
    <row r="482" spans="2:10" ht="18" outlineLevel="1" x14ac:dyDescent="0.25">
      <c r="B482" s="1897" t="s">
        <v>3807</v>
      </c>
      <c r="C482" s="1898" t="s">
        <v>3044</v>
      </c>
      <c r="D482" s="1898">
        <v>2.0000000000000002E-5</v>
      </c>
      <c r="E482" s="1900" t="s">
        <v>1216</v>
      </c>
      <c r="F482" s="1900" t="s">
        <v>1253</v>
      </c>
      <c r="G482" s="1898" t="s">
        <v>3794</v>
      </c>
      <c r="H482" s="1901">
        <v>2</v>
      </c>
      <c r="I482" s="1901"/>
      <c r="J482" s="1898" t="s">
        <v>3045</v>
      </c>
    </row>
    <row r="483" spans="2:10" ht="18" outlineLevel="1" x14ac:dyDescent="0.25">
      <c r="B483" s="1897" t="s">
        <v>3808</v>
      </c>
      <c r="C483" s="1898" t="s">
        <v>3044</v>
      </c>
      <c r="D483" s="1898">
        <v>2.0000000000000002E-5</v>
      </c>
      <c r="E483" s="1900" t="s">
        <v>1216</v>
      </c>
      <c r="F483" s="1900" t="s">
        <v>1253</v>
      </c>
      <c r="G483" s="1898" t="s">
        <v>3794</v>
      </c>
      <c r="H483" s="1901">
        <v>2</v>
      </c>
      <c r="I483" s="1901"/>
      <c r="J483" s="1898" t="s">
        <v>3045</v>
      </c>
    </row>
    <row r="484" spans="2:10" ht="18" outlineLevel="1" x14ac:dyDescent="0.25">
      <c r="B484" s="1897" t="s">
        <v>3809</v>
      </c>
      <c r="C484" s="1898" t="s">
        <v>3046</v>
      </c>
      <c r="D484" s="1898">
        <v>2.0000000000000002E-5</v>
      </c>
      <c r="E484" s="1900" t="s">
        <v>1216</v>
      </c>
      <c r="F484" s="1900" t="s">
        <v>2283</v>
      </c>
      <c r="G484" s="1898" t="s">
        <v>3794</v>
      </c>
      <c r="H484" s="1901">
        <v>2</v>
      </c>
      <c r="I484" s="1901"/>
      <c r="J484" s="1898" t="s">
        <v>3047</v>
      </c>
    </row>
    <row r="485" spans="2:10" ht="18" outlineLevel="1" x14ac:dyDescent="0.25">
      <c r="B485" s="1897" t="s">
        <v>3810</v>
      </c>
      <c r="C485" s="1898" t="s">
        <v>3048</v>
      </c>
      <c r="D485" s="1898">
        <v>1.0000000000000001E-5</v>
      </c>
      <c r="E485" s="1900" t="s">
        <v>1216</v>
      </c>
      <c r="F485" s="1900" t="s">
        <v>2283</v>
      </c>
      <c r="G485" s="1898" t="s">
        <v>3794</v>
      </c>
      <c r="H485" s="1901">
        <v>2</v>
      </c>
      <c r="I485" s="1901"/>
      <c r="J485" s="1898" t="s">
        <v>3037</v>
      </c>
    </row>
    <row r="486" spans="2:10" ht="18" outlineLevel="1" x14ac:dyDescent="0.25">
      <c r="B486" s="1897" t="s">
        <v>3811</v>
      </c>
      <c r="C486" s="1898" t="s">
        <v>3049</v>
      </c>
      <c r="D486" s="1898">
        <v>1.24E-5</v>
      </c>
      <c r="E486" s="1900" t="s">
        <v>1216</v>
      </c>
      <c r="F486" s="1900" t="s">
        <v>2283</v>
      </c>
      <c r="G486" s="1898" t="s">
        <v>3794</v>
      </c>
      <c r="H486" s="1901">
        <v>2</v>
      </c>
      <c r="I486" s="1901"/>
      <c r="J486" s="1898" t="s">
        <v>3037</v>
      </c>
    </row>
    <row r="487" spans="2:10" ht="18" outlineLevel="1" x14ac:dyDescent="0.25">
      <c r="B487" s="1897" t="s">
        <v>3812</v>
      </c>
      <c r="C487" s="1898" t="s">
        <v>3050</v>
      </c>
      <c r="D487" s="1898">
        <v>1.9000000000000001E-5</v>
      </c>
      <c r="E487" s="1900" t="s">
        <v>1216</v>
      </c>
      <c r="F487" s="1900" t="s">
        <v>2283</v>
      </c>
      <c r="G487" s="1898" t="s">
        <v>3794</v>
      </c>
      <c r="H487" s="1901">
        <v>2</v>
      </c>
      <c r="I487" s="1901"/>
      <c r="J487" s="1898" t="s">
        <v>3051</v>
      </c>
    </row>
    <row r="488" spans="2:10" ht="18" outlineLevel="1" x14ac:dyDescent="0.25">
      <c r="B488" s="1897" t="s">
        <v>3813</v>
      </c>
      <c r="C488" s="1898" t="s">
        <v>3052</v>
      </c>
      <c r="D488" s="1898">
        <v>1.24E-5</v>
      </c>
      <c r="E488" s="1900" t="s">
        <v>1216</v>
      </c>
      <c r="F488" s="1900" t="s">
        <v>2283</v>
      </c>
      <c r="G488" s="1898" t="s">
        <v>3794</v>
      </c>
      <c r="H488" s="1901">
        <v>2</v>
      </c>
      <c r="I488" s="1901"/>
      <c r="J488" s="1898" t="s">
        <v>3053</v>
      </c>
    </row>
    <row r="489" spans="2:10" ht="18" outlineLevel="1" x14ac:dyDescent="0.25">
      <c r="B489" s="1897" t="s">
        <v>3814</v>
      </c>
      <c r="C489" s="1898" t="s">
        <v>3054</v>
      </c>
      <c r="D489" s="1898">
        <v>1.24E-5</v>
      </c>
      <c r="E489" s="1900" t="s">
        <v>1216</v>
      </c>
      <c r="F489" s="1900" t="s">
        <v>2283</v>
      </c>
      <c r="G489" s="1898" t="s">
        <v>3794</v>
      </c>
      <c r="H489" s="1901">
        <v>2</v>
      </c>
      <c r="I489" s="1901"/>
      <c r="J489" s="1898" t="s">
        <v>3053</v>
      </c>
    </row>
    <row r="490" spans="2:10" ht="18" outlineLevel="1" x14ac:dyDescent="0.25">
      <c r="B490" s="1897" t="s">
        <v>3815</v>
      </c>
      <c r="C490" s="1898" t="s">
        <v>3043</v>
      </c>
      <c r="D490" s="1898">
        <v>1.0000000000000001E-5</v>
      </c>
      <c r="E490" s="1900" t="s">
        <v>1216</v>
      </c>
      <c r="F490" s="1900" t="s">
        <v>2283</v>
      </c>
      <c r="G490" s="1898" t="s">
        <v>3794</v>
      </c>
      <c r="H490" s="1901">
        <v>2</v>
      </c>
      <c r="I490" s="1901"/>
      <c r="J490" s="1898" t="s">
        <v>3037</v>
      </c>
    </row>
    <row r="491" spans="2:10" ht="18" outlineLevel="1" x14ac:dyDescent="0.25">
      <c r="B491" s="1897" t="s">
        <v>3816</v>
      </c>
      <c r="C491" s="1898" t="s">
        <v>3048</v>
      </c>
      <c r="D491" s="1898">
        <v>1.0000000000000001E-5</v>
      </c>
      <c r="E491" s="1900" t="s">
        <v>1216</v>
      </c>
      <c r="F491" s="1900" t="s">
        <v>1253</v>
      </c>
      <c r="G491" s="1898" t="s">
        <v>3794</v>
      </c>
      <c r="H491" s="1901">
        <v>2</v>
      </c>
      <c r="I491" s="1901"/>
      <c r="J491" s="1898"/>
    </row>
    <row r="492" spans="2:10" ht="18" outlineLevel="1" x14ac:dyDescent="0.25">
      <c r="B492" s="1897" t="s">
        <v>4547</v>
      </c>
      <c r="C492" s="1898" t="s">
        <v>4548</v>
      </c>
      <c r="D492" s="1898">
        <v>1.0000000000000001E-5</v>
      </c>
      <c r="E492" s="1900" t="s">
        <v>1216</v>
      </c>
      <c r="F492" s="1900" t="s">
        <v>2283</v>
      </c>
      <c r="G492" s="1898" t="s">
        <v>3794</v>
      </c>
      <c r="H492" s="1901">
        <v>2</v>
      </c>
      <c r="I492" s="1901"/>
      <c r="J492" s="1898"/>
    </row>
    <row r="493" spans="2:10" ht="18" outlineLevel="1" x14ac:dyDescent="0.25">
      <c r="B493" s="1897" t="s">
        <v>3818</v>
      </c>
      <c r="C493" s="1898" t="s">
        <v>3056</v>
      </c>
      <c r="D493" s="1898">
        <v>1.0000000000000001E-5</v>
      </c>
      <c r="E493" s="1900" t="s">
        <v>1216</v>
      </c>
      <c r="F493" s="1900" t="s">
        <v>2283</v>
      </c>
      <c r="G493" s="1898" t="s">
        <v>3794</v>
      </c>
      <c r="H493" s="1901">
        <v>2</v>
      </c>
      <c r="I493" s="1901"/>
      <c r="J493" s="1898"/>
    </row>
    <row r="494" spans="2:10" ht="18" outlineLevel="1" x14ac:dyDescent="0.25">
      <c r="B494" s="1897" t="s">
        <v>3817</v>
      </c>
      <c r="C494" s="1898" t="s">
        <v>3055</v>
      </c>
      <c r="D494" s="1898">
        <v>1.0000000000000001E-5</v>
      </c>
      <c r="E494" s="1900" t="s">
        <v>1216</v>
      </c>
      <c r="F494" s="1900" t="s">
        <v>2283</v>
      </c>
      <c r="G494" s="1898" t="s">
        <v>3794</v>
      </c>
      <c r="H494" s="1901">
        <v>2</v>
      </c>
      <c r="I494" s="1901"/>
      <c r="J494" s="1898"/>
    </row>
    <row r="495" spans="2:10" ht="18" outlineLevel="1" x14ac:dyDescent="0.25">
      <c r="B495" s="1897" t="s">
        <v>4549</v>
      </c>
      <c r="C495" s="1898" t="s">
        <v>3048</v>
      </c>
      <c r="D495" s="1898">
        <v>1.0000000000000001E-5</v>
      </c>
      <c r="E495" s="1900" t="s">
        <v>1216</v>
      </c>
      <c r="F495" s="1900" t="s">
        <v>1253</v>
      </c>
      <c r="G495" s="1898" t="s">
        <v>3794</v>
      </c>
      <c r="H495" s="1901">
        <v>2</v>
      </c>
      <c r="I495" s="1901"/>
      <c r="J495" s="1898"/>
    </row>
    <row r="496" spans="2:10" ht="18" outlineLevel="1" x14ac:dyDescent="0.25">
      <c r="B496" s="1897" t="s">
        <v>4550</v>
      </c>
      <c r="C496" s="1898" t="s">
        <v>4551</v>
      </c>
      <c r="D496" s="1898">
        <v>1.0000000000000001E-5</v>
      </c>
      <c r="E496" s="1900" t="s">
        <v>1216</v>
      </c>
      <c r="F496" s="1900" t="s">
        <v>2283</v>
      </c>
      <c r="G496" s="1898" t="s">
        <v>3794</v>
      </c>
      <c r="H496" s="1901">
        <v>2</v>
      </c>
      <c r="I496" s="1901"/>
      <c r="J496" s="1898"/>
    </row>
    <row r="497" spans="2:10" ht="18" outlineLevel="1" x14ac:dyDescent="0.25">
      <c r="B497" s="1897" t="s">
        <v>3819</v>
      </c>
      <c r="C497" s="1898" t="s">
        <v>3057</v>
      </c>
      <c r="D497" s="1898">
        <v>1.24E-5</v>
      </c>
      <c r="E497" s="1900" t="s">
        <v>1216</v>
      </c>
      <c r="F497" s="1900" t="s">
        <v>1253</v>
      </c>
      <c r="G497" s="1898" t="s">
        <v>3794</v>
      </c>
      <c r="H497" s="1901">
        <v>2</v>
      </c>
      <c r="I497" s="1901"/>
      <c r="J497" s="1898" t="s">
        <v>3053</v>
      </c>
    </row>
    <row r="498" spans="2:10" ht="18" outlineLevel="1" x14ac:dyDescent="0.25">
      <c r="B498" s="1897" t="s">
        <v>3820</v>
      </c>
      <c r="C498" s="1898" t="s">
        <v>3057</v>
      </c>
      <c r="D498" s="1898">
        <v>1.24E-5</v>
      </c>
      <c r="E498" s="1900" t="s">
        <v>1216</v>
      </c>
      <c r="F498" s="1900" t="s">
        <v>1253</v>
      </c>
      <c r="G498" s="1898" t="s">
        <v>3794</v>
      </c>
      <c r="H498" s="1901">
        <v>2</v>
      </c>
      <c r="I498" s="1901"/>
      <c r="J498" s="1898" t="s">
        <v>3053</v>
      </c>
    </row>
    <row r="499" spans="2:10" ht="18" outlineLevel="1" x14ac:dyDescent="0.25">
      <c r="B499" s="1897" t="s">
        <v>3821</v>
      </c>
      <c r="C499" s="1898" t="s">
        <v>3049</v>
      </c>
      <c r="D499" s="1898">
        <v>1.24E-5</v>
      </c>
      <c r="E499" s="1900" t="s">
        <v>1216</v>
      </c>
      <c r="F499" s="1900" t="s">
        <v>1253</v>
      </c>
      <c r="G499" s="1898" t="s">
        <v>3794</v>
      </c>
      <c r="H499" s="1901">
        <v>2</v>
      </c>
      <c r="I499" s="1901"/>
      <c r="J499" s="1898" t="s">
        <v>3037</v>
      </c>
    </row>
    <row r="500" spans="2:10" ht="18" outlineLevel="1" x14ac:dyDescent="0.25">
      <c r="B500" s="1897" t="s">
        <v>3822</v>
      </c>
      <c r="C500" s="1898" t="s">
        <v>3049</v>
      </c>
      <c r="D500" s="1898">
        <v>1.24E-5</v>
      </c>
      <c r="E500" s="1900" t="s">
        <v>1216</v>
      </c>
      <c r="F500" s="1900" t="s">
        <v>1253</v>
      </c>
      <c r="G500" s="1898" t="s">
        <v>3794</v>
      </c>
      <c r="H500" s="1901">
        <v>2</v>
      </c>
      <c r="I500" s="1901"/>
      <c r="J500" s="1898" t="s">
        <v>3037</v>
      </c>
    </row>
    <row r="501" spans="2:10" ht="18" outlineLevel="1" x14ac:dyDescent="0.25">
      <c r="B501" s="1897" t="s">
        <v>3823</v>
      </c>
      <c r="C501" s="1898" t="s">
        <v>3058</v>
      </c>
      <c r="D501" s="1898">
        <v>1.24E-5</v>
      </c>
      <c r="E501" s="1900" t="s">
        <v>1216</v>
      </c>
      <c r="F501" s="1900" t="s">
        <v>1253</v>
      </c>
      <c r="G501" s="1898" t="s">
        <v>3794</v>
      </c>
      <c r="H501" s="1901">
        <v>2</v>
      </c>
      <c r="I501" s="1901"/>
      <c r="J501" s="1898" t="s">
        <v>3053</v>
      </c>
    </row>
    <row r="502" spans="2:10" ht="18" outlineLevel="1" x14ac:dyDescent="0.25">
      <c r="B502" s="1897" t="s">
        <v>3824</v>
      </c>
      <c r="C502" s="1898" t="s">
        <v>3059</v>
      </c>
      <c r="D502" s="1898">
        <v>2.5000000000000001E-5</v>
      </c>
      <c r="E502" s="1900" t="s">
        <v>1216</v>
      </c>
      <c r="F502" s="1900" t="s">
        <v>1253</v>
      </c>
      <c r="G502" s="1898" t="s">
        <v>3794</v>
      </c>
      <c r="H502" s="1901">
        <v>2</v>
      </c>
      <c r="I502" s="1901"/>
      <c r="J502" s="1898" t="s">
        <v>3060</v>
      </c>
    </row>
    <row r="503" spans="2:10" ht="18" outlineLevel="1" x14ac:dyDescent="0.25">
      <c r="B503" s="1897" t="s">
        <v>4552</v>
      </c>
      <c r="C503" s="1898" t="s">
        <v>3059</v>
      </c>
      <c r="D503" s="1898">
        <v>2.5000000000000001E-5</v>
      </c>
      <c r="E503" s="1900" t="s">
        <v>1216</v>
      </c>
      <c r="F503" s="1900" t="s">
        <v>1253</v>
      </c>
      <c r="G503" s="1898" t="s">
        <v>3794</v>
      </c>
      <c r="H503" s="1901">
        <v>2</v>
      </c>
      <c r="I503" s="1901"/>
      <c r="J503" s="1898" t="s">
        <v>3060</v>
      </c>
    </row>
    <row r="504" spans="2:10" ht="18" outlineLevel="1" x14ac:dyDescent="0.25">
      <c r="B504" s="1897" t="s">
        <v>3825</v>
      </c>
      <c r="C504" s="1898" t="s">
        <v>3061</v>
      </c>
      <c r="D504" s="1898">
        <v>2.5000000000000001E-5</v>
      </c>
      <c r="E504" s="1900" t="s">
        <v>1216</v>
      </c>
      <c r="F504" s="1900" t="s">
        <v>1253</v>
      </c>
      <c r="G504" s="1898" t="s">
        <v>3794</v>
      </c>
      <c r="H504" s="1901">
        <v>2</v>
      </c>
      <c r="I504" s="1901"/>
      <c r="J504" s="1898" t="s">
        <v>3037</v>
      </c>
    </row>
    <row r="505" spans="2:10" ht="18" outlineLevel="1" x14ac:dyDescent="0.25">
      <c r="B505" s="1897" t="s">
        <v>3826</v>
      </c>
      <c r="C505" s="1898" t="s">
        <v>3062</v>
      </c>
      <c r="D505" s="1898">
        <v>2.5000000000000001E-5</v>
      </c>
      <c r="E505" s="1900" t="s">
        <v>1216</v>
      </c>
      <c r="F505" s="1900" t="s">
        <v>1253</v>
      </c>
      <c r="G505" s="1898" t="s">
        <v>3794</v>
      </c>
      <c r="H505" s="1901">
        <v>2</v>
      </c>
      <c r="I505" s="1901"/>
      <c r="J505" s="1898" t="s">
        <v>3037</v>
      </c>
    </row>
    <row r="506" spans="2:10" ht="18" outlineLevel="1" x14ac:dyDescent="0.25">
      <c r="B506" s="1897" t="s">
        <v>3827</v>
      </c>
      <c r="C506" s="1898" t="s">
        <v>3063</v>
      </c>
      <c r="D506" s="1898">
        <v>1.0000000000000001E-5</v>
      </c>
      <c r="E506" s="1900" t="s">
        <v>1216</v>
      </c>
      <c r="F506" s="1900" t="s">
        <v>1253</v>
      </c>
      <c r="G506" s="1898" t="s">
        <v>3794</v>
      </c>
      <c r="H506" s="1901">
        <v>2</v>
      </c>
      <c r="I506" s="1901"/>
      <c r="J506" s="1898" t="s">
        <v>3037</v>
      </c>
    </row>
    <row r="507" spans="2:10" ht="18" outlineLevel="1" x14ac:dyDescent="0.25">
      <c r="B507" s="1897" t="s">
        <v>3828</v>
      </c>
      <c r="C507" s="1898" t="s">
        <v>3064</v>
      </c>
      <c r="D507" s="1898">
        <v>1.9000000000000001E-5</v>
      </c>
      <c r="E507" s="1900" t="s">
        <v>1216</v>
      </c>
      <c r="F507" s="1900" t="s">
        <v>1253</v>
      </c>
      <c r="G507" s="1898" t="s">
        <v>3794</v>
      </c>
      <c r="H507" s="1901">
        <v>2</v>
      </c>
      <c r="I507" s="1901"/>
      <c r="J507" s="1898" t="s">
        <v>3037</v>
      </c>
    </row>
    <row r="508" spans="2:10" ht="18" outlineLevel="1" x14ac:dyDescent="0.25">
      <c r="B508" s="1897" t="s">
        <v>3829</v>
      </c>
      <c r="C508" s="1898" t="s">
        <v>3065</v>
      </c>
      <c r="D508" s="1898">
        <v>1.9000000000000001E-5</v>
      </c>
      <c r="E508" s="1900" t="s">
        <v>1216</v>
      </c>
      <c r="F508" s="1900" t="s">
        <v>1253</v>
      </c>
      <c r="G508" s="1898" t="s">
        <v>3794</v>
      </c>
      <c r="H508" s="1901">
        <v>2</v>
      </c>
      <c r="I508" s="1901"/>
      <c r="J508" s="1898" t="s">
        <v>3037</v>
      </c>
    </row>
    <row r="509" spans="2:10" ht="18" outlineLevel="1" x14ac:dyDescent="0.25">
      <c r="B509" s="1897" t="s">
        <v>3830</v>
      </c>
      <c r="C509" s="1898" t="s">
        <v>3066</v>
      </c>
      <c r="D509" s="1898">
        <v>1.9000000000000001E-5</v>
      </c>
      <c r="E509" s="1900" t="s">
        <v>1216</v>
      </c>
      <c r="F509" s="1900" t="s">
        <v>1253</v>
      </c>
      <c r="G509" s="1898" t="s">
        <v>3794</v>
      </c>
      <c r="H509" s="1901">
        <v>2</v>
      </c>
      <c r="I509" s="1901"/>
      <c r="J509" s="1898" t="s">
        <v>3037</v>
      </c>
    </row>
    <row r="510" spans="2:10" ht="18" outlineLevel="1" x14ac:dyDescent="0.25">
      <c r="B510" s="1897" t="s">
        <v>3831</v>
      </c>
      <c r="C510" s="1898" t="s">
        <v>3067</v>
      </c>
      <c r="D510" s="1898">
        <v>1.9000000000000001E-5</v>
      </c>
      <c r="E510" s="1900" t="s">
        <v>1216</v>
      </c>
      <c r="F510" s="1900" t="s">
        <v>1253</v>
      </c>
      <c r="G510" s="1898" t="s">
        <v>3794</v>
      </c>
      <c r="H510" s="1901">
        <v>2</v>
      </c>
      <c r="I510" s="1901"/>
      <c r="J510" s="1898" t="s">
        <v>3037</v>
      </c>
    </row>
    <row r="511" spans="2:10" ht="18" outlineLevel="1" x14ac:dyDescent="0.25">
      <c r="B511" s="1897" t="s">
        <v>3832</v>
      </c>
      <c r="C511" s="1898" t="s">
        <v>3068</v>
      </c>
      <c r="D511" s="1898">
        <v>1.9000000000000001E-5</v>
      </c>
      <c r="E511" s="1900" t="s">
        <v>1216</v>
      </c>
      <c r="F511" s="1900" t="s">
        <v>1253</v>
      </c>
      <c r="G511" s="1898" t="s">
        <v>3794</v>
      </c>
      <c r="H511" s="1901">
        <v>2</v>
      </c>
      <c r="I511" s="1901"/>
      <c r="J511" s="1898" t="s">
        <v>3037</v>
      </c>
    </row>
    <row r="512" spans="2:10" ht="18" outlineLevel="1" x14ac:dyDescent="0.25">
      <c r="B512" s="1897" t="s">
        <v>3833</v>
      </c>
      <c r="C512" s="1898" t="s">
        <v>3069</v>
      </c>
      <c r="D512" s="1898">
        <v>1.9000000000000001E-5</v>
      </c>
      <c r="E512" s="1900" t="s">
        <v>1216</v>
      </c>
      <c r="F512" s="1900" t="s">
        <v>1253</v>
      </c>
      <c r="G512" s="1898" t="s">
        <v>3794</v>
      </c>
      <c r="H512" s="1901">
        <v>2</v>
      </c>
      <c r="I512" s="1901"/>
      <c r="J512" s="1898" t="s">
        <v>3037</v>
      </c>
    </row>
    <row r="513" spans="2:10" ht="18" outlineLevel="1" x14ac:dyDescent="0.25">
      <c r="B513" s="1897" t="s">
        <v>3834</v>
      </c>
      <c r="C513" s="1898" t="s">
        <v>3070</v>
      </c>
      <c r="D513" s="1898">
        <v>1.9000000000000001E-5</v>
      </c>
      <c r="E513" s="1900" t="s">
        <v>1216</v>
      </c>
      <c r="F513" s="1900" t="s">
        <v>1253</v>
      </c>
      <c r="G513" s="1898" t="s">
        <v>3794</v>
      </c>
      <c r="H513" s="1901">
        <v>2</v>
      </c>
      <c r="I513" s="1901"/>
      <c r="J513" s="1898" t="s">
        <v>3037</v>
      </c>
    </row>
    <row r="514" spans="2:10" ht="18" outlineLevel="1" x14ac:dyDescent="0.25">
      <c r="B514" s="1897" t="s">
        <v>3835</v>
      </c>
      <c r="C514" s="1898" t="s">
        <v>3071</v>
      </c>
      <c r="D514" s="1898">
        <v>1.9000000000000001E-5</v>
      </c>
      <c r="E514" s="1900" t="s">
        <v>1216</v>
      </c>
      <c r="F514" s="1900" t="s">
        <v>1253</v>
      </c>
      <c r="G514" s="1898" t="s">
        <v>3794</v>
      </c>
      <c r="H514" s="1901">
        <v>2</v>
      </c>
      <c r="I514" s="1901"/>
      <c r="J514" s="1898" t="s">
        <v>3037</v>
      </c>
    </row>
    <row r="515" spans="2:10" ht="18" outlineLevel="1" x14ac:dyDescent="0.25">
      <c r="B515" s="1897" t="s">
        <v>3836</v>
      </c>
      <c r="C515" s="1898" t="s">
        <v>3072</v>
      </c>
      <c r="D515" s="1898">
        <v>1.0000000000000001E-5</v>
      </c>
      <c r="E515" s="1900" t="s">
        <v>1216</v>
      </c>
      <c r="F515" s="1900" t="s">
        <v>2283</v>
      </c>
      <c r="G515" s="1898" t="s">
        <v>3794</v>
      </c>
      <c r="H515" s="1901"/>
      <c r="I515" s="1901"/>
      <c r="J515" s="1898"/>
    </row>
    <row r="516" spans="2:10" ht="18" outlineLevel="1" x14ac:dyDescent="0.25">
      <c r="B516" s="1897" t="s">
        <v>4553</v>
      </c>
      <c r="C516" s="1898" t="s">
        <v>3072</v>
      </c>
      <c r="D516" s="1898">
        <v>1.0000000000000001E-5</v>
      </c>
      <c r="E516" s="1900" t="s">
        <v>1216</v>
      </c>
      <c r="F516" s="1900" t="s">
        <v>2283</v>
      </c>
      <c r="G516" s="1898" t="s">
        <v>3794</v>
      </c>
      <c r="H516" s="1901"/>
      <c r="I516" s="1901"/>
      <c r="J516" s="1898"/>
    </row>
    <row r="517" spans="2:10" ht="18" outlineLevel="1" x14ac:dyDescent="0.25">
      <c r="B517" s="1897" t="s">
        <v>3837</v>
      </c>
      <c r="C517" s="1898" t="s">
        <v>3073</v>
      </c>
      <c r="D517" s="1898">
        <v>1.9000000000000001E-5</v>
      </c>
      <c r="E517" s="1900" t="s">
        <v>1216</v>
      </c>
      <c r="F517" s="1900" t="s">
        <v>2283</v>
      </c>
      <c r="G517" s="1898" t="s">
        <v>3794</v>
      </c>
      <c r="H517" s="1901">
        <v>2</v>
      </c>
      <c r="I517" s="1901"/>
      <c r="J517" s="1898" t="s">
        <v>3037</v>
      </c>
    </row>
  </sheetData>
  <conditionalFormatting sqref="E473:F473">
    <cfRule type="cellIs" dxfId="77" priority="1" stopIfTrue="1" operator="notEqual">
      <formula>INDIRECT("Dummy_for_Comparison3!"&amp;ADDRESS(ROW(),COLUMN()))</formula>
    </cfRule>
  </conditionalFormatting>
  <conditionalFormatting sqref="E227:F227">
    <cfRule type="cellIs" dxfId="76" priority="18" stopIfTrue="1" operator="notEqual">
      <formula>INDIRECT("Dummy_for_Comparison3!"&amp;ADDRESS(ROW(),COLUMN()))</formula>
    </cfRule>
  </conditionalFormatting>
  <conditionalFormatting sqref="E219:F219">
    <cfRule type="cellIs" dxfId="75" priority="22" stopIfTrue="1" operator="notEqual">
      <formula>INDIRECT("Dummy_for_Comparison3!"&amp;ADDRESS(ROW(),COLUMN()))</formula>
    </cfRule>
  </conditionalFormatting>
  <conditionalFormatting sqref="E226:F226">
    <cfRule type="cellIs" dxfId="74" priority="21" stopIfTrue="1" operator="notEqual">
      <formula>INDIRECT("Dummy_for_Comparison3!"&amp;ADDRESS(ROW(),COLUMN()))</formula>
    </cfRule>
  </conditionalFormatting>
  <conditionalFormatting sqref="E251:F251">
    <cfRule type="cellIs" dxfId="73" priority="20" stopIfTrue="1" operator="notEqual">
      <formula>INDIRECT("Dummy_for_Comparison3!"&amp;ADDRESS(ROW(),COLUMN()))</formula>
    </cfRule>
  </conditionalFormatting>
  <conditionalFormatting sqref="E386:F386">
    <cfRule type="cellIs" dxfId="72" priority="19" stopIfTrue="1" operator="notEqual">
      <formula>INDIRECT("Dummy_for_Comparison3!"&amp;ADDRESS(ROW(),COLUMN()))</formula>
    </cfRule>
  </conditionalFormatting>
  <conditionalFormatting sqref="E239:F239">
    <cfRule type="cellIs" dxfId="71" priority="16" stopIfTrue="1" operator="notEqual">
      <formula>INDIRECT("Dummy_for_Comparison3!"&amp;ADDRESS(ROW(),COLUMN()))</formula>
    </cfRule>
  </conditionalFormatting>
  <conditionalFormatting sqref="E263:F263">
    <cfRule type="cellIs" dxfId="70" priority="15" stopIfTrue="1" operator="notEqual">
      <formula>INDIRECT("Dummy_for_Comparison3!"&amp;ADDRESS(ROW(),COLUMN()))</formula>
    </cfRule>
  </conditionalFormatting>
  <conditionalFormatting sqref="E264:F264">
    <cfRule type="cellIs" dxfId="69" priority="14" stopIfTrue="1" operator="notEqual">
      <formula>INDIRECT("Dummy_for_Comparison3!"&amp;ADDRESS(ROW(),COLUMN()))</formula>
    </cfRule>
  </conditionalFormatting>
  <conditionalFormatting sqref="E268:F268">
    <cfRule type="cellIs" dxfId="68" priority="13" stopIfTrue="1" operator="notEqual">
      <formula>INDIRECT("Dummy_for_Comparison3!"&amp;ADDRESS(ROW(),COLUMN()))</formula>
    </cfRule>
  </conditionalFormatting>
  <conditionalFormatting sqref="E30:F30">
    <cfRule type="cellIs" dxfId="67" priority="12" stopIfTrue="1" operator="notEqual">
      <formula>INDIRECT("Dummy_for_Comparison3!"&amp;ADDRESS(ROW(),COLUMN()))</formula>
    </cfRule>
  </conditionalFormatting>
  <conditionalFormatting sqref="E492:F494">
    <cfRule type="cellIs" dxfId="66" priority="11" stopIfTrue="1" operator="notEqual">
      <formula>INDIRECT("Dummy_for_Comparison3!"&amp;ADDRESS(ROW(),COLUMN()))</formula>
    </cfRule>
  </conditionalFormatting>
  <conditionalFormatting sqref="E496:F496">
    <cfRule type="cellIs" dxfId="65" priority="10" stopIfTrue="1" operator="notEqual">
      <formula>INDIRECT("Dummy_for_Comparison3!"&amp;ADDRESS(ROW(),COLUMN()))</formula>
    </cfRule>
  </conditionalFormatting>
  <conditionalFormatting sqref="E217:F217">
    <cfRule type="cellIs" dxfId="64" priority="9" stopIfTrue="1" operator="notEqual">
      <formula>INDIRECT("Dummy_for_Comparison3!"&amp;ADDRESS(ROW(),COLUMN()))</formula>
    </cfRule>
  </conditionalFormatting>
  <conditionalFormatting sqref="E316:F316">
    <cfRule type="cellIs" dxfId="63" priority="8" stopIfTrue="1" operator="notEqual">
      <formula>INDIRECT("Dummy_for_Comparison3!"&amp;ADDRESS(ROW(),COLUMN()))</formula>
    </cfRule>
  </conditionalFormatting>
  <conditionalFormatting sqref="E31:F32">
    <cfRule type="cellIs" dxfId="62" priority="7" stopIfTrue="1" operator="notEqual">
      <formula>INDIRECT("Dummy_for_Comparison3!"&amp;ADDRESS(ROW(),COLUMN()))</formula>
    </cfRule>
  </conditionalFormatting>
  <conditionalFormatting sqref="E367:F367">
    <cfRule type="cellIs" dxfId="61" priority="6" stopIfTrue="1" operator="notEqual">
      <formula>INDIRECT("Dummy_for_Comparison3!"&amp;ADDRESS(ROW(),COLUMN()))</formula>
    </cfRule>
  </conditionalFormatting>
  <conditionalFormatting sqref="E383:F383">
    <cfRule type="cellIs" dxfId="60" priority="5" stopIfTrue="1" operator="notEqual">
      <formula>INDIRECT("Dummy_for_Comparison3!"&amp;ADDRESS(ROW(),COLUMN()))</formula>
    </cfRule>
  </conditionalFormatting>
  <conditionalFormatting sqref="E366:F366">
    <cfRule type="cellIs" dxfId="59" priority="4" stopIfTrue="1" operator="notEqual">
      <formula>INDIRECT("Dummy_for_Comparison3!"&amp;ADDRESS(ROW(),COLUMN()))</formula>
    </cfRule>
  </conditionalFormatting>
  <conditionalFormatting sqref="E443:F445">
    <cfRule type="cellIs" dxfId="58" priority="3" stopIfTrue="1" operator="notEqual">
      <formula>INDIRECT("Dummy_for_Comparison3!"&amp;ADDRESS(ROW(),COLUMN()))</formula>
    </cfRule>
  </conditionalFormatting>
  <conditionalFormatting sqref="B293:J309">
    <cfRule type="cellIs" dxfId="57" priority="2" stopIfTrue="1" operator="notEqual">
      <formula>INDIRECT("Dummy_for_Comparison3!"&amp;ADDRESS(ROW(),COLUMN()))</formula>
    </cfRule>
  </conditionalFormatting>
  <conditionalFormatting sqref="E25:F25">
    <cfRule type="cellIs" dxfId="56" priority="64" stopIfTrue="1" operator="notEqual">
      <formula>INDIRECT("Dummy_for_Comparison3!"&amp;ADDRESS(ROW(),COLUMN()))</formula>
    </cfRule>
  </conditionalFormatting>
  <conditionalFormatting sqref="E37:F37">
    <cfRule type="cellIs" dxfId="55" priority="63" stopIfTrue="1" operator="notEqual">
      <formula>INDIRECT("Dummy_for_Comparison3!"&amp;ADDRESS(ROW(),COLUMN()))</formula>
    </cfRule>
  </conditionalFormatting>
  <conditionalFormatting sqref="E46:F46 E504:F515 E517:F517 E497:F502 E466:F472 E402:F426 E474:F494 E56:F56">
    <cfRule type="cellIs" dxfId="54" priority="62" stopIfTrue="1" operator="notEqual">
      <formula>INDIRECT("Dummy_for_Comparison3!"&amp;ADDRESS(ROW(),COLUMN()))</formula>
    </cfRule>
  </conditionalFormatting>
  <conditionalFormatting sqref="E60:F60">
    <cfRule type="cellIs" dxfId="53" priority="61" stopIfTrue="1" operator="notEqual">
      <formula>INDIRECT("Dummy_for_Comparison3!"&amp;ADDRESS(ROW(),COLUMN()))</formula>
    </cfRule>
  </conditionalFormatting>
  <conditionalFormatting sqref="E74:F74">
    <cfRule type="cellIs" dxfId="52" priority="60" stopIfTrue="1" operator="notEqual">
      <formula>INDIRECT("Dummy_for_Comparison3!"&amp;ADDRESS(ROW(),COLUMN()))</formula>
    </cfRule>
  </conditionalFormatting>
  <conditionalFormatting sqref="E78:F78">
    <cfRule type="cellIs" dxfId="51" priority="59" stopIfTrue="1" operator="notEqual">
      <formula>INDIRECT("Dummy_for_Comparison3!"&amp;ADDRESS(ROW(),COLUMN()))</formula>
    </cfRule>
  </conditionalFormatting>
  <conditionalFormatting sqref="E199:F199">
    <cfRule type="cellIs" dxfId="50" priority="58" stopIfTrue="1" operator="notEqual">
      <formula>INDIRECT("Dummy_for_Comparison3!"&amp;ADDRESS(ROW(),COLUMN()))</formula>
    </cfRule>
  </conditionalFormatting>
  <conditionalFormatting sqref="E212:F212">
    <cfRule type="cellIs" dxfId="49" priority="57" stopIfTrue="1" operator="notEqual">
      <formula>INDIRECT("Dummy_for_Comparison3!"&amp;ADDRESS(ROW(),COLUMN()))</formula>
    </cfRule>
  </conditionalFormatting>
  <conditionalFormatting sqref="E281:F281">
    <cfRule type="cellIs" dxfId="48" priority="56" stopIfTrue="1" operator="notEqual">
      <formula>INDIRECT("Dummy_for_Comparison3!"&amp;ADDRESS(ROW(),COLUMN()))</formula>
    </cfRule>
  </conditionalFormatting>
  <conditionalFormatting sqref="E313:F313">
    <cfRule type="cellIs" dxfId="47" priority="55" stopIfTrue="1" operator="notEqual">
      <formula>INDIRECT("Dummy_for_Comparison3!"&amp;ADDRESS(ROW(),COLUMN()))</formula>
    </cfRule>
  </conditionalFormatting>
  <conditionalFormatting sqref="E324:F324">
    <cfRule type="cellIs" dxfId="46" priority="54" stopIfTrue="1" operator="notEqual">
      <formula>INDIRECT("Dummy_for_Comparison3!"&amp;ADDRESS(ROW(),COLUMN()))</formula>
    </cfRule>
  </conditionalFormatting>
  <conditionalFormatting sqref="E343:F343">
    <cfRule type="cellIs" dxfId="45" priority="53" stopIfTrue="1" operator="notEqual">
      <formula>INDIRECT("Dummy_for_Comparison3!"&amp;ADDRESS(ROW(),COLUMN()))</formula>
    </cfRule>
  </conditionalFormatting>
  <conditionalFormatting sqref="E352:F352">
    <cfRule type="cellIs" dxfId="44" priority="52" stopIfTrue="1" operator="notEqual">
      <formula>INDIRECT("Dummy_for_Comparison3!"&amp;ADDRESS(ROW(),COLUMN()))</formula>
    </cfRule>
  </conditionalFormatting>
  <conditionalFormatting sqref="E356:F356">
    <cfRule type="cellIs" dxfId="43" priority="51" stopIfTrue="1" operator="notEqual">
      <formula>INDIRECT("Dummy_for_Comparison3!"&amp;ADDRESS(ROW(),COLUMN()))</formula>
    </cfRule>
  </conditionalFormatting>
  <conditionalFormatting sqref="E360:F360">
    <cfRule type="cellIs" dxfId="42" priority="50" stopIfTrue="1" operator="notEqual">
      <formula>INDIRECT("Dummy_for_Comparison3!"&amp;ADDRESS(ROW(),COLUMN()))</formula>
    </cfRule>
  </conditionalFormatting>
  <conditionalFormatting sqref="E401:F401">
    <cfRule type="cellIs" dxfId="41" priority="49" stopIfTrue="1" operator="notEqual">
      <formula>INDIRECT("Dummy_for_Comparison3!"&amp;ADDRESS(ROW(),COLUMN()))</formula>
    </cfRule>
  </conditionalFormatting>
  <conditionalFormatting sqref="E430:F430">
    <cfRule type="cellIs" dxfId="40" priority="48" stopIfTrue="1" operator="notEqual">
      <formula>INDIRECT("Dummy_for_Comparison3!"&amp;ADDRESS(ROW(),COLUMN()))</formula>
    </cfRule>
  </conditionalFormatting>
  <conditionalFormatting sqref="E434:F434">
    <cfRule type="cellIs" dxfId="39" priority="47" stopIfTrue="1" operator="notEqual">
      <formula>INDIRECT("Dummy_for_Comparison3!"&amp;ADDRESS(ROW(),COLUMN()))</formula>
    </cfRule>
  </conditionalFormatting>
  <conditionalFormatting sqref="E256:F256">
    <cfRule type="cellIs" dxfId="38" priority="46" stopIfTrue="1" operator="notEqual">
      <formula>INDIRECT("Dummy_for_Comparison3!"&amp;ADDRESS(ROW(),COLUMN()))</formula>
    </cfRule>
  </conditionalFormatting>
  <conditionalFormatting sqref="E5:F5">
    <cfRule type="cellIs" dxfId="37" priority="45" stopIfTrue="1" operator="notEqual">
      <formula>INDIRECT("Dummy_for_Comparison3!"&amp;ADDRESS(ROW(),COLUMN()))</formula>
    </cfRule>
  </conditionalFormatting>
  <conditionalFormatting sqref="E4:F4">
    <cfRule type="cellIs" dxfId="36" priority="44" stopIfTrue="1" operator="notEqual">
      <formula>INDIRECT("Dummy_for_Comparison3!"&amp;ADDRESS(ROW(),COLUMN()))</formula>
    </cfRule>
  </conditionalFormatting>
  <conditionalFormatting sqref="E393:F393">
    <cfRule type="cellIs" dxfId="35" priority="43" stopIfTrue="1" operator="notEqual">
      <formula>INDIRECT("Dummy_for_Comparison3!"&amp;ADDRESS(ROW(),COLUMN()))</formula>
    </cfRule>
  </conditionalFormatting>
  <conditionalFormatting sqref="E392:F392">
    <cfRule type="cellIs" dxfId="34" priority="42" stopIfTrue="1" operator="notEqual">
      <formula>INDIRECT("Dummy_for_Comparison3!"&amp;ADDRESS(ROW(),COLUMN()))</formula>
    </cfRule>
  </conditionalFormatting>
  <conditionalFormatting sqref="E394:F394">
    <cfRule type="cellIs" dxfId="33" priority="41" stopIfTrue="1" operator="notEqual">
      <formula>INDIRECT("Dummy_for_Comparison3!"&amp;ADDRESS(ROW(),COLUMN()))</formula>
    </cfRule>
  </conditionalFormatting>
  <conditionalFormatting sqref="F396">
    <cfRule type="cellIs" dxfId="32" priority="40" stopIfTrue="1" operator="notEqual">
      <formula>INDIRECT("Dummy_for_Comparison3!"&amp;ADDRESS(ROW(),COLUMN()))</formula>
    </cfRule>
  </conditionalFormatting>
  <conditionalFormatting sqref="D396">
    <cfRule type="cellIs" dxfId="31" priority="39" stopIfTrue="1" operator="notEqual">
      <formula>INDIRECT("Dummy_for_Comparison3!"&amp;ADDRESS(ROW(),COLUMN()))</formula>
    </cfRule>
  </conditionalFormatting>
  <conditionalFormatting sqref="E397:F397">
    <cfRule type="cellIs" dxfId="30" priority="38" stopIfTrue="1" operator="notEqual">
      <formula>INDIRECT("Dummy_for_Comparison3!"&amp;ADDRESS(ROW(),COLUMN()))</formula>
    </cfRule>
  </conditionalFormatting>
  <conditionalFormatting sqref="E396">
    <cfRule type="cellIs" dxfId="29" priority="37" stopIfTrue="1" operator="notEqual">
      <formula>INDIRECT("Dummy_for_Comparison3!"&amp;ADDRESS(ROW(),COLUMN()))</formula>
    </cfRule>
  </conditionalFormatting>
  <conditionalFormatting sqref="E388:F388">
    <cfRule type="cellIs" dxfId="28" priority="36" stopIfTrue="1" operator="notEqual">
      <formula>INDIRECT("Dummy_for_Comparison3!"&amp;ADDRESS(ROW(),COLUMN()))</formula>
    </cfRule>
  </conditionalFormatting>
  <conditionalFormatting sqref="E378:F378">
    <cfRule type="cellIs" dxfId="27" priority="35" stopIfTrue="1" operator="notEqual">
      <formula>INDIRECT("Dummy_for_Comparison3!"&amp;ADDRESS(ROW(),COLUMN()))</formula>
    </cfRule>
  </conditionalFormatting>
  <conditionalFormatting sqref="E363:F363">
    <cfRule type="cellIs" dxfId="26" priority="34" stopIfTrue="1" operator="notEqual">
      <formula>INDIRECT("Dummy_for_Comparison3!"&amp;ADDRESS(ROW(),COLUMN()))</formula>
    </cfRule>
  </conditionalFormatting>
  <conditionalFormatting sqref="F395">
    <cfRule type="cellIs" dxfId="25" priority="33" stopIfTrue="1" operator="notEqual">
      <formula>INDIRECT("Dummy_for_Comparison3!"&amp;ADDRESS(ROW(),COLUMN()))</formula>
    </cfRule>
  </conditionalFormatting>
  <conditionalFormatting sqref="D395">
    <cfRule type="cellIs" dxfId="24" priority="32" stopIfTrue="1" operator="notEqual">
      <formula>INDIRECT("Dummy_for_Comparison3!"&amp;ADDRESS(ROW(),COLUMN()))</formula>
    </cfRule>
  </conditionalFormatting>
  <conditionalFormatting sqref="E395">
    <cfRule type="cellIs" dxfId="23" priority="31" stopIfTrue="1" operator="notEqual">
      <formula>INDIRECT("Dummy_for_Comparison3!"&amp;ADDRESS(ROW(),COLUMN()))</formula>
    </cfRule>
  </conditionalFormatting>
  <conditionalFormatting sqref="E257:F257">
    <cfRule type="cellIs" dxfId="22" priority="30" stopIfTrue="1" operator="notEqual">
      <formula>INDIRECT("Dummy_for_Comparison3!"&amp;ADDRESS(ROW(),COLUMN()))</formula>
    </cfRule>
  </conditionalFormatting>
  <conditionalFormatting sqref="E374:F374">
    <cfRule type="cellIs" dxfId="21" priority="29" stopIfTrue="1" operator="notEqual">
      <formula>INDIRECT("Dummy_for_Comparison3!"&amp;ADDRESS(ROW(),COLUMN()))</formula>
    </cfRule>
  </conditionalFormatting>
  <conditionalFormatting sqref="E375:F375">
    <cfRule type="cellIs" dxfId="20" priority="28" stopIfTrue="1" operator="notEqual">
      <formula>INDIRECT("Dummy_for_Comparison3!"&amp;ADDRESS(ROW(),COLUMN()))</formula>
    </cfRule>
  </conditionalFormatting>
  <conditionalFormatting sqref="E376:F376">
    <cfRule type="cellIs" dxfId="19" priority="27" stopIfTrue="1" operator="notEqual">
      <formula>INDIRECT("Dummy_for_Comparison3!"&amp;ADDRESS(ROW(),COLUMN()))</formula>
    </cfRule>
  </conditionalFormatting>
  <conditionalFormatting sqref="E503:F503">
    <cfRule type="cellIs" dxfId="18" priority="26" stopIfTrue="1" operator="notEqual">
      <formula>INDIRECT("Dummy_for_Comparison3!"&amp;ADDRESS(ROW(),COLUMN()))</formula>
    </cfRule>
  </conditionalFormatting>
  <conditionalFormatting sqref="E218:F218">
    <cfRule type="cellIs" dxfId="17" priority="23" stopIfTrue="1" operator="notEqual">
      <formula>INDIRECT("Dummy_for_Comparison3!"&amp;ADDRESS(ROW(),COLUMN()))</formula>
    </cfRule>
  </conditionalFormatting>
  <conditionalFormatting sqref="E246:F246">
    <cfRule type="cellIs" dxfId="16" priority="17" stopIfTrue="1" operator="notEqual">
      <formula>INDIRECT("Dummy_for_Comparison3!"&amp;ADDRESS(ROW(),COLUMN()))</formula>
    </cfRule>
  </conditionalFormatting>
  <conditionalFormatting sqref="E6:F21 E26:F29 E38:F42 E47:F52 E61:F70 E79:F195 E200:F208 E213:F216 E282:F289 E314:F315 E325:F339 E344:F348 E361:F362 E435:F442 E384:F385 E258:F262 E389:F391 E379:F380 E364:F365 E377:F377 E220:F238 E252:F255 E387:F387 E265:F267 E247:F250 E269:F277 E240:F245 E33:F33 E317:F320 E368:F373 E446:F462">
    <cfRule type="cellIs" dxfId="15" priority="65" stopIfTrue="1" operator="notEqual">
      <formula>INDIRECT("Dummy_for_Comparison3!"&amp;ADDRESS(ROW(),COLUMN()))</formula>
    </cfRule>
  </conditionalFormatting>
  <conditionalFormatting sqref="E495:F495">
    <cfRule type="cellIs" dxfId="14" priority="25" stopIfTrue="1" operator="notEqual">
      <formula>INDIRECT("Dummy_for_Comparison3!"&amp;ADDRESS(ROW(),COLUMN()))</formula>
    </cfRule>
  </conditionalFormatting>
  <conditionalFormatting sqref="E516:F516">
    <cfRule type="cellIs" dxfId="13" priority="24" stopIfTrue="1" operator="notEqual">
      <formula>INDIRECT("Dummy_for_Comparison3!"&amp;ADDRESS(ROW(),COLUMN()))</formula>
    </cfRule>
  </conditionalFormatting>
  <hyperlinks>
    <hyperlink ref="J18" r:id="rId1" xr:uid="{00000000-0004-0000-1100-000000000000}"/>
    <hyperlink ref="J19" r:id="rId2" xr:uid="{00000000-0004-0000-1100-000001000000}"/>
    <hyperlink ref="J20" r:id="rId3" xr:uid="{00000000-0004-0000-1100-000002000000}"/>
    <hyperlink ref="J21" r:id="rId4" xr:uid="{00000000-0004-0000-1100-000003000000}"/>
    <hyperlink ref="J14" r:id="rId5" xr:uid="{00000000-0004-0000-1100-000004000000}"/>
    <hyperlink ref="J15" r:id="rId6" xr:uid="{00000000-0004-0000-1100-000005000000}"/>
    <hyperlink ref="J16" r:id="rId7" xr:uid="{00000000-0004-0000-1100-000006000000}"/>
    <hyperlink ref="J17" r:id="rId8" xr:uid="{00000000-0004-0000-1100-000007000000}"/>
    <hyperlink ref="J424" r:id="rId9" xr:uid="{00000000-0004-0000-1100-000008000000}"/>
    <hyperlink ref="J7" r:id="rId10" xr:uid="{00000000-0004-0000-1100-000009000000}"/>
  </hyperlinks>
  <pageMargins left="0.7" right="0.7" top="0.75" bottom="0.75" header="0.3" footer="0.3"/>
  <pageSetup orientation="portrait" r:id="rId1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
  <dimension ref="A1:L90"/>
  <sheetViews>
    <sheetView workbookViewId="0">
      <selection activeCell="B3" sqref="B3:D90"/>
    </sheetView>
  </sheetViews>
  <sheetFormatPr baseColWidth="10" defaultColWidth="9.140625" defaultRowHeight="15" x14ac:dyDescent="0.25"/>
  <cols>
    <col min="1" max="1" width="4.7109375" customWidth="1"/>
    <col min="2" max="2" width="19.28515625" style="4" bestFit="1" customWidth="1"/>
    <col min="3" max="3" width="51.28515625" style="4" bestFit="1" customWidth="1"/>
    <col min="4" max="5" width="9.140625" style="3"/>
    <col min="6" max="6" width="17.7109375" style="3" customWidth="1"/>
    <col min="7" max="8" width="9.140625" style="3"/>
    <col min="9" max="9" width="12.7109375" style="3" bestFit="1" customWidth="1"/>
    <col min="10" max="10" width="19.28515625" customWidth="1"/>
  </cols>
  <sheetData>
    <row r="1" spans="2:11" ht="15.75" thickBot="1" x14ac:dyDescent="0.3"/>
    <row r="2" spans="2:11" s="2157" customFormat="1" ht="15.75" thickBot="1" x14ac:dyDescent="0.3">
      <c r="B2" s="102"/>
      <c r="C2" s="2291" t="s">
        <v>5203</v>
      </c>
      <c r="D2" s="102"/>
      <c r="E2" s="102"/>
      <c r="F2" s="102"/>
      <c r="G2" s="102"/>
      <c r="H2" s="102"/>
      <c r="I2" s="102"/>
      <c r="J2" s="101"/>
    </row>
    <row r="3" spans="2:11" s="2157" customFormat="1" ht="15.75" thickBot="1" x14ac:dyDescent="0.3">
      <c r="B3" s="2292" t="s">
        <v>0</v>
      </c>
      <c r="C3" s="2293" t="s">
        <v>1</v>
      </c>
      <c r="D3" s="2293" t="s">
        <v>152</v>
      </c>
      <c r="E3" s="2293" t="s">
        <v>470</v>
      </c>
      <c r="F3" s="2293" t="s">
        <v>471</v>
      </c>
      <c r="G3" s="2293" t="s">
        <v>2</v>
      </c>
      <c r="H3" s="2293" t="s">
        <v>298</v>
      </c>
      <c r="I3" s="2293" t="s">
        <v>116</v>
      </c>
      <c r="J3" s="2294" t="s">
        <v>117</v>
      </c>
    </row>
    <row r="4" spans="2:11" s="2157" customFormat="1" ht="18.75" thickBot="1" x14ac:dyDescent="0.3">
      <c r="B4" s="2295" t="s">
        <v>5204</v>
      </c>
      <c r="C4" s="2296" t="s">
        <v>5205</v>
      </c>
      <c r="D4" s="2297">
        <v>1.0000000000000001E-30</v>
      </c>
      <c r="E4" s="2297">
        <v>0</v>
      </c>
      <c r="F4" s="2297">
        <v>1</v>
      </c>
      <c r="G4" s="2298"/>
      <c r="H4" s="2298"/>
      <c r="I4" s="2297"/>
      <c r="J4" s="2299"/>
      <c r="K4" s="2157" t="s">
        <v>5206</v>
      </c>
    </row>
    <row r="5" spans="2:11" ht="15.75" thickBot="1" x14ac:dyDescent="0.3">
      <c r="B5"/>
      <c r="C5"/>
      <c r="D5"/>
      <c r="E5"/>
      <c r="F5"/>
      <c r="G5"/>
      <c r="H5"/>
      <c r="I5"/>
    </row>
    <row r="6" spans="2:11" s="101" customFormat="1" ht="15.75" thickBot="1" x14ac:dyDescent="0.3">
      <c r="B6" s="102"/>
      <c r="C6" s="960" t="s">
        <v>1192</v>
      </c>
      <c r="D6" s="102" t="s">
        <v>299</v>
      </c>
      <c r="E6" s="102"/>
      <c r="F6" s="102"/>
      <c r="G6" s="102"/>
      <c r="H6" s="102"/>
      <c r="I6" s="102"/>
    </row>
    <row r="7" spans="2:11" s="101" customFormat="1" ht="15.75" thickBot="1" x14ac:dyDescent="0.3">
      <c r="B7" s="997" t="s">
        <v>0</v>
      </c>
      <c r="C7" s="998" t="s">
        <v>1</v>
      </c>
      <c r="D7" s="998" t="s">
        <v>839</v>
      </c>
      <c r="E7" s="998" t="s">
        <v>470</v>
      </c>
      <c r="F7" s="998" t="s">
        <v>471</v>
      </c>
      <c r="G7" s="998" t="s">
        <v>2</v>
      </c>
      <c r="H7" s="998" t="s">
        <v>298</v>
      </c>
      <c r="I7" s="998" t="s">
        <v>116</v>
      </c>
      <c r="J7" s="999" t="s">
        <v>117</v>
      </c>
    </row>
    <row r="8" spans="2:11" s="101" customFormat="1" ht="18.75" thickBot="1" x14ac:dyDescent="0.3">
      <c r="B8" s="738" t="s">
        <v>3964</v>
      </c>
      <c r="C8" s="195" t="s">
        <v>2576</v>
      </c>
      <c r="D8" s="194">
        <v>0.1</v>
      </c>
      <c r="E8" s="194">
        <v>0</v>
      </c>
      <c r="F8" s="194">
        <v>1</v>
      </c>
      <c r="G8" s="196" t="s">
        <v>1990</v>
      </c>
      <c r="H8" s="196">
        <v>2</v>
      </c>
      <c r="I8" s="194"/>
      <c r="J8" s="197"/>
    </row>
    <row r="9" spans="2:11" ht="15.75" thickBot="1" x14ac:dyDescent="0.3">
      <c r="B9"/>
      <c r="C9"/>
      <c r="D9"/>
      <c r="E9"/>
      <c r="F9"/>
      <c r="G9"/>
      <c r="H9"/>
      <c r="I9"/>
    </row>
    <row r="10" spans="2:11" ht="15.75" thickBot="1" x14ac:dyDescent="0.3">
      <c r="B10" s="164"/>
      <c r="C10" s="871" t="s">
        <v>3681</v>
      </c>
      <c r="D10" s="164"/>
      <c r="E10" s="164"/>
      <c r="F10" s="164"/>
      <c r="G10" s="164"/>
      <c r="H10" s="164"/>
      <c r="I10" s="164"/>
    </row>
    <row r="11" spans="2:11" ht="15.75" thickBot="1" x14ac:dyDescent="0.3">
      <c r="B11" s="872" t="s">
        <v>0</v>
      </c>
      <c r="C11" s="873" t="s">
        <v>1</v>
      </c>
      <c r="D11" s="873" t="s">
        <v>152</v>
      </c>
      <c r="E11" s="874" t="s">
        <v>470</v>
      </c>
      <c r="F11" s="874" t="s">
        <v>471</v>
      </c>
      <c r="G11" s="873" t="s">
        <v>2</v>
      </c>
      <c r="H11" s="873" t="s">
        <v>298</v>
      </c>
      <c r="I11" s="875" t="s">
        <v>116</v>
      </c>
    </row>
    <row r="12" spans="2:11" ht="18" x14ac:dyDescent="0.35">
      <c r="B12" s="2197" t="s">
        <v>5112</v>
      </c>
      <c r="C12" s="2198" t="s">
        <v>5113</v>
      </c>
      <c r="D12" s="2199">
        <v>4.8</v>
      </c>
      <c r="E12" s="2198"/>
      <c r="F12" s="2198"/>
      <c r="G12" s="2198" t="s">
        <v>5114</v>
      </c>
      <c r="H12" s="2198"/>
      <c r="I12" s="2200"/>
    </row>
    <row r="13" spans="2:11" ht="18.75" x14ac:dyDescent="0.35">
      <c r="B13" s="2201" t="s">
        <v>3682</v>
      </c>
      <c r="C13" s="2202" t="s">
        <v>3683</v>
      </c>
      <c r="D13" s="2203">
        <v>76.402000000000001</v>
      </c>
      <c r="E13" s="2202"/>
      <c r="F13" s="2202"/>
      <c r="G13" s="2202" t="s">
        <v>3684</v>
      </c>
      <c r="H13" s="2202"/>
      <c r="I13" s="2204"/>
    </row>
    <row r="14" spans="2:11" ht="18.75" x14ac:dyDescent="0.35">
      <c r="B14" s="170" t="s">
        <v>3685</v>
      </c>
      <c r="C14" s="879" t="s">
        <v>3686</v>
      </c>
      <c r="D14" s="880">
        <v>100</v>
      </c>
      <c r="E14" s="879"/>
      <c r="F14" s="879"/>
      <c r="G14" s="879" t="s">
        <v>3684</v>
      </c>
      <c r="H14" s="879"/>
      <c r="I14" s="881"/>
    </row>
    <row r="15" spans="2:11" ht="18.75" x14ac:dyDescent="0.35">
      <c r="B15" s="170" t="s">
        <v>3687</v>
      </c>
      <c r="C15" s="879" t="s">
        <v>3688</v>
      </c>
      <c r="D15" s="880">
        <v>88.852000000000004</v>
      </c>
      <c r="E15" s="879"/>
      <c r="F15" s="879"/>
      <c r="G15" s="879" t="s">
        <v>3684</v>
      </c>
      <c r="H15" s="879"/>
      <c r="I15" s="881"/>
    </row>
    <row r="16" spans="2:11" ht="18.75" x14ac:dyDescent="0.35">
      <c r="B16" s="170" t="s">
        <v>3689</v>
      </c>
      <c r="C16" s="879" t="s">
        <v>3690</v>
      </c>
      <c r="D16" s="880">
        <v>84.435000000000002</v>
      </c>
      <c r="E16" s="879"/>
      <c r="F16" s="879"/>
      <c r="G16" s="879" t="s">
        <v>3684</v>
      </c>
      <c r="H16" s="879"/>
      <c r="I16" s="881"/>
    </row>
    <row r="17" spans="1:9" ht="18.75" x14ac:dyDescent="0.35">
      <c r="B17" s="170" t="s">
        <v>3691</v>
      </c>
      <c r="C17" s="879" t="s">
        <v>3692</v>
      </c>
      <c r="D17" s="880">
        <v>146.73500000000001</v>
      </c>
      <c r="E17" s="879"/>
      <c r="F17" s="879"/>
      <c r="G17" s="879" t="s">
        <v>3684</v>
      </c>
      <c r="H17" s="879"/>
      <c r="I17" s="881"/>
    </row>
    <row r="18" spans="1:9" ht="18.75" x14ac:dyDescent="0.35">
      <c r="B18" s="170" t="s">
        <v>3693</v>
      </c>
      <c r="C18" s="879" t="s">
        <v>3694</v>
      </c>
      <c r="D18" s="880">
        <v>0</v>
      </c>
      <c r="E18" s="879"/>
      <c r="F18" s="879"/>
      <c r="G18" s="879" t="s">
        <v>3684</v>
      </c>
      <c r="H18" s="879"/>
      <c r="I18" s="881"/>
    </row>
    <row r="19" spans="1:9" ht="18.75" x14ac:dyDescent="0.35">
      <c r="B19" s="170" t="s">
        <v>3695</v>
      </c>
      <c r="C19" s="879" t="s">
        <v>3696</v>
      </c>
      <c r="D19" s="880">
        <v>90.980999999999995</v>
      </c>
      <c r="E19" s="879"/>
      <c r="F19" s="879"/>
      <c r="G19" s="879" t="s">
        <v>3684</v>
      </c>
      <c r="H19" s="879"/>
      <c r="I19" s="881"/>
    </row>
    <row r="20" spans="1:9" s="144" customFormat="1" ht="18" x14ac:dyDescent="0.35">
      <c r="B20" s="882" t="s">
        <v>3697</v>
      </c>
      <c r="C20" s="883" t="s">
        <v>3698</v>
      </c>
      <c r="D20" s="884">
        <v>3748.91</v>
      </c>
      <c r="E20" s="884"/>
      <c r="F20" s="883"/>
      <c r="G20" s="885" t="s">
        <v>834</v>
      </c>
      <c r="H20" s="883"/>
      <c r="I20" s="886" t="s">
        <v>1177</v>
      </c>
    </row>
    <row r="21" spans="1:9" s="144" customFormat="1" ht="18.75" x14ac:dyDescent="0.35">
      <c r="B21" s="882" t="s">
        <v>3699</v>
      </c>
      <c r="C21" s="883" t="s">
        <v>3700</v>
      </c>
      <c r="D21" s="884">
        <v>10</v>
      </c>
      <c r="E21" s="884"/>
      <c r="F21" s="883"/>
      <c r="G21" s="883" t="s">
        <v>834</v>
      </c>
      <c r="H21" s="883"/>
      <c r="I21" s="886" t="s">
        <v>1167</v>
      </c>
    </row>
    <row r="22" spans="1:9" s="144" customFormat="1" ht="18.75" x14ac:dyDescent="0.35">
      <c r="B22" s="882" t="s">
        <v>3701</v>
      </c>
      <c r="C22" s="883" t="s">
        <v>3702</v>
      </c>
      <c r="D22" s="884">
        <v>40</v>
      </c>
      <c r="E22" s="884"/>
      <c r="F22" s="883"/>
      <c r="G22" s="883" t="s">
        <v>834</v>
      </c>
      <c r="H22" s="883"/>
      <c r="I22" s="886" t="s">
        <v>1168</v>
      </c>
    </row>
    <row r="23" spans="1:9" s="144" customFormat="1" ht="18.75" x14ac:dyDescent="0.35">
      <c r="B23" s="882" t="s">
        <v>3703</v>
      </c>
      <c r="C23" s="883" t="s">
        <v>3704</v>
      </c>
      <c r="D23" s="884">
        <v>0</v>
      </c>
      <c r="E23" s="884"/>
      <c r="F23" s="883"/>
      <c r="G23" s="883" t="s">
        <v>834</v>
      </c>
      <c r="H23" s="883"/>
      <c r="I23" s="886" t="s">
        <v>1169</v>
      </c>
    </row>
    <row r="24" spans="1:9" s="144" customFormat="1" ht="18.75" x14ac:dyDescent="0.35">
      <c r="B24" s="882" t="s">
        <v>3705</v>
      </c>
      <c r="C24" s="883" t="s">
        <v>3706</v>
      </c>
      <c r="D24" s="884">
        <v>0</v>
      </c>
      <c r="E24" s="884"/>
      <c r="F24" s="883"/>
      <c r="G24" s="883" t="s">
        <v>834</v>
      </c>
      <c r="H24" s="883"/>
      <c r="I24" s="886" t="s">
        <v>1170</v>
      </c>
    </row>
    <row r="25" spans="1:9" s="144" customFormat="1" ht="18" x14ac:dyDescent="0.25">
      <c r="B25" s="887" t="s">
        <v>3707</v>
      </c>
      <c r="C25" s="885" t="s">
        <v>3708</v>
      </c>
      <c r="D25" s="888">
        <v>0</v>
      </c>
      <c r="E25" s="888"/>
      <c r="F25" s="888"/>
      <c r="G25" s="885" t="s">
        <v>834</v>
      </c>
      <c r="H25" s="888"/>
      <c r="I25" s="889" t="s">
        <v>1178</v>
      </c>
    </row>
    <row r="26" spans="1:9" s="144" customFormat="1" ht="19.5" thickBot="1" x14ac:dyDescent="0.4">
      <c r="A26"/>
      <c r="B26" s="890" t="s">
        <v>3709</v>
      </c>
      <c r="C26" s="891" t="s">
        <v>3710</v>
      </c>
      <c r="D26" s="892">
        <v>15</v>
      </c>
      <c r="E26" s="892"/>
      <c r="F26" s="891"/>
      <c r="G26" s="891" t="s">
        <v>834</v>
      </c>
      <c r="H26" s="891"/>
      <c r="I26" s="893" t="s">
        <v>1171</v>
      </c>
    </row>
    <row r="27" spans="1:9" ht="15.75" thickBot="1" x14ac:dyDescent="0.3">
      <c r="B27"/>
      <c r="C27"/>
      <c r="D27"/>
      <c r="E27"/>
      <c r="F27"/>
      <c r="G27"/>
      <c r="H27"/>
      <c r="I27"/>
    </row>
    <row r="28" spans="1:9" ht="15.75" thickBot="1" x14ac:dyDescent="0.3">
      <c r="B28" s="164"/>
      <c r="C28" s="871" t="s">
        <v>3711</v>
      </c>
      <c r="D28" s="164"/>
      <c r="E28" s="164"/>
      <c r="F28" s="164"/>
      <c r="G28" s="164"/>
      <c r="H28" s="164"/>
      <c r="I28" s="164"/>
    </row>
    <row r="29" spans="1:9" ht="15.75" thickBot="1" x14ac:dyDescent="0.3">
      <c r="B29" s="872" t="s">
        <v>0</v>
      </c>
      <c r="C29" s="873" t="s">
        <v>1</v>
      </c>
      <c r="D29" s="873" t="s">
        <v>152</v>
      </c>
      <c r="E29" s="874" t="s">
        <v>470</v>
      </c>
      <c r="F29" s="874" t="s">
        <v>471</v>
      </c>
      <c r="G29" s="873" t="s">
        <v>2</v>
      </c>
      <c r="H29" s="873" t="s">
        <v>298</v>
      </c>
      <c r="I29" s="875" t="s">
        <v>116</v>
      </c>
    </row>
    <row r="30" spans="1:9" ht="18.75" x14ac:dyDescent="0.35">
      <c r="B30" s="876" t="s">
        <v>3712</v>
      </c>
      <c r="C30" s="877" t="s">
        <v>3713</v>
      </c>
      <c r="D30" s="853">
        <v>2.2919999999999998</v>
      </c>
      <c r="E30" s="877"/>
      <c r="F30" s="877"/>
      <c r="G30" s="877" t="s">
        <v>3684</v>
      </c>
      <c r="H30" s="877"/>
      <c r="I30" s="878"/>
    </row>
    <row r="31" spans="1:9" ht="18.75" x14ac:dyDescent="0.35">
      <c r="B31" s="170" t="s">
        <v>3714</v>
      </c>
      <c r="C31" s="879" t="s">
        <v>3715</v>
      </c>
      <c r="D31" s="880">
        <v>3</v>
      </c>
      <c r="E31" s="879"/>
      <c r="F31" s="879"/>
      <c r="G31" s="879" t="s">
        <v>3684</v>
      </c>
      <c r="H31" s="879"/>
      <c r="I31" s="881"/>
    </row>
    <row r="32" spans="1:9" ht="18.75" x14ac:dyDescent="0.35">
      <c r="B32" s="170" t="s">
        <v>3716</v>
      </c>
      <c r="C32" s="879" t="s">
        <v>3717</v>
      </c>
      <c r="D32" s="880">
        <v>2.6659999999999999</v>
      </c>
      <c r="E32" s="879"/>
      <c r="F32" s="879"/>
      <c r="G32" s="879" t="s">
        <v>3684</v>
      </c>
      <c r="H32" s="879"/>
      <c r="I32" s="881"/>
    </row>
    <row r="33" spans="1:9" ht="18.75" x14ac:dyDescent="0.35">
      <c r="B33" s="170" t="s">
        <v>3718</v>
      </c>
      <c r="C33" s="879" t="s">
        <v>3719</v>
      </c>
      <c r="D33" s="880">
        <v>2.5329999999999999</v>
      </c>
      <c r="E33" s="879"/>
      <c r="F33" s="879"/>
      <c r="G33" s="879" t="s">
        <v>3684</v>
      </c>
      <c r="H33" s="879"/>
      <c r="I33" s="881"/>
    </row>
    <row r="34" spans="1:9" ht="18.75" x14ac:dyDescent="0.35">
      <c r="B34" s="170" t="s">
        <v>3720</v>
      </c>
      <c r="C34" s="879" t="s">
        <v>3721</v>
      </c>
      <c r="D34" s="880">
        <v>4.4020000000000001</v>
      </c>
      <c r="E34" s="879"/>
      <c r="F34" s="879"/>
      <c r="G34" s="879" t="s">
        <v>3684</v>
      </c>
      <c r="H34" s="879"/>
      <c r="I34" s="881"/>
    </row>
    <row r="35" spans="1:9" ht="18.75" x14ac:dyDescent="0.35">
      <c r="B35" s="170" t="s">
        <v>3722</v>
      </c>
      <c r="C35" s="879" t="s">
        <v>3723</v>
      </c>
      <c r="D35" s="880">
        <v>0</v>
      </c>
      <c r="E35" s="879"/>
      <c r="F35" s="879"/>
      <c r="G35" s="879" t="s">
        <v>3684</v>
      </c>
      <c r="H35" s="879"/>
      <c r="I35" s="881"/>
    </row>
    <row r="36" spans="1:9" ht="18.75" x14ac:dyDescent="0.35">
      <c r="B36" s="170" t="s">
        <v>3724</v>
      </c>
      <c r="C36" s="879" t="s">
        <v>3725</v>
      </c>
      <c r="D36" s="880">
        <v>2.73</v>
      </c>
      <c r="E36" s="879"/>
      <c r="F36" s="879"/>
      <c r="G36" s="879" t="s">
        <v>3684</v>
      </c>
      <c r="H36" s="879"/>
      <c r="I36" s="881"/>
    </row>
    <row r="37" spans="1:9" s="144" customFormat="1" ht="18" x14ac:dyDescent="0.35">
      <c r="B37" s="882" t="s">
        <v>3726</v>
      </c>
      <c r="C37" s="883" t="s">
        <v>3727</v>
      </c>
      <c r="D37" s="884">
        <v>3748.91</v>
      </c>
      <c r="E37" s="884"/>
      <c r="F37" s="883"/>
      <c r="G37" s="885" t="s">
        <v>834</v>
      </c>
      <c r="H37" s="883"/>
      <c r="I37" s="886" t="s">
        <v>3728</v>
      </c>
    </row>
    <row r="38" spans="1:9" s="144" customFormat="1" ht="18.75" x14ac:dyDescent="0.35">
      <c r="B38" s="882" t="s">
        <v>3729</v>
      </c>
      <c r="C38" s="883" t="s">
        <v>3730</v>
      </c>
      <c r="D38" s="884">
        <v>10</v>
      </c>
      <c r="E38" s="884"/>
      <c r="F38" s="883"/>
      <c r="G38" s="883" t="s">
        <v>834</v>
      </c>
      <c r="H38" s="883"/>
      <c r="I38" s="886" t="s">
        <v>3731</v>
      </c>
    </row>
    <row r="39" spans="1:9" s="144" customFormat="1" ht="18.75" x14ac:dyDescent="0.35">
      <c r="B39" s="882" t="s">
        <v>3732</v>
      </c>
      <c r="C39" s="883" t="s">
        <v>3733</v>
      </c>
      <c r="D39" s="884">
        <v>40</v>
      </c>
      <c r="E39" s="884"/>
      <c r="F39" s="883"/>
      <c r="G39" s="883" t="s">
        <v>834</v>
      </c>
      <c r="H39" s="883"/>
      <c r="I39" s="886" t="s">
        <v>3734</v>
      </c>
    </row>
    <row r="40" spans="1:9" s="144" customFormat="1" ht="18.75" x14ac:dyDescent="0.35">
      <c r="B40" s="882" t="s">
        <v>3735</v>
      </c>
      <c r="C40" s="883" t="s">
        <v>3736</v>
      </c>
      <c r="D40" s="884">
        <v>0</v>
      </c>
      <c r="E40" s="884"/>
      <c r="F40" s="883"/>
      <c r="G40" s="883" t="s">
        <v>834</v>
      </c>
      <c r="H40" s="883"/>
      <c r="I40" s="886" t="s">
        <v>3737</v>
      </c>
    </row>
    <row r="41" spans="1:9" s="144" customFormat="1" ht="18.75" x14ac:dyDescent="0.35">
      <c r="B41" s="882" t="s">
        <v>3738</v>
      </c>
      <c r="C41" s="883" t="s">
        <v>3739</v>
      </c>
      <c r="D41" s="884">
        <v>0</v>
      </c>
      <c r="E41" s="884"/>
      <c r="F41" s="883"/>
      <c r="G41" s="883" t="s">
        <v>834</v>
      </c>
      <c r="H41" s="883"/>
      <c r="I41" s="886" t="s">
        <v>3740</v>
      </c>
    </row>
    <row r="42" spans="1:9" s="144" customFormat="1" ht="18" x14ac:dyDescent="0.25">
      <c r="B42" s="887" t="s">
        <v>3741</v>
      </c>
      <c r="C42" s="885" t="s">
        <v>3742</v>
      </c>
      <c r="D42" s="888">
        <v>0</v>
      </c>
      <c r="E42" s="888"/>
      <c r="F42" s="888"/>
      <c r="G42" s="885" t="s">
        <v>834</v>
      </c>
      <c r="H42" s="888"/>
      <c r="I42" s="889" t="s">
        <v>3743</v>
      </c>
    </row>
    <row r="43" spans="1:9" s="144" customFormat="1" ht="19.5" thickBot="1" x14ac:dyDescent="0.4">
      <c r="A43" s="127"/>
      <c r="B43" s="890" t="s">
        <v>3744</v>
      </c>
      <c r="C43" s="891" t="s">
        <v>3745</v>
      </c>
      <c r="D43" s="892">
        <v>15</v>
      </c>
      <c r="E43" s="892"/>
      <c r="F43" s="891"/>
      <c r="G43" s="891" t="s">
        <v>834</v>
      </c>
      <c r="H43" s="891"/>
      <c r="I43" s="893" t="s">
        <v>3746</v>
      </c>
    </row>
    <row r="44" spans="1:9" ht="15.75" thickBot="1" x14ac:dyDescent="0.3">
      <c r="B44"/>
      <c r="C44"/>
      <c r="D44"/>
      <c r="E44"/>
      <c r="F44"/>
      <c r="G44"/>
      <c r="H44"/>
      <c r="I44"/>
    </row>
    <row r="45" spans="1:9" ht="15.75" thickBot="1" x14ac:dyDescent="0.3">
      <c r="B45" s="164"/>
      <c r="C45" s="2962" t="s">
        <v>3711</v>
      </c>
      <c r="D45" s="164"/>
      <c r="E45" s="164"/>
      <c r="F45" s="164"/>
      <c r="G45" s="164"/>
      <c r="H45" s="164"/>
      <c r="I45" s="164"/>
    </row>
    <row r="46" spans="1:9" ht="15.75" thickBot="1" x14ac:dyDescent="0.3">
      <c r="B46" s="2963" t="s">
        <v>0</v>
      </c>
      <c r="C46" s="2964" t="s">
        <v>1</v>
      </c>
      <c r="D46" s="2964" t="s">
        <v>152</v>
      </c>
      <c r="E46" s="2965" t="s">
        <v>470</v>
      </c>
      <c r="F46" s="2965" t="s">
        <v>471</v>
      </c>
      <c r="G46" s="2964" t="s">
        <v>2</v>
      </c>
      <c r="H46" s="2964" t="s">
        <v>298</v>
      </c>
      <c r="I46" s="2966" t="s">
        <v>116</v>
      </c>
    </row>
    <row r="47" spans="1:9" ht="17.25" x14ac:dyDescent="0.25">
      <c r="B47" s="2967" t="s">
        <v>5780</v>
      </c>
      <c r="C47" s="2968" t="s">
        <v>5781</v>
      </c>
      <c r="D47" s="2969">
        <v>1</v>
      </c>
      <c r="E47" s="2968"/>
      <c r="F47" s="2968"/>
      <c r="G47" s="1118" t="s">
        <v>5782</v>
      </c>
      <c r="H47" s="2968">
        <v>0</v>
      </c>
      <c r="I47" s="2970"/>
    </row>
    <row r="48" spans="1:9" ht="17.25" x14ac:dyDescent="0.25">
      <c r="B48" s="2201" t="s">
        <v>5783</v>
      </c>
      <c r="C48" s="2202" t="s">
        <v>5784</v>
      </c>
      <c r="D48" s="2203">
        <v>2</v>
      </c>
      <c r="E48" s="2202"/>
      <c r="F48" s="2202"/>
      <c r="G48" s="1118" t="s">
        <v>5782</v>
      </c>
      <c r="H48" s="2202">
        <v>0</v>
      </c>
      <c r="I48" s="2204"/>
    </row>
    <row r="49" spans="2:12" ht="18" thickBot="1" x14ac:dyDescent="0.3">
      <c r="B49" s="890" t="s">
        <v>5785</v>
      </c>
      <c r="C49" s="2971" t="s">
        <v>5786</v>
      </c>
      <c r="D49" s="2972">
        <v>1</v>
      </c>
      <c r="E49" s="2972"/>
      <c r="F49" s="2971"/>
      <c r="G49" s="2971" t="s">
        <v>5782</v>
      </c>
      <c r="H49" s="2971">
        <v>0</v>
      </c>
      <c r="I49" s="893"/>
    </row>
    <row r="50" spans="2:12" ht="15.75" thickBot="1" x14ac:dyDescent="0.3">
      <c r="B50"/>
      <c r="C50"/>
      <c r="D50"/>
      <c r="E50"/>
      <c r="F50"/>
      <c r="G50"/>
      <c r="H50"/>
      <c r="I50"/>
    </row>
    <row r="51" spans="2:12" ht="15.75" thickBot="1" x14ac:dyDescent="0.3">
      <c r="B51" s="164"/>
      <c r="C51" s="871" t="s">
        <v>785</v>
      </c>
      <c r="D51" s="164"/>
      <c r="E51" s="164"/>
      <c r="F51" s="164"/>
      <c r="G51" s="164"/>
      <c r="H51" s="164"/>
      <c r="I51" s="164"/>
    </row>
    <row r="52" spans="2:12" ht="15.75" thickBot="1" x14ac:dyDescent="0.3">
      <c r="B52" s="872" t="s">
        <v>0</v>
      </c>
      <c r="C52" s="873" t="s">
        <v>1</v>
      </c>
      <c r="D52" s="873" t="s">
        <v>152</v>
      </c>
      <c r="E52" s="874" t="s">
        <v>470</v>
      </c>
      <c r="F52" s="874" t="s">
        <v>471</v>
      </c>
      <c r="G52" s="873" t="s">
        <v>2</v>
      </c>
      <c r="H52" s="873" t="s">
        <v>298</v>
      </c>
      <c r="I52" s="875" t="s">
        <v>116</v>
      </c>
    </row>
    <row r="53" spans="2:12" s="101" customFormat="1" ht="30" x14ac:dyDescent="0.25">
      <c r="B53" s="946" t="s">
        <v>3870</v>
      </c>
      <c r="C53" s="947" t="s">
        <v>3871</v>
      </c>
      <c r="D53" s="948">
        <v>0</v>
      </c>
      <c r="E53" s="949">
        <v>0</v>
      </c>
      <c r="F53" s="949" t="s">
        <v>1253</v>
      </c>
      <c r="G53" s="950" t="s">
        <v>2007</v>
      </c>
      <c r="H53" s="949">
        <v>1</v>
      </c>
      <c r="I53" s="926" t="s">
        <v>3872</v>
      </c>
      <c r="J53" s="951" t="s">
        <v>3873</v>
      </c>
    </row>
    <row r="54" spans="2:12" s="101" customFormat="1" ht="30" x14ac:dyDescent="0.25">
      <c r="B54" s="946" t="s">
        <v>3874</v>
      </c>
      <c r="C54" s="947" t="s">
        <v>3875</v>
      </c>
      <c r="D54" s="948">
        <v>0</v>
      </c>
      <c r="E54" s="949">
        <v>0</v>
      </c>
      <c r="F54" s="949" t="s">
        <v>1253</v>
      </c>
      <c r="G54" s="950" t="s">
        <v>2007</v>
      </c>
      <c r="H54" s="949">
        <v>1</v>
      </c>
      <c r="I54" s="926" t="s">
        <v>3876</v>
      </c>
      <c r="J54" s="951" t="s">
        <v>3873</v>
      </c>
    </row>
    <row r="55" spans="2:12" ht="18.75" x14ac:dyDescent="0.35">
      <c r="B55" s="894" t="s">
        <v>802</v>
      </c>
      <c r="C55" s="640" t="s">
        <v>801</v>
      </c>
      <c r="D55" s="855">
        <v>7.0000000000000001E-3</v>
      </c>
      <c r="E55" s="640"/>
      <c r="F55" s="640"/>
      <c r="G55" s="883" t="s">
        <v>1880</v>
      </c>
      <c r="H55" s="640"/>
      <c r="I55" s="895"/>
    </row>
    <row r="56" spans="2:12" s="127" customFormat="1" ht="18" x14ac:dyDescent="0.25">
      <c r="B56" s="896" t="s">
        <v>2439</v>
      </c>
      <c r="C56" s="505" t="s">
        <v>2440</v>
      </c>
      <c r="D56" s="642">
        <v>35</v>
      </c>
      <c r="E56" s="642"/>
      <c r="F56" s="642"/>
      <c r="G56" s="829" t="s">
        <v>1045</v>
      </c>
      <c r="H56" s="470"/>
      <c r="I56" s="848"/>
      <c r="J56" s="153"/>
      <c r="K56" s="153"/>
      <c r="L56" s="153"/>
    </row>
    <row r="57" spans="2:12" s="127" customFormat="1" ht="18.75" thickBot="1" x14ac:dyDescent="0.3">
      <c r="B57" s="507" t="s">
        <v>2441</v>
      </c>
      <c r="C57" s="897" t="s">
        <v>2442</v>
      </c>
      <c r="D57" s="601">
        <v>150</v>
      </c>
      <c r="E57" s="601"/>
      <c r="F57" s="601"/>
      <c r="G57" s="830" t="s">
        <v>1047</v>
      </c>
      <c r="H57" s="602"/>
      <c r="I57" s="123"/>
      <c r="J57" s="153"/>
      <c r="K57" s="153"/>
      <c r="L57" s="153"/>
    </row>
    <row r="58" spans="2:12" s="176" customFormat="1" ht="15.75" thickBot="1" x14ac:dyDescent="0.3">
      <c r="B58" s="151"/>
      <c r="C58" s="171"/>
      <c r="D58" s="172"/>
      <c r="E58" s="173"/>
      <c r="F58" s="174"/>
      <c r="G58" s="172"/>
      <c r="H58" s="172"/>
      <c r="I58" s="175"/>
    </row>
    <row r="59" spans="2:12" s="176" customFormat="1" ht="15.75" thickBot="1" x14ac:dyDescent="0.3">
      <c r="B59" s="151"/>
      <c r="C59" s="165" t="s">
        <v>1172</v>
      </c>
      <c r="D59" s="172"/>
      <c r="E59" s="173"/>
      <c r="F59" s="174"/>
      <c r="G59" s="172"/>
      <c r="H59" s="172"/>
      <c r="I59" s="175"/>
    </row>
    <row r="60" spans="2:12" s="176" customFormat="1" ht="15.75" thickBot="1" x14ac:dyDescent="0.3">
      <c r="B60" s="166" t="s">
        <v>0</v>
      </c>
      <c r="C60" s="167" t="s">
        <v>1</v>
      </c>
      <c r="D60" s="167" t="s">
        <v>152</v>
      </c>
      <c r="E60" s="168" t="s">
        <v>470</v>
      </c>
      <c r="F60" s="168" t="s">
        <v>471</v>
      </c>
      <c r="G60" s="167" t="s">
        <v>2</v>
      </c>
      <c r="H60" s="167" t="s">
        <v>298</v>
      </c>
      <c r="I60" s="169" t="s">
        <v>116</v>
      </c>
    </row>
    <row r="61" spans="2:12" s="176" customFormat="1" ht="15.75" thickBot="1" x14ac:dyDescent="0.3">
      <c r="B61" s="177" t="s">
        <v>791</v>
      </c>
      <c r="C61" s="178" t="s">
        <v>786</v>
      </c>
      <c r="D61" s="179" t="b">
        <v>0</v>
      </c>
      <c r="E61" s="178"/>
      <c r="F61" s="178"/>
      <c r="G61" s="178"/>
      <c r="H61" s="178"/>
      <c r="I61" s="180" t="s">
        <v>787</v>
      </c>
    </row>
    <row r="62" spans="2:12" s="176" customFormat="1" ht="15.75" thickBot="1" x14ac:dyDescent="0.3"/>
    <row r="63" spans="2:12" s="176" customFormat="1" ht="15.75" thickBot="1" x14ac:dyDescent="0.3">
      <c r="B63" s="181" t="s">
        <v>1173</v>
      </c>
      <c r="C63" s="165" t="s">
        <v>1174</v>
      </c>
      <c r="D63" s="164"/>
      <c r="E63" s="164"/>
      <c r="F63" s="164"/>
      <c r="G63" s="164"/>
      <c r="H63" s="164"/>
      <c r="I63" s="164"/>
    </row>
    <row r="64" spans="2:12" s="176" customFormat="1" ht="15.75" thickBot="1" x14ac:dyDescent="0.3">
      <c r="B64" s="289" t="s">
        <v>0</v>
      </c>
      <c r="C64" s="290" t="s">
        <v>1</v>
      </c>
      <c r="D64" s="290" t="s">
        <v>152</v>
      </c>
      <c r="E64" s="291" t="s">
        <v>470</v>
      </c>
      <c r="F64" s="291" t="s">
        <v>471</v>
      </c>
      <c r="G64" s="290" t="s">
        <v>2</v>
      </c>
      <c r="H64" s="290" t="s">
        <v>298</v>
      </c>
      <c r="I64" s="292" t="s">
        <v>116</v>
      </c>
    </row>
    <row r="65" spans="2:9" s="176" customFormat="1" x14ac:dyDescent="0.25">
      <c r="B65" s="2173" t="s">
        <v>1175</v>
      </c>
      <c r="C65" s="2174"/>
      <c r="D65" s="2174" t="b">
        <v>0</v>
      </c>
      <c r="E65" s="2174"/>
      <c r="F65" s="2174"/>
      <c r="G65" s="2174"/>
      <c r="H65" s="2174"/>
      <c r="I65" s="2175" t="s">
        <v>1176</v>
      </c>
    </row>
    <row r="66" spans="2:9" s="176" customFormat="1" x14ac:dyDescent="0.25">
      <c r="B66" s="2176" t="s">
        <v>1254</v>
      </c>
      <c r="C66" s="2177"/>
      <c r="D66" s="2177" t="b">
        <v>0</v>
      </c>
      <c r="E66" s="2177"/>
      <c r="F66" s="2177"/>
      <c r="G66" s="2177"/>
      <c r="H66" s="2177"/>
      <c r="I66" s="2178" t="s">
        <v>1176</v>
      </c>
    </row>
    <row r="67" spans="2:9" s="176" customFormat="1" x14ac:dyDescent="0.25">
      <c r="B67" s="2176" t="s">
        <v>11</v>
      </c>
      <c r="C67" s="2177"/>
      <c r="D67" s="2177" t="b">
        <v>1</v>
      </c>
      <c r="E67" s="2177"/>
      <c r="F67" s="2177"/>
      <c r="G67" s="2177"/>
      <c r="H67" s="2177"/>
      <c r="I67" s="2178" t="s">
        <v>1176</v>
      </c>
    </row>
    <row r="68" spans="2:9" s="176" customFormat="1" x14ac:dyDescent="0.25">
      <c r="B68" s="2176" t="s">
        <v>15</v>
      </c>
      <c r="C68" s="2177"/>
      <c r="D68" s="2177" t="b">
        <v>0</v>
      </c>
      <c r="E68" s="2177"/>
      <c r="F68" s="2177"/>
      <c r="G68" s="2177"/>
      <c r="H68" s="2177"/>
      <c r="I68" s="2178" t="s">
        <v>1176</v>
      </c>
    </row>
    <row r="69" spans="2:9" s="176" customFormat="1" x14ac:dyDescent="0.25">
      <c r="B69" s="2176" t="s">
        <v>5075</v>
      </c>
      <c r="C69" s="2177"/>
      <c r="D69" s="2177" t="b">
        <v>0</v>
      </c>
      <c r="E69" s="2177"/>
      <c r="F69" s="2177"/>
      <c r="G69" s="2177"/>
      <c r="H69" s="2177"/>
      <c r="I69" s="2178" t="s">
        <v>1176</v>
      </c>
    </row>
    <row r="70" spans="2:9" x14ac:dyDescent="0.25">
      <c r="B70" s="2176" t="s">
        <v>2105</v>
      </c>
      <c r="C70" s="2177"/>
      <c r="D70" s="2177" t="b">
        <v>1</v>
      </c>
      <c r="E70" s="2177"/>
      <c r="F70" s="2177"/>
      <c r="G70" s="2177"/>
      <c r="H70" s="2177"/>
      <c r="I70" s="2178" t="s">
        <v>1176</v>
      </c>
    </row>
    <row r="71" spans="2:9" x14ac:dyDescent="0.25">
      <c r="B71" s="2176" t="s">
        <v>329</v>
      </c>
      <c r="C71" s="2177"/>
      <c r="D71" s="2177" t="b">
        <v>1</v>
      </c>
      <c r="E71" s="2177"/>
      <c r="F71" s="2177"/>
      <c r="G71" s="2177"/>
      <c r="H71" s="2177"/>
      <c r="I71" s="2178" t="s">
        <v>1176</v>
      </c>
    </row>
    <row r="72" spans="2:9" x14ac:dyDescent="0.25">
      <c r="B72" s="2176" t="s">
        <v>1209</v>
      </c>
      <c r="C72" s="2179"/>
      <c r="D72" s="2177" t="b">
        <v>0</v>
      </c>
      <c r="E72" s="2179"/>
      <c r="F72" s="2179"/>
      <c r="G72" s="2179"/>
      <c r="H72" s="2179"/>
      <c r="I72" s="2178" t="s">
        <v>1176</v>
      </c>
    </row>
    <row r="73" spans="2:9" x14ac:dyDescent="0.25">
      <c r="B73" s="2176" t="s">
        <v>1602</v>
      </c>
      <c r="C73" s="2179"/>
      <c r="D73" s="2177" t="b">
        <v>0</v>
      </c>
      <c r="E73" s="2179"/>
      <c r="F73" s="2179"/>
      <c r="G73" s="2179"/>
      <c r="H73" s="2179"/>
      <c r="I73" s="2178" t="s">
        <v>1176</v>
      </c>
    </row>
    <row r="74" spans="2:9" x14ac:dyDescent="0.25">
      <c r="B74" s="2176" t="s">
        <v>1613</v>
      </c>
      <c r="C74" s="2177"/>
      <c r="D74" s="2177" t="b">
        <v>1</v>
      </c>
      <c r="E74" s="2177"/>
      <c r="F74" s="2177"/>
      <c r="G74" s="2177"/>
      <c r="H74" s="2177"/>
      <c r="I74" s="2178" t="s">
        <v>1176</v>
      </c>
    </row>
    <row r="75" spans="2:9" x14ac:dyDescent="0.25">
      <c r="B75" s="2176" t="s">
        <v>5076</v>
      </c>
      <c r="C75" s="2177"/>
      <c r="D75" s="2177" t="b">
        <v>1</v>
      </c>
      <c r="E75" s="2177"/>
      <c r="F75" s="2177"/>
      <c r="G75" s="2177"/>
      <c r="H75" s="2177"/>
      <c r="I75" s="2178" t="s">
        <v>1176</v>
      </c>
    </row>
    <row r="76" spans="2:9" x14ac:dyDescent="0.25">
      <c r="B76" s="2176" t="s">
        <v>5077</v>
      </c>
      <c r="C76" s="2177"/>
      <c r="D76" s="2177" t="b">
        <v>0</v>
      </c>
      <c r="E76" s="2177"/>
      <c r="F76" s="2177"/>
      <c r="G76" s="2177"/>
      <c r="H76" s="2177"/>
      <c r="I76" s="2178" t="s">
        <v>1176</v>
      </c>
    </row>
    <row r="77" spans="2:9" x14ac:dyDescent="0.25">
      <c r="B77" s="2176" t="s">
        <v>5078</v>
      </c>
      <c r="C77" s="2177"/>
      <c r="D77" s="2177" t="b">
        <v>0</v>
      </c>
      <c r="E77" s="2177"/>
      <c r="F77" s="2177"/>
      <c r="G77" s="2177"/>
      <c r="H77" s="2177"/>
      <c r="I77" s="2178" t="s">
        <v>1176</v>
      </c>
    </row>
    <row r="78" spans="2:9" x14ac:dyDescent="0.25">
      <c r="B78" s="2176" t="s">
        <v>5079</v>
      </c>
      <c r="C78" s="2177"/>
      <c r="D78" s="2177" t="b">
        <v>0</v>
      </c>
      <c r="E78" s="2177"/>
      <c r="F78" s="2177"/>
      <c r="G78" s="2177"/>
      <c r="H78" s="2177"/>
      <c r="I78" s="2178" t="s">
        <v>1176</v>
      </c>
    </row>
    <row r="79" spans="2:9" x14ac:dyDescent="0.25">
      <c r="B79" s="2176" t="s">
        <v>5080</v>
      </c>
      <c r="C79" s="2177"/>
      <c r="D79" s="2177" t="b">
        <v>0</v>
      </c>
      <c r="E79" s="2177"/>
      <c r="F79" s="2177"/>
      <c r="G79" s="2177"/>
      <c r="H79" s="2177"/>
      <c r="I79" s="2178" t="s">
        <v>1176</v>
      </c>
    </row>
    <row r="80" spans="2:9" x14ac:dyDescent="0.25">
      <c r="B80" s="2176" t="s">
        <v>4690</v>
      </c>
      <c r="C80" s="2177"/>
      <c r="D80" s="2177" t="b">
        <v>0</v>
      </c>
      <c r="E80" s="2177"/>
      <c r="F80" s="2177"/>
      <c r="G80" s="2177"/>
      <c r="H80" s="2177"/>
      <c r="I80" s="2178" t="s">
        <v>1176</v>
      </c>
    </row>
    <row r="81" spans="1:10" x14ac:dyDescent="0.25">
      <c r="B81" s="2176" t="s">
        <v>5081</v>
      </c>
      <c r="C81" s="2177"/>
      <c r="D81" s="2177" t="b">
        <v>0</v>
      </c>
      <c r="E81" s="2177"/>
      <c r="F81" s="2177"/>
      <c r="G81" s="2177"/>
      <c r="H81" s="2177"/>
      <c r="I81" s="2178" t="s">
        <v>1176</v>
      </c>
    </row>
    <row r="82" spans="1:10" x14ac:dyDescent="0.25">
      <c r="B82" s="2176" t="s">
        <v>4691</v>
      </c>
      <c r="C82" s="2177"/>
      <c r="D82" s="2177" t="b">
        <v>0</v>
      </c>
      <c r="E82" s="2177"/>
      <c r="F82" s="2177"/>
      <c r="G82" s="2177"/>
      <c r="H82" s="2177"/>
      <c r="I82" s="2178" t="s">
        <v>1176</v>
      </c>
    </row>
    <row r="83" spans="1:10" ht="15.75" thickBot="1" x14ac:dyDescent="0.3">
      <c r="B83" s="2180" t="s">
        <v>4693</v>
      </c>
      <c r="C83" s="2181"/>
      <c r="D83" s="2181" t="b">
        <v>0</v>
      </c>
      <c r="E83" s="2181"/>
      <c r="F83" s="2181"/>
      <c r="G83" s="2181"/>
      <c r="H83" s="2181"/>
      <c r="I83" s="182" t="s">
        <v>1176</v>
      </c>
    </row>
    <row r="85" spans="1:10" s="3" customFormat="1" x14ac:dyDescent="0.25">
      <c r="B85" s="4"/>
      <c r="C85" s="4"/>
    </row>
    <row r="86" spans="1:10" s="2300" customFormat="1" ht="15.75" thickBot="1" x14ac:dyDescent="0.3">
      <c r="B86" s="2301"/>
      <c r="C86" s="2302" t="s">
        <v>5207</v>
      </c>
      <c r="D86" s="2301"/>
      <c r="E86" s="1973"/>
      <c r="F86" s="1973"/>
      <c r="G86" s="1973"/>
      <c r="H86" s="1973"/>
    </row>
    <row r="87" spans="1:10" s="2300" customFormat="1" ht="15.75" thickBot="1" x14ac:dyDescent="0.3">
      <c r="B87" s="2303" t="s">
        <v>0</v>
      </c>
      <c r="C87" s="2304" t="s">
        <v>1</v>
      </c>
      <c r="D87" s="2302" t="s">
        <v>839</v>
      </c>
      <c r="E87" s="2302" t="s">
        <v>470</v>
      </c>
      <c r="F87" s="2302" t="s">
        <v>471</v>
      </c>
      <c r="G87" s="2302" t="s">
        <v>2</v>
      </c>
      <c r="H87" s="2302" t="s">
        <v>298</v>
      </c>
      <c r="I87" s="2302" t="s">
        <v>116</v>
      </c>
      <c r="J87" s="2302" t="s">
        <v>117</v>
      </c>
    </row>
    <row r="88" spans="1:10" s="2305" customFormat="1" ht="18" x14ac:dyDescent="0.25">
      <c r="B88" s="1119" t="s">
        <v>5351</v>
      </c>
      <c r="C88" s="1119" t="s">
        <v>5208</v>
      </c>
      <c r="D88" s="1119">
        <v>200</v>
      </c>
      <c r="E88" s="1119">
        <v>0</v>
      </c>
      <c r="F88" s="1119" t="s">
        <v>3572</v>
      </c>
      <c r="G88" s="1119" t="s">
        <v>5209</v>
      </c>
      <c r="H88" s="1119">
        <v>0</v>
      </c>
      <c r="I88" s="1118"/>
      <c r="J88" s="1119"/>
    </row>
    <row r="89" spans="1:10" s="2308" customFormat="1" ht="18" x14ac:dyDescent="0.25">
      <c r="A89" s="2306"/>
      <c r="B89" s="1118" t="s">
        <v>5352</v>
      </c>
      <c r="C89" s="1118" t="s">
        <v>5210</v>
      </c>
      <c r="D89" s="2307">
        <v>120</v>
      </c>
      <c r="E89" s="1119">
        <v>0</v>
      </c>
      <c r="F89" s="1119" t="s">
        <v>3572</v>
      </c>
      <c r="G89" s="1118" t="s">
        <v>5209</v>
      </c>
      <c r="H89" s="4"/>
    </row>
    <row r="90" spans="1:10" s="2308" customFormat="1" ht="18" x14ac:dyDescent="0.25">
      <c r="A90" s="2306"/>
      <c r="B90" s="1118" t="s">
        <v>5353</v>
      </c>
      <c r="C90" s="1118" t="s">
        <v>5211</v>
      </c>
      <c r="D90" s="2307">
        <v>1000</v>
      </c>
      <c r="E90" s="1119">
        <v>0</v>
      </c>
      <c r="F90" s="1119" t="s">
        <v>3572</v>
      </c>
      <c r="G90" s="1118" t="s">
        <v>5212</v>
      </c>
      <c r="H90" s="4"/>
    </row>
  </sheetData>
  <conditionalFormatting sqref="A85:XFD87 A88 C88:XFD88">
    <cfRule type="cellIs" dxfId="12" priority="13" stopIfTrue="1" operator="notEqual">
      <formula>INDIRECT("Dummy_for_Comparison3!"&amp;ADDRESS(ROW(),COLUMN()))</formula>
    </cfRule>
  </conditionalFormatting>
  <conditionalFormatting sqref="G87 G86:K86">
    <cfRule type="cellIs" dxfId="11" priority="12" stopIfTrue="1" operator="notEqual">
      <formula>INDIRECT("Dummy_for_Comparison3!"&amp;ADDRESS(ROW(),COLUMN()))</formula>
    </cfRule>
  </conditionalFormatting>
  <conditionalFormatting sqref="K88:XFD88 A88 C88:F88">
    <cfRule type="cellIs" dxfId="10" priority="11" stopIfTrue="1" operator="notEqual">
      <formula>INDIRECT("Dummy_for_Comparison3!"&amp;ADDRESS(ROW(),COLUMN()))</formula>
    </cfRule>
  </conditionalFormatting>
  <conditionalFormatting sqref="G88:H88 J88">
    <cfRule type="cellIs" dxfId="9" priority="10" stopIfTrue="1" operator="notEqual">
      <formula>INDIRECT("Dummy_for_Comparison3!"&amp;ADDRESS(ROW(),COLUMN()))</formula>
    </cfRule>
  </conditionalFormatting>
  <conditionalFormatting sqref="H87:J87">
    <cfRule type="cellIs" dxfId="8" priority="9" stopIfTrue="1" operator="notEqual">
      <formula>INDIRECT("Dummy_for_Comparison3!"&amp;ADDRESS(ROW(),COLUMN()))</formula>
    </cfRule>
  </conditionalFormatting>
  <conditionalFormatting sqref="I89:XFD90 A89:A90 G89:G90 C89:D90">
    <cfRule type="cellIs" dxfId="7" priority="8" stopIfTrue="1" operator="notEqual">
      <formula>INDIRECT("Dummy_for_Comparison5!"&amp;ADDRESS(ROW(),COLUMN()))</formula>
    </cfRule>
  </conditionalFormatting>
  <conditionalFormatting sqref="E89:F89">
    <cfRule type="cellIs" dxfId="6" priority="7" stopIfTrue="1" operator="notEqual">
      <formula>INDIRECT("Dummy_for_Comparison3!"&amp;ADDRESS(ROW(),COLUMN()))</formula>
    </cfRule>
  </conditionalFormatting>
  <conditionalFormatting sqref="E89:F89">
    <cfRule type="cellIs" dxfId="5" priority="6" stopIfTrue="1" operator="notEqual">
      <formula>INDIRECT("Dummy_for_Comparison3!"&amp;ADDRESS(ROW(),COLUMN()))</formula>
    </cfRule>
  </conditionalFormatting>
  <conditionalFormatting sqref="E90:F90">
    <cfRule type="cellIs" dxfId="4" priority="5" stopIfTrue="1" operator="notEqual">
      <formula>INDIRECT("Dummy_for_Comparison3!"&amp;ADDRESS(ROW(),COLUMN()))</formula>
    </cfRule>
  </conditionalFormatting>
  <conditionalFormatting sqref="E90:F90">
    <cfRule type="cellIs" dxfId="3" priority="4" stopIfTrue="1" operator="notEqual">
      <formula>INDIRECT("Dummy_for_Comparison3!"&amp;ADDRESS(ROW(),COLUMN()))</formula>
    </cfRule>
  </conditionalFormatting>
  <conditionalFormatting sqref="B88">
    <cfRule type="cellIs" dxfId="2" priority="3" stopIfTrue="1" operator="notEqual">
      <formula>INDIRECT("Dummy_for_Comparison3!"&amp;ADDRESS(ROW(),COLUMN()))</formula>
    </cfRule>
  </conditionalFormatting>
  <conditionalFormatting sqref="B88">
    <cfRule type="cellIs" dxfId="1" priority="2" stopIfTrue="1" operator="notEqual">
      <formula>INDIRECT("Dummy_for_Comparison3!"&amp;ADDRESS(ROW(),COLUMN()))</formula>
    </cfRule>
  </conditionalFormatting>
  <conditionalFormatting sqref="B89:B90">
    <cfRule type="cellIs" dxfId="0" priority="1" stopIfTrue="1" operator="notEqual">
      <formula>INDIRECT("Dummy_for_Comparison5!"&amp;ADDRESS(ROW(),COLUMN()))</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17</vt:i4>
      </vt:variant>
      <vt:variant>
        <vt:lpstr>Plages nommées</vt:lpstr>
      </vt:variant>
      <vt:variant>
        <vt:i4>14136</vt:i4>
      </vt:variant>
    </vt:vector>
  </HeadingPairs>
  <TitlesOfParts>
    <vt:vector size="14153" baseType="lpstr">
      <vt:lpstr>Help</vt:lpstr>
      <vt:lpstr>Concepts</vt:lpstr>
      <vt:lpstr>Parameters</vt:lpstr>
      <vt:lpstr>PU parameters</vt:lpstr>
      <vt:lpstr>Model</vt:lpstr>
      <vt:lpstr>pH</vt:lpstr>
      <vt:lpstr>Species</vt:lpstr>
      <vt:lpstr>Tableau</vt:lpstr>
      <vt:lpstr>Components</vt:lpstr>
      <vt:lpstr>Algebraic model</vt:lpstr>
      <vt:lpstr>Expert knowledge</vt:lpstr>
      <vt:lpstr>Calculated variables</vt:lpstr>
      <vt:lpstr>Functions</vt:lpstr>
      <vt:lpstr>Code</vt:lpstr>
      <vt:lpstr>systemcode_functions</vt:lpstr>
      <vt:lpstr>systemcode_constants</vt:lpstr>
      <vt:lpstr>other parameters</vt:lpstr>
      <vt:lpstr>µ_ALGAE</vt:lpstr>
      <vt:lpstr>µ_ALGAE_T</vt:lpstr>
      <vt:lpstr>µ_AMETO</vt:lpstr>
      <vt:lpstr>µ_AMETO_T</vt:lpstr>
      <vt:lpstr>µ_AMX</vt:lpstr>
      <vt:lpstr>µ_AMX_T</vt:lpstr>
      <vt:lpstr>µ_AOB</vt:lpstr>
      <vt:lpstr>µ_AOB_T</vt:lpstr>
      <vt:lpstr>µ_ASRO</vt:lpstr>
      <vt:lpstr>µ_ASRO_T</vt:lpstr>
      <vt:lpstr>µ_CASTO</vt:lpstr>
      <vt:lpstr>µ_CASTO_T</vt:lpstr>
      <vt:lpstr>µ_FERM_OHO</vt:lpstr>
      <vt:lpstr>µ_FERM_OHO_T</vt:lpstr>
      <vt:lpstr>µ_FERM_PAO</vt:lpstr>
      <vt:lpstr>µ_FERM_PAO_T</vt:lpstr>
      <vt:lpstr>µ_HMETO</vt:lpstr>
      <vt:lpstr>µ_HMETO_T</vt:lpstr>
      <vt:lpstr>µ_HSRO</vt:lpstr>
      <vt:lpstr>µ_HSRO_T</vt:lpstr>
      <vt:lpstr>µ_MEOLO</vt:lpstr>
      <vt:lpstr>µ_MEOLO_T</vt:lpstr>
      <vt:lpstr>µ_NOB</vt:lpstr>
      <vt:lpstr>µ_NOB_T</vt:lpstr>
      <vt:lpstr>µ_OHO</vt:lpstr>
      <vt:lpstr>µ_OHO_T</vt:lpstr>
      <vt:lpstr>µ_PAO_lim</vt:lpstr>
      <vt:lpstr>µ_PAO_lim_T</vt:lpstr>
      <vt:lpstr>µ_SOO_H2S</vt:lpstr>
      <vt:lpstr>µ_SOO_H2S_T</vt:lpstr>
      <vt:lpstr>µ_SOO_S</vt:lpstr>
      <vt:lpstr>µ_SOO_S_T</vt:lpstr>
      <vt:lpstr>A_AR</vt:lpstr>
      <vt:lpstr>A_Davies</vt:lpstr>
      <vt:lpstr>A_H2O</vt:lpstr>
      <vt:lpstr>A_MAc</vt:lpstr>
      <vt:lpstr>A_MAg</vt:lpstr>
      <vt:lpstr>A_MAl</vt:lpstr>
      <vt:lpstr>A_MAm</vt:lpstr>
      <vt:lpstr>A_MAr</vt:lpstr>
      <vt:lpstr>A_MAs</vt:lpstr>
      <vt:lpstr>A_MAt</vt:lpstr>
      <vt:lpstr>A_MAu</vt:lpstr>
      <vt:lpstr>A_MB</vt:lpstr>
      <vt:lpstr>A_MBa</vt:lpstr>
      <vt:lpstr>A_MBe</vt:lpstr>
      <vt:lpstr>A_MBh</vt:lpstr>
      <vt:lpstr>A_MBi</vt:lpstr>
      <vt:lpstr>A_MBk</vt:lpstr>
      <vt:lpstr>A_MBr</vt:lpstr>
      <vt:lpstr>A_MC</vt:lpstr>
      <vt:lpstr>A_MCa</vt:lpstr>
      <vt:lpstr>A_MCd</vt:lpstr>
      <vt:lpstr>A_MCe</vt:lpstr>
      <vt:lpstr>A_MCf</vt:lpstr>
      <vt:lpstr>A_MCl</vt:lpstr>
      <vt:lpstr>A_MCm</vt:lpstr>
      <vt:lpstr>A_MCn</vt:lpstr>
      <vt:lpstr>A_MCo</vt:lpstr>
      <vt:lpstr>A_MCr</vt:lpstr>
      <vt:lpstr>A_MCs</vt:lpstr>
      <vt:lpstr>A_MCu</vt:lpstr>
      <vt:lpstr>A_MDb</vt:lpstr>
      <vt:lpstr>A_MDs</vt:lpstr>
      <vt:lpstr>A_MDy</vt:lpstr>
      <vt:lpstr>A_MEr</vt:lpstr>
      <vt:lpstr>A_MEs</vt:lpstr>
      <vt:lpstr>A_MEu</vt:lpstr>
      <vt:lpstr>A_MF</vt:lpstr>
      <vt:lpstr>A_MFe</vt:lpstr>
      <vt:lpstr>A_MFl</vt:lpstr>
      <vt:lpstr>A_MFm</vt:lpstr>
      <vt:lpstr>A_MFr</vt:lpstr>
      <vt:lpstr>A_MGa</vt:lpstr>
      <vt:lpstr>A_MGd</vt:lpstr>
      <vt:lpstr>A_MGe</vt:lpstr>
      <vt:lpstr>A_MH</vt:lpstr>
      <vt:lpstr>A_MHe</vt:lpstr>
      <vt:lpstr>A_MHf</vt:lpstr>
      <vt:lpstr>A_MHg</vt:lpstr>
      <vt:lpstr>A_MHo</vt:lpstr>
      <vt:lpstr>A_MHs</vt:lpstr>
      <vt:lpstr>A_MI</vt:lpstr>
      <vt:lpstr>A_MIn</vt:lpstr>
      <vt:lpstr>A_MIr</vt:lpstr>
      <vt:lpstr>A_MK</vt:lpstr>
      <vt:lpstr>A_MKr</vt:lpstr>
      <vt:lpstr>A_MLa</vt:lpstr>
      <vt:lpstr>A_MLi</vt:lpstr>
      <vt:lpstr>A_MLr</vt:lpstr>
      <vt:lpstr>A_MLu</vt:lpstr>
      <vt:lpstr>A_MLv</vt:lpstr>
      <vt:lpstr>A_MMd</vt:lpstr>
      <vt:lpstr>A_MMg</vt:lpstr>
      <vt:lpstr>A_MMn</vt:lpstr>
      <vt:lpstr>A_MMo</vt:lpstr>
      <vt:lpstr>A_MMt</vt:lpstr>
      <vt:lpstr>A_MN</vt:lpstr>
      <vt:lpstr>A_MNa</vt:lpstr>
      <vt:lpstr>A_MNb</vt:lpstr>
      <vt:lpstr>A_MNd</vt:lpstr>
      <vt:lpstr>A_MNe</vt:lpstr>
      <vt:lpstr>A_MNi</vt:lpstr>
      <vt:lpstr>A_MNo</vt:lpstr>
      <vt:lpstr>A_MNp</vt:lpstr>
      <vt:lpstr>A_MO</vt:lpstr>
      <vt:lpstr>A_MOs</vt:lpstr>
      <vt:lpstr>A_MP</vt:lpstr>
      <vt:lpstr>A_MPa</vt:lpstr>
      <vt:lpstr>A_MPb</vt:lpstr>
      <vt:lpstr>A_MPd</vt:lpstr>
      <vt:lpstr>A_MPm</vt:lpstr>
      <vt:lpstr>A_MPo</vt:lpstr>
      <vt:lpstr>A_MPr</vt:lpstr>
      <vt:lpstr>A_MPt</vt:lpstr>
      <vt:lpstr>A_MPu</vt:lpstr>
      <vt:lpstr>A_MRa</vt:lpstr>
      <vt:lpstr>A_MRb</vt:lpstr>
      <vt:lpstr>A_MRe</vt:lpstr>
      <vt:lpstr>A_MRf</vt:lpstr>
      <vt:lpstr>A_MRg</vt:lpstr>
      <vt:lpstr>A_MRh</vt:lpstr>
      <vt:lpstr>A_MRn</vt:lpstr>
      <vt:lpstr>A_MRu</vt:lpstr>
      <vt:lpstr>A_MS</vt:lpstr>
      <vt:lpstr>A_MSb</vt:lpstr>
      <vt:lpstr>A_MSc</vt:lpstr>
      <vt:lpstr>A_MSe</vt:lpstr>
      <vt:lpstr>A_MSg</vt:lpstr>
      <vt:lpstr>A_MSi</vt:lpstr>
      <vt:lpstr>A_MSm</vt:lpstr>
      <vt:lpstr>A_MSn</vt:lpstr>
      <vt:lpstr>A_MSr</vt:lpstr>
      <vt:lpstr>A_MTa</vt:lpstr>
      <vt:lpstr>A_MTb</vt:lpstr>
      <vt:lpstr>A_MTc</vt:lpstr>
      <vt:lpstr>A_MTe</vt:lpstr>
      <vt:lpstr>A_MTh</vt:lpstr>
      <vt:lpstr>A_MTi</vt:lpstr>
      <vt:lpstr>A_MTl</vt:lpstr>
      <vt:lpstr>A_MTm</vt:lpstr>
      <vt:lpstr>A_MU</vt:lpstr>
      <vt:lpstr>A_MUuo</vt:lpstr>
      <vt:lpstr>A_MUup</vt:lpstr>
      <vt:lpstr>A_MUus</vt:lpstr>
      <vt:lpstr>A_MUut</vt:lpstr>
      <vt:lpstr>A_MV</vt:lpstr>
      <vt:lpstr>A_MW</vt:lpstr>
      <vt:lpstr>A_MXe</vt:lpstr>
      <vt:lpstr>A_MY</vt:lpstr>
      <vt:lpstr>A_MYb</vt:lpstr>
      <vt:lpstr>A_MZn</vt:lpstr>
      <vt:lpstr>A_MZr</vt:lpstr>
      <vt:lpstr>A_SFHAO_H</vt:lpstr>
      <vt:lpstr>A_SFHAO_L</vt:lpstr>
      <vt:lpstr>A_SFHFO_H</vt:lpstr>
      <vt:lpstr>A_SFHFO_L</vt:lpstr>
      <vt:lpstr>A_UR</vt:lpstr>
      <vt:lpstr>actferm_PAO_ORP</vt:lpstr>
      <vt:lpstr>actGAO</vt:lpstr>
      <vt:lpstr>actPAO</vt:lpstr>
      <vt:lpstr>actsto_GAO_ORP</vt:lpstr>
      <vt:lpstr>actsto_PAO_ORP</vt:lpstr>
      <vt:lpstr>b_ALGAE</vt:lpstr>
      <vt:lpstr>b_ALGAE_T</vt:lpstr>
      <vt:lpstr>b_AMETO</vt:lpstr>
      <vt:lpstr>b_AMETO_T</vt:lpstr>
      <vt:lpstr>b_AMX</vt:lpstr>
      <vt:lpstr>b_AMX_T</vt:lpstr>
      <vt:lpstr>b_AOB</vt:lpstr>
      <vt:lpstr>b_AOB_T</vt:lpstr>
      <vt:lpstr>b_ASRO</vt:lpstr>
      <vt:lpstr>b_ASRO_T</vt:lpstr>
      <vt:lpstr>b_CASTO</vt:lpstr>
      <vt:lpstr>b_CASTO_T</vt:lpstr>
      <vt:lpstr>B_ellinhpH</vt:lpstr>
      <vt:lpstr>B_ellinhpH_AMETO</vt:lpstr>
      <vt:lpstr>B_ellinhpH_AOB</vt:lpstr>
      <vt:lpstr>B_ellinhpH_FLOC_HAO</vt:lpstr>
      <vt:lpstr>B_ellinhpH_FLOC_HFO</vt:lpstr>
      <vt:lpstr>B_ellinhpH_HMETO</vt:lpstr>
      <vt:lpstr>B_ellinhpH_NOB</vt:lpstr>
      <vt:lpstr>B_H2O</vt:lpstr>
      <vt:lpstr>b_HMETO</vt:lpstr>
      <vt:lpstr>b_HMETO_T</vt:lpstr>
      <vt:lpstr>b_HSRO</vt:lpstr>
      <vt:lpstr>b_HSRO_T</vt:lpstr>
      <vt:lpstr>b_MEOLO</vt:lpstr>
      <vt:lpstr>b_MEOLO_T</vt:lpstr>
      <vt:lpstr>b_NOB</vt:lpstr>
      <vt:lpstr>b_NOB_T</vt:lpstr>
      <vt:lpstr>b_OHO</vt:lpstr>
      <vt:lpstr>b_OHO_T</vt:lpstr>
      <vt:lpstr>b_PP_ana</vt:lpstr>
      <vt:lpstr>b_PP_ana_T</vt:lpstr>
      <vt:lpstr>b_SOO</vt:lpstr>
      <vt:lpstr>b_SOO_T</vt:lpstr>
      <vt:lpstr>b_STC</vt:lpstr>
      <vt:lpstr>b_STC_T</vt:lpstr>
      <vt:lpstr>C_B</vt:lpstr>
      <vt:lpstr>c_cm_m</vt:lpstr>
      <vt:lpstr>c_cm2_m2</vt:lpstr>
      <vt:lpstr>c_cm3_m3</vt:lpstr>
      <vt:lpstr>c_d_mon</vt:lpstr>
      <vt:lpstr>c_d_w</vt:lpstr>
      <vt:lpstr>c_d_y</vt:lpstr>
      <vt:lpstr>c_ft_m</vt:lpstr>
      <vt:lpstr>c_ft2_m2</vt:lpstr>
      <vt:lpstr>c_ft3_m3</vt:lpstr>
      <vt:lpstr>c_g_kg</vt:lpstr>
      <vt:lpstr>c_G_m3</vt:lpstr>
      <vt:lpstr>c_g_ton</vt:lpstr>
      <vt:lpstr>c_h_d</vt:lpstr>
      <vt:lpstr>C_H2O</vt:lpstr>
      <vt:lpstr>c_hargebalance</vt:lpstr>
      <vt:lpstr>c_hargebalanceerror</vt:lpstr>
      <vt:lpstr>c_kJ_MJ</vt:lpstr>
      <vt:lpstr>c_L_m3</vt:lpstr>
      <vt:lpstr>c_lbs_g</vt:lpstr>
      <vt:lpstr>c_mg_g</vt:lpstr>
      <vt:lpstr>c_MG_m3</vt:lpstr>
      <vt:lpstr>c_micron_m</vt:lpstr>
      <vt:lpstr>c_min_d</vt:lpstr>
      <vt:lpstr>c_min_h</vt:lpstr>
      <vt:lpstr>c_mm_m</vt:lpstr>
      <vt:lpstr>c_mmol_mol</vt:lpstr>
      <vt:lpstr>c_ms_d</vt:lpstr>
      <vt:lpstr>c_ms_h</vt:lpstr>
      <vt:lpstr>c_ms_min</vt:lpstr>
      <vt:lpstr>c_ms_s</vt:lpstr>
      <vt:lpstr>c_oeffdamp_ALPHA</vt:lpstr>
      <vt:lpstr>c_oefflead_TSS_α_mech</vt:lpstr>
      <vt:lpstr>c_oefflin_TSS_α_mech</vt:lpstr>
      <vt:lpstr>c_onstTSS_α_mech</vt:lpstr>
      <vt:lpstr>c_orrh_diff_α</vt:lpstr>
      <vt:lpstr>c_orrTSS_α</vt:lpstr>
      <vt:lpstr>C_OUR</vt:lpstr>
      <vt:lpstr>c_p_water</vt:lpstr>
      <vt:lpstr>c_Pa_bar</vt:lpstr>
      <vt:lpstr>c_Pa_Hgmm</vt:lpstr>
      <vt:lpstr>c_Pa_mbar</vt:lpstr>
      <vt:lpstr>c_Pa_MPa</vt:lpstr>
      <vt:lpstr>c_percent_fraction</vt:lpstr>
      <vt:lpstr>c_percent_Vconc</vt:lpstr>
      <vt:lpstr>c_ppm_Vconc</vt:lpstr>
      <vt:lpstr>c_s_d</vt:lpstr>
      <vt:lpstr>c_s_h</vt:lpstr>
      <vt:lpstr>c_s_min</vt:lpstr>
      <vt:lpstr>C_U</vt:lpstr>
      <vt:lpstr>c_W_kW</vt:lpstr>
      <vt:lpstr>conc_Acm_I</vt:lpstr>
      <vt:lpstr>conc_Acm_Ieq</vt:lpstr>
      <vt:lpstr>conc_ANm_I</vt:lpstr>
      <vt:lpstr>conc_Ca2p_I</vt:lpstr>
      <vt:lpstr>conc_CATp_I</vt:lpstr>
      <vt:lpstr>conc_CO32m_I</vt:lpstr>
      <vt:lpstr>conc_Fe2p_I</vt:lpstr>
      <vt:lpstr>conc_H2CO3_I</vt:lpstr>
      <vt:lpstr>conc_H2PO4m_I</vt:lpstr>
      <vt:lpstr>conc_H2PO4m_Ieq</vt:lpstr>
      <vt:lpstr>conc_H2S_I</vt:lpstr>
      <vt:lpstr>conc_H2SO4_I</vt:lpstr>
      <vt:lpstr>conc_H3PO4_I</vt:lpstr>
      <vt:lpstr>conc_HAc_I</vt:lpstr>
      <vt:lpstr>conc_HCO3m_I</vt:lpstr>
      <vt:lpstr>conc_HNO2_I</vt:lpstr>
      <vt:lpstr>conc_Hp_I</vt:lpstr>
      <vt:lpstr>conc_Hp_Ieq</vt:lpstr>
      <vt:lpstr>conc_HPO42m_I</vt:lpstr>
      <vt:lpstr>conc_HPO42m_Ieq</vt:lpstr>
      <vt:lpstr>conc_HSm_I</vt:lpstr>
      <vt:lpstr>conc_HSm_Ieq</vt:lpstr>
      <vt:lpstr>conc_HSO4m_I</vt:lpstr>
      <vt:lpstr>conc_Kp_I</vt:lpstr>
      <vt:lpstr>conc_Mg2p_I</vt:lpstr>
      <vt:lpstr>conc_NH3_I</vt:lpstr>
      <vt:lpstr>conc_NH4p_I</vt:lpstr>
      <vt:lpstr>conc_NO2m_I</vt:lpstr>
      <vt:lpstr>conc_NO2m_Ieq</vt:lpstr>
      <vt:lpstr>conc_NO3m_I</vt:lpstr>
      <vt:lpstr>conc_OHm_I</vt:lpstr>
      <vt:lpstr>conc_PO43m_I</vt:lpstr>
      <vt:lpstr>conc_S2m_I</vt:lpstr>
      <vt:lpstr>conc_SO42m_I</vt:lpstr>
      <vt:lpstr>d_ampALPHA</vt:lpstr>
      <vt:lpstr>D_CB</vt:lpstr>
      <vt:lpstr>D_CU</vt:lpstr>
      <vt:lpstr>D_eltaHbio</vt:lpstr>
      <vt:lpstr>D_GCH4_25</vt:lpstr>
      <vt:lpstr>D_GCO2_25</vt:lpstr>
      <vt:lpstr>D_GH2_25</vt:lpstr>
      <vt:lpstr>D_GH2S_25</vt:lpstr>
      <vt:lpstr>D_GN2_25</vt:lpstr>
      <vt:lpstr>D_GN2O_25</vt:lpstr>
      <vt:lpstr>D_GNH3_25</vt:lpstr>
      <vt:lpstr>D_GNO_25</vt:lpstr>
      <vt:lpstr>D_GO2_25</vt:lpstr>
      <vt:lpstr>d_HCaCO3</vt:lpstr>
      <vt:lpstr>d_HCaH2PO4p</vt:lpstr>
      <vt:lpstr>d_HCaHCO3p</vt:lpstr>
      <vt:lpstr>d_HCaHPO4</vt:lpstr>
      <vt:lpstr>d_HCaOHp</vt:lpstr>
      <vt:lpstr>d_HCaPO4m</vt:lpstr>
      <vt:lpstr>d_Hdiss_But</vt:lpstr>
      <vt:lpstr>d_Hdiss_CO2_1</vt:lpstr>
      <vt:lpstr>d_Hdiss_CO2_2</vt:lpstr>
      <vt:lpstr>d_Hdiss_H2O</vt:lpstr>
      <vt:lpstr>d_Hdiss_NO2</vt:lpstr>
      <vt:lpstr>d_Hdiss_PO4_1</vt:lpstr>
      <vt:lpstr>d_Hdiss_PO4_2</vt:lpstr>
      <vt:lpstr>d_Hdiss_PO4_3</vt:lpstr>
      <vt:lpstr>d_Hdiss_Prop</vt:lpstr>
      <vt:lpstr>d_Hdiss_S_1</vt:lpstr>
      <vt:lpstr>d_Hdiss_S_2</vt:lpstr>
      <vt:lpstr>d_Hdiss_SO4_1</vt:lpstr>
      <vt:lpstr>d_Hdiss_SO4_2</vt:lpstr>
      <vt:lpstr>d_Hdiss_Val</vt:lpstr>
      <vt:lpstr>d_Hdiss_VFA</vt:lpstr>
      <vt:lpstr>d_Hion_amm</vt:lpstr>
      <vt:lpstr>d_HMgCO3</vt:lpstr>
      <vt:lpstr>d_HMgH2PO4p</vt:lpstr>
      <vt:lpstr>d_HMgHCO3p</vt:lpstr>
      <vt:lpstr>d_HMgHPO4</vt:lpstr>
      <vt:lpstr>d_HMgOHp</vt:lpstr>
      <vt:lpstr>d_HMgPO4m</vt:lpstr>
      <vt:lpstr>d_HNaHPO4m</vt:lpstr>
      <vt:lpstr>D_isplay_µALGAE_T</vt:lpstr>
      <vt:lpstr>D_isplay_µAOB_T</vt:lpstr>
      <vt:lpstr>D_isplay_BellinhpH_AOB</vt:lpstr>
      <vt:lpstr>D_isplay_LightSwitch</vt:lpstr>
      <vt:lpstr>D_isplay_LogsatpHCO2_AOB</vt:lpstr>
      <vt:lpstr>D_isplay_MinhpHHNO2_AOB</vt:lpstr>
      <vt:lpstr>D_isplay_MinhpHNH3_NITO</vt:lpstr>
      <vt:lpstr>D_isplay_MinhSNHx_KiNHx_ALGAE</vt:lpstr>
      <vt:lpstr>D_isplay_MsatSALK_KALK</vt:lpstr>
      <vt:lpstr>D_isplay_MsatSAN_KAN</vt:lpstr>
      <vt:lpstr>D_isplay_MsatSCa_KCa</vt:lpstr>
      <vt:lpstr>D_isplay_MsatSCAT_KCAT</vt:lpstr>
      <vt:lpstr>D_isplay_MsatSCO2_KCO2_ALGAE</vt:lpstr>
      <vt:lpstr>D_isplay_MsatSMg_KMg</vt:lpstr>
      <vt:lpstr>D_isplay_MsatSNHx_KNHx_ALGAE</vt:lpstr>
      <vt:lpstr>D_isplay_MsatSNHx_KNHx_AOB</vt:lpstr>
      <vt:lpstr>D_isplay_MsatSNOx_KNOx_ALGAE</vt:lpstr>
      <vt:lpstr>D_isplay_MsatSO2_KO2_AOB</vt:lpstr>
      <vt:lpstr>D_isplay_MsatSPO4_KPO4_BIO</vt:lpstr>
      <vt:lpstr>D_isplay_MsatSSO4_KSO4_BIO</vt:lpstr>
      <vt:lpstr>D_isplay_XALGAE</vt:lpstr>
      <vt:lpstr>D_isplay_XAOB</vt:lpstr>
      <vt:lpstr>D_NBS</vt:lpstr>
      <vt:lpstr>D_NH3</vt:lpstr>
      <vt:lpstr>D_NO3</vt:lpstr>
      <vt:lpstr>D_NUS</vt:lpstr>
      <vt:lpstr>D_PO4</vt:lpstr>
      <vt:lpstr>D_SA</vt:lpstr>
      <vt:lpstr>D_SALK</vt:lpstr>
      <vt:lpstr>D_SALPHA</vt:lpstr>
      <vt:lpstr>D_SAN</vt:lpstr>
      <vt:lpstr>D_SB</vt:lpstr>
      <vt:lpstr>D_SB_mono</vt:lpstr>
      <vt:lpstr>D_SB_poly</vt:lpstr>
      <vt:lpstr>D_SBSA</vt:lpstr>
      <vt:lpstr>D_SBSC</vt:lpstr>
      <vt:lpstr>D_SCa</vt:lpstr>
      <vt:lpstr>D_SCAT</vt:lpstr>
      <vt:lpstr>D_SCH4</vt:lpstr>
      <vt:lpstr>D_SCO2</vt:lpstr>
      <vt:lpstr>D_SF</vt:lpstr>
      <vt:lpstr>D_SFe2</vt:lpstr>
      <vt:lpstr>D_SH2</vt:lpstr>
      <vt:lpstr>D_SH2S</vt:lpstr>
      <vt:lpstr>D_SHCO</vt:lpstr>
      <vt:lpstr>D_SI</vt:lpstr>
      <vt:lpstr>D_SK</vt:lpstr>
      <vt:lpstr>D_SMEOL</vt:lpstr>
      <vt:lpstr>D_SMg</vt:lpstr>
      <vt:lpstr>D_SMM_index</vt:lpstr>
      <vt:lpstr>D_SN_B</vt:lpstr>
      <vt:lpstr>D_SN2</vt:lpstr>
      <vt:lpstr>D_SN2O</vt:lpstr>
      <vt:lpstr>D_SND</vt:lpstr>
      <vt:lpstr>D_SNH</vt:lpstr>
      <vt:lpstr>D_SNH2OH</vt:lpstr>
      <vt:lpstr>D_SNH4</vt:lpstr>
      <vt:lpstr>D_SNHx</vt:lpstr>
      <vt:lpstr>D_SNO</vt:lpstr>
      <vt:lpstr>D_SNO2</vt:lpstr>
      <vt:lpstr>D_SNO3</vt:lpstr>
      <vt:lpstr>D_SNOx</vt:lpstr>
      <vt:lpstr>D_SO</vt:lpstr>
      <vt:lpstr>D_SO2</vt:lpstr>
      <vt:lpstr>D_SP_B</vt:lpstr>
      <vt:lpstr>D_SPO</vt:lpstr>
      <vt:lpstr>D_SPO4</vt:lpstr>
      <vt:lpstr>D_SS</vt:lpstr>
      <vt:lpstr>D_SSO4</vt:lpstr>
      <vt:lpstr>D_SU</vt:lpstr>
      <vt:lpstr>D_SUS</vt:lpstr>
      <vt:lpstr>D_SVFA</vt:lpstr>
      <vt:lpstr>E_EQFe2</vt:lpstr>
      <vt:lpstr>E_EQH2S</vt:lpstr>
      <vt:lpstr>E_EQN2</vt:lpstr>
      <vt:lpstr>E_EQN2_N2O</vt:lpstr>
      <vt:lpstr>E_EQN2_NO2</vt:lpstr>
      <vt:lpstr>E_EQN2_NO3</vt:lpstr>
      <vt:lpstr>E_EQN2O</vt:lpstr>
      <vt:lpstr>E_EQN2O_NO</vt:lpstr>
      <vt:lpstr>E_EQNH2OH</vt:lpstr>
      <vt:lpstr>E_EQNH2OH_NO</vt:lpstr>
      <vt:lpstr>E_EQNO</vt:lpstr>
      <vt:lpstr>E_EQNO_NO2</vt:lpstr>
      <vt:lpstr>E_EQNO2</vt:lpstr>
      <vt:lpstr>E_EQNO2_NO3</vt:lpstr>
      <vt:lpstr>E_EQNO3</vt:lpstr>
      <vt:lpstr>E_EQS</vt:lpstr>
      <vt:lpstr>e_rrorNHx_NOx</vt:lpstr>
      <vt:lpstr>F__</vt:lpstr>
      <vt:lpstr>f_Ar_air</vt:lpstr>
      <vt:lpstr>f_bw_floc</vt:lpstr>
      <vt:lpstr>f_C_BOD5_BODult</vt:lpstr>
      <vt:lpstr>f_CO2_air</vt:lpstr>
      <vt:lpstr>f_di</vt:lpstr>
      <vt:lpstr>f_di_IS_an</vt:lpstr>
      <vt:lpstr>f_di_IS_cat</vt:lpstr>
      <vt:lpstr>f_di_ISlim</vt:lpstr>
      <vt:lpstr>f_E</vt:lpstr>
      <vt:lpstr>f_H2O_HAO_TSS</vt:lpstr>
      <vt:lpstr>f_H2O_HAO_VSS</vt:lpstr>
      <vt:lpstr>f_H2O_HFO_TSS</vt:lpstr>
      <vt:lpstr>f_H2O_HFO_VSS</vt:lpstr>
      <vt:lpstr>f_kL_GCH4</vt:lpstr>
      <vt:lpstr>f_kL_GCO2</vt:lpstr>
      <vt:lpstr>f_kL_GH2</vt:lpstr>
      <vt:lpstr>f_kL_GH2S</vt:lpstr>
      <vt:lpstr>f_kL_GN2</vt:lpstr>
      <vt:lpstr>f_kL_GNH3</vt:lpstr>
      <vt:lpstr>f_KS</vt:lpstr>
      <vt:lpstr>f_KS_biofilm</vt:lpstr>
      <vt:lpstr>f_mono</vt:lpstr>
      <vt:lpstr>f_mono_IS_an</vt:lpstr>
      <vt:lpstr>f_mono_IS_cat</vt:lpstr>
      <vt:lpstr>f_mono_ISlim</vt:lpstr>
      <vt:lpstr>f_N2_air</vt:lpstr>
      <vt:lpstr>f_Na</vt:lpstr>
      <vt:lpstr>f_O2_air</vt:lpstr>
      <vt:lpstr>f_O2_max_ALPHA</vt:lpstr>
      <vt:lpstr>f_P_VFA</vt:lpstr>
      <vt:lpstr>f_S_BOD5_BODult</vt:lpstr>
      <vt:lpstr>f_TOC_1</vt:lpstr>
      <vt:lpstr>f_TOC_2</vt:lpstr>
      <vt:lpstr>f_tri</vt:lpstr>
      <vt:lpstr>f_tri_IS_an</vt:lpstr>
      <vt:lpstr>f_tri_IS_cat</vt:lpstr>
      <vt:lpstr>f_tri_ISlim</vt:lpstr>
      <vt:lpstr>f_VFA_DM</vt:lpstr>
      <vt:lpstr>f_X_BOD5_BODult</vt:lpstr>
      <vt:lpstr>G_CH4</vt:lpstr>
      <vt:lpstr>G_CH4_atm</vt:lpstr>
      <vt:lpstr>G_CO2</vt:lpstr>
      <vt:lpstr>G_CO2_atm</vt:lpstr>
      <vt:lpstr>g_grav</vt:lpstr>
      <vt:lpstr>G_H2</vt:lpstr>
      <vt:lpstr>G_H2_atm</vt:lpstr>
      <vt:lpstr>G_H2S</vt:lpstr>
      <vt:lpstr>G_H2S_atm</vt:lpstr>
      <vt:lpstr>G_H2S_odor_lim</vt:lpstr>
      <vt:lpstr>G_N2</vt:lpstr>
      <vt:lpstr>G_N2_atm</vt:lpstr>
      <vt:lpstr>G_NH3</vt:lpstr>
      <vt:lpstr>G_NH3_atm</vt:lpstr>
      <vt:lpstr>G_O2</vt:lpstr>
      <vt:lpstr>G_O2_atm</vt:lpstr>
      <vt:lpstr>H_Acm</vt:lpstr>
      <vt:lpstr>H_Ca2p</vt:lpstr>
      <vt:lpstr>H_CO32m</vt:lpstr>
      <vt:lpstr>h_diff</vt:lpstr>
      <vt:lpstr>H_enryGCH4_25</vt:lpstr>
      <vt:lpstr>H_enryGCH4_dt</vt:lpstr>
      <vt:lpstr>H_enryGCO2_25</vt:lpstr>
      <vt:lpstr>H_enryGCO2_dt</vt:lpstr>
      <vt:lpstr>H_enryGH2_25</vt:lpstr>
      <vt:lpstr>H_enryGH2_dt</vt:lpstr>
      <vt:lpstr>H_enryGH2S_25</vt:lpstr>
      <vt:lpstr>H_enryGH2S_dt</vt:lpstr>
      <vt:lpstr>H_enryGN2_25</vt:lpstr>
      <vt:lpstr>H_enryGN2_dt</vt:lpstr>
      <vt:lpstr>H_enryGN2O_25</vt:lpstr>
      <vt:lpstr>H_enryGN2O_dt</vt:lpstr>
      <vt:lpstr>H_enryGNH3_25</vt:lpstr>
      <vt:lpstr>H_enryGNH3_dt</vt:lpstr>
      <vt:lpstr>H_enryGNO_25</vt:lpstr>
      <vt:lpstr>H_enryGNO_dt</vt:lpstr>
      <vt:lpstr>H_enryGO2_25</vt:lpstr>
      <vt:lpstr>H_enryGO2_dt</vt:lpstr>
      <vt:lpstr>H_H2CO3</vt:lpstr>
      <vt:lpstr>H_H2O</vt:lpstr>
      <vt:lpstr>H_H2PO4m</vt:lpstr>
      <vt:lpstr>H_H2S</vt:lpstr>
      <vt:lpstr>H_H2SO4</vt:lpstr>
      <vt:lpstr>H_H3Op</vt:lpstr>
      <vt:lpstr>H_H3PO4</vt:lpstr>
      <vt:lpstr>H_HAc</vt:lpstr>
      <vt:lpstr>H_HCO3m</vt:lpstr>
      <vt:lpstr>H_HNO2</vt:lpstr>
      <vt:lpstr>H_Hp</vt:lpstr>
      <vt:lpstr>H_HPO42m</vt:lpstr>
      <vt:lpstr>H_HSm</vt:lpstr>
      <vt:lpstr>H_HSO4m</vt:lpstr>
      <vt:lpstr>H_Mg2p</vt:lpstr>
      <vt:lpstr>H_Nap</vt:lpstr>
      <vt:lpstr>H_NH3</vt:lpstr>
      <vt:lpstr>H_NH4p</vt:lpstr>
      <vt:lpstr>H_NO2m</vt:lpstr>
      <vt:lpstr>H_NO3m</vt:lpstr>
      <vt:lpstr>H_OHm</vt:lpstr>
      <vt:lpstr>H_PO43m</vt:lpstr>
      <vt:lpstr>H_S2m</vt:lpstr>
      <vt:lpstr>H_satSH2S_KH2S_SOO</vt:lpstr>
      <vt:lpstr>H_satSVFA_AMETO</vt:lpstr>
      <vt:lpstr>H_SO42m</vt:lpstr>
      <vt:lpstr>H_STP</vt:lpstr>
      <vt:lpstr>i_Ca_INORG</vt:lpstr>
      <vt:lpstr>i_Ca_PP</vt:lpstr>
      <vt:lpstr>i_CIT_ALGAE</vt:lpstr>
      <vt:lpstr>i_CIT_BIO</vt:lpstr>
      <vt:lpstr>i_CIT_CH4</vt:lpstr>
      <vt:lpstr>i_CIT_MEOL</vt:lpstr>
      <vt:lpstr>i_CIT_PHA</vt:lpstr>
      <vt:lpstr>i_CIT_SB</vt:lpstr>
      <vt:lpstr>i_CIT_STC</vt:lpstr>
      <vt:lpstr>i_CIT_VFA</vt:lpstr>
      <vt:lpstr>i_CIT_XBe</vt:lpstr>
      <vt:lpstr>i_CV_BIO</vt:lpstr>
      <vt:lpstr>i_CV_CB</vt:lpstr>
      <vt:lpstr>i_CV_CU</vt:lpstr>
      <vt:lpstr>i_CV_PHA</vt:lpstr>
      <vt:lpstr>i_CV_SB</vt:lpstr>
      <vt:lpstr>i_CV_SU</vt:lpstr>
      <vt:lpstr>i_CV_VFA</vt:lpstr>
      <vt:lpstr>i_CV_XB</vt:lpstr>
      <vt:lpstr>i_CV_XBe</vt:lpstr>
      <vt:lpstr>i_CV_XE</vt:lpstr>
      <vt:lpstr>i_CV_XU</vt:lpstr>
      <vt:lpstr>i_INORG</vt:lpstr>
      <vt:lpstr>i_iw_BIO</vt:lpstr>
      <vt:lpstr>i_K_PP</vt:lpstr>
      <vt:lpstr>i_Mg_INORG</vt:lpstr>
      <vt:lpstr>i_Mg_PP</vt:lpstr>
      <vt:lpstr>i_N_ALGAE</vt:lpstr>
      <vt:lpstr>i_N_BIO</vt:lpstr>
      <vt:lpstr>i_N_CB</vt:lpstr>
      <vt:lpstr>i_N_CU</vt:lpstr>
      <vt:lpstr>i_N_SU</vt:lpstr>
      <vt:lpstr>i_N_XE</vt:lpstr>
      <vt:lpstr>i_N_XSTR</vt:lpstr>
      <vt:lpstr>i_P_ALGAE</vt:lpstr>
      <vt:lpstr>i_P_BIO</vt:lpstr>
      <vt:lpstr>i_P_CB</vt:lpstr>
      <vt:lpstr>i_P_CU</vt:lpstr>
      <vt:lpstr>i_P_SU</vt:lpstr>
      <vt:lpstr>i_P_XACP</vt:lpstr>
      <vt:lpstr>i_P_XBSH</vt:lpstr>
      <vt:lpstr>i_P_XSTR</vt:lpstr>
      <vt:lpstr>i_P_XVivi</vt:lpstr>
      <vt:lpstr>I_S</vt:lpstr>
      <vt:lpstr>i_S_ALGAE</vt:lpstr>
      <vt:lpstr>i_S_BIO</vt:lpstr>
      <vt:lpstr>i_S_CB</vt:lpstr>
      <vt:lpstr>i_S_CU</vt:lpstr>
      <vt:lpstr>i_S_FeS</vt:lpstr>
      <vt:lpstr>i_S_SB</vt:lpstr>
      <vt:lpstr>i_S_SU</vt:lpstr>
      <vt:lpstr>i_S_XB</vt:lpstr>
      <vt:lpstr>i_S_XU</vt:lpstr>
      <vt:lpstr>I_Scalc</vt:lpstr>
      <vt:lpstr>I_Serror</vt:lpstr>
      <vt:lpstr>I_Sinput_AS</vt:lpstr>
      <vt:lpstr>I_Sinput_DIG</vt:lpstr>
      <vt:lpstr>I_Sinput_sidestream</vt:lpstr>
      <vt:lpstr>I_Slim</vt:lpstr>
      <vt:lpstr>i_TSS_PP</vt:lpstr>
      <vt:lpstr>i_vw_BIO</vt:lpstr>
      <vt:lpstr>i_vw_CB</vt:lpstr>
      <vt:lpstr>i_vw_CU</vt:lpstr>
      <vt:lpstr>i_vw_EPS</vt:lpstr>
      <vt:lpstr>i_vw_PHA</vt:lpstr>
      <vt:lpstr>i_vw_XB</vt:lpstr>
      <vt:lpstr>i_vw_XBe</vt:lpstr>
      <vt:lpstr>i_vw_XE</vt:lpstr>
      <vt:lpstr>i_vw_XU</vt:lpstr>
      <vt:lpstr>i_wh_BIO</vt:lpstr>
      <vt:lpstr>i_wh_EPS</vt:lpstr>
      <vt:lpstr>i_wh_PHA</vt:lpstr>
      <vt:lpstr>i_wh_XB</vt:lpstr>
      <vt:lpstr>i_wh_XBe</vt:lpstr>
      <vt:lpstr>i_wh_XE</vt:lpstr>
      <vt:lpstr>i_wh_XU</vt:lpstr>
      <vt:lpstr>J_photosynt_solar</vt:lpstr>
      <vt:lpstr>J_photosynt_solar_opt</vt:lpstr>
      <vt:lpstr>K_Ac</vt:lpstr>
      <vt:lpstr>K_Ac_param</vt:lpstr>
      <vt:lpstr>K_Ac_T</vt:lpstr>
      <vt:lpstr>K_ACP_DISS</vt:lpstr>
      <vt:lpstr>K_AN</vt:lpstr>
      <vt:lpstr>K_AN_AS</vt:lpstr>
      <vt:lpstr>K_BSH_DISS</vt:lpstr>
      <vt:lpstr>K_But_param</vt:lpstr>
      <vt:lpstr>K_C1</vt:lpstr>
      <vt:lpstr>K_C1_param</vt:lpstr>
      <vt:lpstr>K_C1_T</vt:lpstr>
      <vt:lpstr>K_C2</vt:lpstr>
      <vt:lpstr>K_C2_param</vt:lpstr>
      <vt:lpstr>K_C2_T</vt:lpstr>
      <vt:lpstr>K_Ca_BIO</vt:lpstr>
      <vt:lpstr>K_Ca_BIO_AS</vt:lpstr>
      <vt:lpstr>K_Ca_PAO</vt:lpstr>
      <vt:lpstr>K_Ca_PAO_AS</vt:lpstr>
      <vt:lpstr>K_CaCO3_DISS</vt:lpstr>
      <vt:lpstr>K_CAT</vt:lpstr>
      <vt:lpstr>K_CAT_AS</vt:lpstr>
      <vt:lpstr>K_CB_FLOC</vt:lpstr>
      <vt:lpstr>K_CB_FLOC_HAO</vt:lpstr>
      <vt:lpstr>K_CB_FLOC_HFO</vt:lpstr>
      <vt:lpstr>K_CO2_ALGAE</vt:lpstr>
      <vt:lpstr>K_CO2_AMX_pH</vt:lpstr>
      <vt:lpstr>K_CO2_AMX_pH_AS</vt:lpstr>
      <vt:lpstr>K_CO2_AOB_pH</vt:lpstr>
      <vt:lpstr>K_CO2_AOB_pH_AS</vt:lpstr>
      <vt:lpstr>K_CO2_AOB_pH_sidestream</vt:lpstr>
      <vt:lpstr>K_CO2_BIO</vt:lpstr>
      <vt:lpstr>K_CO2_BIO_AS</vt:lpstr>
      <vt:lpstr>K_CO2_NOB_pH</vt:lpstr>
      <vt:lpstr>K_CO2_NOB_pH_AS</vt:lpstr>
      <vt:lpstr>K_CU_FLOC</vt:lpstr>
      <vt:lpstr>K_CU_FLOC_HAO</vt:lpstr>
      <vt:lpstr>K_CU_FLOC_HFO</vt:lpstr>
      <vt:lpstr>K_FeS_DISS</vt:lpstr>
      <vt:lpstr>K_H2_HMETO</vt:lpstr>
      <vt:lpstr>K_H2_HMETO_AS</vt:lpstr>
      <vt:lpstr>K_H2_HSRO</vt:lpstr>
      <vt:lpstr>K_H2_HSRO_AS</vt:lpstr>
      <vt:lpstr>K_H2S_ASSIM</vt:lpstr>
      <vt:lpstr>K_H2S_ASSIM_AS</vt:lpstr>
      <vt:lpstr>K_H2S_param</vt:lpstr>
      <vt:lpstr>K_H2S_SOO</vt:lpstr>
      <vt:lpstr>K_H2S_SOO_AS</vt:lpstr>
      <vt:lpstr>K_HYD</vt:lpstr>
      <vt:lpstr>K_HYD_AS</vt:lpstr>
      <vt:lpstr>K_iH2S_ASRO</vt:lpstr>
      <vt:lpstr>K_iH2S_ASRO_AS</vt:lpstr>
      <vt:lpstr>K_iH2S_HSRO</vt:lpstr>
      <vt:lpstr>K_iH2S_HSRO_AS</vt:lpstr>
      <vt:lpstr>K_iH2S_SOO</vt:lpstr>
      <vt:lpstr>K_iH2S_SOO_AS</vt:lpstr>
      <vt:lpstr>K_iHNO2_AMX_pH</vt:lpstr>
      <vt:lpstr>K_iHNO2_AMX_pH_AS</vt:lpstr>
      <vt:lpstr>K_iHNO2_AOB_pH</vt:lpstr>
      <vt:lpstr>K_iHNO2_AOB_pH_AS</vt:lpstr>
      <vt:lpstr>K_iNH3_AMETO_pH</vt:lpstr>
      <vt:lpstr>K_iNH3_AMETO_pH_AS</vt:lpstr>
      <vt:lpstr>K_iNH3_NOB_pH</vt:lpstr>
      <vt:lpstr>K_iNH3_NOB_pH_AS</vt:lpstr>
      <vt:lpstr>K_iNHx_ALGAE</vt:lpstr>
      <vt:lpstr>K_iNHx_ASSIM</vt:lpstr>
      <vt:lpstr>K_iNHx_ASSIM_AS</vt:lpstr>
      <vt:lpstr>K_iO2_AMETO</vt:lpstr>
      <vt:lpstr>K_iO2_AMETO_AS</vt:lpstr>
      <vt:lpstr>K_iO2_AMX</vt:lpstr>
      <vt:lpstr>K_iO2_AMX_AS</vt:lpstr>
      <vt:lpstr>K_iO2_ASRO</vt:lpstr>
      <vt:lpstr>K_iO2_ASRO_AS</vt:lpstr>
      <vt:lpstr>K_iO2_HMETO</vt:lpstr>
      <vt:lpstr>K_iO2_HMETO_AS</vt:lpstr>
      <vt:lpstr>K_iO2_HSRO</vt:lpstr>
      <vt:lpstr>K_iO2_HSRO_AS</vt:lpstr>
      <vt:lpstr>K_iO2_MEOLO</vt:lpstr>
      <vt:lpstr>K_iO2_MEOLO_AS</vt:lpstr>
      <vt:lpstr>K_iP_HAO_DESORP</vt:lpstr>
      <vt:lpstr>K_iP_HAO_DISS</vt:lpstr>
      <vt:lpstr>K_iP_HFO_DESORP</vt:lpstr>
      <vt:lpstr>K_iP_HFO_DISS</vt:lpstr>
      <vt:lpstr>K_iPHA_GAO_max</vt:lpstr>
      <vt:lpstr>K_iPHA_PAO_max</vt:lpstr>
      <vt:lpstr>K_iPO4_lim</vt:lpstr>
      <vt:lpstr>K_iPO4_lim_AS</vt:lpstr>
      <vt:lpstr>K_iPP_PAO_max</vt:lpstr>
      <vt:lpstr>K_iSO4_ASSIM</vt:lpstr>
      <vt:lpstr>K_iSO4_ASSIM_AS</vt:lpstr>
      <vt:lpstr>K_iSO4_RED</vt:lpstr>
      <vt:lpstr>K_iVFA_AMETO</vt:lpstr>
      <vt:lpstr>K_iVFA_AMETO_AS</vt:lpstr>
      <vt:lpstr>K_K_PAO</vt:lpstr>
      <vt:lpstr>K_K_PAO_AS</vt:lpstr>
      <vt:lpstr>k_L_GCH4_bub</vt:lpstr>
      <vt:lpstr>k_L_GCH4_sur</vt:lpstr>
      <vt:lpstr>k_L_GCO2_bub</vt:lpstr>
      <vt:lpstr>k_L_GCO2_sur</vt:lpstr>
      <vt:lpstr>k_L_GH2_bub</vt:lpstr>
      <vt:lpstr>k_L_GH2_sur</vt:lpstr>
      <vt:lpstr>k_L_GH2S_bub</vt:lpstr>
      <vt:lpstr>k_L_GH2S_sur</vt:lpstr>
      <vt:lpstr>k_L_GN2_bub</vt:lpstr>
      <vt:lpstr>k_L_GN2_sur</vt:lpstr>
      <vt:lpstr>k_L_GNH3_bub</vt:lpstr>
      <vt:lpstr>k_L_GNH3_sur</vt:lpstr>
      <vt:lpstr>k_L_GO2_bub</vt:lpstr>
      <vt:lpstr>k_L_GO2_PondSurface</vt:lpstr>
      <vt:lpstr>k_L_GO2_sur</vt:lpstr>
      <vt:lpstr>k_LaGCH4_bub</vt:lpstr>
      <vt:lpstr>k_LaGCH4_sur</vt:lpstr>
      <vt:lpstr>k_LaGCO2_bub</vt:lpstr>
      <vt:lpstr>k_LaGCO2_sur</vt:lpstr>
      <vt:lpstr>k_LaGH2_bub</vt:lpstr>
      <vt:lpstr>k_LaGH2_sur</vt:lpstr>
      <vt:lpstr>k_LaGH2S_bub</vt:lpstr>
      <vt:lpstr>k_LaGH2S_sur</vt:lpstr>
      <vt:lpstr>k_LaGN2_bub</vt:lpstr>
      <vt:lpstr>k_LaGN2_sur</vt:lpstr>
      <vt:lpstr>k_LaGNH3_bub</vt:lpstr>
      <vt:lpstr>k_LaGNH3_sur</vt:lpstr>
      <vt:lpstr>k_LaGO2_bub</vt:lpstr>
      <vt:lpstr>k_LaGO2_sur</vt:lpstr>
      <vt:lpstr>K_MEOL</vt:lpstr>
      <vt:lpstr>K_MEOL_AS</vt:lpstr>
      <vt:lpstr>K_MEOL_OHO</vt:lpstr>
      <vt:lpstr>K_MEOL_OHO_AS</vt:lpstr>
      <vt:lpstr>K_MEOL_SNO2</vt:lpstr>
      <vt:lpstr>K_MEOL_SNO2_AS</vt:lpstr>
      <vt:lpstr>K_Mg_BIO</vt:lpstr>
      <vt:lpstr>K_Mg_BIO_AS</vt:lpstr>
      <vt:lpstr>K_Mg_PAO</vt:lpstr>
      <vt:lpstr>K_Mg_PAO_AS</vt:lpstr>
      <vt:lpstr>K_NH3</vt:lpstr>
      <vt:lpstr>K_NH3_param</vt:lpstr>
      <vt:lpstr>K_NH3_T</vt:lpstr>
      <vt:lpstr>K_NHx_ALGAE</vt:lpstr>
      <vt:lpstr>K_NHx_AMX</vt:lpstr>
      <vt:lpstr>K_NHx_AMX_AS</vt:lpstr>
      <vt:lpstr>K_NHx_AOB</vt:lpstr>
      <vt:lpstr>K_NHx_AOB_AS</vt:lpstr>
      <vt:lpstr>K_NHx_BIO</vt:lpstr>
      <vt:lpstr>K_NHx_BIO_AS</vt:lpstr>
      <vt:lpstr>K_NO2</vt:lpstr>
      <vt:lpstr>K_NO2_AMX</vt:lpstr>
      <vt:lpstr>K_NO2_AMX_AS</vt:lpstr>
      <vt:lpstr>K_NO2_ASSIM</vt:lpstr>
      <vt:lpstr>K_NO2_ASSIM_AS</vt:lpstr>
      <vt:lpstr>K_NO2_CASTO</vt:lpstr>
      <vt:lpstr>K_NO2_CASTO_AS</vt:lpstr>
      <vt:lpstr>K_NO2_H2S_SOO</vt:lpstr>
      <vt:lpstr>K_NO2_H2S_SOO_AS</vt:lpstr>
      <vt:lpstr>K_NO2_MEOLO</vt:lpstr>
      <vt:lpstr>K_NO2_MEOLO_AS</vt:lpstr>
      <vt:lpstr>K_NO2_NOB</vt:lpstr>
      <vt:lpstr>K_NO2_NOB_AS</vt:lpstr>
      <vt:lpstr>K_NO2_OHO</vt:lpstr>
      <vt:lpstr>K_NO2_OHO_AS</vt:lpstr>
      <vt:lpstr>K_NO2_param</vt:lpstr>
      <vt:lpstr>K_NO2_S_SOO</vt:lpstr>
      <vt:lpstr>K_NO2_S_SOO_AS</vt:lpstr>
      <vt:lpstr>K_NO2_T</vt:lpstr>
      <vt:lpstr>K_NO3_ASSIM</vt:lpstr>
      <vt:lpstr>K_NO3_ASSIM_AS</vt:lpstr>
      <vt:lpstr>K_NO3_CASTO</vt:lpstr>
      <vt:lpstr>K_NO3_CASTO_AS</vt:lpstr>
      <vt:lpstr>K_NO3_H2S_SOO</vt:lpstr>
      <vt:lpstr>K_NO3_H2S_SOO_AS</vt:lpstr>
      <vt:lpstr>K_NO3_MEOLO</vt:lpstr>
      <vt:lpstr>K_NO3_MEOLO_AS</vt:lpstr>
      <vt:lpstr>K_NO3_OHO</vt:lpstr>
      <vt:lpstr>K_NO3_OHO_AS</vt:lpstr>
      <vt:lpstr>K_NO3_S_SOO</vt:lpstr>
      <vt:lpstr>K_NO3_S_SOO_AS</vt:lpstr>
      <vt:lpstr>K_NOx_ALGAE</vt:lpstr>
      <vt:lpstr>K_NOx_AMETO</vt:lpstr>
      <vt:lpstr>K_NOx_AMETO_AS</vt:lpstr>
      <vt:lpstr>K_NOx_AMX</vt:lpstr>
      <vt:lpstr>K_NOx_AMX_AS</vt:lpstr>
      <vt:lpstr>K_NOx_AOB</vt:lpstr>
      <vt:lpstr>K_NOx_AOB_AS</vt:lpstr>
      <vt:lpstr>K_NOx_ASRO</vt:lpstr>
      <vt:lpstr>K_NOx_ASRO_AS</vt:lpstr>
      <vt:lpstr>K_NOx_HMETO</vt:lpstr>
      <vt:lpstr>K_NOx_HMETO_AS</vt:lpstr>
      <vt:lpstr>K_NOx_HSRO</vt:lpstr>
      <vt:lpstr>K_NOx_HSRO_AS</vt:lpstr>
      <vt:lpstr>K_NOx_NOB</vt:lpstr>
      <vt:lpstr>K_NOx_NOB_AS</vt:lpstr>
      <vt:lpstr>K_O2_ALGAE</vt:lpstr>
      <vt:lpstr>K_O2_ALPHA</vt:lpstr>
      <vt:lpstr>K_O2_AOB</vt:lpstr>
      <vt:lpstr>K_O2_AOB_AS</vt:lpstr>
      <vt:lpstr>K_O2_AOB_sidestream</vt:lpstr>
      <vt:lpstr>K_O2_CASTO</vt:lpstr>
      <vt:lpstr>K_O2_CASTO_AS</vt:lpstr>
      <vt:lpstr>K_O2_H2S_SOO</vt:lpstr>
      <vt:lpstr>K_O2_H2S_SOO_AS</vt:lpstr>
      <vt:lpstr>K_O2_NOB</vt:lpstr>
      <vt:lpstr>K_O2_NOB_AS</vt:lpstr>
      <vt:lpstr>K_O2_NOB_sidestream</vt:lpstr>
      <vt:lpstr>K_O2_OHO</vt:lpstr>
      <vt:lpstr>K_O2_OHO_AS</vt:lpstr>
      <vt:lpstr>K_O2_S_SOO</vt:lpstr>
      <vt:lpstr>K_O2_S_SOO_AS</vt:lpstr>
      <vt:lpstr>K_OC_PFOA_EQ</vt:lpstr>
      <vt:lpstr>K_OC_PFOS_EQ</vt:lpstr>
      <vt:lpstr>K_ORP_ana</vt:lpstr>
      <vt:lpstr>K_ORP_SNOx</vt:lpstr>
      <vt:lpstr>K_ORP_SO2</vt:lpstr>
      <vt:lpstr>k_ORPswitch</vt:lpstr>
      <vt:lpstr>K_P_HAO_BIND</vt:lpstr>
      <vt:lpstr>K_P_HFO_BIND</vt:lpstr>
      <vt:lpstr>K_P1</vt:lpstr>
      <vt:lpstr>K_P1_param</vt:lpstr>
      <vt:lpstr>K_P1_T</vt:lpstr>
      <vt:lpstr>K_P2</vt:lpstr>
      <vt:lpstr>K_P2_param</vt:lpstr>
      <vt:lpstr>K_P2_T</vt:lpstr>
      <vt:lpstr>K_P3</vt:lpstr>
      <vt:lpstr>K_P3_param</vt:lpstr>
      <vt:lpstr>K_P3_T</vt:lpstr>
      <vt:lpstr>K_PHA</vt:lpstr>
      <vt:lpstr>K_PHA_cle</vt:lpstr>
      <vt:lpstr>K_PHA_GAO</vt:lpstr>
      <vt:lpstr>K_PO4_BIO</vt:lpstr>
      <vt:lpstr>K_PO4_BIO_AS</vt:lpstr>
      <vt:lpstr>K_PO4_PAO</vt:lpstr>
      <vt:lpstr>K_PO4_PAO_AS</vt:lpstr>
      <vt:lpstr>K_PP</vt:lpstr>
      <vt:lpstr>K_PP_lim</vt:lpstr>
      <vt:lpstr>K_Prop_param</vt:lpstr>
      <vt:lpstr>K_S_SOO</vt:lpstr>
      <vt:lpstr>K_S_SOO_AS</vt:lpstr>
      <vt:lpstr>K_S1</vt:lpstr>
      <vt:lpstr>K_S1_param</vt:lpstr>
      <vt:lpstr>K_S1_T</vt:lpstr>
      <vt:lpstr>K_S2</vt:lpstr>
      <vt:lpstr>K_S2_param</vt:lpstr>
      <vt:lpstr>K_S2_T</vt:lpstr>
      <vt:lpstr>K_SB</vt:lpstr>
      <vt:lpstr>K_SB_ana</vt:lpstr>
      <vt:lpstr>K_SB_ana_AS</vt:lpstr>
      <vt:lpstr>K_SB_ana_DIG</vt:lpstr>
      <vt:lpstr>K_SB_AS</vt:lpstr>
      <vt:lpstr>K_scaling</vt:lpstr>
      <vt:lpstr>K_SO4_ASRO</vt:lpstr>
      <vt:lpstr>K_SO4_ASRO_AS</vt:lpstr>
      <vt:lpstr>K_SO4_BIO</vt:lpstr>
      <vt:lpstr>K_SO4_BIO_AS</vt:lpstr>
      <vt:lpstr>K_SO4_HSRO</vt:lpstr>
      <vt:lpstr>K_SO4_HSRO_AS</vt:lpstr>
      <vt:lpstr>K_SO41</vt:lpstr>
      <vt:lpstr>K_SO41_param</vt:lpstr>
      <vt:lpstr>K_SO41_T</vt:lpstr>
      <vt:lpstr>K_SO42</vt:lpstr>
      <vt:lpstr>K_SO42_param</vt:lpstr>
      <vt:lpstr>K_SO42_T</vt:lpstr>
      <vt:lpstr>K_sp_ACP</vt:lpstr>
      <vt:lpstr>K_sp_ACP_param</vt:lpstr>
      <vt:lpstr>K_sp_BSH</vt:lpstr>
      <vt:lpstr>K_sp_BSH_param</vt:lpstr>
      <vt:lpstr>K_sp_CaCO3</vt:lpstr>
      <vt:lpstr>K_sp_CaCO3_param</vt:lpstr>
      <vt:lpstr>K_sp_FeS</vt:lpstr>
      <vt:lpstr>K_sp_FeS_param</vt:lpstr>
      <vt:lpstr>K_sp_HDP_param</vt:lpstr>
      <vt:lpstr>K_sp_MKP_param</vt:lpstr>
      <vt:lpstr>K_sp_STR</vt:lpstr>
      <vt:lpstr>K_sp_STR_param</vt:lpstr>
      <vt:lpstr>K_sp_Vivi</vt:lpstr>
      <vt:lpstr>K_sp_Vivi_param</vt:lpstr>
      <vt:lpstr>K_STC</vt:lpstr>
      <vt:lpstr>K_STR_DISS</vt:lpstr>
      <vt:lpstr>K_TKN_B</vt:lpstr>
      <vt:lpstr>k_transfer_GCO2_bub</vt:lpstr>
      <vt:lpstr>k_transfer_GCO2_sur</vt:lpstr>
      <vt:lpstr>k_transfer_GH2S_bub</vt:lpstr>
      <vt:lpstr>k_transfer_GH2S_sur</vt:lpstr>
      <vt:lpstr>k_transfer_GNH3_bub</vt:lpstr>
      <vt:lpstr>k_transfer_GNH3_sur</vt:lpstr>
      <vt:lpstr>k_transfer_MM</vt:lpstr>
      <vt:lpstr>K_Val_param</vt:lpstr>
      <vt:lpstr>K_VFA</vt:lpstr>
      <vt:lpstr>K_VFA_AMETO</vt:lpstr>
      <vt:lpstr>K_VFA_AMETO_AS</vt:lpstr>
      <vt:lpstr>K_VFA_AS</vt:lpstr>
      <vt:lpstr>K_VFA_ASRO</vt:lpstr>
      <vt:lpstr>K_VFA_ASRO_AS</vt:lpstr>
      <vt:lpstr>K_VFA_CASTO</vt:lpstr>
      <vt:lpstr>K_VFA_CASTO_AS</vt:lpstr>
      <vt:lpstr>K_VFA_FERM</vt:lpstr>
      <vt:lpstr>K_VFA_FERM_AS</vt:lpstr>
      <vt:lpstr>K_VFA_OHO_SNO2</vt:lpstr>
      <vt:lpstr>K_VFA_OHO_SNO2_AS</vt:lpstr>
      <vt:lpstr>K_Vivi_DISS</vt:lpstr>
      <vt:lpstr>K_W</vt:lpstr>
      <vt:lpstr>K_W_param</vt:lpstr>
      <vt:lpstr>K_W_T</vt:lpstr>
      <vt:lpstr>K_XB_HYD</vt:lpstr>
      <vt:lpstr>K_XBe_HYD</vt:lpstr>
      <vt:lpstr>K_XEana_HYD</vt:lpstr>
      <vt:lpstr>K_XTSS_lightextinction</vt:lpstr>
      <vt:lpstr>K_XU</vt:lpstr>
      <vt:lpstr>L_ightSwitch</vt:lpstr>
      <vt:lpstr>L_oginhORP_HFO</vt:lpstr>
      <vt:lpstr>L_oginhORP_MM</vt:lpstr>
      <vt:lpstr>L_oginhORP_PAO</vt:lpstr>
      <vt:lpstr>L_oginhpHNH3_AMETO</vt:lpstr>
      <vt:lpstr>L_oginhSMEOL_KMEOL_SNO2</vt:lpstr>
      <vt:lpstr>L_oginhSNO3_KNO3_MEOLO</vt:lpstr>
      <vt:lpstr>L_oginhSNO3_KNO3_OHO</vt:lpstr>
      <vt:lpstr>L_oginhSPO4_KiP_HAO_DISS</vt:lpstr>
      <vt:lpstr>L_oginhSPO4_KiP_HFO_DISS</vt:lpstr>
      <vt:lpstr>L_oginhSVFA_KVFA_FERM</vt:lpstr>
      <vt:lpstr>L_oginhSVFA_KVFA_OHO_SNO2</vt:lpstr>
      <vt:lpstr>L_oginhXHET_HYD_lim</vt:lpstr>
      <vt:lpstr>L_oginhXPHA_XGAO_max</vt:lpstr>
      <vt:lpstr>L_oginhXPHA_XPAO_max</vt:lpstr>
      <vt:lpstr>L_oginhXPP_XPAO_max</vt:lpstr>
      <vt:lpstr>L_ograngeCO2_AMX_pH_AS</vt:lpstr>
      <vt:lpstr>L_ograngeCO2_AOB_pH_AS</vt:lpstr>
      <vt:lpstr>L_ograngeCO2_AOB_pH_sidestream</vt:lpstr>
      <vt:lpstr>L_ograngeCO2_NOB_pH_AS</vt:lpstr>
      <vt:lpstr>L_ograngeKMEOL_SNO2</vt:lpstr>
      <vt:lpstr>L_ograngeKSNO3</vt:lpstr>
      <vt:lpstr>L_ograngeKVFA_SNO2</vt:lpstr>
      <vt:lpstr>L_ograngeNH3_AMETO</vt:lpstr>
      <vt:lpstr>L_ograngeP_HAO_DISS</vt:lpstr>
      <vt:lpstr>L_ograngeP_HFO_DISS</vt:lpstr>
      <vt:lpstr>L_ograngePHA_GAO_inh</vt:lpstr>
      <vt:lpstr>L_ograngePHA_PAO_inh</vt:lpstr>
      <vt:lpstr>L_ograngePO4_PAO_AS_sat</vt:lpstr>
      <vt:lpstr>L_ograngePP_PAO_AS_sat</vt:lpstr>
      <vt:lpstr>L_ograngePP_PAO_inh</vt:lpstr>
      <vt:lpstr>L_ograngeSNO3</vt:lpstr>
      <vt:lpstr>L_ograngeVFA_FERM_AS</vt:lpstr>
      <vt:lpstr>L_ograngeXHET_HYD_lim</vt:lpstr>
      <vt:lpstr>L_ogsatORP_GAO_Half_15</vt:lpstr>
      <vt:lpstr>L_ogsatORP_GAO_Half_25</vt:lpstr>
      <vt:lpstr>L_ogsatORP_GAO_Half_T</vt:lpstr>
      <vt:lpstr>L_ogsatORP_GAO_Slope</vt:lpstr>
      <vt:lpstr>L_ogsatORP_GAO_T</vt:lpstr>
      <vt:lpstr>L_ogsatORP_HFO_Half</vt:lpstr>
      <vt:lpstr>L_ogsatORP_HFO_Slope</vt:lpstr>
      <vt:lpstr>L_ogsatORP_MM_Half</vt:lpstr>
      <vt:lpstr>L_ogsatORP_MM_Slope</vt:lpstr>
      <vt:lpstr>L_ogsatORP_PAO_Half</vt:lpstr>
      <vt:lpstr>L_ogsatORP_PAO_Slope</vt:lpstr>
      <vt:lpstr>L_ogsatpHCO2_AMX</vt:lpstr>
      <vt:lpstr>L_ogsatpHCO2_AOB</vt:lpstr>
      <vt:lpstr>L_ogsatpHCO2_NOB</vt:lpstr>
      <vt:lpstr>L_ogsatSMEOL_KMEOL_SNO2</vt:lpstr>
      <vt:lpstr>L_ogsatSNO3_KNO3_MEOLO</vt:lpstr>
      <vt:lpstr>L_ogsatSNO3_KNO3_OHO</vt:lpstr>
      <vt:lpstr>L_ogsatSPO4_KPO4_PAO</vt:lpstr>
      <vt:lpstr>L_ogsatSVFA_KVFA_FERM</vt:lpstr>
      <vt:lpstr>L_ogsatSVFA_KVFA_OHO_SNO2</vt:lpstr>
      <vt:lpstr>L_ogsatXHET_HYD_lim</vt:lpstr>
      <vt:lpstr>L_ogsatXPP_KPO4_PAO</vt:lpstr>
      <vt:lpstr>L_ogslopeCO2_AMX_pH</vt:lpstr>
      <vt:lpstr>L_ogslopeCO2_AOB_pH</vt:lpstr>
      <vt:lpstr>L_ogslopeCO2_NOB_pH</vt:lpstr>
      <vt:lpstr>L_ogslopeKMEOL_SNO2</vt:lpstr>
      <vt:lpstr>L_ogslopeKSNO3</vt:lpstr>
      <vt:lpstr>L_ogslopeKSNO3_MEOLO</vt:lpstr>
      <vt:lpstr>L_ogslopeKVFA_SNO2</vt:lpstr>
      <vt:lpstr>L_ogslopeNH3_AMETO_pH</vt:lpstr>
      <vt:lpstr>L_ogslopeP_HAO_DISS</vt:lpstr>
      <vt:lpstr>L_ogslopeP_HFO_DISS</vt:lpstr>
      <vt:lpstr>L_ogslopePHA_GAO_inh</vt:lpstr>
      <vt:lpstr>L_ogslopePHA_PAO_inh</vt:lpstr>
      <vt:lpstr>L_ogslopePO4_PAO_sat</vt:lpstr>
      <vt:lpstr>L_ogslopePP_PAO_inh</vt:lpstr>
      <vt:lpstr>L_ogslopePP_PAO_sat</vt:lpstr>
      <vt:lpstr>L_ogslopeSNO3</vt:lpstr>
      <vt:lpstr>L_ogslopeVFA_FERM</vt:lpstr>
      <vt:lpstr>L_ogslopeXHET_HYD_lim</vt:lpstr>
      <vt:lpstr>M_inhH2S_KiH2S_ASRO</vt:lpstr>
      <vt:lpstr>M_inhH2S_KiH2S_HSRO</vt:lpstr>
      <vt:lpstr>M_inhpHHNO2_AMX</vt:lpstr>
      <vt:lpstr>M_inhpHHNO2_AOB</vt:lpstr>
      <vt:lpstr>M_inhpHNH3_NOB</vt:lpstr>
      <vt:lpstr>M_inhSH2S_KiH2S_SOO</vt:lpstr>
      <vt:lpstr>M_inhSNHx_KiNHx_ALGAE</vt:lpstr>
      <vt:lpstr>M_inhSNHx_KiNHx_ASSIM</vt:lpstr>
      <vt:lpstr>M_inhSNO2_KNO2_ASSIM</vt:lpstr>
      <vt:lpstr>M_inhSNO2_KNO2_CASTO</vt:lpstr>
      <vt:lpstr>M_inhSNO2_KNO2_H2S_SOO</vt:lpstr>
      <vt:lpstr>M_inhSNO2_KNO2_MEOLO</vt:lpstr>
      <vt:lpstr>M_inhSNO2_KNO2_OHO</vt:lpstr>
      <vt:lpstr>M_inhSNO2_KNO2_S_SOO</vt:lpstr>
      <vt:lpstr>M_inhSNO3_KNO3_CASTO</vt:lpstr>
      <vt:lpstr>M_inhSNO3_KNO3_H2S_SOO</vt:lpstr>
      <vt:lpstr>M_inhSNO3_KNO3_MEOLO</vt:lpstr>
      <vt:lpstr>M_inhSNO3_KNO3_OHO</vt:lpstr>
      <vt:lpstr>M_inhSNOx_KNO3_AMETO</vt:lpstr>
      <vt:lpstr>M_inhSNOx_KNO3_HMETO</vt:lpstr>
      <vt:lpstr>M_inhSNOx_KNOx_AMX</vt:lpstr>
      <vt:lpstr>M_inhSNOx_KNOx_AOB</vt:lpstr>
      <vt:lpstr>M_inhSNOx_KNOx_ASRO</vt:lpstr>
      <vt:lpstr>M_inhSNOx_KNOx_HSRO</vt:lpstr>
      <vt:lpstr>M_inhSNOx_KNOx_NOB</vt:lpstr>
      <vt:lpstr>M_inhSO2_KiO2_AMETO</vt:lpstr>
      <vt:lpstr>M_inhSO2_KiO2_AMX</vt:lpstr>
      <vt:lpstr>M_inhSO2_KiO2_ASRO</vt:lpstr>
      <vt:lpstr>M_inhSO2_KiO2_HMETO</vt:lpstr>
      <vt:lpstr>M_inhSO2_KiO2_HSRO</vt:lpstr>
      <vt:lpstr>M_inhSO2_KiO2_MEOLO</vt:lpstr>
      <vt:lpstr>M_inhSO2_KO2_ALGAE</vt:lpstr>
      <vt:lpstr>M_inhSO2_KO2_AOB</vt:lpstr>
      <vt:lpstr>M_inhSO2_KO2_CASTO</vt:lpstr>
      <vt:lpstr>M_inhSO2_KO2_H2S_SOO</vt:lpstr>
      <vt:lpstr>M_inhSO2_KO2_NOB</vt:lpstr>
      <vt:lpstr>M_inhSO2_KO2_OHO</vt:lpstr>
      <vt:lpstr>M_inhSO2_KO2_S_SOO</vt:lpstr>
      <vt:lpstr>M_inhSPO4_KiP_HAO_DESORP</vt:lpstr>
      <vt:lpstr>M_inhSPO4_KiP_HFO_DESORP</vt:lpstr>
      <vt:lpstr>M_inhSPO4_KiPO4_lim</vt:lpstr>
      <vt:lpstr>M_inhSSO4_KiSO4_ASSIM</vt:lpstr>
      <vt:lpstr>M_inhSSO4_KiSO4_RED</vt:lpstr>
      <vt:lpstr>M_inhSVFA_KVFA</vt:lpstr>
      <vt:lpstr>M_MACP</vt:lpstr>
      <vt:lpstr>M_Mair</vt:lpstr>
      <vt:lpstr>M_MAl2SO43</vt:lpstr>
      <vt:lpstr>M_MAlCl3</vt:lpstr>
      <vt:lpstr>M_MAlOH3</vt:lpstr>
      <vt:lpstr>M_MAlPO4</vt:lpstr>
      <vt:lpstr>M_MBSH</vt:lpstr>
      <vt:lpstr>M_MCaCl2</vt:lpstr>
      <vt:lpstr>M_MCaCO3</vt:lpstr>
      <vt:lpstr>M_MCaH2PO4</vt:lpstr>
      <vt:lpstr>M_MCaHCO3</vt:lpstr>
      <vt:lpstr>M_MCaHPO4</vt:lpstr>
      <vt:lpstr>M_MCaOH</vt:lpstr>
      <vt:lpstr>M_MCaOH2</vt:lpstr>
      <vt:lpstr>M_MCaPO4</vt:lpstr>
      <vt:lpstr>M_MCH3COOH</vt:lpstr>
      <vt:lpstr>M_MCH3OH</vt:lpstr>
      <vt:lpstr>M_MCO2</vt:lpstr>
      <vt:lpstr>M_MCO3</vt:lpstr>
      <vt:lpstr>M_MEQ_GCH4</vt:lpstr>
      <vt:lpstr>M_MEQ_GCO2</vt:lpstr>
      <vt:lpstr>M_MEQ_GH2</vt:lpstr>
      <vt:lpstr>M_MEQ_GH2S</vt:lpstr>
      <vt:lpstr>M_MEQ_GN2</vt:lpstr>
      <vt:lpstr>M_MEQ_GN2O</vt:lpstr>
      <vt:lpstr>M_MEQ_GNH3</vt:lpstr>
      <vt:lpstr>M_MEQ_GNO</vt:lpstr>
      <vt:lpstr>M_MEQ_GO2</vt:lpstr>
      <vt:lpstr>M_MFe2O3</vt:lpstr>
      <vt:lpstr>M_MFe2SO43</vt:lpstr>
      <vt:lpstr>M_MFeCl2</vt:lpstr>
      <vt:lpstr>M_MFeCl3</vt:lpstr>
      <vt:lpstr>M_MFeOH3</vt:lpstr>
      <vt:lpstr>M_MFeS</vt:lpstr>
      <vt:lpstr>M_MFeSO4</vt:lpstr>
      <vt:lpstr>M_MGCH4</vt:lpstr>
      <vt:lpstr>M_MGCO2</vt:lpstr>
      <vt:lpstr>M_MGH2</vt:lpstr>
      <vt:lpstr>M_MGH2S</vt:lpstr>
      <vt:lpstr>M_MGN2</vt:lpstr>
      <vt:lpstr>M_MGN2O</vt:lpstr>
      <vt:lpstr>M_MGNH3</vt:lpstr>
      <vt:lpstr>M_MGNO</vt:lpstr>
      <vt:lpstr>M_MGO2</vt:lpstr>
      <vt:lpstr>M_MH2CO3</vt:lpstr>
      <vt:lpstr>M_MH2O</vt:lpstr>
      <vt:lpstr>M_MH2S</vt:lpstr>
      <vt:lpstr>M_MH2SO4</vt:lpstr>
      <vt:lpstr>M_MH3PO4</vt:lpstr>
      <vt:lpstr>M_MHAP</vt:lpstr>
      <vt:lpstr>M_MHCl</vt:lpstr>
      <vt:lpstr>M_MHCO3</vt:lpstr>
      <vt:lpstr>M_MHDP</vt:lpstr>
      <vt:lpstr>M_MHNO3</vt:lpstr>
      <vt:lpstr>M_MHSO4</vt:lpstr>
      <vt:lpstr>M_MKNO2</vt:lpstr>
      <vt:lpstr>M_MKNO3</vt:lpstr>
      <vt:lpstr>M_MMgCO3</vt:lpstr>
      <vt:lpstr>M_MMgH2PO4</vt:lpstr>
      <vt:lpstr>M_MMgHCO3</vt:lpstr>
      <vt:lpstr>M_MMgHPO4</vt:lpstr>
      <vt:lpstr>M_MMgOH</vt:lpstr>
      <vt:lpstr>M_MMgOH2</vt:lpstr>
      <vt:lpstr>M_MMgPO4</vt:lpstr>
      <vt:lpstr>M_MMKP</vt:lpstr>
      <vt:lpstr>M_MMMC</vt:lpstr>
      <vt:lpstr>M_MN2</vt:lpstr>
      <vt:lpstr>M_MN2O</vt:lpstr>
      <vt:lpstr>M_MNa2CO3</vt:lpstr>
      <vt:lpstr>M_MNaCl</vt:lpstr>
      <vt:lpstr>M_MNaHCO3</vt:lpstr>
      <vt:lpstr>M_MNaHPO4</vt:lpstr>
      <vt:lpstr>M_MNaOH</vt:lpstr>
      <vt:lpstr>M_MNH3</vt:lpstr>
      <vt:lpstr>M_MNH4</vt:lpstr>
      <vt:lpstr>M_MNH4HCO3</vt:lpstr>
      <vt:lpstr>M_MNO</vt:lpstr>
      <vt:lpstr>M_MNO2</vt:lpstr>
      <vt:lpstr>M_MNO3</vt:lpstr>
      <vt:lpstr>M_MO2</vt:lpstr>
      <vt:lpstr>M_MPO4</vt:lpstr>
      <vt:lpstr>M_MSiO2</vt:lpstr>
      <vt:lpstr>M_MSO4</vt:lpstr>
      <vt:lpstr>M_MSTR</vt:lpstr>
      <vt:lpstr>M_MVivi</vt:lpstr>
      <vt:lpstr>M_RinhXPHA_XGAO_KPHA</vt:lpstr>
      <vt:lpstr>M_RinhXPHA_XPAO_KPHA_cle</vt:lpstr>
      <vt:lpstr>M_RinhXPP_XPAO_KPP</vt:lpstr>
      <vt:lpstr>M_RinhXSTC_XCASTO_KSTC</vt:lpstr>
      <vt:lpstr>M_RsatXB_XHET_KHYD</vt:lpstr>
      <vt:lpstr>M_RsatXBe_XHET_KHYD</vt:lpstr>
      <vt:lpstr>M_RsatXEana_XHET_KHYD</vt:lpstr>
      <vt:lpstr>M_RsatXPHA_XGAO_KPHA</vt:lpstr>
      <vt:lpstr>M_RsatXPHA_XPAO_KPHA</vt:lpstr>
      <vt:lpstr>M_RsatXPP_XPAO_KPP</vt:lpstr>
      <vt:lpstr>M_RsatXSTC_XCASTO_KSTC</vt:lpstr>
      <vt:lpstr>M_satCB_KCB_FLOC</vt:lpstr>
      <vt:lpstr>M_satCB_KCB_FLOC_HAO</vt:lpstr>
      <vt:lpstr>M_satCB_KCB_FLOC_HFO</vt:lpstr>
      <vt:lpstr>M_satCU_KCU_FLOC</vt:lpstr>
      <vt:lpstr>M_satCU_KCU_FLOC_HAO</vt:lpstr>
      <vt:lpstr>M_satCU_KCU_FLOC_HFO</vt:lpstr>
      <vt:lpstr>M_satSAN_KAN</vt:lpstr>
      <vt:lpstr>M_satSB_KSB</vt:lpstr>
      <vt:lpstr>M_satSB_KSB_ana</vt:lpstr>
      <vt:lpstr>M_satSCa_KCa</vt:lpstr>
      <vt:lpstr>M_satSCa_KCa_PAO</vt:lpstr>
      <vt:lpstr>M_satSCAT_KCAT</vt:lpstr>
      <vt:lpstr>M_satSCO2_KCO2_ALGAE</vt:lpstr>
      <vt:lpstr>M_satSCO2_KCO2_BIO</vt:lpstr>
      <vt:lpstr>M_satSH2_KH2_HMETO</vt:lpstr>
      <vt:lpstr>M_satSH2_KH2_HSRO</vt:lpstr>
      <vt:lpstr>M_satSH2S_KH2S_ASSIM</vt:lpstr>
      <vt:lpstr>M_satSK_KK_PAO</vt:lpstr>
      <vt:lpstr>M_satSMEOL_KMEOL</vt:lpstr>
      <vt:lpstr>M_satSMEOL_KMEOL_OHO</vt:lpstr>
      <vt:lpstr>M_satSMg_KMg</vt:lpstr>
      <vt:lpstr>M_satSMg_KMg_PAO</vt:lpstr>
      <vt:lpstr>M_satSNHx_KNHx_ALGAE</vt:lpstr>
      <vt:lpstr>M_satSNHx_KNHx_AMX</vt:lpstr>
      <vt:lpstr>M_satSNHx_KNHx_AOB</vt:lpstr>
      <vt:lpstr>M_satSNHx_KNHx_BIO</vt:lpstr>
      <vt:lpstr>M_satSNO2_KNO2_AMX</vt:lpstr>
      <vt:lpstr>M_satSNO2_KNO2_ASSIM</vt:lpstr>
      <vt:lpstr>M_satSNO2_KNO2_CASTO</vt:lpstr>
      <vt:lpstr>M_satSNO2_KNO2_H2S_SOO</vt:lpstr>
      <vt:lpstr>M_satSNO2_KNO2_MEOLO</vt:lpstr>
      <vt:lpstr>M_satSNO2_KNO2_NOB</vt:lpstr>
      <vt:lpstr>M_satSNO2_KNO2_OHO</vt:lpstr>
      <vt:lpstr>M_satSNO2_KNO2_S_SOO</vt:lpstr>
      <vt:lpstr>M_satSNO3_KNO3_ASSIM</vt:lpstr>
      <vt:lpstr>M_satSNO3_KNO3_CASTO</vt:lpstr>
      <vt:lpstr>M_satSNO3_KNO3_H2S_SOO</vt:lpstr>
      <vt:lpstr>M_satSNO3_KNO3_MEOLO</vt:lpstr>
      <vt:lpstr>M_satSNO3_KNO3_OHO</vt:lpstr>
      <vt:lpstr>M_satSNO3_KNO3_S_SOO</vt:lpstr>
      <vt:lpstr>M_satSNOx_KNO3_AMETO</vt:lpstr>
      <vt:lpstr>M_satSNOx_KNO3_HMETO</vt:lpstr>
      <vt:lpstr>M_satSNOx_KNOx_ALGAE</vt:lpstr>
      <vt:lpstr>M_satSNOx_KNOx_AMX</vt:lpstr>
      <vt:lpstr>M_satSNOx_KNOx_AOB</vt:lpstr>
      <vt:lpstr>M_satSNOx_KNOx_ASRO</vt:lpstr>
      <vt:lpstr>M_satSNOx_KNOx_HSRO</vt:lpstr>
      <vt:lpstr>M_satSNOx_KNOx_NOB</vt:lpstr>
      <vt:lpstr>M_satSO2_KiO2_AMETO</vt:lpstr>
      <vt:lpstr>M_satSO2_KiO2_AMX</vt:lpstr>
      <vt:lpstr>M_satSO2_KiO2_ASRO</vt:lpstr>
      <vt:lpstr>M_satSO2_KiO2_HMETO</vt:lpstr>
      <vt:lpstr>M_satSO2_KiO2_HSRO</vt:lpstr>
      <vt:lpstr>M_satSO2_KiO2_MEOLO</vt:lpstr>
      <vt:lpstr>M_satSO2_KO2_ALGAE</vt:lpstr>
      <vt:lpstr>M_satSO2_KO2_AOB</vt:lpstr>
      <vt:lpstr>M_satSO2_KO2_CASTO</vt:lpstr>
      <vt:lpstr>M_satSO2_KO2_H2S_SOO</vt:lpstr>
      <vt:lpstr>M_satSO2_KO2_NOB</vt:lpstr>
      <vt:lpstr>M_satSO2_KO2_OHO</vt:lpstr>
      <vt:lpstr>M_satSO2_KO2_S_SOO</vt:lpstr>
      <vt:lpstr>M_satSO4_KSO4_ASRO</vt:lpstr>
      <vt:lpstr>M_satSO4_KSO4_HSRO</vt:lpstr>
      <vt:lpstr>M_satSPO4_KP_HAO_BIND</vt:lpstr>
      <vt:lpstr>M_satSPO4_KP_HFO_BIND</vt:lpstr>
      <vt:lpstr>M_satSPO4_KPO4_BIO</vt:lpstr>
      <vt:lpstr>M_satSPO4_KPO4_PAO</vt:lpstr>
      <vt:lpstr>M_satSSO4_KSO4_BIO</vt:lpstr>
      <vt:lpstr>M_satSVFA_KVFA</vt:lpstr>
      <vt:lpstr>M_satSVFA_KVFA_ASRO</vt:lpstr>
      <vt:lpstr>M_satSVFA_KVFA_CASTO</vt:lpstr>
      <vt:lpstr>M_satTKNB_KTKNB</vt:lpstr>
      <vt:lpstr>M_satXACP_KACP_DISS</vt:lpstr>
      <vt:lpstr>M_satXB_KXB_HYD</vt:lpstr>
      <vt:lpstr>M_satXBe_KXBe_HYD</vt:lpstr>
      <vt:lpstr>M_satXBSH_KBSH_DISS</vt:lpstr>
      <vt:lpstr>M_satXCaCO3_KCaCO3_DISS</vt:lpstr>
      <vt:lpstr>M_satXEana_KXEana_HYD</vt:lpstr>
      <vt:lpstr>M_satXFeS_KFeS_DISS</vt:lpstr>
      <vt:lpstr>M_satXPP_KPP_lim</vt:lpstr>
      <vt:lpstr>M_satXS_KS_SOO</vt:lpstr>
      <vt:lpstr>M_satXSTR_KSTR_DISS</vt:lpstr>
      <vt:lpstr>M_satXU_KXU</vt:lpstr>
      <vt:lpstr>M_satXVivi_KVivi_DISS</vt:lpstr>
      <vt:lpstr>m_tox_aer</vt:lpstr>
      <vt:lpstr>m_tox_ana</vt:lpstr>
      <vt:lpstr>m_tox_ana_max</vt:lpstr>
      <vt:lpstr>m_tox_anox</vt:lpstr>
      <vt:lpstr>N_2UR</vt:lpstr>
      <vt:lpstr>N_3UR</vt:lpstr>
      <vt:lpstr>n_H2S_odor</vt:lpstr>
      <vt:lpstr>N_OUR</vt:lpstr>
      <vt:lpstr>N_URAMX</vt:lpstr>
      <vt:lpstr>O_dorH2S</vt:lpstr>
      <vt:lpstr>O_dorindex</vt:lpstr>
      <vt:lpstr>O_dorMM</vt:lpstr>
      <vt:lpstr>o_ffsetORPswitch</vt:lpstr>
      <vt:lpstr>O_RP</vt:lpstr>
      <vt:lpstr>O_RPana</vt:lpstr>
      <vt:lpstr>O_RPbase</vt:lpstr>
      <vt:lpstr>O_RPmax_SNOx</vt:lpstr>
      <vt:lpstr>O_RPmax_SO2</vt:lpstr>
      <vt:lpstr>O_RPNOx</vt:lpstr>
      <vt:lpstr>O_RPO2</vt:lpstr>
      <vt:lpstr>O_UR</vt:lpstr>
      <vt:lpstr>p_H</vt:lpstr>
      <vt:lpstr>p_Hfield</vt:lpstr>
      <vt:lpstr>p_Hhigh</vt:lpstr>
      <vt:lpstr>p_Hhigh_AMETO</vt:lpstr>
      <vt:lpstr>p_Hhigh_AOB</vt:lpstr>
      <vt:lpstr>p_Hhigh_FLOC_HAO</vt:lpstr>
      <vt:lpstr>p_Hhigh_FLOC_HFO</vt:lpstr>
      <vt:lpstr>p_Hhigh_HMETO</vt:lpstr>
      <vt:lpstr>p_Hhigh_NOB</vt:lpstr>
      <vt:lpstr>p_Hlow</vt:lpstr>
      <vt:lpstr>p_Hlow_AMETO</vt:lpstr>
      <vt:lpstr>p_Hlow_AOB</vt:lpstr>
      <vt:lpstr>p_Hlow_FLOC_HAO</vt:lpstr>
      <vt:lpstr>p_Hlow_FLOC_HFO</vt:lpstr>
      <vt:lpstr>p_Hlow_HMETO</vt:lpstr>
      <vt:lpstr>p_Hlow_NOB</vt:lpstr>
      <vt:lpstr>p_i</vt:lpstr>
      <vt:lpstr>p_NTP</vt:lpstr>
      <vt:lpstr>p_owdamp_ALPHA</vt:lpstr>
      <vt:lpstr>P_recipDrivingForceACP</vt:lpstr>
      <vt:lpstr>P_recipDrivingForceBSH</vt:lpstr>
      <vt:lpstr>P_recipDrivingForceCaCO3</vt:lpstr>
      <vt:lpstr>P_recipDrivingForceFeS</vt:lpstr>
      <vt:lpstr>P_recipDrivingForceSTR</vt:lpstr>
      <vt:lpstr>P_recipDrivingForceVivi</vt:lpstr>
      <vt:lpstr>P_RR</vt:lpstr>
      <vt:lpstr>p_STP</vt:lpstr>
      <vt:lpstr>P_UR</vt:lpstr>
      <vt:lpstr>P_URBIO</vt:lpstr>
      <vt:lpstr>P_URBIOP</vt:lpstr>
      <vt:lpstr>P_URCHEM</vt:lpstr>
      <vt:lpstr>q_ACP</vt:lpstr>
      <vt:lpstr>q_ACP_DISS</vt:lpstr>
      <vt:lpstr>q_ACP_PREC</vt:lpstr>
      <vt:lpstr>q_ALPHA</vt:lpstr>
      <vt:lpstr>q_ALPHA_O2</vt:lpstr>
      <vt:lpstr>q_AMMON</vt:lpstr>
      <vt:lpstr>q_AMMON_T</vt:lpstr>
      <vt:lpstr>q_ASSIM</vt:lpstr>
      <vt:lpstr>q_ASSIM_T</vt:lpstr>
      <vt:lpstr>q_BSH</vt:lpstr>
      <vt:lpstr>q_BSH_DISS</vt:lpstr>
      <vt:lpstr>q_BSH_PREC</vt:lpstr>
      <vt:lpstr>q_CaCO3</vt:lpstr>
      <vt:lpstr>q_CaCO3_DISS</vt:lpstr>
      <vt:lpstr>q_CaCO3_PREC</vt:lpstr>
      <vt:lpstr>q_Fe2_OX</vt:lpstr>
      <vt:lpstr>q_Fe2_OX_T</vt:lpstr>
      <vt:lpstr>q_FeS</vt:lpstr>
      <vt:lpstr>q_FeS_DISS</vt:lpstr>
      <vt:lpstr>q_FeS_OX</vt:lpstr>
      <vt:lpstr>q_FeS_OX_T</vt:lpstr>
      <vt:lpstr>q_FeS_PREC</vt:lpstr>
      <vt:lpstr>q_FLOC</vt:lpstr>
      <vt:lpstr>q_FLOC_HAO</vt:lpstr>
      <vt:lpstr>q_FLOC_HAO_T</vt:lpstr>
      <vt:lpstr>q_FLOC_HFO</vt:lpstr>
      <vt:lpstr>q_FLOC_HFO_T</vt:lpstr>
      <vt:lpstr>q_FLOC_T</vt:lpstr>
      <vt:lpstr>q_GAO_PHA</vt:lpstr>
      <vt:lpstr>q_GAO_PHA_T</vt:lpstr>
      <vt:lpstr>q_H2S_OX</vt:lpstr>
      <vt:lpstr>q_HAO_DISS</vt:lpstr>
      <vt:lpstr>q_HAOH_AGING</vt:lpstr>
      <vt:lpstr>q_HAOH_DESORP</vt:lpstr>
      <vt:lpstr>q_HAOL_AGING</vt:lpstr>
      <vt:lpstr>q_HAOL_DESORP</vt:lpstr>
      <vt:lpstr>q_HFO_DISS</vt:lpstr>
      <vt:lpstr>q_HFO_H2S_RED</vt:lpstr>
      <vt:lpstr>q_HFO_H2S_RED_T</vt:lpstr>
      <vt:lpstr>q_HFO_RED</vt:lpstr>
      <vt:lpstr>q_HFO_RED_T</vt:lpstr>
      <vt:lpstr>q_HFOH_AGING</vt:lpstr>
      <vt:lpstr>q_HFOH_DESORP</vt:lpstr>
      <vt:lpstr>q_HFOL_AGING</vt:lpstr>
      <vt:lpstr>q_HFOL_DESORP</vt:lpstr>
      <vt:lpstr>q_HYD_XB</vt:lpstr>
      <vt:lpstr>q_HYD_XB_T</vt:lpstr>
      <vt:lpstr>q_HYD_XBe</vt:lpstr>
      <vt:lpstr>q_HYD_XBe_T</vt:lpstr>
      <vt:lpstr>q_MEOL</vt:lpstr>
      <vt:lpstr>q_MM_DEGR</vt:lpstr>
      <vt:lpstr>q_MM_PROD</vt:lpstr>
      <vt:lpstr>q_P_HAO_BIND</vt:lpstr>
      <vt:lpstr>q_P_HAO_COPREC</vt:lpstr>
      <vt:lpstr>q_P_HFO_BIND</vt:lpstr>
      <vt:lpstr>q_P_HFO_COPREC</vt:lpstr>
      <vt:lpstr>q_PAO_PHA</vt:lpstr>
      <vt:lpstr>q_PAO_PHA_T</vt:lpstr>
      <vt:lpstr>q_PAO_PP</vt:lpstr>
      <vt:lpstr>q_PAO_PP_T</vt:lpstr>
      <vt:lpstr>q_PFOA_SORP</vt:lpstr>
      <vt:lpstr>q_PFOS_SORP</vt:lpstr>
      <vt:lpstr>q_S_OX</vt:lpstr>
      <vt:lpstr>q_SPB</vt:lpstr>
      <vt:lpstr>q_SPB_T</vt:lpstr>
      <vt:lpstr>q_STR</vt:lpstr>
      <vt:lpstr>q_STR_DISS</vt:lpstr>
      <vt:lpstr>q_STR_PREC</vt:lpstr>
      <vt:lpstr>q_Vivi</vt:lpstr>
      <vt:lpstr>q_Vivi_DISS</vt:lpstr>
      <vt:lpstr>q_Vivi_PREC</vt:lpstr>
      <vt:lpstr>q_XE</vt:lpstr>
      <vt:lpstr>q_XE_T</vt:lpstr>
      <vt:lpstr>q_XU</vt:lpstr>
      <vt:lpstr>q_XU_T</vt:lpstr>
      <vt:lpstr>R__</vt:lpstr>
      <vt:lpstr>r_1</vt:lpstr>
      <vt:lpstr>r_10</vt:lpstr>
      <vt:lpstr>r_100</vt:lpstr>
      <vt:lpstr>r_101</vt:lpstr>
      <vt:lpstr>r_102</vt:lpstr>
      <vt:lpstr>r_103</vt:lpstr>
      <vt:lpstr>r_104</vt:lpstr>
      <vt:lpstr>r_105</vt:lpstr>
      <vt:lpstr>r_106</vt:lpstr>
      <vt:lpstr>r_107</vt:lpstr>
      <vt:lpstr>r_108</vt:lpstr>
      <vt:lpstr>r_109</vt:lpstr>
      <vt:lpstr>r_11</vt:lpstr>
      <vt:lpstr>r_110</vt:lpstr>
      <vt:lpstr>r_111</vt:lpstr>
      <vt:lpstr>r_112</vt:lpstr>
      <vt:lpstr>r_113</vt:lpstr>
      <vt:lpstr>r_114</vt:lpstr>
      <vt:lpstr>r_115</vt:lpstr>
      <vt:lpstr>r_116</vt:lpstr>
      <vt:lpstr>r_117</vt:lpstr>
      <vt:lpstr>r_118</vt:lpstr>
      <vt:lpstr>r_119</vt:lpstr>
      <vt:lpstr>r_12</vt:lpstr>
      <vt:lpstr>r_120</vt:lpstr>
      <vt:lpstr>r_121</vt:lpstr>
      <vt:lpstr>r_122</vt:lpstr>
      <vt:lpstr>r_123</vt:lpstr>
      <vt:lpstr>r_124</vt:lpstr>
      <vt:lpstr>r_125</vt:lpstr>
      <vt:lpstr>r_126</vt:lpstr>
      <vt:lpstr>r_127</vt:lpstr>
      <vt:lpstr>r_128</vt:lpstr>
      <vt:lpstr>r_129</vt:lpstr>
      <vt:lpstr>r_13</vt:lpstr>
      <vt:lpstr>r_130</vt:lpstr>
      <vt:lpstr>r_14</vt:lpstr>
      <vt:lpstr>r_15</vt:lpstr>
      <vt:lpstr>r_16</vt:lpstr>
      <vt:lpstr>r_17</vt:lpstr>
      <vt:lpstr>r_18</vt:lpstr>
      <vt:lpstr>r_19</vt:lpstr>
      <vt:lpstr>r_2</vt:lpstr>
      <vt:lpstr>r_20</vt:lpstr>
      <vt:lpstr>r_21</vt:lpstr>
      <vt:lpstr>r_22</vt:lpstr>
      <vt:lpstr>r_23</vt:lpstr>
      <vt:lpstr>r_24</vt:lpstr>
      <vt:lpstr>r_25</vt:lpstr>
      <vt:lpstr>r_26</vt:lpstr>
      <vt:lpstr>r_27</vt:lpstr>
      <vt:lpstr>r_28</vt:lpstr>
      <vt:lpstr>r_29</vt:lpstr>
      <vt:lpstr>r_3</vt:lpstr>
      <vt:lpstr>r_30</vt:lpstr>
      <vt:lpstr>r_31</vt:lpstr>
      <vt:lpstr>r_32</vt:lpstr>
      <vt:lpstr>r_33</vt:lpstr>
      <vt:lpstr>r_34</vt:lpstr>
      <vt:lpstr>r_35</vt:lpstr>
      <vt:lpstr>r_36</vt:lpstr>
      <vt:lpstr>r_37</vt:lpstr>
      <vt:lpstr>r_38</vt:lpstr>
      <vt:lpstr>r_39</vt:lpstr>
      <vt:lpstr>r_4</vt:lpstr>
      <vt:lpstr>r_40</vt:lpstr>
      <vt:lpstr>r_41</vt:lpstr>
      <vt:lpstr>r_42</vt:lpstr>
      <vt:lpstr>r_43</vt:lpstr>
      <vt:lpstr>r_44</vt:lpstr>
      <vt:lpstr>r_45</vt:lpstr>
      <vt:lpstr>r_46</vt:lpstr>
      <vt:lpstr>r_47</vt:lpstr>
      <vt:lpstr>r_48</vt:lpstr>
      <vt:lpstr>r_49</vt:lpstr>
      <vt:lpstr>r_5</vt:lpstr>
      <vt:lpstr>r_50</vt:lpstr>
      <vt:lpstr>r_51</vt:lpstr>
      <vt:lpstr>r_52</vt:lpstr>
      <vt:lpstr>r_53</vt:lpstr>
      <vt:lpstr>r_54</vt:lpstr>
      <vt:lpstr>r_55</vt:lpstr>
      <vt:lpstr>r_56</vt:lpstr>
      <vt:lpstr>r_57</vt:lpstr>
      <vt:lpstr>r_58</vt:lpstr>
      <vt:lpstr>r_59</vt:lpstr>
      <vt:lpstr>r_6</vt:lpstr>
      <vt:lpstr>r_60</vt:lpstr>
      <vt:lpstr>r_61</vt:lpstr>
      <vt:lpstr>r_62</vt:lpstr>
      <vt:lpstr>r_63</vt:lpstr>
      <vt:lpstr>r_64</vt:lpstr>
      <vt:lpstr>r_65</vt:lpstr>
      <vt:lpstr>r_66</vt:lpstr>
      <vt:lpstr>r_67</vt:lpstr>
      <vt:lpstr>r_68</vt:lpstr>
      <vt:lpstr>r_69</vt:lpstr>
      <vt:lpstr>r_7</vt:lpstr>
      <vt:lpstr>r_70</vt:lpstr>
      <vt:lpstr>r_71</vt:lpstr>
      <vt:lpstr>r_72</vt:lpstr>
      <vt:lpstr>r_73</vt:lpstr>
      <vt:lpstr>r_74</vt:lpstr>
      <vt:lpstr>r_75</vt:lpstr>
      <vt:lpstr>r_76</vt:lpstr>
      <vt:lpstr>r_77</vt:lpstr>
      <vt:lpstr>r_78</vt:lpstr>
      <vt:lpstr>r_79</vt:lpstr>
      <vt:lpstr>r_8</vt:lpstr>
      <vt:lpstr>r_80</vt:lpstr>
      <vt:lpstr>r_81</vt:lpstr>
      <vt:lpstr>r_82</vt:lpstr>
      <vt:lpstr>r_83</vt:lpstr>
      <vt:lpstr>r_84</vt:lpstr>
      <vt:lpstr>r_85</vt:lpstr>
      <vt:lpstr>r_86</vt:lpstr>
      <vt:lpstr>r_87</vt:lpstr>
      <vt:lpstr>r_88</vt:lpstr>
      <vt:lpstr>r_89</vt:lpstr>
      <vt:lpstr>r_9</vt:lpstr>
      <vt:lpstr>r_90</vt:lpstr>
      <vt:lpstr>r_91</vt:lpstr>
      <vt:lpstr>r_92</vt:lpstr>
      <vt:lpstr>r_93</vt:lpstr>
      <vt:lpstr>r_94</vt:lpstr>
      <vt:lpstr>r_95</vt:lpstr>
      <vt:lpstr>r_96</vt:lpstr>
      <vt:lpstr>r_97</vt:lpstr>
      <vt:lpstr>r_98</vt:lpstr>
      <vt:lpstr>r_99</vt:lpstr>
      <vt:lpstr>R_air</vt:lpstr>
      <vt:lpstr>r_ate_DiffAer_ox_transf</vt:lpstr>
      <vt:lpstr>r_ate_Hbio</vt:lpstr>
      <vt:lpstr>r_ate_SCO2_ALGAE</vt:lpstr>
      <vt:lpstr>r_ate_SCO2_Hydrolysis</vt:lpstr>
      <vt:lpstr>r_ate_SCO2_NITOs</vt:lpstr>
      <vt:lpstr>r_ate_SCO2_OHOs</vt:lpstr>
      <vt:lpstr>r_ate_SCO2_Precipitation</vt:lpstr>
      <vt:lpstr>r_ate_SCO2_stripping</vt:lpstr>
      <vt:lpstr>r_ate_SNHx_ALGAE</vt:lpstr>
      <vt:lpstr>r_ate_SNHx_Hydrolysis</vt:lpstr>
      <vt:lpstr>r_ate_SNHx_NITOs</vt:lpstr>
      <vt:lpstr>r_ate_SNHx_OHOs</vt:lpstr>
      <vt:lpstr>r_ate_SNHx_stripping</vt:lpstr>
      <vt:lpstr>r_ate_SNOx_ALGAE</vt:lpstr>
      <vt:lpstr>r_ate_SNOx_NITOs</vt:lpstr>
      <vt:lpstr>r_ate_SNOx_OHOs</vt:lpstr>
      <vt:lpstr>r_ate_SO2_aerator</vt:lpstr>
      <vt:lpstr>r_ate_SO2_ALGAE_resp</vt:lpstr>
      <vt:lpstr>r_ate_SO2_C_oxidation</vt:lpstr>
      <vt:lpstr>r_ate_SO2_Fe_oxidation</vt:lpstr>
      <vt:lpstr>r_ate_SO2_nitrif</vt:lpstr>
      <vt:lpstr>r_ate_SO2_photosynt</vt:lpstr>
      <vt:lpstr>r_ate_SO2_sur</vt:lpstr>
      <vt:lpstr>r_ate_SPO4_ALGAE</vt:lpstr>
      <vt:lpstr>r_ate_SPO4_Hydrolysis</vt:lpstr>
      <vt:lpstr>r_ate_SPO4_NITOs</vt:lpstr>
      <vt:lpstr>r_ate_SPO4_OHOs</vt:lpstr>
      <vt:lpstr>r_ate_SPO4_Precipitation</vt:lpstr>
      <vt:lpstr>r_ate_SurfAer_ox_transf</vt:lpstr>
      <vt:lpstr>r_ate_TCOD_autotrophs</vt:lpstr>
      <vt:lpstr>r_ate_TCOD_oxydation_NO3</vt:lpstr>
      <vt:lpstr>r_ate_TCOD_oxydation_O2</vt:lpstr>
      <vt:lpstr>r_ate_TCOD_photosynt</vt:lpstr>
      <vt:lpstr>r_ate_TCOD_stripping</vt:lpstr>
      <vt:lpstr>r_ate_TN_denit</vt:lpstr>
      <vt:lpstr>r_ate_TS_stripping</vt:lpstr>
      <vt:lpstr>r_ateFLOC_CB_polymer</vt:lpstr>
      <vt:lpstr>r_ateFLOC_CU_polymer</vt:lpstr>
      <vt:lpstr>r_ategas_transfer</vt:lpstr>
      <vt:lpstr>r_atioAAR_rbCODDR</vt:lpstr>
      <vt:lpstr>r_atioVSS_TSS</vt:lpstr>
      <vt:lpstr>r_bCODDR</vt:lpstr>
      <vt:lpstr>r_transfer_MM_lim</vt:lpstr>
      <vt:lpstr>S_ALK</vt:lpstr>
      <vt:lpstr>S_ALK_calc</vt:lpstr>
      <vt:lpstr>S_ALK_input</vt:lpstr>
      <vt:lpstr>S_ALPHA</vt:lpstr>
      <vt:lpstr>S_ALPHA_sat</vt:lpstr>
      <vt:lpstr>S_AN</vt:lpstr>
      <vt:lpstr>S_AN_ini</vt:lpstr>
      <vt:lpstr>S_B</vt:lpstr>
      <vt:lpstr>S_BOD_5</vt:lpstr>
      <vt:lpstr>S_BOD_ult</vt:lpstr>
      <vt:lpstr>S_Ca</vt:lpstr>
      <vt:lpstr>S_CAT</vt:lpstr>
      <vt:lpstr>S_CAT_ini</vt:lpstr>
      <vt:lpstr>S_CCOD</vt:lpstr>
      <vt:lpstr>S_CH4</vt:lpstr>
      <vt:lpstr>S_CO2</vt:lpstr>
      <vt:lpstr>S_COD</vt:lpstr>
      <vt:lpstr>S_Fe2</vt:lpstr>
      <vt:lpstr>S_GCH4_bub_sat</vt:lpstr>
      <vt:lpstr>S_GCH4_sur_sat</vt:lpstr>
      <vt:lpstr>S_GCO2_bub_sat</vt:lpstr>
      <vt:lpstr>S_GCO2_sur_sat</vt:lpstr>
      <vt:lpstr>S_GH2_bub_sat</vt:lpstr>
      <vt:lpstr>S_GH2_sur_sat</vt:lpstr>
      <vt:lpstr>S_GH2S_bub_sat</vt:lpstr>
      <vt:lpstr>S_GH2S_sur_sat</vt:lpstr>
      <vt:lpstr>S_GN2_bub_sat</vt:lpstr>
      <vt:lpstr>S_GN2_sur_sat</vt:lpstr>
      <vt:lpstr>S_GNH3_bub_sat</vt:lpstr>
      <vt:lpstr>S_GNH3_sur_sat</vt:lpstr>
      <vt:lpstr>S_GO2_bub_sat</vt:lpstr>
      <vt:lpstr>S_GO2_sur_sat</vt:lpstr>
      <vt:lpstr>S_H</vt:lpstr>
      <vt:lpstr>S_H2</vt:lpstr>
      <vt:lpstr>S_H2S</vt:lpstr>
      <vt:lpstr>S_K</vt:lpstr>
      <vt:lpstr>S_KN</vt:lpstr>
      <vt:lpstr>s_lh_diff_α</vt:lpstr>
      <vt:lpstr>S_lopeIS_corr</vt:lpstr>
      <vt:lpstr>s_lORP_GAO_Half_T</vt:lpstr>
      <vt:lpstr>s_lTSS_α_coarse</vt:lpstr>
      <vt:lpstr>s_lTSS_α_def</vt:lpstr>
      <vt:lpstr>S_MEOL</vt:lpstr>
      <vt:lpstr>S_Mg</vt:lpstr>
      <vt:lpstr>S_MM_index</vt:lpstr>
      <vt:lpstr>S_N_B</vt:lpstr>
      <vt:lpstr>S_N2</vt:lpstr>
      <vt:lpstr>S_NHx</vt:lpstr>
      <vt:lpstr>S_NO2</vt:lpstr>
      <vt:lpstr>S_NO3</vt:lpstr>
      <vt:lpstr>S_NOx</vt:lpstr>
      <vt:lpstr>S_O2</vt:lpstr>
      <vt:lpstr>S_ORPswitch</vt:lpstr>
      <vt:lpstr>S_OTRaerator</vt:lpstr>
      <vt:lpstr>S_OTRsur</vt:lpstr>
      <vt:lpstr>S_OTRsur_min</vt:lpstr>
      <vt:lpstr>S_OxR</vt:lpstr>
      <vt:lpstr>S_P</vt:lpstr>
      <vt:lpstr>S_P_B</vt:lpstr>
      <vt:lpstr>S_PFOA</vt:lpstr>
      <vt:lpstr>S_PFOS</vt:lpstr>
      <vt:lpstr>S_PO4</vt:lpstr>
      <vt:lpstr>S_rbCOD</vt:lpstr>
      <vt:lpstr>S_RR</vt:lpstr>
      <vt:lpstr>S_SO4</vt:lpstr>
      <vt:lpstr>S_U</vt:lpstr>
      <vt:lpstr>S_U_N</vt:lpstr>
      <vt:lpstr>S_umo__MSatMin</vt:lpstr>
      <vt:lpstr>S_umo__pHEffects</vt:lpstr>
      <vt:lpstr>S_VFA</vt:lpstr>
      <vt:lpstr>T__</vt:lpstr>
      <vt:lpstr>T_Al</vt:lpstr>
      <vt:lpstr>T_base</vt:lpstr>
      <vt:lpstr>T_BOD_5</vt:lpstr>
      <vt:lpstr>T_BOD_ult</vt:lpstr>
      <vt:lpstr>T_Ca</vt:lpstr>
      <vt:lpstr>T_COD</vt:lpstr>
      <vt:lpstr>T_COD_Th</vt:lpstr>
      <vt:lpstr>T_Fe</vt:lpstr>
      <vt:lpstr>T_IN</vt:lpstr>
      <vt:lpstr>T_K</vt:lpstr>
      <vt:lpstr>T_KN</vt:lpstr>
      <vt:lpstr>T_KN_B</vt:lpstr>
      <vt:lpstr>T_Mg</vt:lpstr>
      <vt:lpstr>T_N</vt:lpstr>
      <vt:lpstr>T_NTP_K</vt:lpstr>
      <vt:lpstr>T_OC</vt:lpstr>
      <vt:lpstr>T_P</vt:lpstr>
      <vt:lpstr>T_PFOA</vt:lpstr>
      <vt:lpstr>T_PFOS</vt:lpstr>
      <vt:lpstr>T_S</vt:lpstr>
      <vt:lpstr>T_st_K</vt:lpstr>
      <vt:lpstr>T_STP_K</vt:lpstr>
      <vt:lpstr>v_1_CB</vt:lpstr>
      <vt:lpstr>v_1_CU</vt:lpstr>
      <vt:lpstr>v_1_GCH4</vt:lpstr>
      <vt:lpstr>v_1_GCH4_atm</vt:lpstr>
      <vt:lpstr>v_1_GCO2</vt:lpstr>
      <vt:lpstr>v_1_GCO2_atm</vt:lpstr>
      <vt:lpstr>v_1_GH2</vt:lpstr>
      <vt:lpstr>v_1_GH2_atm</vt:lpstr>
      <vt:lpstr>v_1_GH2S</vt:lpstr>
      <vt:lpstr>v_1_GH2S_atm</vt:lpstr>
      <vt:lpstr>v_1_GN2</vt:lpstr>
      <vt:lpstr>v_1_GN2_atm</vt:lpstr>
      <vt:lpstr>v_1_GNH3</vt:lpstr>
      <vt:lpstr>v_1_GNH3_atm</vt:lpstr>
      <vt:lpstr>v_1_GO2</vt:lpstr>
      <vt:lpstr>v_1_GO2_atm</vt:lpstr>
      <vt:lpstr>v_1_SALPHA</vt:lpstr>
      <vt:lpstr>v_1_SAN</vt:lpstr>
      <vt:lpstr>v_1_SB</vt:lpstr>
      <vt:lpstr>v_1_SCa</vt:lpstr>
      <vt:lpstr>v_1_SCAT</vt:lpstr>
      <vt:lpstr>v_1_SCH4</vt:lpstr>
      <vt:lpstr>v_1_SCO2</vt:lpstr>
      <vt:lpstr>v_1_SFe2</vt:lpstr>
      <vt:lpstr>v_1_SH</vt:lpstr>
      <vt:lpstr>v_1_SH2</vt:lpstr>
      <vt:lpstr>v_1_SH2S</vt:lpstr>
      <vt:lpstr>v_1_SK</vt:lpstr>
      <vt:lpstr>v_1_SMEOL</vt:lpstr>
      <vt:lpstr>v_1_SMg</vt:lpstr>
      <vt:lpstr>v_1_SMM_index</vt:lpstr>
      <vt:lpstr>v_1_SN_B</vt:lpstr>
      <vt:lpstr>v_1_SN2</vt:lpstr>
      <vt:lpstr>v_1_SNHx</vt:lpstr>
      <vt:lpstr>v_1_SNO2</vt:lpstr>
      <vt:lpstr>v_1_SNO3</vt:lpstr>
      <vt:lpstr>v_1_SO2</vt:lpstr>
      <vt:lpstr>v_1_SORPswitch</vt:lpstr>
      <vt:lpstr>v_1_SP_B</vt:lpstr>
      <vt:lpstr>v_1_SPFOA</vt:lpstr>
      <vt:lpstr>v_1_SPFOS</vt:lpstr>
      <vt:lpstr>v_1_SPO4</vt:lpstr>
      <vt:lpstr>v_1_SSO4</vt:lpstr>
      <vt:lpstr>v_1_SU</vt:lpstr>
      <vt:lpstr>v_1_SVFA</vt:lpstr>
      <vt:lpstr>v_1_XACP</vt:lpstr>
      <vt:lpstr>v_1_XALGAE</vt:lpstr>
      <vt:lpstr>v_1_XAMETO</vt:lpstr>
      <vt:lpstr>v_1_XAMX</vt:lpstr>
      <vt:lpstr>v_1_XAOB</vt:lpstr>
      <vt:lpstr>v_1_XASRO</vt:lpstr>
      <vt:lpstr>v_1_XB</vt:lpstr>
      <vt:lpstr>v_1_XB_e</vt:lpstr>
      <vt:lpstr>v_1_XBSH</vt:lpstr>
      <vt:lpstr>v_1_XCaCO3</vt:lpstr>
      <vt:lpstr>v_1_XCASTO</vt:lpstr>
      <vt:lpstr>v_1_XE</vt:lpstr>
      <vt:lpstr>v_1_XE_ana</vt:lpstr>
      <vt:lpstr>v_1_XFeS</vt:lpstr>
      <vt:lpstr>v_1_XHAO_H</vt:lpstr>
      <vt:lpstr>v_1_XHAO_H_P</vt:lpstr>
      <vt:lpstr>v_1_XHAO_H_P_old</vt:lpstr>
      <vt:lpstr>v_1_XHAO_L</vt:lpstr>
      <vt:lpstr>v_1_XHAO_L_P</vt:lpstr>
      <vt:lpstr>v_1_XHAO_L_P_old</vt:lpstr>
      <vt:lpstr>v_1_XHAO_old</vt:lpstr>
      <vt:lpstr>v_1_XHFO_H</vt:lpstr>
      <vt:lpstr>v_1_XHFO_H_P</vt:lpstr>
      <vt:lpstr>v_1_XHFO_H_P_old</vt:lpstr>
      <vt:lpstr>v_1_XHFO_L</vt:lpstr>
      <vt:lpstr>v_1_XHFO_L_P</vt:lpstr>
      <vt:lpstr>v_1_XHFO_L_P_old</vt:lpstr>
      <vt:lpstr>v_1_XHFO_old</vt:lpstr>
      <vt:lpstr>v_1_XHMETO</vt:lpstr>
      <vt:lpstr>v_1_XHSRO</vt:lpstr>
      <vt:lpstr>v_1_XINORG</vt:lpstr>
      <vt:lpstr>v_1_XMEOLO</vt:lpstr>
      <vt:lpstr>v_1_XN_B</vt:lpstr>
      <vt:lpstr>v_1_XN_Be</vt:lpstr>
      <vt:lpstr>v_1_XN_U</vt:lpstr>
      <vt:lpstr>v_1_XNOB</vt:lpstr>
      <vt:lpstr>v_1_XOHO</vt:lpstr>
      <vt:lpstr>v_1_XP_B</vt:lpstr>
      <vt:lpstr>v_1_XP_Be</vt:lpstr>
      <vt:lpstr>v_1_XP_U</vt:lpstr>
      <vt:lpstr>v_1_XPFOA</vt:lpstr>
      <vt:lpstr>v_1_XPFOS</vt:lpstr>
      <vt:lpstr>v_1_XPHA_GAO</vt:lpstr>
      <vt:lpstr>v_1_XPHA_PAO</vt:lpstr>
      <vt:lpstr>v_1_XPP</vt:lpstr>
      <vt:lpstr>v_1_XS</vt:lpstr>
      <vt:lpstr>v_1_XSOO</vt:lpstr>
      <vt:lpstr>v_1_XSTR</vt:lpstr>
      <vt:lpstr>v_1_XU</vt:lpstr>
      <vt:lpstr>v_1_XVivi</vt:lpstr>
      <vt:lpstr>v_10_CB</vt:lpstr>
      <vt:lpstr>v_10_CU</vt:lpstr>
      <vt:lpstr>v_10_GCH4</vt:lpstr>
      <vt:lpstr>v_10_GCH4_atm</vt:lpstr>
      <vt:lpstr>v_10_GCO2</vt:lpstr>
      <vt:lpstr>v_10_GCO2_atm</vt:lpstr>
      <vt:lpstr>v_10_GH2</vt:lpstr>
      <vt:lpstr>v_10_GH2_atm</vt:lpstr>
      <vt:lpstr>v_10_GH2S</vt:lpstr>
      <vt:lpstr>v_10_GH2S_atm</vt:lpstr>
      <vt:lpstr>v_10_GN2</vt:lpstr>
      <vt:lpstr>v_10_GN2_atm</vt:lpstr>
      <vt:lpstr>v_10_GNH3</vt:lpstr>
      <vt:lpstr>v_10_GNH3_atm</vt:lpstr>
      <vt:lpstr>v_10_GO2</vt:lpstr>
      <vt:lpstr>v_10_GO2_atm</vt:lpstr>
      <vt:lpstr>v_10_SALPHA</vt:lpstr>
      <vt:lpstr>v_10_SAN</vt:lpstr>
      <vt:lpstr>v_10_SB</vt:lpstr>
      <vt:lpstr>v_10_SCa</vt:lpstr>
      <vt:lpstr>v_10_SCAT</vt:lpstr>
      <vt:lpstr>v_10_SCH4</vt:lpstr>
      <vt:lpstr>v_10_SCO2</vt:lpstr>
      <vt:lpstr>v_10_SFe2</vt:lpstr>
      <vt:lpstr>v_10_SH</vt:lpstr>
      <vt:lpstr>v_10_SH2</vt:lpstr>
      <vt:lpstr>v_10_SH2S</vt:lpstr>
      <vt:lpstr>v_10_SK</vt:lpstr>
      <vt:lpstr>v_10_SMEOL</vt:lpstr>
      <vt:lpstr>v_10_SMg</vt:lpstr>
      <vt:lpstr>v_10_SMM_index</vt:lpstr>
      <vt:lpstr>v_10_SN_B</vt:lpstr>
      <vt:lpstr>v_10_SN2</vt:lpstr>
      <vt:lpstr>v_10_SNHx</vt:lpstr>
      <vt:lpstr>v_10_SNO2</vt:lpstr>
      <vt:lpstr>v_10_SNO3</vt:lpstr>
      <vt:lpstr>v_10_SO2</vt:lpstr>
      <vt:lpstr>v_10_SORPswitch</vt:lpstr>
      <vt:lpstr>v_10_SP_B</vt:lpstr>
      <vt:lpstr>v_10_SPFOA</vt:lpstr>
      <vt:lpstr>v_10_SPFOS</vt:lpstr>
      <vt:lpstr>v_10_SPO4</vt:lpstr>
      <vt:lpstr>v_10_SSO4</vt:lpstr>
      <vt:lpstr>v_10_SU</vt:lpstr>
      <vt:lpstr>v_10_SVFA</vt:lpstr>
      <vt:lpstr>v_10_XACP</vt:lpstr>
      <vt:lpstr>v_10_XALGAE</vt:lpstr>
      <vt:lpstr>v_10_XAMETO</vt:lpstr>
      <vt:lpstr>v_10_XAMX</vt:lpstr>
      <vt:lpstr>v_10_XAOB</vt:lpstr>
      <vt:lpstr>v_10_XASRO</vt:lpstr>
      <vt:lpstr>v_10_XB</vt:lpstr>
      <vt:lpstr>v_10_XB_e</vt:lpstr>
      <vt:lpstr>v_10_XBSH</vt:lpstr>
      <vt:lpstr>v_10_XCaCO3</vt:lpstr>
      <vt:lpstr>v_10_XCASTO</vt:lpstr>
      <vt:lpstr>v_10_XE</vt:lpstr>
      <vt:lpstr>v_10_XE_ana</vt:lpstr>
      <vt:lpstr>v_10_XFeS</vt:lpstr>
      <vt:lpstr>v_10_XHAO_H</vt:lpstr>
      <vt:lpstr>v_10_XHAO_H_P</vt:lpstr>
      <vt:lpstr>v_10_XHAO_H_P_old</vt:lpstr>
      <vt:lpstr>v_10_XHAO_L</vt:lpstr>
      <vt:lpstr>v_10_XHAO_L_P</vt:lpstr>
      <vt:lpstr>v_10_XHAO_L_P_old</vt:lpstr>
      <vt:lpstr>v_10_XHAO_old</vt:lpstr>
      <vt:lpstr>v_10_XHFO_H</vt:lpstr>
      <vt:lpstr>v_10_XHFO_H_P</vt:lpstr>
      <vt:lpstr>v_10_XHFO_H_P_old</vt:lpstr>
      <vt:lpstr>v_10_XHFO_L</vt:lpstr>
      <vt:lpstr>v_10_XHFO_L_P</vt:lpstr>
      <vt:lpstr>v_10_XHFO_L_P_old</vt:lpstr>
      <vt:lpstr>v_10_XHFO_old</vt:lpstr>
      <vt:lpstr>v_10_XHMETO</vt:lpstr>
      <vt:lpstr>v_10_XHSRO</vt:lpstr>
      <vt:lpstr>v_10_XINORG</vt:lpstr>
      <vt:lpstr>v_10_XMEOLO</vt:lpstr>
      <vt:lpstr>v_10_XN_B</vt:lpstr>
      <vt:lpstr>v_10_XN_Be</vt:lpstr>
      <vt:lpstr>v_10_XN_U</vt:lpstr>
      <vt:lpstr>v_10_XNOB</vt:lpstr>
      <vt:lpstr>v_10_XOHO</vt:lpstr>
      <vt:lpstr>v_10_XP_B</vt:lpstr>
      <vt:lpstr>v_10_XP_Be</vt:lpstr>
      <vt:lpstr>v_10_XP_U</vt:lpstr>
      <vt:lpstr>v_10_XPFOA</vt:lpstr>
      <vt:lpstr>v_10_XPFOS</vt:lpstr>
      <vt:lpstr>v_10_XPHA_GAO</vt:lpstr>
      <vt:lpstr>v_10_XPHA_PAO</vt:lpstr>
      <vt:lpstr>v_10_XPP</vt:lpstr>
      <vt:lpstr>v_10_XS</vt:lpstr>
      <vt:lpstr>v_10_XSOO</vt:lpstr>
      <vt:lpstr>v_10_XSTR</vt:lpstr>
      <vt:lpstr>v_10_XU</vt:lpstr>
      <vt:lpstr>v_10_XVivi</vt:lpstr>
      <vt:lpstr>v_100_CB</vt:lpstr>
      <vt:lpstr>v_100_CU</vt:lpstr>
      <vt:lpstr>v_100_GCH4</vt:lpstr>
      <vt:lpstr>v_100_GCH4_atm</vt:lpstr>
      <vt:lpstr>v_100_GCO2</vt:lpstr>
      <vt:lpstr>v_100_GCO2_atm</vt:lpstr>
      <vt:lpstr>v_100_GH2</vt:lpstr>
      <vt:lpstr>v_100_GH2_atm</vt:lpstr>
      <vt:lpstr>v_100_GH2S</vt:lpstr>
      <vt:lpstr>v_100_GH2S_atm</vt:lpstr>
      <vt:lpstr>v_100_GN2</vt:lpstr>
      <vt:lpstr>v_100_GN2_atm</vt:lpstr>
      <vt:lpstr>v_100_GNH3</vt:lpstr>
      <vt:lpstr>v_100_GNH3_atm</vt:lpstr>
      <vt:lpstr>v_100_GO2</vt:lpstr>
      <vt:lpstr>v_100_GO2_atm</vt:lpstr>
      <vt:lpstr>v_100_SALPHA</vt:lpstr>
      <vt:lpstr>v_100_SAN</vt:lpstr>
      <vt:lpstr>v_100_SB</vt:lpstr>
      <vt:lpstr>v_100_SCa</vt:lpstr>
      <vt:lpstr>v_100_SCAT</vt:lpstr>
      <vt:lpstr>v_100_SCH4</vt:lpstr>
      <vt:lpstr>v_100_SCO2</vt:lpstr>
      <vt:lpstr>v_100_SFe2</vt:lpstr>
      <vt:lpstr>v_100_SH</vt:lpstr>
      <vt:lpstr>v_100_SH2</vt:lpstr>
      <vt:lpstr>v_100_SH2S</vt:lpstr>
      <vt:lpstr>v_100_SK</vt:lpstr>
      <vt:lpstr>v_100_SMEOL</vt:lpstr>
      <vt:lpstr>v_100_SMg</vt:lpstr>
      <vt:lpstr>v_100_SMM_index</vt:lpstr>
      <vt:lpstr>v_100_SN_B</vt:lpstr>
      <vt:lpstr>v_100_SN2</vt:lpstr>
      <vt:lpstr>v_100_SNHx</vt:lpstr>
      <vt:lpstr>v_100_SNO2</vt:lpstr>
      <vt:lpstr>v_100_SNO3</vt:lpstr>
      <vt:lpstr>v_100_SO2</vt:lpstr>
      <vt:lpstr>v_100_SORPswitch</vt:lpstr>
      <vt:lpstr>v_100_SP_B</vt:lpstr>
      <vt:lpstr>v_100_SPFOA</vt:lpstr>
      <vt:lpstr>v_100_SPFOS</vt:lpstr>
      <vt:lpstr>v_100_SPO4</vt:lpstr>
      <vt:lpstr>v_100_SSO4</vt:lpstr>
      <vt:lpstr>v_100_SU</vt:lpstr>
      <vt:lpstr>v_100_SVFA</vt:lpstr>
      <vt:lpstr>v_100_XACP</vt:lpstr>
      <vt:lpstr>v_100_XALGAE</vt:lpstr>
      <vt:lpstr>v_100_XAMETO</vt:lpstr>
      <vt:lpstr>v_100_XAMX</vt:lpstr>
      <vt:lpstr>v_100_XAOB</vt:lpstr>
      <vt:lpstr>v_100_XASRO</vt:lpstr>
      <vt:lpstr>v_100_XB</vt:lpstr>
      <vt:lpstr>v_100_XB_e</vt:lpstr>
      <vt:lpstr>v_100_XBSH</vt:lpstr>
      <vt:lpstr>v_100_XCaCO3</vt:lpstr>
      <vt:lpstr>v_100_XCASTO</vt:lpstr>
      <vt:lpstr>v_100_XE</vt:lpstr>
      <vt:lpstr>v_100_XE_ana</vt:lpstr>
      <vt:lpstr>v_100_XFeS</vt:lpstr>
      <vt:lpstr>v_100_XHAO_H</vt:lpstr>
      <vt:lpstr>v_100_XHAO_H_P</vt:lpstr>
      <vt:lpstr>v_100_XHAO_H_P_old</vt:lpstr>
      <vt:lpstr>v_100_XHAO_L</vt:lpstr>
      <vt:lpstr>v_100_XHAO_L_P</vt:lpstr>
      <vt:lpstr>v_100_XHAO_L_P_old</vt:lpstr>
      <vt:lpstr>v_100_XHAO_old</vt:lpstr>
      <vt:lpstr>v_100_XHFO_H</vt:lpstr>
      <vt:lpstr>v_100_XHFO_H_P</vt:lpstr>
      <vt:lpstr>v_100_XHFO_H_P_old</vt:lpstr>
      <vt:lpstr>v_100_XHFO_L</vt:lpstr>
      <vt:lpstr>v_100_XHFO_L_P</vt:lpstr>
      <vt:lpstr>v_100_XHFO_L_P_old</vt:lpstr>
      <vt:lpstr>v_100_XHFO_old</vt:lpstr>
      <vt:lpstr>v_100_XHMETO</vt:lpstr>
      <vt:lpstr>v_100_XHSRO</vt:lpstr>
      <vt:lpstr>v_100_XINORG</vt:lpstr>
      <vt:lpstr>v_100_XMEOLO</vt:lpstr>
      <vt:lpstr>v_100_XN_B</vt:lpstr>
      <vt:lpstr>v_100_XN_Be</vt:lpstr>
      <vt:lpstr>v_100_XN_U</vt:lpstr>
      <vt:lpstr>v_100_XNOB</vt:lpstr>
      <vt:lpstr>v_100_XOHO</vt:lpstr>
      <vt:lpstr>v_100_XP_B</vt:lpstr>
      <vt:lpstr>v_100_XP_Be</vt:lpstr>
      <vt:lpstr>v_100_XP_U</vt:lpstr>
      <vt:lpstr>v_100_XPFOA</vt:lpstr>
      <vt:lpstr>v_100_XPFOS</vt:lpstr>
      <vt:lpstr>v_100_XPHA_GAO</vt:lpstr>
      <vt:lpstr>v_100_XPHA_PAO</vt:lpstr>
      <vt:lpstr>v_100_XPP</vt:lpstr>
      <vt:lpstr>v_100_XS</vt:lpstr>
      <vt:lpstr>v_100_XSOO</vt:lpstr>
      <vt:lpstr>v_100_XSTR</vt:lpstr>
      <vt:lpstr>v_100_XU</vt:lpstr>
      <vt:lpstr>v_100_XVivi</vt:lpstr>
      <vt:lpstr>v_101_CB</vt:lpstr>
      <vt:lpstr>v_101_CU</vt:lpstr>
      <vt:lpstr>v_101_GCH4</vt:lpstr>
      <vt:lpstr>v_101_GCH4_atm</vt:lpstr>
      <vt:lpstr>v_101_GCO2</vt:lpstr>
      <vt:lpstr>v_101_GCO2_atm</vt:lpstr>
      <vt:lpstr>v_101_GH2</vt:lpstr>
      <vt:lpstr>v_101_GH2_atm</vt:lpstr>
      <vt:lpstr>v_101_GH2S</vt:lpstr>
      <vt:lpstr>v_101_GH2S_atm</vt:lpstr>
      <vt:lpstr>v_101_GN2</vt:lpstr>
      <vt:lpstr>v_101_GN2_atm</vt:lpstr>
      <vt:lpstr>v_101_GNH3</vt:lpstr>
      <vt:lpstr>v_101_GNH3_atm</vt:lpstr>
      <vt:lpstr>v_101_GO2</vt:lpstr>
      <vt:lpstr>v_101_GO2_atm</vt:lpstr>
      <vt:lpstr>v_101_SALPHA</vt:lpstr>
      <vt:lpstr>v_101_SAN</vt:lpstr>
      <vt:lpstr>v_101_SB</vt:lpstr>
      <vt:lpstr>v_101_SCa</vt:lpstr>
      <vt:lpstr>v_101_SCAT</vt:lpstr>
      <vt:lpstr>v_101_SCH4</vt:lpstr>
      <vt:lpstr>v_101_SCO2</vt:lpstr>
      <vt:lpstr>v_101_SFe2</vt:lpstr>
      <vt:lpstr>v_101_SH</vt:lpstr>
      <vt:lpstr>v_101_SH2</vt:lpstr>
      <vt:lpstr>v_101_SH2S</vt:lpstr>
      <vt:lpstr>v_101_SK</vt:lpstr>
      <vt:lpstr>v_101_SMEOL</vt:lpstr>
      <vt:lpstr>v_101_SMg</vt:lpstr>
      <vt:lpstr>v_101_SMM_index</vt:lpstr>
      <vt:lpstr>v_101_SN_B</vt:lpstr>
      <vt:lpstr>v_101_SN2</vt:lpstr>
      <vt:lpstr>v_101_SNHx</vt:lpstr>
      <vt:lpstr>v_101_SNO2</vt:lpstr>
      <vt:lpstr>v_101_SNO3</vt:lpstr>
      <vt:lpstr>v_101_SO2</vt:lpstr>
      <vt:lpstr>v_101_SORPswitch</vt:lpstr>
      <vt:lpstr>v_101_SP_B</vt:lpstr>
      <vt:lpstr>v_101_SPFOA</vt:lpstr>
      <vt:lpstr>v_101_SPFOS</vt:lpstr>
      <vt:lpstr>v_101_SPO4</vt:lpstr>
      <vt:lpstr>v_101_SSO4</vt:lpstr>
      <vt:lpstr>v_101_SU</vt:lpstr>
      <vt:lpstr>v_101_SVFA</vt:lpstr>
      <vt:lpstr>v_101_XACP</vt:lpstr>
      <vt:lpstr>v_101_XALGAE</vt:lpstr>
      <vt:lpstr>v_101_XAMETO</vt:lpstr>
      <vt:lpstr>v_101_XAMX</vt:lpstr>
      <vt:lpstr>v_101_XAOB</vt:lpstr>
      <vt:lpstr>v_101_XASRO</vt:lpstr>
      <vt:lpstr>v_101_XB</vt:lpstr>
      <vt:lpstr>v_101_XB_e</vt:lpstr>
      <vt:lpstr>v_101_XBSH</vt:lpstr>
      <vt:lpstr>v_101_XCaCO3</vt:lpstr>
      <vt:lpstr>v_101_XCASTO</vt:lpstr>
      <vt:lpstr>v_101_XE</vt:lpstr>
      <vt:lpstr>v_101_XE_ana</vt:lpstr>
      <vt:lpstr>v_101_XFeS</vt:lpstr>
      <vt:lpstr>v_101_XHAO_H</vt:lpstr>
      <vt:lpstr>v_101_XHAO_H_P</vt:lpstr>
      <vt:lpstr>v_101_XHAO_H_P_old</vt:lpstr>
      <vt:lpstr>v_101_XHAO_L</vt:lpstr>
      <vt:lpstr>v_101_XHAO_L_P</vt:lpstr>
      <vt:lpstr>v_101_XHAO_L_P_old</vt:lpstr>
      <vt:lpstr>v_101_XHAO_old</vt:lpstr>
      <vt:lpstr>v_101_XHFO_H</vt:lpstr>
      <vt:lpstr>v_101_XHFO_H_P</vt:lpstr>
      <vt:lpstr>v_101_XHFO_H_P_old</vt:lpstr>
      <vt:lpstr>v_101_XHFO_L</vt:lpstr>
      <vt:lpstr>v_101_XHFO_L_P</vt:lpstr>
      <vt:lpstr>v_101_XHFO_L_P_old</vt:lpstr>
      <vt:lpstr>v_101_XHFO_old</vt:lpstr>
      <vt:lpstr>v_101_XHMETO</vt:lpstr>
      <vt:lpstr>v_101_XHSRO</vt:lpstr>
      <vt:lpstr>v_101_XINORG</vt:lpstr>
      <vt:lpstr>v_101_XMEOLO</vt:lpstr>
      <vt:lpstr>v_101_XN_B</vt:lpstr>
      <vt:lpstr>v_101_XN_Be</vt:lpstr>
      <vt:lpstr>v_101_XN_U</vt:lpstr>
      <vt:lpstr>v_101_XNOB</vt:lpstr>
      <vt:lpstr>v_101_XOHO</vt:lpstr>
      <vt:lpstr>v_101_XP_B</vt:lpstr>
      <vt:lpstr>v_101_XP_Be</vt:lpstr>
      <vt:lpstr>v_101_XP_U</vt:lpstr>
      <vt:lpstr>v_101_XPFOA</vt:lpstr>
      <vt:lpstr>v_101_XPFOS</vt:lpstr>
      <vt:lpstr>v_101_XPHA_GAO</vt:lpstr>
      <vt:lpstr>v_101_XPHA_PAO</vt:lpstr>
      <vt:lpstr>v_101_XPP</vt:lpstr>
      <vt:lpstr>v_101_XS</vt:lpstr>
      <vt:lpstr>v_101_XSOO</vt:lpstr>
      <vt:lpstr>v_101_XSTR</vt:lpstr>
      <vt:lpstr>v_101_XU</vt:lpstr>
      <vt:lpstr>v_101_XVivi</vt:lpstr>
      <vt:lpstr>v_102_CB</vt:lpstr>
      <vt:lpstr>v_102_CU</vt:lpstr>
      <vt:lpstr>v_102_GCH4</vt:lpstr>
      <vt:lpstr>v_102_GCH4_atm</vt:lpstr>
      <vt:lpstr>v_102_GCO2</vt:lpstr>
      <vt:lpstr>v_102_GCO2_atm</vt:lpstr>
      <vt:lpstr>v_102_GH2</vt:lpstr>
      <vt:lpstr>v_102_GH2_atm</vt:lpstr>
      <vt:lpstr>v_102_GH2S</vt:lpstr>
      <vt:lpstr>v_102_GH2S_atm</vt:lpstr>
      <vt:lpstr>v_102_GN2</vt:lpstr>
      <vt:lpstr>v_102_GN2_atm</vt:lpstr>
      <vt:lpstr>v_102_GNH3</vt:lpstr>
      <vt:lpstr>v_102_GNH3_atm</vt:lpstr>
      <vt:lpstr>v_102_GO2</vt:lpstr>
      <vt:lpstr>v_102_GO2_atm</vt:lpstr>
      <vt:lpstr>v_102_SALPHA</vt:lpstr>
      <vt:lpstr>v_102_SAN</vt:lpstr>
      <vt:lpstr>v_102_SB</vt:lpstr>
      <vt:lpstr>v_102_SCa</vt:lpstr>
      <vt:lpstr>v_102_SCAT</vt:lpstr>
      <vt:lpstr>v_102_SCH4</vt:lpstr>
      <vt:lpstr>v_102_SCO2</vt:lpstr>
      <vt:lpstr>v_102_SFe2</vt:lpstr>
      <vt:lpstr>v_102_SH</vt:lpstr>
      <vt:lpstr>v_102_SH2</vt:lpstr>
      <vt:lpstr>v_102_SH2S</vt:lpstr>
      <vt:lpstr>v_102_SK</vt:lpstr>
      <vt:lpstr>v_102_SMEOL</vt:lpstr>
      <vt:lpstr>v_102_SMg</vt:lpstr>
      <vt:lpstr>v_102_SMM_index</vt:lpstr>
      <vt:lpstr>v_102_SN_B</vt:lpstr>
      <vt:lpstr>v_102_SN2</vt:lpstr>
      <vt:lpstr>v_102_SNHx</vt:lpstr>
      <vt:lpstr>v_102_SNO2</vt:lpstr>
      <vt:lpstr>v_102_SNO3</vt:lpstr>
      <vt:lpstr>v_102_SO2</vt:lpstr>
      <vt:lpstr>v_102_SORPswitch</vt:lpstr>
      <vt:lpstr>v_102_SP_B</vt:lpstr>
      <vt:lpstr>v_102_SPFOA</vt:lpstr>
      <vt:lpstr>v_102_SPFOS</vt:lpstr>
      <vt:lpstr>v_102_SPO4</vt:lpstr>
      <vt:lpstr>v_102_SSO4</vt:lpstr>
      <vt:lpstr>v_102_SU</vt:lpstr>
      <vt:lpstr>v_102_SVFA</vt:lpstr>
      <vt:lpstr>v_102_XACP</vt:lpstr>
      <vt:lpstr>v_102_XALGAE</vt:lpstr>
      <vt:lpstr>v_102_XAMETO</vt:lpstr>
      <vt:lpstr>v_102_XAMX</vt:lpstr>
      <vt:lpstr>v_102_XAOB</vt:lpstr>
      <vt:lpstr>v_102_XASRO</vt:lpstr>
      <vt:lpstr>v_102_XB</vt:lpstr>
      <vt:lpstr>v_102_XB_e</vt:lpstr>
      <vt:lpstr>v_102_XBSH</vt:lpstr>
      <vt:lpstr>v_102_XCaCO3</vt:lpstr>
      <vt:lpstr>v_102_XCASTO</vt:lpstr>
      <vt:lpstr>v_102_XE</vt:lpstr>
      <vt:lpstr>v_102_XE_ana</vt:lpstr>
      <vt:lpstr>v_102_XFeS</vt:lpstr>
      <vt:lpstr>v_102_XHAO_H</vt:lpstr>
      <vt:lpstr>v_102_XHAO_H_P</vt:lpstr>
      <vt:lpstr>v_102_XHAO_H_P_old</vt:lpstr>
      <vt:lpstr>v_102_XHAO_L</vt:lpstr>
      <vt:lpstr>v_102_XHAO_L_P</vt:lpstr>
      <vt:lpstr>v_102_XHAO_L_P_old</vt:lpstr>
      <vt:lpstr>v_102_XHAO_old</vt:lpstr>
      <vt:lpstr>v_102_XHFO_H</vt:lpstr>
      <vt:lpstr>v_102_XHFO_H_P</vt:lpstr>
      <vt:lpstr>v_102_XHFO_H_P_old</vt:lpstr>
      <vt:lpstr>v_102_XHFO_L</vt:lpstr>
      <vt:lpstr>v_102_XHFO_L_P</vt:lpstr>
      <vt:lpstr>v_102_XHFO_L_P_old</vt:lpstr>
      <vt:lpstr>v_102_XHFO_old</vt:lpstr>
      <vt:lpstr>v_102_XHMETO</vt:lpstr>
      <vt:lpstr>v_102_XHSRO</vt:lpstr>
      <vt:lpstr>v_102_XINORG</vt:lpstr>
      <vt:lpstr>v_102_XMEOLO</vt:lpstr>
      <vt:lpstr>v_102_XN_B</vt:lpstr>
      <vt:lpstr>v_102_XN_Be</vt:lpstr>
      <vt:lpstr>v_102_XN_U</vt:lpstr>
      <vt:lpstr>v_102_XNOB</vt:lpstr>
      <vt:lpstr>v_102_XOHO</vt:lpstr>
      <vt:lpstr>v_102_XP_B</vt:lpstr>
      <vt:lpstr>v_102_XP_Be</vt:lpstr>
      <vt:lpstr>v_102_XP_U</vt:lpstr>
      <vt:lpstr>v_102_XPFOA</vt:lpstr>
      <vt:lpstr>v_102_XPFOS</vt:lpstr>
      <vt:lpstr>v_102_XPHA_GAO</vt:lpstr>
      <vt:lpstr>v_102_XPHA_PAO</vt:lpstr>
      <vt:lpstr>v_102_XPP</vt:lpstr>
      <vt:lpstr>v_102_XS</vt:lpstr>
      <vt:lpstr>v_102_XSOO</vt:lpstr>
      <vt:lpstr>v_102_XSTR</vt:lpstr>
      <vt:lpstr>v_102_XU</vt:lpstr>
      <vt:lpstr>v_102_XVivi</vt:lpstr>
      <vt:lpstr>v_103_CB</vt:lpstr>
      <vt:lpstr>v_103_CU</vt:lpstr>
      <vt:lpstr>v_103_GCH4</vt:lpstr>
      <vt:lpstr>v_103_GCH4_atm</vt:lpstr>
      <vt:lpstr>v_103_GCO2</vt:lpstr>
      <vt:lpstr>v_103_GCO2_atm</vt:lpstr>
      <vt:lpstr>v_103_GH2</vt:lpstr>
      <vt:lpstr>v_103_GH2_atm</vt:lpstr>
      <vt:lpstr>v_103_GH2S</vt:lpstr>
      <vt:lpstr>v_103_GH2S_atm</vt:lpstr>
      <vt:lpstr>v_103_GN2</vt:lpstr>
      <vt:lpstr>v_103_GN2_atm</vt:lpstr>
      <vt:lpstr>v_103_GNH3</vt:lpstr>
      <vt:lpstr>v_103_GNH3_atm</vt:lpstr>
      <vt:lpstr>v_103_GO2</vt:lpstr>
      <vt:lpstr>v_103_GO2_atm</vt:lpstr>
      <vt:lpstr>v_103_SALPHA</vt:lpstr>
      <vt:lpstr>v_103_SAN</vt:lpstr>
      <vt:lpstr>v_103_SB</vt:lpstr>
      <vt:lpstr>v_103_SCa</vt:lpstr>
      <vt:lpstr>v_103_SCAT</vt:lpstr>
      <vt:lpstr>v_103_SCH4</vt:lpstr>
      <vt:lpstr>v_103_SCO2</vt:lpstr>
      <vt:lpstr>v_103_SFe2</vt:lpstr>
      <vt:lpstr>v_103_SH</vt:lpstr>
      <vt:lpstr>v_103_SH2</vt:lpstr>
      <vt:lpstr>v_103_SH2S</vt:lpstr>
      <vt:lpstr>v_103_SK</vt:lpstr>
      <vt:lpstr>v_103_SMEOL</vt:lpstr>
      <vt:lpstr>v_103_SMg</vt:lpstr>
      <vt:lpstr>v_103_SMM_index</vt:lpstr>
      <vt:lpstr>v_103_SN_B</vt:lpstr>
      <vt:lpstr>v_103_SN2</vt:lpstr>
      <vt:lpstr>v_103_SNHx</vt:lpstr>
      <vt:lpstr>v_103_SNO2</vt:lpstr>
      <vt:lpstr>v_103_SNO3</vt:lpstr>
      <vt:lpstr>v_103_SO2</vt:lpstr>
      <vt:lpstr>v_103_SORPswitch</vt:lpstr>
      <vt:lpstr>v_103_SP_B</vt:lpstr>
      <vt:lpstr>v_103_SPFOA</vt:lpstr>
      <vt:lpstr>v_103_SPFOS</vt:lpstr>
      <vt:lpstr>v_103_SPO4</vt:lpstr>
      <vt:lpstr>v_103_SSO4</vt:lpstr>
      <vt:lpstr>v_103_SU</vt:lpstr>
      <vt:lpstr>v_103_SVFA</vt:lpstr>
      <vt:lpstr>v_103_XACP</vt:lpstr>
      <vt:lpstr>v_103_XALGAE</vt:lpstr>
      <vt:lpstr>v_103_XAMETO</vt:lpstr>
      <vt:lpstr>v_103_XAMX</vt:lpstr>
      <vt:lpstr>v_103_XAOB</vt:lpstr>
      <vt:lpstr>v_103_XASRO</vt:lpstr>
      <vt:lpstr>v_103_XB</vt:lpstr>
      <vt:lpstr>v_103_XB_e</vt:lpstr>
      <vt:lpstr>v_103_XBSH</vt:lpstr>
      <vt:lpstr>v_103_XCaCO3</vt:lpstr>
      <vt:lpstr>v_103_XCASTO</vt:lpstr>
      <vt:lpstr>v_103_XE</vt:lpstr>
      <vt:lpstr>v_103_XE_ana</vt:lpstr>
      <vt:lpstr>v_103_XFeS</vt:lpstr>
      <vt:lpstr>v_103_XHAO_H</vt:lpstr>
      <vt:lpstr>v_103_XHAO_H_P</vt:lpstr>
      <vt:lpstr>v_103_XHAO_H_P_old</vt:lpstr>
      <vt:lpstr>v_103_XHAO_L</vt:lpstr>
      <vt:lpstr>v_103_XHAO_L_P</vt:lpstr>
      <vt:lpstr>v_103_XHAO_L_P_old</vt:lpstr>
      <vt:lpstr>v_103_XHAO_old</vt:lpstr>
      <vt:lpstr>v_103_XHFO_H</vt:lpstr>
      <vt:lpstr>v_103_XHFO_H_P</vt:lpstr>
      <vt:lpstr>v_103_XHFO_H_P_old</vt:lpstr>
      <vt:lpstr>v_103_XHFO_L</vt:lpstr>
      <vt:lpstr>v_103_XHFO_L_P</vt:lpstr>
      <vt:lpstr>v_103_XHFO_L_P_old</vt:lpstr>
      <vt:lpstr>v_103_XHFO_old</vt:lpstr>
      <vt:lpstr>v_103_XHMETO</vt:lpstr>
      <vt:lpstr>v_103_XHSRO</vt:lpstr>
      <vt:lpstr>v_103_XINORG</vt:lpstr>
      <vt:lpstr>v_103_XMEOLO</vt:lpstr>
      <vt:lpstr>v_103_XN_B</vt:lpstr>
      <vt:lpstr>v_103_XN_Be</vt:lpstr>
      <vt:lpstr>v_103_XN_U</vt:lpstr>
      <vt:lpstr>v_103_XNOB</vt:lpstr>
      <vt:lpstr>v_103_XOHO</vt:lpstr>
      <vt:lpstr>v_103_XP_B</vt:lpstr>
      <vt:lpstr>v_103_XP_Be</vt:lpstr>
      <vt:lpstr>v_103_XP_U</vt:lpstr>
      <vt:lpstr>v_103_XPFOA</vt:lpstr>
      <vt:lpstr>v_103_XPFOS</vt:lpstr>
      <vt:lpstr>v_103_XPHA_GAO</vt:lpstr>
      <vt:lpstr>v_103_XPHA_PAO</vt:lpstr>
      <vt:lpstr>v_103_XPP</vt:lpstr>
      <vt:lpstr>v_103_XS</vt:lpstr>
      <vt:lpstr>v_103_XSOO</vt:lpstr>
      <vt:lpstr>v_103_XSTR</vt:lpstr>
      <vt:lpstr>v_103_XU</vt:lpstr>
      <vt:lpstr>v_103_XVivi</vt:lpstr>
      <vt:lpstr>v_104_CB</vt:lpstr>
      <vt:lpstr>v_104_CU</vt:lpstr>
      <vt:lpstr>v_104_GCH4</vt:lpstr>
      <vt:lpstr>v_104_GCH4_atm</vt:lpstr>
      <vt:lpstr>v_104_GCO2</vt:lpstr>
      <vt:lpstr>v_104_GCO2_atm</vt:lpstr>
      <vt:lpstr>v_104_GH2</vt:lpstr>
      <vt:lpstr>v_104_GH2_atm</vt:lpstr>
      <vt:lpstr>v_104_GH2S</vt:lpstr>
      <vt:lpstr>v_104_GH2S_atm</vt:lpstr>
      <vt:lpstr>v_104_GN2</vt:lpstr>
      <vt:lpstr>v_104_GN2_atm</vt:lpstr>
      <vt:lpstr>v_104_GNH3</vt:lpstr>
      <vt:lpstr>v_104_GNH3_atm</vt:lpstr>
      <vt:lpstr>v_104_GO2</vt:lpstr>
      <vt:lpstr>v_104_GO2_atm</vt:lpstr>
      <vt:lpstr>v_104_SALPHA</vt:lpstr>
      <vt:lpstr>v_104_SAN</vt:lpstr>
      <vt:lpstr>v_104_SB</vt:lpstr>
      <vt:lpstr>v_104_SCa</vt:lpstr>
      <vt:lpstr>v_104_SCAT</vt:lpstr>
      <vt:lpstr>v_104_SCH4</vt:lpstr>
      <vt:lpstr>v_104_SCO2</vt:lpstr>
      <vt:lpstr>v_104_SFe2</vt:lpstr>
      <vt:lpstr>v_104_SH</vt:lpstr>
      <vt:lpstr>v_104_SH2</vt:lpstr>
      <vt:lpstr>v_104_SH2S</vt:lpstr>
      <vt:lpstr>v_104_SK</vt:lpstr>
      <vt:lpstr>v_104_SMEOL</vt:lpstr>
      <vt:lpstr>v_104_SMg</vt:lpstr>
      <vt:lpstr>v_104_SMM_index</vt:lpstr>
      <vt:lpstr>v_104_SN_B</vt:lpstr>
      <vt:lpstr>v_104_SN2</vt:lpstr>
      <vt:lpstr>v_104_SNHx</vt:lpstr>
      <vt:lpstr>v_104_SNO2</vt:lpstr>
      <vt:lpstr>v_104_SNO3</vt:lpstr>
      <vt:lpstr>v_104_SO2</vt:lpstr>
      <vt:lpstr>v_104_SORPswitch</vt:lpstr>
      <vt:lpstr>v_104_SP_B</vt:lpstr>
      <vt:lpstr>v_104_SPFOA</vt:lpstr>
      <vt:lpstr>v_104_SPFOS</vt:lpstr>
      <vt:lpstr>v_104_SPO4</vt:lpstr>
      <vt:lpstr>v_104_SSO4</vt:lpstr>
      <vt:lpstr>v_104_SU</vt:lpstr>
      <vt:lpstr>v_104_SVFA</vt:lpstr>
      <vt:lpstr>v_104_XACP</vt:lpstr>
      <vt:lpstr>v_104_XALGAE</vt:lpstr>
      <vt:lpstr>v_104_XAMETO</vt:lpstr>
      <vt:lpstr>v_104_XAMX</vt:lpstr>
      <vt:lpstr>v_104_XAOB</vt:lpstr>
      <vt:lpstr>v_104_XASRO</vt:lpstr>
      <vt:lpstr>v_104_XB</vt:lpstr>
      <vt:lpstr>v_104_XB_e</vt:lpstr>
      <vt:lpstr>v_104_XBSH</vt:lpstr>
      <vt:lpstr>v_104_XCaCO3</vt:lpstr>
      <vt:lpstr>v_104_XCASTO</vt:lpstr>
      <vt:lpstr>v_104_XE</vt:lpstr>
      <vt:lpstr>v_104_XE_ana</vt:lpstr>
      <vt:lpstr>v_104_XFeS</vt:lpstr>
      <vt:lpstr>v_104_XHAO_H</vt:lpstr>
      <vt:lpstr>v_104_XHAO_H_P</vt:lpstr>
      <vt:lpstr>v_104_XHAO_H_P_old</vt:lpstr>
      <vt:lpstr>v_104_XHAO_L</vt:lpstr>
      <vt:lpstr>v_104_XHAO_L_P</vt:lpstr>
      <vt:lpstr>v_104_XHAO_L_P_old</vt:lpstr>
      <vt:lpstr>v_104_XHAO_old</vt:lpstr>
      <vt:lpstr>v_104_XHFO_H</vt:lpstr>
      <vt:lpstr>v_104_XHFO_H_P</vt:lpstr>
      <vt:lpstr>v_104_XHFO_H_P_old</vt:lpstr>
      <vt:lpstr>v_104_XHFO_L</vt:lpstr>
      <vt:lpstr>v_104_XHFO_L_P</vt:lpstr>
      <vt:lpstr>v_104_XHFO_L_P_old</vt:lpstr>
      <vt:lpstr>v_104_XHFO_old</vt:lpstr>
      <vt:lpstr>v_104_XHMETO</vt:lpstr>
      <vt:lpstr>v_104_XHSRO</vt:lpstr>
      <vt:lpstr>v_104_XINORG</vt:lpstr>
      <vt:lpstr>v_104_XMEOLO</vt:lpstr>
      <vt:lpstr>v_104_XN_B</vt:lpstr>
      <vt:lpstr>v_104_XN_Be</vt:lpstr>
      <vt:lpstr>v_104_XN_U</vt:lpstr>
      <vt:lpstr>v_104_XNOB</vt:lpstr>
      <vt:lpstr>v_104_XOHO</vt:lpstr>
      <vt:lpstr>v_104_XP_B</vt:lpstr>
      <vt:lpstr>v_104_XP_Be</vt:lpstr>
      <vt:lpstr>v_104_XP_U</vt:lpstr>
      <vt:lpstr>v_104_XPFOA</vt:lpstr>
      <vt:lpstr>v_104_XPFOS</vt:lpstr>
      <vt:lpstr>v_104_XPHA_GAO</vt:lpstr>
      <vt:lpstr>v_104_XPHA_PAO</vt:lpstr>
      <vt:lpstr>v_104_XPP</vt:lpstr>
      <vt:lpstr>v_104_XS</vt:lpstr>
      <vt:lpstr>v_104_XSOO</vt:lpstr>
      <vt:lpstr>v_104_XSTR</vt:lpstr>
      <vt:lpstr>v_104_XU</vt:lpstr>
      <vt:lpstr>v_104_XVivi</vt:lpstr>
      <vt:lpstr>v_105_CB</vt:lpstr>
      <vt:lpstr>v_105_CU</vt:lpstr>
      <vt:lpstr>v_105_GCH4</vt:lpstr>
      <vt:lpstr>v_105_GCH4_atm</vt:lpstr>
      <vt:lpstr>v_105_GCO2</vt:lpstr>
      <vt:lpstr>v_105_GCO2_atm</vt:lpstr>
      <vt:lpstr>v_105_GH2</vt:lpstr>
      <vt:lpstr>v_105_GH2_atm</vt:lpstr>
      <vt:lpstr>v_105_GH2S</vt:lpstr>
      <vt:lpstr>v_105_GH2S_atm</vt:lpstr>
      <vt:lpstr>v_105_GN2</vt:lpstr>
      <vt:lpstr>v_105_GN2_atm</vt:lpstr>
      <vt:lpstr>v_105_GNH3</vt:lpstr>
      <vt:lpstr>v_105_GNH3_atm</vt:lpstr>
      <vt:lpstr>v_105_GO2</vt:lpstr>
      <vt:lpstr>v_105_GO2_atm</vt:lpstr>
      <vt:lpstr>v_105_SALPHA</vt:lpstr>
      <vt:lpstr>v_105_SAN</vt:lpstr>
      <vt:lpstr>v_105_SB</vt:lpstr>
      <vt:lpstr>v_105_SCa</vt:lpstr>
      <vt:lpstr>v_105_SCAT</vt:lpstr>
      <vt:lpstr>v_105_SCH4</vt:lpstr>
      <vt:lpstr>v_105_SCO2</vt:lpstr>
      <vt:lpstr>v_105_SFe2</vt:lpstr>
      <vt:lpstr>v_105_SH</vt:lpstr>
      <vt:lpstr>v_105_SH2</vt:lpstr>
      <vt:lpstr>v_105_SH2S</vt:lpstr>
      <vt:lpstr>v_105_SK</vt:lpstr>
      <vt:lpstr>v_105_SMEOL</vt:lpstr>
      <vt:lpstr>v_105_SMg</vt:lpstr>
      <vt:lpstr>v_105_SMM_index</vt:lpstr>
      <vt:lpstr>v_105_SN_B</vt:lpstr>
      <vt:lpstr>v_105_SN2</vt:lpstr>
      <vt:lpstr>v_105_SNHx</vt:lpstr>
      <vt:lpstr>v_105_SNO2</vt:lpstr>
      <vt:lpstr>v_105_SNO3</vt:lpstr>
      <vt:lpstr>v_105_SO2</vt:lpstr>
      <vt:lpstr>v_105_SORPswitch</vt:lpstr>
      <vt:lpstr>v_105_SP_B</vt:lpstr>
      <vt:lpstr>v_105_SPFOA</vt:lpstr>
      <vt:lpstr>v_105_SPFOS</vt:lpstr>
      <vt:lpstr>v_105_SPO4</vt:lpstr>
      <vt:lpstr>v_105_SSO4</vt:lpstr>
      <vt:lpstr>v_105_SU</vt:lpstr>
      <vt:lpstr>v_105_SVFA</vt:lpstr>
      <vt:lpstr>v_105_XACP</vt:lpstr>
      <vt:lpstr>v_105_XALGAE</vt:lpstr>
      <vt:lpstr>v_105_XAMETO</vt:lpstr>
      <vt:lpstr>v_105_XAMX</vt:lpstr>
      <vt:lpstr>v_105_XAOB</vt:lpstr>
      <vt:lpstr>v_105_XASRO</vt:lpstr>
      <vt:lpstr>v_105_XB</vt:lpstr>
      <vt:lpstr>v_105_XB_e</vt:lpstr>
      <vt:lpstr>v_105_XBSH</vt:lpstr>
      <vt:lpstr>v_105_XCaCO3</vt:lpstr>
      <vt:lpstr>v_105_XCASTO</vt:lpstr>
      <vt:lpstr>v_105_XE</vt:lpstr>
      <vt:lpstr>v_105_XE_ana</vt:lpstr>
      <vt:lpstr>v_105_XFeS</vt:lpstr>
      <vt:lpstr>v_105_XHAO_H</vt:lpstr>
      <vt:lpstr>v_105_XHAO_H_P</vt:lpstr>
      <vt:lpstr>v_105_XHAO_H_P_old</vt:lpstr>
      <vt:lpstr>v_105_XHAO_L</vt:lpstr>
      <vt:lpstr>v_105_XHAO_L_P</vt:lpstr>
      <vt:lpstr>v_105_XHAO_L_P_old</vt:lpstr>
      <vt:lpstr>v_105_XHAO_old</vt:lpstr>
      <vt:lpstr>v_105_XHFO_H</vt:lpstr>
      <vt:lpstr>v_105_XHFO_H_P</vt:lpstr>
      <vt:lpstr>v_105_XHFO_H_P_old</vt:lpstr>
      <vt:lpstr>v_105_XHFO_L</vt:lpstr>
      <vt:lpstr>v_105_XHFO_L_P</vt:lpstr>
      <vt:lpstr>v_105_XHFO_L_P_old</vt:lpstr>
      <vt:lpstr>v_105_XHFO_old</vt:lpstr>
      <vt:lpstr>v_105_XHMETO</vt:lpstr>
      <vt:lpstr>v_105_XHSRO</vt:lpstr>
      <vt:lpstr>v_105_XINORG</vt:lpstr>
      <vt:lpstr>v_105_XMEOLO</vt:lpstr>
      <vt:lpstr>v_105_XN_B</vt:lpstr>
      <vt:lpstr>v_105_XN_Be</vt:lpstr>
      <vt:lpstr>v_105_XN_U</vt:lpstr>
      <vt:lpstr>v_105_XNOB</vt:lpstr>
      <vt:lpstr>v_105_XOHO</vt:lpstr>
      <vt:lpstr>v_105_XP_B</vt:lpstr>
      <vt:lpstr>v_105_XP_Be</vt:lpstr>
      <vt:lpstr>v_105_XP_U</vt:lpstr>
      <vt:lpstr>v_105_XPFOA</vt:lpstr>
      <vt:lpstr>v_105_XPFOS</vt:lpstr>
      <vt:lpstr>v_105_XPHA_GAO</vt:lpstr>
      <vt:lpstr>v_105_XPHA_PAO</vt:lpstr>
      <vt:lpstr>v_105_XPP</vt:lpstr>
      <vt:lpstr>v_105_XS</vt:lpstr>
      <vt:lpstr>v_105_XSOO</vt:lpstr>
      <vt:lpstr>v_105_XSTR</vt:lpstr>
      <vt:lpstr>v_105_XU</vt:lpstr>
      <vt:lpstr>v_105_XVivi</vt:lpstr>
      <vt:lpstr>v_106_CB</vt:lpstr>
      <vt:lpstr>v_106_CU</vt:lpstr>
      <vt:lpstr>v_106_GCH4</vt:lpstr>
      <vt:lpstr>v_106_GCH4_atm</vt:lpstr>
      <vt:lpstr>v_106_GCO2</vt:lpstr>
      <vt:lpstr>v_106_GCO2_atm</vt:lpstr>
      <vt:lpstr>v_106_GH2</vt:lpstr>
      <vt:lpstr>v_106_GH2_atm</vt:lpstr>
      <vt:lpstr>v_106_GH2S</vt:lpstr>
      <vt:lpstr>v_106_GH2S_atm</vt:lpstr>
      <vt:lpstr>v_106_GN2</vt:lpstr>
      <vt:lpstr>v_106_GN2_atm</vt:lpstr>
      <vt:lpstr>v_106_GNH3</vt:lpstr>
      <vt:lpstr>v_106_GNH3_atm</vt:lpstr>
      <vt:lpstr>v_106_GO2</vt:lpstr>
      <vt:lpstr>v_106_GO2_atm</vt:lpstr>
      <vt:lpstr>v_106_SALPHA</vt:lpstr>
      <vt:lpstr>v_106_SAN</vt:lpstr>
      <vt:lpstr>v_106_SB</vt:lpstr>
      <vt:lpstr>v_106_SCa</vt:lpstr>
      <vt:lpstr>v_106_SCAT</vt:lpstr>
      <vt:lpstr>v_106_SCH4</vt:lpstr>
      <vt:lpstr>v_106_SCO2</vt:lpstr>
      <vt:lpstr>v_106_SFe2</vt:lpstr>
      <vt:lpstr>v_106_SH</vt:lpstr>
      <vt:lpstr>v_106_SH2</vt:lpstr>
      <vt:lpstr>v_106_SH2S</vt:lpstr>
      <vt:lpstr>v_106_SK</vt:lpstr>
      <vt:lpstr>v_106_SMEOL</vt:lpstr>
      <vt:lpstr>v_106_SMg</vt:lpstr>
      <vt:lpstr>v_106_SMM_index</vt:lpstr>
      <vt:lpstr>v_106_SN_B</vt:lpstr>
      <vt:lpstr>v_106_SN2</vt:lpstr>
      <vt:lpstr>v_106_SNHx</vt:lpstr>
      <vt:lpstr>v_106_SNO2</vt:lpstr>
      <vt:lpstr>v_106_SNO3</vt:lpstr>
      <vt:lpstr>v_106_SO2</vt:lpstr>
      <vt:lpstr>v_106_SORPswitch</vt:lpstr>
      <vt:lpstr>v_106_SP_B</vt:lpstr>
      <vt:lpstr>v_106_SPFOA</vt:lpstr>
      <vt:lpstr>v_106_SPFOS</vt:lpstr>
      <vt:lpstr>v_106_SPO4</vt:lpstr>
      <vt:lpstr>v_106_SSO4</vt:lpstr>
      <vt:lpstr>v_106_SU</vt:lpstr>
      <vt:lpstr>v_106_SVFA</vt:lpstr>
      <vt:lpstr>v_106_XACP</vt:lpstr>
      <vt:lpstr>v_106_XALGAE</vt:lpstr>
      <vt:lpstr>v_106_XAMETO</vt:lpstr>
      <vt:lpstr>v_106_XAMX</vt:lpstr>
      <vt:lpstr>v_106_XAOB</vt:lpstr>
      <vt:lpstr>v_106_XASRO</vt:lpstr>
      <vt:lpstr>v_106_XB</vt:lpstr>
      <vt:lpstr>v_106_XB_e</vt:lpstr>
      <vt:lpstr>v_106_XBSH</vt:lpstr>
      <vt:lpstr>v_106_XCaCO3</vt:lpstr>
      <vt:lpstr>v_106_XCASTO</vt:lpstr>
      <vt:lpstr>v_106_XE</vt:lpstr>
      <vt:lpstr>v_106_XE_ana</vt:lpstr>
      <vt:lpstr>v_106_XFeS</vt:lpstr>
      <vt:lpstr>v_106_XHAO_H</vt:lpstr>
      <vt:lpstr>v_106_XHAO_H_P</vt:lpstr>
      <vt:lpstr>v_106_XHAO_H_P_old</vt:lpstr>
      <vt:lpstr>v_106_XHAO_L</vt:lpstr>
      <vt:lpstr>v_106_XHAO_L_P</vt:lpstr>
      <vt:lpstr>v_106_XHAO_L_P_old</vt:lpstr>
      <vt:lpstr>v_106_XHAO_old</vt:lpstr>
      <vt:lpstr>v_106_XHFO_H</vt:lpstr>
      <vt:lpstr>v_106_XHFO_H_P</vt:lpstr>
      <vt:lpstr>v_106_XHFO_H_P_old</vt:lpstr>
      <vt:lpstr>v_106_XHFO_L</vt:lpstr>
      <vt:lpstr>v_106_XHFO_L_P</vt:lpstr>
      <vt:lpstr>v_106_XHFO_L_P_old</vt:lpstr>
      <vt:lpstr>v_106_XHFO_old</vt:lpstr>
      <vt:lpstr>v_106_XHMETO</vt:lpstr>
      <vt:lpstr>v_106_XHSRO</vt:lpstr>
      <vt:lpstr>v_106_XINORG</vt:lpstr>
      <vt:lpstr>v_106_XMEOLO</vt:lpstr>
      <vt:lpstr>v_106_XN_B</vt:lpstr>
      <vt:lpstr>v_106_XN_Be</vt:lpstr>
      <vt:lpstr>v_106_XN_U</vt:lpstr>
      <vt:lpstr>v_106_XNOB</vt:lpstr>
      <vt:lpstr>v_106_XOHO</vt:lpstr>
      <vt:lpstr>v_106_XP_B</vt:lpstr>
      <vt:lpstr>v_106_XP_Be</vt:lpstr>
      <vt:lpstr>v_106_XP_U</vt:lpstr>
      <vt:lpstr>v_106_XPFOA</vt:lpstr>
      <vt:lpstr>v_106_XPFOS</vt:lpstr>
      <vt:lpstr>v_106_XPHA_GAO</vt:lpstr>
      <vt:lpstr>v_106_XPHA_PAO</vt:lpstr>
      <vt:lpstr>v_106_XPP</vt:lpstr>
      <vt:lpstr>v_106_XS</vt:lpstr>
      <vt:lpstr>v_106_XSOO</vt:lpstr>
      <vt:lpstr>v_106_XSTR</vt:lpstr>
      <vt:lpstr>v_106_XU</vt:lpstr>
      <vt:lpstr>v_106_XVivi</vt:lpstr>
      <vt:lpstr>v_107_CB</vt:lpstr>
      <vt:lpstr>v_107_CU</vt:lpstr>
      <vt:lpstr>v_107_GCH4</vt:lpstr>
      <vt:lpstr>v_107_GCH4_atm</vt:lpstr>
      <vt:lpstr>v_107_GCO2</vt:lpstr>
      <vt:lpstr>v_107_GCO2_atm</vt:lpstr>
      <vt:lpstr>v_107_GH2</vt:lpstr>
      <vt:lpstr>v_107_GH2_atm</vt:lpstr>
      <vt:lpstr>v_107_GH2S</vt:lpstr>
      <vt:lpstr>v_107_GH2S_atm</vt:lpstr>
      <vt:lpstr>v_107_GN2</vt:lpstr>
      <vt:lpstr>v_107_GN2_atm</vt:lpstr>
      <vt:lpstr>v_107_GNH3</vt:lpstr>
      <vt:lpstr>v_107_GNH3_atm</vt:lpstr>
      <vt:lpstr>v_107_GO2</vt:lpstr>
      <vt:lpstr>v_107_GO2_atm</vt:lpstr>
      <vt:lpstr>v_107_SALPHA</vt:lpstr>
      <vt:lpstr>v_107_SAN</vt:lpstr>
      <vt:lpstr>v_107_SB</vt:lpstr>
      <vt:lpstr>v_107_SCa</vt:lpstr>
      <vt:lpstr>v_107_SCAT</vt:lpstr>
      <vt:lpstr>v_107_SCH4</vt:lpstr>
      <vt:lpstr>v_107_SCO2</vt:lpstr>
      <vt:lpstr>v_107_SFe2</vt:lpstr>
      <vt:lpstr>v_107_SH</vt:lpstr>
      <vt:lpstr>v_107_SH2</vt:lpstr>
      <vt:lpstr>v_107_SH2S</vt:lpstr>
      <vt:lpstr>v_107_SK</vt:lpstr>
      <vt:lpstr>v_107_SMEOL</vt:lpstr>
      <vt:lpstr>v_107_SMg</vt:lpstr>
      <vt:lpstr>v_107_SMM_index</vt:lpstr>
      <vt:lpstr>v_107_SN_B</vt:lpstr>
      <vt:lpstr>v_107_SN2</vt:lpstr>
      <vt:lpstr>v_107_SNHx</vt:lpstr>
      <vt:lpstr>v_107_SNO2</vt:lpstr>
      <vt:lpstr>v_107_SNO3</vt:lpstr>
      <vt:lpstr>v_107_SO2</vt:lpstr>
      <vt:lpstr>v_107_SORPswitch</vt:lpstr>
      <vt:lpstr>v_107_SP_B</vt:lpstr>
      <vt:lpstr>v_107_SPFOA</vt:lpstr>
      <vt:lpstr>v_107_SPFOS</vt:lpstr>
      <vt:lpstr>v_107_SPO4</vt:lpstr>
      <vt:lpstr>v_107_SSO4</vt:lpstr>
      <vt:lpstr>v_107_SU</vt:lpstr>
      <vt:lpstr>v_107_SVFA</vt:lpstr>
      <vt:lpstr>v_107_XACP</vt:lpstr>
      <vt:lpstr>v_107_XALGAE</vt:lpstr>
      <vt:lpstr>v_107_XAMETO</vt:lpstr>
      <vt:lpstr>v_107_XAMX</vt:lpstr>
      <vt:lpstr>v_107_XAOB</vt:lpstr>
      <vt:lpstr>v_107_XASRO</vt:lpstr>
      <vt:lpstr>v_107_XB</vt:lpstr>
      <vt:lpstr>v_107_XB_e</vt:lpstr>
      <vt:lpstr>v_107_XBSH</vt:lpstr>
      <vt:lpstr>v_107_XCaCO3</vt:lpstr>
      <vt:lpstr>v_107_XCASTO</vt:lpstr>
      <vt:lpstr>v_107_XE</vt:lpstr>
      <vt:lpstr>v_107_XE_ana</vt:lpstr>
      <vt:lpstr>v_107_XFeS</vt:lpstr>
      <vt:lpstr>v_107_XHAO_H</vt:lpstr>
      <vt:lpstr>v_107_XHAO_H_P</vt:lpstr>
      <vt:lpstr>v_107_XHAO_H_P_old</vt:lpstr>
      <vt:lpstr>v_107_XHAO_L</vt:lpstr>
      <vt:lpstr>v_107_XHAO_L_P</vt:lpstr>
      <vt:lpstr>v_107_XHAO_L_P_old</vt:lpstr>
      <vt:lpstr>v_107_XHAO_old</vt:lpstr>
      <vt:lpstr>v_107_XHFO_H</vt:lpstr>
      <vt:lpstr>v_107_XHFO_H_P</vt:lpstr>
      <vt:lpstr>v_107_XHFO_H_P_old</vt:lpstr>
      <vt:lpstr>v_107_XHFO_L</vt:lpstr>
      <vt:lpstr>v_107_XHFO_L_P</vt:lpstr>
      <vt:lpstr>v_107_XHFO_L_P_old</vt:lpstr>
      <vt:lpstr>v_107_XHFO_old</vt:lpstr>
      <vt:lpstr>v_107_XHMETO</vt:lpstr>
      <vt:lpstr>v_107_XHSRO</vt:lpstr>
      <vt:lpstr>v_107_XINORG</vt:lpstr>
      <vt:lpstr>v_107_XMEOLO</vt:lpstr>
      <vt:lpstr>v_107_XN_B</vt:lpstr>
      <vt:lpstr>v_107_XN_Be</vt:lpstr>
      <vt:lpstr>v_107_XN_U</vt:lpstr>
      <vt:lpstr>v_107_XNOB</vt:lpstr>
      <vt:lpstr>v_107_XOHO</vt:lpstr>
      <vt:lpstr>v_107_XP_B</vt:lpstr>
      <vt:lpstr>v_107_XP_Be</vt:lpstr>
      <vt:lpstr>v_107_XP_U</vt:lpstr>
      <vt:lpstr>v_107_XPFOA</vt:lpstr>
      <vt:lpstr>v_107_XPFOS</vt:lpstr>
      <vt:lpstr>v_107_XPHA_GAO</vt:lpstr>
      <vt:lpstr>v_107_XPHA_PAO</vt:lpstr>
      <vt:lpstr>v_107_XPP</vt:lpstr>
      <vt:lpstr>v_107_XS</vt:lpstr>
      <vt:lpstr>v_107_XSOO</vt:lpstr>
      <vt:lpstr>v_107_XSTR</vt:lpstr>
      <vt:lpstr>v_107_XU</vt:lpstr>
      <vt:lpstr>v_107_XVivi</vt:lpstr>
      <vt:lpstr>v_108_CB</vt:lpstr>
      <vt:lpstr>v_108_CU</vt:lpstr>
      <vt:lpstr>v_108_GCH4</vt:lpstr>
      <vt:lpstr>v_108_GCH4_atm</vt:lpstr>
      <vt:lpstr>v_108_GCO2</vt:lpstr>
      <vt:lpstr>v_108_GCO2_atm</vt:lpstr>
      <vt:lpstr>v_108_GH2</vt:lpstr>
      <vt:lpstr>v_108_GH2_atm</vt:lpstr>
      <vt:lpstr>v_108_GH2S</vt:lpstr>
      <vt:lpstr>v_108_GH2S_atm</vt:lpstr>
      <vt:lpstr>v_108_GN2</vt:lpstr>
      <vt:lpstr>v_108_GN2_atm</vt:lpstr>
      <vt:lpstr>v_108_GNH3</vt:lpstr>
      <vt:lpstr>v_108_GNH3_atm</vt:lpstr>
      <vt:lpstr>v_108_GO2</vt:lpstr>
      <vt:lpstr>v_108_GO2_atm</vt:lpstr>
      <vt:lpstr>v_108_SALPHA</vt:lpstr>
      <vt:lpstr>v_108_SAN</vt:lpstr>
      <vt:lpstr>v_108_SB</vt:lpstr>
      <vt:lpstr>v_108_SCa</vt:lpstr>
      <vt:lpstr>v_108_SCAT</vt:lpstr>
      <vt:lpstr>v_108_SCH4</vt:lpstr>
      <vt:lpstr>v_108_SCO2</vt:lpstr>
      <vt:lpstr>v_108_SFe2</vt:lpstr>
      <vt:lpstr>v_108_SH</vt:lpstr>
      <vt:lpstr>v_108_SH2</vt:lpstr>
      <vt:lpstr>v_108_SH2S</vt:lpstr>
      <vt:lpstr>v_108_SK</vt:lpstr>
      <vt:lpstr>v_108_SMEOL</vt:lpstr>
      <vt:lpstr>v_108_SMg</vt:lpstr>
      <vt:lpstr>v_108_SMM_index</vt:lpstr>
      <vt:lpstr>v_108_SN_B</vt:lpstr>
      <vt:lpstr>v_108_SN2</vt:lpstr>
      <vt:lpstr>v_108_SNHx</vt:lpstr>
      <vt:lpstr>v_108_SNO2</vt:lpstr>
      <vt:lpstr>v_108_SNO3</vt:lpstr>
      <vt:lpstr>v_108_SO2</vt:lpstr>
      <vt:lpstr>v_108_SORPswitch</vt:lpstr>
      <vt:lpstr>v_108_SP_B</vt:lpstr>
      <vt:lpstr>v_108_SPFOA</vt:lpstr>
      <vt:lpstr>v_108_SPFOS</vt:lpstr>
      <vt:lpstr>v_108_SPO4</vt:lpstr>
      <vt:lpstr>v_108_SSO4</vt:lpstr>
      <vt:lpstr>v_108_SU</vt:lpstr>
      <vt:lpstr>v_108_SVFA</vt:lpstr>
      <vt:lpstr>v_108_XACP</vt:lpstr>
      <vt:lpstr>v_108_XALGAE</vt:lpstr>
      <vt:lpstr>v_108_XAMETO</vt:lpstr>
      <vt:lpstr>v_108_XAMX</vt:lpstr>
      <vt:lpstr>v_108_XAOB</vt:lpstr>
      <vt:lpstr>v_108_XASRO</vt:lpstr>
      <vt:lpstr>v_108_XB</vt:lpstr>
      <vt:lpstr>v_108_XB_e</vt:lpstr>
      <vt:lpstr>v_108_XBSH</vt:lpstr>
      <vt:lpstr>v_108_XCaCO3</vt:lpstr>
      <vt:lpstr>v_108_XCASTO</vt:lpstr>
      <vt:lpstr>v_108_XE</vt:lpstr>
      <vt:lpstr>v_108_XE_ana</vt:lpstr>
      <vt:lpstr>v_108_XFeS</vt:lpstr>
      <vt:lpstr>v_108_XHAO_H</vt:lpstr>
      <vt:lpstr>v_108_XHAO_H_P</vt:lpstr>
      <vt:lpstr>v_108_XHAO_H_P_old</vt:lpstr>
      <vt:lpstr>v_108_XHAO_L</vt:lpstr>
      <vt:lpstr>v_108_XHAO_L_P</vt:lpstr>
      <vt:lpstr>v_108_XHAO_L_P_old</vt:lpstr>
      <vt:lpstr>v_108_XHAO_old</vt:lpstr>
      <vt:lpstr>v_108_XHFO_H</vt:lpstr>
      <vt:lpstr>v_108_XHFO_H_P</vt:lpstr>
      <vt:lpstr>v_108_XHFO_H_P_old</vt:lpstr>
      <vt:lpstr>v_108_XHFO_L</vt:lpstr>
      <vt:lpstr>v_108_XHFO_L_P</vt:lpstr>
      <vt:lpstr>v_108_XHFO_L_P_old</vt:lpstr>
      <vt:lpstr>v_108_XHFO_old</vt:lpstr>
      <vt:lpstr>v_108_XHMETO</vt:lpstr>
      <vt:lpstr>v_108_XHSRO</vt:lpstr>
      <vt:lpstr>v_108_XINORG</vt:lpstr>
      <vt:lpstr>v_108_XMEOLO</vt:lpstr>
      <vt:lpstr>v_108_XN_B</vt:lpstr>
      <vt:lpstr>v_108_XN_Be</vt:lpstr>
      <vt:lpstr>v_108_XN_U</vt:lpstr>
      <vt:lpstr>v_108_XNOB</vt:lpstr>
      <vt:lpstr>v_108_XOHO</vt:lpstr>
      <vt:lpstr>v_108_XP_B</vt:lpstr>
      <vt:lpstr>v_108_XP_Be</vt:lpstr>
      <vt:lpstr>v_108_XP_U</vt:lpstr>
      <vt:lpstr>v_108_XPFOA</vt:lpstr>
      <vt:lpstr>v_108_XPFOS</vt:lpstr>
      <vt:lpstr>v_108_XPHA_GAO</vt:lpstr>
      <vt:lpstr>v_108_XPHA_PAO</vt:lpstr>
      <vt:lpstr>v_108_XPP</vt:lpstr>
      <vt:lpstr>v_108_XS</vt:lpstr>
      <vt:lpstr>v_108_XSOO</vt:lpstr>
      <vt:lpstr>v_108_XSTR</vt:lpstr>
      <vt:lpstr>v_108_XU</vt:lpstr>
      <vt:lpstr>v_108_XVivi</vt:lpstr>
      <vt:lpstr>v_109_CB</vt:lpstr>
      <vt:lpstr>v_109_CU</vt:lpstr>
      <vt:lpstr>v_109_GCH4</vt:lpstr>
      <vt:lpstr>v_109_GCH4_atm</vt:lpstr>
      <vt:lpstr>v_109_GCO2</vt:lpstr>
      <vt:lpstr>v_109_GCO2_atm</vt:lpstr>
      <vt:lpstr>v_109_GH2</vt:lpstr>
      <vt:lpstr>v_109_GH2_atm</vt:lpstr>
      <vt:lpstr>v_109_GH2S</vt:lpstr>
      <vt:lpstr>v_109_GH2S_atm</vt:lpstr>
      <vt:lpstr>v_109_GN2</vt:lpstr>
      <vt:lpstr>v_109_GN2_atm</vt:lpstr>
      <vt:lpstr>v_109_GNH3</vt:lpstr>
      <vt:lpstr>v_109_GNH3_atm</vt:lpstr>
      <vt:lpstr>v_109_GO2</vt:lpstr>
      <vt:lpstr>v_109_GO2_atm</vt:lpstr>
      <vt:lpstr>v_109_SALPHA</vt:lpstr>
      <vt:lpstr>v_109_SAN</vt:lpstr>
      <vt:lpstr>v_109_SB</vt:lpstr>
      <vt:lpstr>v_109_SCa</vt:lpstr>
      <vt:lpstr>v_109_SCAT</vt:lpstr>
      <vt:lpstr>v_109_SCH4</vt:lpstr>
      <vt:lpstr>v_109_SCO2</vt:lpstr>
      <vt:lpstr>v_109_SFe2</vt:lpstr>
      <vt:lpstr>v_109_SH</vt:lpstr>
      <vt:lpstr>v_109_SH2</vt:lpstr>
      <vt:lpstr>v_109_SH2S</vt:lpstr>
      <vt:lpstr>v_109_SK</vt:lpstr>
      <vt:lpstr>v_109_SMEOL</vt:lpstr>
      <vt:lpstr>v_109_SMg</vt:lpstr>
      <vt:lpstr>v_109_SMM_index</vt:lpstr>
      <vt:lpstr>v_109_SN_B</vt:lpstr>
      <vt:lpstr>v_109_SN2</vt:lpstr>
      <vt:lpstr>v_109_SNHx</vt:lpstr>
      <vt:lpstr>v_109_SNO2</vt:lpstr>
      <vt:lpstr>v_109_SNO3</vt:lpstr>
      <vt:lpstr>v_109_SO2</vt:lpstr>
      <vt:lpstr>v_109_SORPswitch</vt:lpstr>
      <vt:lpstr>v_109_SP_B</vt:lpstr>
      <vt:lpstr>v_109_SPFOA</vt:lpstr>
      <vt:lpstr>v_109_SPFOS</vt:lpstr>
      <vt:lpstr>v_109_SPO4</vt:lpstr>
      <vt:lpstr>v_109_SSO4</vt:lpstr>
      <vt:lpstr>v_109_SU</vt:lpstr>
      <vt:lpstr>v_109_SVFA</vt:lpstr>
      <vt:lpstr>v_109_XACP</vt:lpstr>
      <vt:lpstr>v_109_XALGAE</vt:lpstr>
      <vt:lpstr>v_109_XAMETO</vt:lpstr>
      <vt:lpstr>v_109_XAMX</vt:lpstr>
      <vt:lpstr>v_109_XAOB</vt:lpstr>
      <vt:lpstr>v_109_XASRO</vt:lpstr>
      <vt:lpstr>v_109_XB</vt:lpstr>
      <vt:lpstr>v_109_XB_e</vt:lpstr>
      <vt:lpstr>v_109_XBSH</vt:lpstr>
      <vt:lpstr>v_109_XCaCO3</vt:lpstr>
      <vt:lpstr>v_109_XCASTO</vt:lpstr>
      <vt:lpstr>v_109_XE</vt:lpstr>
      <vt:lpstr>v_109_XE_ana</vt:lpstr>
      <vt:lpstr>v_109_XFeS</vt:lpstr>
      <vt:lpstr>v_109_XHAO_H</vt:lpstr>
      <vt:lpstr>v_109_XHAO_H_P</vt:lpstr>
      <vt:lpstr>v_109_XHAO_H_P_old</vt:lpstr>
      <vt:lpstr>v_109_XHAO_L</vt:lpstr>
      <vt:lpstr>v_109_XHAO_L_P</vt:lpstr>
      <vt:lpstr>v_109_XHAO_L_P_old</vt:lpstr>
      <vt:lpstr>v_109_XHAO_old</vt:lpstr>
      <vt:lpstr>v_109_XHFO_H</vt:lpstr>
      <vt:lpstr>v_109_XHFO_H_P</vt:lpstr>
      <vt:lpstr>v_109_XHFO_H_P_old</vt:lpstr>
      <vt:lpstr>v_109_XHFO_L</vt:lpstr>
      <vt:lpstr>v_109_XHFO_L_P</vt:lpstr>
      <vt:lpstr>v_109_XHFO_L_P_old</vt:lpstr>
      <vt:lpstr>v_109_XHFO_old</vt:lpstr>
      <vt:lpstr>v_109_XHMETO</vt:lpstr>
      <vt:lpstr>v_109_XHSRO</vt:lpstr>
      <vt:lpstr>v_109_XINORG</vt:lpstr>
      <vt:lpstr>v_109_XMEOLO</vt:lpstr>
      <vt:lpstr>v_109_XN_B</vt:lpstr>
      <vt:lpstr>v_109_XN_Be</vt:lpstr>
      <vt:lpstr>v_109_XN_U</vt:lpstr>
      <vt:lpstr>v_109_XNOB</vt:lpstr>
      <vt:lpstr>v_109_XOHO</vt:lpstr>
      <vt:lpstr>v_109_XP_B</vt:lpstr>
      <vt:lpstr>v_109_XP_Be</vt:lpstr>
      <vt:lpstr>v_109_XP_U</vt:lpstr>
      <vt:lpstr>v_109_XPFOA</vt:lpstr>
      <vt:lpstr>v_109_XPFOS</vt:lpstr>
      <vt:lpstr>v_109_XPHA_GAO</vt:lpstr>
      <vt:lpstr>v_109_XPHA_PAO</vt:lpstr>
      <vt:lpstr>v_109_XPP</vt:lpstr>
      <vt:lpstr>v_109_XS</vt:lpstr>
      <vt:lpstr>v_109_XSOO</vt:lpstr>
      <vt:lpstr>v_109_XSTR</vt:lpstr>
      <vt:lpstr>v_109_XU</vt:lpstr>
      <vt:lpstr>v_109_XVivi</vt:lpstr>
      <vt:lpstr>v_11_CB</vt:lpstr>
      <vt:lpstr>v_11_CU</vt:lpstr>
      <vt:lpstr>v_11_GCH4</vt:lpstr>
      <vt:lpstr>v_11_GCH4_atm</vt:lpstr>
      <vt:lpstr>v_11_GCO2</vt:lpstr>
      <vt:lpstr>v_11_GCO2_atm</vt:lpstr>
      <vt:lpstr>v_11_GH2</vt:lpstr>
      <vt:lpstr>v_11_GH2_atm</vt:lpstr>
      <vt:lpstr>v_11_GH2S</vt:lpstr>
      <vt:lpstr>v_11_GH2S_atm</vt:lpstr>
      <vt:lpstr>v_11_GN2</vt:lpstr>
      <vt:lpstr>v_11_GN2_atm</vt:lpstr>
      <vt:lpstr>v_11_GNH3</vt:lpstr>
      <vt:lpstr>v_11_GNH3_atm</vt:lpstr>
      <vt:lpstr>v_11_GO2</vt:lpstr>
      <vt:lpstr>v_11_GO2_atm</vt:lpstr>
      <vt:lpstr>v_11_SALPHA</vt:lpstr>
      <vt:lpstr>v_11_SAN</vt:lpstr>
      <vt:lpstr>v_11_SB</vt:lpstr>
      <vt:lpstr>v_11_SCa</vt:lpstr>
      <vt:lpstr>v_11_SCAT</vt:lpstr>
      <vt:lpstr>v_11_SCH4</vt:lpstr>
      <vt:lpstr>v_11_SCO2</vt:lpstr>
      <vt:lpstr>v_11_SFe2</vt:lpstr>
      <vt:lpstr>v_11_SH</vt:lpstr>
      <vt:lpstr>v_11_SH2</vt:lpstr>
      <vt:lpstr>v_11_SH2S</vt:lpstr>
      <vt:lpstr>v_11_SK</vt:lpstr>
      <vt:lpstr>v_11_SMEOL</vt:lpstr>
      <vt:lpstr>v_11_SMg</vt:lpstr>
      <vt:lpstr>v_11_SMM_index</vt:lpstr>
      <vt:lpstr>v_11_SN_B</vt:lpstr>
      <vt:lpstr>v_11_SN2</vt:lpstr>
      <vt:lpstr>v_11_SNHx</vt:lpstr>
      <vt:lpstr>v_11_SNO2</vt:lpstr>
      <vt:lpstr>v_11_SNO3</vt:lpstr>
      <vt:lpstr>v_11_SO2</vt:lpstr>
      <vt:lpstr>v_11_SORPswitch</vt:lpstr>
      <vt:lpstr>v_11_SP_B</vt:lpstr>
      <vt:lpstr>v_11_SPFOA</vt:lpstr>
      <vt:lpstr>v_11_SPFOS</vt:lpstr>
      <vt:lpstr>v_11_SPO4</vt:lpstr>
      <vt:lpstr>v_11_SSO4</vt:lpstr>
      <vt:lpstr>v_11_SU</vt:lpstr>
      <vt:lpstr>v_11_SVFA</vt:lpstr>
      <vt:lpstr>v_11_XACP</vt:lpstr>
      <vt:lpstr>v_11_XALGAE</vt:lpstr>
      <vt:lpstr>v_11_XAMETO</vt:lpstr>
      <vt:lpstr>v_11_XAMX</vt:lpstr>
      <vt:lpstr>v_11_XAOB</vt:lpstr>
      <vt:lpstr>v_11_XASRO</vt:lpstr>
      <vt:lpstr>v_11_XB</vt:lpstr>
      <vt:lpstr>v_11_XB_e</vt:lpstr>
      <vt:lpstr>v_11_XBSH</vt:lpstr>
      <vt:lpstr>v_11_XCaCO3</vt:lpstr>
      <vt:lpstr>v_11_XCASTO</vt:lpstr>
      <vt:lpstr>v_11_XE</vt:lpstr>
      <vt:lpstr>v_11_XE_ana</vt:lpstr>
      <vt:lpstr>v_11_XFeS</vt:lpstr>
      <vt:lpstr>v_11_XHAO_H</vt:lpstr>
      <vt:lpstr>v_11_XHAO_H_P</vt:lpstr>
      <vt:lpstr>v_11_XHAO_H_P_old</vt:lpstr>
      <vt:lpstr>v_11_XHAO_L</vt:lpstr>
      <vt:lpstr>v_11_XHAO_L_P</vt:lpstr>
      <vt:lpstr>v_11_XHAO_L_P_old</vt:lpstr>
      <vt:lpstr>v_11_XHAO_old</vt:lpstr>
      <vt:lpstr>v_11_XHFO_H</vt:lpstr>
      <vt:lpstr>v_11_XHFO_H_P</vt:lpstr>
      <vt:lpstr>v_11_XHFO_H_P_old</vt:lpstr>
      <vt:lpstr>v_11_XHFO_L</vt:lpstr>
      <vt:lpstr>v_11_XHFO_L_P</vt:lpstr>
      <vt:lpstr>v_11_XHFO_L_P_old</vt:lpstr>
      <vt:lpstr>v_11_XHFO_old</vt:lpstr>
      <vt:lpstr>v_11_XHMETO</vt:lpstr>
      <vt:lpstr>v_11_XHSRO</vt:lpstr>
      <vt:lpstr>v_11_XINORG</vt:lpstr>
      <vt:lpstr>v_11_XMEOLO</vt:lpstr>
      <vt:lpstr>v_11_XN_B</vt:lpstr>
      <vt:lpstr>v_11_XN_Be</vt:lpstr>
      <vt:lpstr>v_11_XN_U</vt:lpstr>
      <vt:lpstr>v_11_XNOB</vt:lpstr>
      <vt:lpstr>v_11_XOHO</vt:lpstr>
      <vt:lpstr>v_11_XP_B</vt:lpstr>
      <vt:lpstr>v_11_XP_Be</vt:lpstr>
      <vt:lpstr>v_11_XP_U</vt:lpstr>
      <vt:lpstr>v_11_XPFOA</vt:lpstr>
      <vt:lpstr>v_11_XPFOS</vt:lpstr>
      <vt:lpstr>v_11_XPHA_GAO</vt:lpstr>
      <vt:lpstr>v_11_XPHA_PAO</vt:lpstr>
      <vt:lpstr>v_11_XPP</vt:lpstr>
      <vt:lpstr>v_11_XS</vt:lpstr>
      <vt:lpstr>v_11_XSOO</vt:lpstr>
      <vt:lpstr>v_11_XSTR</vt:lpstr>
      <vt:lpstr>v_11_XU</vt:lpstr>
      <vt:lpstr>v_11_XVivi</vt:lpstr>
      <vt:lpstr>v_110_CB</vt:lpstr>
      <vt:lpstr>v_110_CU</vt:lpstr>
      <vt:lpstr>v_110_GCH4</vt:lpstr>
      <vt:lpstr>v_110_GCH4_atm</vt:lpstr>
      <vt:lpstr>v_110_GCO2</vt:lpstr>
      <vt:lpstr>v_110_GCO2_atm</vt:lpstr>
      <vt:lpstr>v_110_GH2</vt:lpstr>
      <vt:lpstr>v_110_GH2_atm</vt:lpstr>
      <vt:lpstr>v_110_GH2S</vt:lpstr>
      <vt:lpstr>v_110_GH2S_atm</vt:lpstr>
      <vt:lpstr>v_110_GN2</vt:lpstr>
      <vt:lpstr>v_110_GN2_atm</vt:lpstr>
      <vt:lpstr>v_110_GNH3</vt:lpstr>
      <vt:lpstr>v_110_GNH3_atm</vt:lpstr>
      <vt:lpstr>v_110_GO2</vt:lpstr>
      <vt:lpstr>v_110_GO2_atm</vt:lpstr>
      <vt:lpstr>v_110_SALPHA</vt:lpstr>
      <vt:lpstr>v_110_SAN</vt:lpstr>
      <vt:lpstr>v_110_SB</vt:lpstr>
      <vt:lpstr>v_110_SCa</vt:lpstr>
      <vt:lpstr>v_110_SCAT</vt:lpstr>
      <vt:lpstr>v_110_SCH4</vt:lpstr>
      <vt:lpstr>v_110_SCO2</vt:lpstr>
      <vt:lpstr>v_110_SFe2</vt:lpstr>
      <vt:lpstr>v_110_SH</vt:lpstr>
      <vt:lpstr>v_110_SH2</vt:lpstr>
      <vt:lpstr>v_110_SH2S</vt:lpstr>
      <vt:lpstr>v_110_SK</vt:lpstr>
      <vt:lpstr>v_110_SMEOL</vt:lpstr>
      <vt:lpstr>v_110_SMg</vt:lpstr>
      <vt:lpstr>v_110_SMM_index</vt:lpstr>
      <vt:lpstr>v_110_SN_B</vt:lpstr>
      <vt:lpstr>v_110_SN2</vt:lpstr>
      <vt:lpstr>v_110_SNHx</vt:lpstr>
      <vt:lpstr>v_110_SNO2</vt:lpstr>
      <vt:lpstr>v_110_SNO3</vt:lpstr>
      <vt:lpstr>v_110_SO2</vt:lpstr>
      <vt:lpstr>v_110_SORPswitch</vt:lpstr>
      <vt:lpstr>v_110_SP_B</vt:lpstr>
      <vt:lpstr>v_110_SPFOA</vt:lpstr>
      <vt:lpstr>v_110_SPFOS</vt:lpstr>
      <vt:lpstr>v_110_SPO4</vt:lpstr>
      <vt:lpstr>v_110_SSO4</vt:lpstr>
      <vt:lpstr>v_110_SU</vt:lpstr>
      <vt:lpstr>v_110_SVFA</vt:lpstr>
      <vt:lpstr>v_110_XACP</vt:lpstr>
      <vt:lpstr>v_110_XALGAE</vt:lpstr>
      <vt:lpstr>v_110_XAMETO</vt:lpstr>
      <vt:lpstr>v_110_XAMX</vt:lpstr>
      <vt:lpstr>v_110_XAOB</vt:lpstr>
      <vt:lpstr>v_110_XASRO</vt:lpstr>
      <vt:lpstr>v_110_XB</vt:lpstr>
      <vt:lpstr>v_110_XB_e</vt:lpstr>
      <vt:lpstr>v_110_XBSH</vt:lpstr>
      <vt:lpstr>v_110_XCaCO3</vt:lpstr>
      <vt:lpstr>v_110_XCASTO</vt:lpstr>
      <vt:lpstr>v_110_XE</vt:lpstr>
      <vt:lpstr>v_110_XE_ana</vt:lpstr>
      <vt:lpstr>v_110_XFeS</vt:lpstr>
      <vt:lpstr>v_110_XHAO_H</vt:lpstr>
      <vt:lpstr>v_110_XHAO_H_P</vt:lpstr>
      <vt:lpstr>v_110_XHAO_H_P_old</vt:lpstr>
      <vt:lpstr>v_110_XHAO_L</vt:lpstr>
      <vt:lpstr>v_110_XHAO_L_P</vt:lpstr>
      <vt:lpstr>v_110_XHAO_L_P_old</vt:lpstr>
      <vt:lpstr>v_110_XHAO_old</vt:lpstr>
      <vt:lpstr>v_110_XHFO_H</vt:lpstr>
      <vt:lpstr>v_110_XHFO_H_P</vt:lpstr>
      <vt:lpstr>v_110_XHFO_H_P_old</vt:lpstr>
      <vt:lpstr>v_110_XHFO_L</vt:lpstr>
      <vt:lpstr>v_110_XHFO_L_P</vt:lpstr>
      <vt:lpstr>v_110_XHFO_L_P_old</vt:lpstr>
      <vt:lpstr>v_110_XHFO_old</vt:lpstr>
      <vt:lpstr>v_110_XHMETO</vt:lpstr>
      <vt:lpstr>v_110_XHSRO</vt:lpstr>
      <vt:lpstr>v_110_XINORG</vt:lpstr>
      <vt:lpstr>v_110_XMEOLO</vt:lpstr>
      <vt:lpstr>v_110_XN_B</vt:lpstr>
      <vt:lpstr>v_110_XN_Be</vt:lpstr>
      <vt:lpstr>v_110_XN_U</vt:lpstr>
      <vt:lpstr>v_110_XNOB</vt:lpstr>
      <vt:lpstr>v_110_XOHO</vt:lpstr>
      <vt:lpstr>v_110_XP_B</vt:lpstr>
      <vt:lpstr>v_110_XP_Be</vt:lpstr>
      <vt:lpstr>v_110_XP_U</vt:lpstr>
      <vt:lpstr>v_110_XPFOA</vt:lpstr>
      <vt:lpstr>v_110_XPFOS</vt:lpstr>
      <vt:lpstr>v_110_XPHA_GAO</vt:lpstr>
      <vt:lpstr>v_110_XPHA_PAO</vt:lpstr>
      <vt:lpstr>v_110_XPP</vt:lpstr>
      <vt:lpstr>v_110_XS</vt:lpstr>
      <vt:lpstr>v_110_XSOO</vt:lpstr>
      <vt:lpstr>v_110_XSTR</vt:lpstr>
      <vt:lpstr>v_110_XU</vt:lpstr>
      <vt:lpstr>v_110_XVivi</vt:lpstr>
      <vt:lpstr>v_111_CB</vt:lpstr>
      <vt:lpstr>v_111_CU</vt:lpstr>
      <vt:lpstr>v_111_GCH4</vt:lpstr>
      <vt:lpstr>v_111_GCH4_atm</vt:lpstr>
      <vt:lpstr>v_111_GCO2</vt:lpstr>
      <vt:lpstr>v_111_GCO2_atm</vt:lpstr>
      <vt:lpstr>v_111_GH2</vt:lpstr>
      <vt:lpstr>v_111_GH2_atm</vt:lpstr>
      <vt:lpstr>v_111_GH2S</vt:lpstr>
      <vt:lpstr>v_111_GH2S_atm</vt:lpstr>
      <vt:lpstr>v_111_GN2</vt:lpstr>
      <vt:lpstr>v_111_GN2_atm</vt:lpstr>
      <vt:lpstr>v_111_GNH3</vt:lpstr>
      <vt:lpstr>v_111_GNH3_atm</vt:lpstr>
      <vt:lpstr>v_111_GO2</vt:lpstr>
      <vt:lpstr>v_111_GO2_atm</vt:lpstr>
      <vt:lpstr>v_111_SALPHA</vt:lpstr>
      <vt:lpstr>v_111_SAN</vt:lpstr>
      <vt:lpstr>v_111_SB</vt:lpstr>
      <vt:lpstr>v_111_SCa</vt:lpstr>
      <vt:lpstr>v_111_SCAT</vt:lpstr>
      <vt:lpstr>v_111_SCH4</vt:lpstr>
      <vt:lpstr>v_111_SCO2</vt:lpstr>
      <vt:lpstr>v_111_SFe2</vt:lpstr>
      <vt:lpstr>v_111_SH</vt:lpstr>
      <vt:lpstr>v_111_SH2</vt:lpstr>
      <vt:lpstr>v_111_SH2S</vt:lpstr>
      <vt:lpstr>v_111_SK</vt:lpstr>
      <vt:lpstr>v_111_SMEOL</vt:lpstr>
      <vt:lpstr>v_111_SMg</vt:lpstr>
      <vt:lpstr>v_111_SMM_index</vt:lpstr>
      <vt:lpstr>v_111_SN_B</vt:lpstr>
      <vt:lpstr>v_111_SN2</vt:lpstr>
      <vt:lpstr>v_111_SNHx</vt:lpstr>
      <vt:lpstr>v_111_SNO2</vt:lpstr>
      <vt:lpstr>v_111_SNO3</vt:lpstr>
      <vt:lpstr>v_111_SO2</vt:lpstr>
      <vt:lpstr>v_111_SORPswitch</vt:lpstr>
      <vt:lpstr>v_111_SP_B</vt:lpstr>
      <vt:lpstr>v_111_SPFOA</vt:lpstr>
      <vt:lpstr>v_111_SPFOS</vt:lpstr>
      <vt:lpstr>v_111_SPO4</vt:lpstr>
      <vt:lpstr>v_111_SSO4</vt:lpstr>
      <vt:lpstr>v_111_SU</vt:lpstr>
      <vt:lpstr>v_111_SVFA</vt:lpstr>
      <vt:lpstr>v_111_XACP</vt:lpstr>
      <vt:lpstr>v_111_XALGAE</vt:lpstr>
      <vt:lpstr>v_111_XAMETO</vt:lpstr>
      <vt:lpstr>v_111_XAMX</vt:lpstr>
      <vt:lpstr>v_111_XAOB</vt:lpstr>
      <vt:lpstr>v_111_XASRO</vt:lpstr>
      <vt:lpstr>v_111_XB</vt:lpstr>
      <vt:lpstr>v_111_XB_e</vt:lpstr>
      <vt:lpstr>v_111_XBSH</vt:lpstr>
      <vt:lpstr>v_111_XCaCO3</vt:lpstr>
      <vt:lpstr>v_111_XCASTO</vt:lpstr>
      <vt:lpstr>v_111_XE</vt:lpstr>
      <vt:lpstr>v_111_XE_ana</vt:lpstr>
      <vt:lpstr>v_111_XFeS</vt:lpstr>
      <vt:lpstr>v_111_XHAO_H</vt:lpstr>
      <vt:lpstr>v_111_XHAO_H_P</vt:lpstr>
      <vt:lpstr>v_111_XHAO_H_P_old</vt:lpstr>
      <vt:lpstr>v_111_XHAO_L</vt:lpstr>
      <vt:lpstr>v_111_XHAO_L_P</vt:lpstr>
      <vt:lpstr>v_111_XHAO_L_P_old</vt:lpstr>
      <vt:lpstr>v_111_XHAO_old</vt:lpstr>
      <vt:lpstr>v_111_XHFO_H</vt:lpstr>
      <vt:lpstr>v_111_XHFO_H_P</vt:lpstr>
      <vt:lpstr>v_111_XHFO_H_P_old</vt:lpstr>
      <vt:lpstr>v_111_XHFO_L</vt:lpstr>
      <vt:lpstr>v_111_XHFO_L_P</vt:lpstr>
      <vt:lpstr>v_111_XHFO_L_P_old</vt:lpstr>
      <vt:lpstr>v_111_XHFO_old</vt:lpstr>
      <vt:lpstr>v_111_XHMETO</vt:lpstr>
      <vt:lpstr>v_111_XHSRO</vt:lpstr>
      <vt:lpstr>v_111_XINORG</vt:lpstr>
      <vt:lpstr>v_111_XMEOLO</vt:lpstr>
      <vt:lpstr>v_111_XN_B</vt:lpstr>
      <vt:lpstr>v_111_XN_Be</vt:lpstr>
      <vt:lpstr>v_111_XN_U</vt:lpstr>
      <vt:lpstr>v_111_XNOB</vt:lpstr>
      <vt:lpstr>v_111_XOHO</vt:lpstr>
      <vt:lpstr>v_111_XP_B</vt:lpstr>
      <vt:lpstr>v_111_XP_Be</vt:lpstr>
      <vt:lpstr>v_111_XP_U</vt:lpstr>
      <vt:lpstr>v_111_XPFOA</vt:lpstr>
      <vt:lpstr>v_111_XPFOS</vt:lpstr>
      <vt:lpstr>v_111_XPHA_GAO</vt:lpstr>
      <vt:lpstr>v_111_XPHA_PAO</vt:lpstr>
      <vt:lpstr>v_111_XPP</vt:lpstr>
      <vt:lpstr>v_111_XS</vt:lpstr>
      <vt:lpstr>v_111_XSOO</vt:lpstr>
      <vt:lpstr>v_111_XSTR</vt:lpstr>
      <vt:lpstr>v_111_XU</vt:lpstr>
      <vt:lpstr>v_111_XVivi</vt:lpstr>
      <vt:lpstr>v_112_CB</vt:lpstr>
      <vt:lpstr>v_112_CU</vt:lpstr>
      <vt:lpstr>v_112_GCH4</vt:lpstr>
      <vt:lpstr>v_112_GCH4_atm</vt:lpstr>
      <vt:lpstr>v_112_GCO2</vt:lpstr>
      <vt:lpstr>v_112_GCO2_atm</vt:lpstr>
      <vt:lpstr>v_112_GH2</vt:lpstr>
      <vt:lpstr>v_112_GH2_atm</vt:lpstr>
      <vt:lpstr>v_112_GH2S</vt:lpstr>
      <vt:lpstr>v_112_GH2S_atm</vt:lpstr>
      <vt:lpstr>v_112_GN2</vt:lpstr>
      <vt:lpstr>v_112_GN2_atm</vt:lpstr>
      <vt:lpstr>v_112_GNH3</vt:lpstr>
      <vt:lpstr>v_112_GNH3_atm</vt:lpstr>
      <vt:lpstr>v_112_GO2</vt:lpstr>
      <vt:lpstr>v_112_GO2_atm</vt:lpstr>
      <vt:lpstr>v_112_SALPHA</vt:lpstr>
      <vt:lpstr>v_112_SAN</vt:lpstr>
      <vt:lpstr>v_112_SB</vt:lpstr>
      <vt:lpstr>v_112_SCa</vt:lpstr>
      <vt:lpstr>v_112_SCAT</vt:lpstr>
      <vt:lpstr>v_112_SCH4</vt:lpstr>
      <vt:lpstr>v_112_SCO2</vt:lpstr>
      <vt:lpstr>v_112_SFe2</vt:lpstr>
      <vt:lpstr>v_112_SH</vt:lpstr>
      <vt:lpstr>v_112_SH2</vt:lpstr>
      <vt:lpstr>v_112_SH2S</vt:lpstr>
      <vt:lpstr>v_112_SK</vt:lpstr>
      <vt:lpstr>v_112_SMEOL</vt:lpstr>
      <vt:lpstr>v_112_SMg</vt:lpstr>
      <vt:lpstr>v_112_SMM_index</vt:lpstr>
      <vt:lpstr>v_112_SN_B</vt:lpstr>
      <vt:lpstr>v_112_SN2</vt:lpstr>
      <vt:lpstr>v_112_SNHx</vt:lpstr>
      <vt:lpstr>v_112_SNO2</vt:lpstr>
      <vt:lpstr>v_112_SNO3</vt:lpstr>
      <vt:lpstr>v_112_SO2</vt:lpstr>
      <vt:lpstr>v_112_SORPswitch</vt:lpstr>
      <vt:lpstr>v_112_SP_B</vt:lpstr>
      <vt:lpstr>v_112_SPFOA</vt:lpstr>
      <vt:lpstr>v_112_SPFOS</vt:lpstr>
      <vt:lpstr>v_112_SPO4</vt:lpstr>
      <vt:lpstr>v_112_SSO4</vt:lpstr>
      <vt:lpstr>v_112_SU</vt:lpstr>
      <vt:lpstr>v_112_SVFA</vt:lpstr>
      <vt:lpstr>v_112_XACP</vt:lpstr>
      <vt:lpstr>v_112_XALGAE</vt:lpstr>
      <vt:lpstr>v_112_XAMETO</vt:lpstr>
      <vt:lpstr>v_112_XAMX</vt:lpstr>
      <vt:lpstr>v_112_XAOB</vt:lpstr>
      <vt:lpstr>v_112_XASRO</vt:lpstr>
      <vt:lpstr>v_112_XB</vt:lpstr>
      <vt:lpstr>v_112_XB_e</vt:lpstr>
      <vt:lpstr>v_112_XBSH</vt:lpstr>
      <vt:lpstr>v_112_XCaCO3</vt:lpstr>
      <vt:lpstr>v_112_XCASTO</vt:lpstr>
      <vt:lpstr>v_112_XE</vt:lpstr>
      <vt:lpstr>v_112_XE_ana</vt:lpstr>
      <vt:lpstr>v_112_XFeS</vt:lpstr>
      <vt:lpstr>v_112_XHAO_H</vt:lpstr>
      <vt:lpstr>v_112_XHAO_H_P</vt:lpstr>
      <vt:lpstr>v_112_XHAO_H_P_old</vt:lpstr>
      <vt:lpstr>v_112_XHAO_L</vt:lpstr>
      <vt:lpstr>v_112_XHAO_L_P</vt:lpstr>
      <vt:lpstr>v_112_XHAO_L_P_old</vt:lpstr>
      <vt:lpstr>v_112_XHAO_old</vt:lpstr>
      <vt:lpstr>v_112_XHFO_H</vt:lpstr>
      <vt:lpstr>v_112_XHFO_H_P</vt:lpstr>
      <vt:lpstr>v_112_XHFO_H_P_old</vt:lpstr>
      <vt:lpstr>v_112_XHFO_L</vt:lpstr>
      <vt:lpstr>v_112_XHFO_L_P</vt:lpstr>
      <vt:lpstr>v_112_XHFO_L_P_old</vt:lpstr>
      <vt:lpstr>v_112_XHFO_old</vt:lpstr>
      <vt:lpstr>v_112_XHMETO</vt:lpstr>
      <vt:lpstr>v_112_XHSRO</vt:lpstr>
      <vt:lpstr>v_112_XINORG</vt:lpstr>
      <vt:lpstr>v_112_XMEOLO</vt:lpstr>
      <vt:lpstr>v_112_XN_B</vt:lpstr>
      <vt:lpstr>v_112_XN_Be</vt:lpstr>
      <vt:lpstr>v_112_XN_U</vt:lpstr>
      <vt:lpstr>v_112_XNOB</vt:lpstr>
      <vt:lpstr>v_112_XOHO</vt:lpstr>
      <vt:lpstr>v_112_XP_B</vt:lpstr>
      <vt:lpstr>v_112_XP_Be</vt:lpstr>
      <vt:lpstr>v_112_XP_U</vt:lpstr>
      <vt:lpstr>v_112_XPFOA</vt:lpstr>
      <vt:lpstr>v_112_XPFOS</vt:lpstr>
      <vt:lpstr>v_112_XPHA_GAO</vt:lpstr>
      <vt:lpstr>v_112_XPHA_PAO</vt:lpstr>
      <vt:lpstr>v_112_XPP</vt:lpstr>
      <vt:lpstr>v_112_XS</vt:lpstr>
      <vt:lpstr>v_112_XSOO</vt:lpstr>
      <vt:lpstr>v_112_XSTR</vt:lpstr>
      <vt:lpstr>v_112_XU</vt:lpstr>
      <vt:lpstr>v_112_XVivi</vt:lpstr>
      <vt:lpstr>v_113_CB</vt:lpstr>
      <vt:lpstr>v_113_CU</vt:lpstr>
      <vt:lpstr>v_113_GCH4</vt:lpstr>
      <vt:lpstr>v_113_GCH4_atm</vt:lpstr>
      <vt:lpstr>v_113_GCO2</vt:lpstr>
      <vt:lpstr>v_113_GCO2_atm</vt:lpstr>
      <vt:lpstr>v_113_GH2</vt:lpstr>
      <vt:lpstr>v_113_GH2_atm</vt:lpstr>
      <vt:lpstr>v_113_GH2S</vt:lpstr>
      <vt:lpstr>v_113_GH2S_atm</vt:lpstr>
      <vt:lpstr>v_113_GN2</vt:lpstr>
      <vt:lpstr>v_113_GN2_atm</vt:lpstr>
      <vt:lpstr>v_113_GNH3</vt:lpstr>
      <vt:lpstr>v_113_GNH3_atm</vt:lpstr>
      <vt:lpstr>v_113_GO2</vt:lpstr>
      <vt:lpstr>v_113_GO2_atm</vt:lpstr>
      <vt:lpstr>v_113_SALPHA</vt:lpstr>
      <vt:lpstr>v_113_SAN</vt:lpstr>
      <vt:lpstr>v_113_SB</vt:lpstr>
      <vt:lpstr>v_113_SCa</vt:lpstr>
      <vt:lpstr>v_113_SCAT</vt:lpstr>
      <vt:lpstr>v_113_SCH4</vt:lpstr>
      <vt:lpstr>v_113_SCO2</vt:lpstr>
      <vt:lpstr>v_113_SFe2</vt:lpstr>
      <vt:lpstr>v_113_SH</vt:lpstr>
      <vt:lpstr>v_113_SH2</vt:lpstr>
      <vt:lpstr>v_113_SH2S</vt:lpstr>
      <vt:lpstr>v_113_SK</vt:lpstr>
      <vt:lpstr>v_113_SMEOL</vt:lpstr>
      <vt:lpstr>v_113_SMg</vt:lpstr>
      <vt:lpstr>v_113_SMM_index</vt:lpstr>
      <vt:lpstr>v_113_SN_B</vt:lpstr>
      <vt:lpstr>v_113_SN2</vt:lpstr>
      <vt:lpstr>v_113_SNHx</vt:lpstr>
      <vt:lpstr>v_113_SNO2</vt:lpstr>
      <vt:lpstr>v_113_SNO3</vt:lpstr>
      <vt:lpstr>v_113_SO2</vt:lpstr>
      <vt:lpstr>v_113_SORPswitch</vt:lpstr>
      <vt:lpstr>v_113_SP_B</vt:lpstr>
      <vt:lpstr>v_113_SPFOA</vt:lpstr>
      <vt:lpstr>v_113_SPFOS</vt:lpstr>
      <vt:lpstr>v_113_SPO4</vt:lpstr>
      <vt:lpstr>v_113_SSO4</vt:lpstr>
      <vt:lpstr>v_113_SU</vt:lpstr>
      <vt:lpstr>v_113_SVFA</vt:lpstr>
      <vt:lpstr>v_113_XACP</vt:lpstr>
      <vt:lpstr>v_113_XALGAE</vt:lpstr>
      <vt:lpstr>v_113_XAMETO</vt:lpstr>
      <vt:lpstr>v_113_XAMX</vt:lpstr>
      <vt:lpstr>v_113_XAOB</vt:lpstr>
      <vt:lpstr>v_113_XASRO</vt:lpstr>
      <vt:lpstr>v_113_XB</vt:lpstr>
      <vt:lpstr>v_113_XB_e</vt:lpstr>
      <vt:lpstr>v_113_XBSH</vt:lpstr>
      <vt:lpstr>v_113_XCaCO3</vt:lpstr>
      <vt:lpstr>v_113_XCASTO</vt:lpstr>
      <vt:lpstr>v_113_XE</vt:lpstr>
      <vt:lpstr>v_113_XE_ana</vt:lpstr>
      <vt:lpstr>v_113_XFeS</vt:lpstr>
      <vt:lpstr>v_113_XHAO_H</vt:lpstr>
      <vt:lpstr>v_113_XHAO_H_P</vt:lpstr>
      <vt:lpstr>v_113_XHAO_H_P_old</vt:lpstr>
      <vt:lpstr>v_113_XHAO_L</vt:lpstr>
      <vt:lpstr>v_113_XHAO_L_P</vt:lpstr>
      <vt:lpstr>v_113_XHAO_L_P_old</vt:lpstr>
      <vt:lpstr>v_113_XHAO_old</vt:lpstr>
      <vt:lpstr>v_113_XHFO_H</vt:lpstr>
      <vt:lpstr>v_113_XHFO_H_P</vt:lpstr>
      <vt:lpstr>v_113_XHFO_H_P_old</vt:lpstr>
      <vt:lpstr>v_113_XHFO_L</vt:lpstr>
      <vt:lpstr>v_113_XHFO_L_P</vt:lpstr>
      <vt:lpstr>v_113_XHFO_L_P_old</vt:lpstr>
      <vt:lpstr>v_113_XHFO_old</vt:lpstr>
      <vt:lpstr>v_113_XHMETO</vt:lpstr>
      <vt:lpstr>v_113_XHSRO</vt:lpstr>
      <vt:lpstr>v_113_XINORG</vt:lpstr>
      <vt:lpstr>v_113_XMEOLO</vt:lpstr>
      <vt:lpstr>v_113_XN_B</vt:lpstr>
      <vt:lpstr>v_113_XN_Be</vt:lpstr>
      <vt:lpstr>v_113_XN_U</vt:lpstr>
      <vt:lpstr>v_113_XNOB</vt:lpstr>
      <vt:lpstr>v_113_XOHO</vt:lpstr>
      <vt:lpstr>v_113_XP_B</vt:lpstr>
      <vt:lpstr>v_113_XP_Be</vt:lpstr>
      <vt:lpstr>v_113_XP_U</vt:lpstr>
      <vt:lpstr>v_113_XPFOA</vt:lpstr>
      <vt:lpstr>v_113_XPFOS</vt:lpstr>
      <vt:lpstr>v_113_XPHA_GAO</vt:lpstr>
      <vt:lpstr>v_113_XPHA_PAO</vt:lpstr>
      <vt:lpstr>v_113_XPP</vt:lpstr>
      <vt:lpstr>v_113_XS</vt:lpstr>
      <vt:lpstr>v_113_XSOO</vt:lpstr>
      <vt:lpstr>v_113_XSTR</vt:lpstr>
      <vt:lpstr>v_113_XU</vt:lpstr>
      <vt:lpstr>v_113_XVivi</vt:lpstr>
      <vt:lpstr>v_114_CB</vt:lpstr>
      <vt:lpstr>v_114_CU</vt:lpstr>
      <vt:lpstr>v_114_GCH4</vt:lpstr>
      <vt:lpstr>v_114_GCH4_atm</vt:lpstr>
      <vt:lpstr>v_114_GCO2</vt:lpstr>
      <vt:lpstr>v_114_GCO2_atm</vt:lpstr>
      <vt:lpstr>v_114_GH2</vt:lpstr>
      <vt:lpstr>v_114_GH2_atm</vt:lpstr>
      <vt:lpstr>v_114_GH2S</vt:lpstr>
      <vt:lpstr>v_114_GH2S_atm</vt:lpstr>
      <vt:lpstr>v_114_GN2</vt:lpstr>
      <vt:lpstr>v_114_GN2_atm</vt:lpstr>
      <vt:lpstr>v_114_GNH3</vt:lpstr>
      <vt:lpstr>v_114_GNH3_atm</vt:lpstr>
      <vt:lpstr>v_114_GO2</vt:lpstr>
      <vt:lpstr>v_114_GO2_atm</vt:lpstr>
      <vt:lpstr>v_114_SALPHA</vt:lpstr>
      <vt:lpstr>v_114_SAN</vt:lpstr>
      <vt:lpstr>v_114_SB</vt:lpstr>
      <vt:lpstr>v_114_SCa</vt:lpstr>
      <vt:lpstr>v_114_SCAT</vt:lpstr>
      <vt:lpstr>v_114_SCH4</vt:lpstr>
      <vt:lpstr>v_114_SCO2</vt:lpstr>
      <vt:lpstr>v_114_SFe2</vt:lpstr>
      <vt:lpstr>v_114_SH</vt:lpstr>
      <vt:lpstr>v_114_SH2</vt:lpstr>
      <vt:lpstr>v_114_SH2S</vt:lpstr>
      <vt:lpstr>v_114_SK</vt:lpstr>
      <vt:lpstr>v_114_SMEOL</vt:lpstr>
      <vt:lpstr>v_114_SMg</vt:lpstr>
      <vt:lpstr>v_114_SMM_index</vt:lpstr>
      <vt:lpstr>v_114_SN_B</vt:lpstr>
      <vt:lpstr>v_114_SN2</vt:lpstr>
      <vt:lpstr>v_114_SNHx</vt:lpstr>
      <vt:lpstr>v_114_SNO2</vt:lpstr>
      <vt:lpstr>v_114_SNO3</vt:lpstr>
      <vt:lpstr>v_114_SO2</vt:lpstr>
      <vt:lpstr>v_114_SORPswitch</vt:lpstr>
      <vt:lpstr>v_114_SP_B</vt:lpstr>
      <vt:lpstr>v_114_SPFOA</vt:lpstr>
      <vt:lpstr>v_114_SPFOS</vt:lpstr>
      <vt:lpstr>v_114_SPO4</vt:lpstr>
      <vt:lpstr>v_114_SSO4</vt:lpstr>
      <vt:lpstr>v_114_SU</vt:lpstr>
      <vt:lpstr>v_114_SVFA</vt:lpstr>
      <vt:lpstr>v_114_XACP</vt:lpstr>
      <vt:lpstr>v_114_XALGAE</vt:lpstr>
      <vt:lpstr>v_114_XAMETO</vt:lpstr>
      <vt:lpstr>v_114_XAMX</vt:lpstr>
      <vt:lpstr>v_114_XAOB</vt:lpstr>
      <vt:lpstr>v_114_XASRO</vt:lpstr>
      <vt:lpstr>v_114_XB</vt:lpstr>
      <vt:lpstr>v_114_XB_e</vt:lpstr>
      <vt:lpstr>v_114_XBSH</vt:lpstr>
      <vt:lpstr>v_114_XCaCO3</vt:lpstr>
      <vt:lpstr>v_114_XCASTO</vt:lpstr>
      <vt:lpstr>v_114_XE</vt:lpstr>
      <vt:lpstr>v_114_XE_ana</vt:lpstr>
      <vt:lpstr>v_114_XFeS</vt:lpstr>
      <vt:lpstr>v_114_XHAO_H</vt:lpstr>
      <vt:lpstr>v_114_XHAO_H_P</vt:lpstr>
      <vt:lpstr>v_114_XHAO_H_P_old</vt:lpstr>
      <vt:lpstr>v_114_XHAO_L</vt:lpstr>
      <vt:lpstr>v_114_XHAO_L_P</vt:lpstr>
      <vt:lpstr>v_114_XHAO_L_P_old</vt:lpstr>
      <vt:lpstr>v_114_XHAO_old</vt:lpstr>
      <vt:lpstr>v_114_XHFO_H</vt:lpstr>
      <vt:lpstr>v_114_XHFO_H_P</vt:lpstr>
      <vt:lpstr>v_114_XHFO_H_P_old</vt:lpstr>
      <vt:lpstr>v_114_XHFO_L</vt:lpstr>
      <vt:lpstr>v_114_XHFO_L_P</vt:lpstr>
      <vt:lpstr>v_114_XHFO_L_P_old</vt:lpstr>
      <vt:lpstr>v_114_XHFO_old</vt:lpstr>
      <vt:lpstr>v_114_XHMETO</vt:lpstr>
      <vt:lpstr>v_114_XHSRO</vt:lpstr>
      <vt:lpstr>v_114_XINORG</vt:lpstr>
      <vt:lpstr>v_114_XMEOLO</vt:lpstr>
      <vt:lpstr>v_114_XN_B</vt:lpstr>
      <vt:lpstr>v_114_XN_Be</vt:lpstr>
      <vt:lpstr>v_114_XN_U</vt:lpstr>
      <vt:lpstr>v_114_XNOB</vt:lpstr>
      <vt:lpstr>v_114_XOHO</vt:lpstr>
      <vt:lpstr>v_114_XP_B</vt:lpstr>
      <vt:lpstr>v_114_XP_Be</vt:lpstr>
      <vt:lpstr>v_114_XP_U</vt:lpstr>
      <vt:lpstr>v_114_XPFOA</vt:lpstr>
      <vt:lpstr>v_114_XPFOS</vt:lpstr>
      <vt:lpstr>v_114_XPHA_GAO</vt:lpstr>
      <vt:lpstr>v_114_XPHA_PAO</vt:lpstr>
      <vt:lpstr>v_114_XPP</vt:lpstr>
      <vt:lpstr>v_114_XS</vt:lpstr>
      <vt:lpstr>v_114_XSOO</vt:lpstr>
      <vt:lpstr>v_114_XSTR</vt:lpstr>
      <vt:lpstr>v_114_XU</vt:lpstr>
      <vt:lpstr>v_114_XVivi</vt:lpstr>
      <vt:lpstr>v_115_CB</vt:lpstr>
      <vt:lpstr>v_115_CU</vt:lpstr>
      <vt:lpstr>v_115_GCH4</vt:lpstr>
      <vt:lpstr>v_115_GCH4_atm</vt:lpstr>
      <vt:lpstr>v_115_GCO2</vt:lpstr>
      <vt:lpstr>v_115_GCO2_atm</vt:lpstr>
      <vt:lpstr>v_115_GH2</vt:lpstr>
      <vt:lpstr>v_115_GH2_atm</vt:lpstr>
      <vt:lpstr>v_115_GH2S</vt:lpstr>
      <vt:lpstr>v_115_GH2S_atm</vt:lpstr>
      <vt:lpstr>v_115_GN2</vt:lpstr>
      <vt:lpstr>v_115_GN2_atm</vt:lpstr>
      <vt:lpstr>v_115_GNH3</vt:lpstr>
      <vt:lpstr>v_115_GNH3_atm</vt:lpstr>
      <vt:lpstr>v_115_GO2</vt:lpstr>
      <vt:lpstr>v_115_GO2_atm</vt:lpstr>
      <vt:lpstr>v_115_SALPHA</vt:lpstr>
      <vt:lpstr>v_115_SAN</vt:lpstr>
      <vt:lpstr>v_115_SB</vt:lpstr>
      <vt:lpstr>v_115_SCa</vt:lpstr>
      <vt:lpstr>v_115_SCAT</vt:lpstr>
      <vt:lpstr>v_115_SCH4</vt:lpstr>
      <vt:lpstr>v_115_SCO2</vt:lpstr>
      <vt:lpstr>v_115_SFe2</vt:lpstr>
      <vt:lpstr>v_115_SH</vt:lpstr>
      <vt:lpstr>v_115_SH2</vt:lpstr>
      <vt:lpstr>v_115_SH2S</vt:lpstr>
      <vt:lpstr>v_115_SK</vt:lpstr>
      <vt:lpstr>v_115_SMEOL</vt:lpstr>
      <vt:lpstr>v_115_SMg</vt:lpstr>
      <vt:lpstr>v_115_SMM_index</vt:lpstr>
      <vt:lpstr>v_115_SN_B</vt:lpstr>
      <vt:lpstr>v_115_SN2</vt:lpstr>
      <vt:lpstr>v_115_SNHx</vt:lpstr>
      <vt:lpstr>v_115_SNO2</vt:lpstr>
      <vt:lpstr>v_115_SNO3</vt:lpstr>
      <vt:lpstr>v_115_SO2</vt:lpstr>
      <vt:lpstr>v_115_SORPswitch</vt:lpstr>
      <vt:lpstr>v_115_SP_B</vt:lpstr>
      <vt:lpstr>v_115_SPFOA</vt:lpstr>
      <vt:lpstr>v_115_SPFOS</vt:lpstr>
      <vt:lpstr>v_115_SPO4</vt:lpstr>
      <vt:lpstr>v_115_SSO4</vt:lpstr>
      <vt:lpstr>v_115_SU</vt:lpstr>
      <vt:lpstr>v_115_SVFA</vt:lpstr>
      <vt:lpstr>v_115_XACP</vt:lpstr>
      <vt:lpstr>v_115_XALGAE</vt:lpstr>
      <vt:lpstr>v_115_XAMETO</vt:lpstr>
      <vt:lpstr>v_115_XAMX</vt:lpstr>
      <vt:lpstr>v_115_XAOB</vt:lpstr>
      <vt:lpstr>v_115_XASRO</vt:lpstr>
      <vt:lpstr>v_115_XB</vt:lpstr>
      <vt:lpstr>v_115_XB_e</vt:lpstr>
      <vt:lpstr>v_115_XBSH</vt:lpstr>
      <vt:lpstr>v_115_XCaCO3</vt:lpstr>
      <vt:lpstr>v_115_XCASTO</vt:lpstr>
      <vt:lpstr>v_115_XE</vt:lpstr>
      <vt:lpstr>v_115_XE_ana</vt:lpstr>
      <vt:lpstr>v_115_XFeS</vt:lpstr>
      <vt:lpstr>v_115_XHAO_H</vt:lpstr>
      <vt:lpstr>v_115_XHAO_H_P</vt:lpstr>
      <vt:lpstr>v_115_XHAO_H_P_old</vt:lpstr>
      <vt:lpstr>v_115_XHAO_L</vt:lpstr>
      <vt:lpstr>v_115_XHAO_L_P</vt:lpstr>
      <vt:lpstr>v_115_XHAO_L_P_old</vt:lpstr>
      <vt:lpstr>v_115_XHAO_old</vt:lpstr>
      <vt:lpstr>v_115_XHFO_H</vt:lpstr>
      <vt:lpstr>v_115_XHFO_H_P</vt:lpstr>
      <vt:lpstr>v_115_XHFO_H_P_old</vt:lpstr>
      <vt:lpstr>v_115_XHFO_L</vt:lpstr>
      <vt:lpstr>v_115_XHFO_L_P</vt:lpstr>
      <vt:lpstr>v_115_XHFO_L_P_old</vt:lpstr>
      <vt:lpstr>v_115_XHFO_old</vt:lpstr>
      <vt:lpstr>v_115_XHMETO</vt:lpstr>
      <vt:lpstr>v_115_XHSRO</vt:lpstr>
      <vt:lpstr>v_115_XINORG</vt:lpstr>
      <vt:lpstr>v_115_XMEOLO</vt:lpstr>
      <vt:lpstr>v_115_XN_B</vt:lpstr>
      <vt:lpstr>v_115_XN_Be</vt:lpstr>
      <vt:lpstr>v_115_XN_U</vt:lpstr>
      <vt:lpstr>v_115_XNOB</vt:lpstr>
      <vt:lpstr>v_115_XOHO</vt:lpstr>
      <vt:lpstr>v_115_XP_B</vt:lpstr>
      <vt:lpstr>v_115_XP_Be</vt:lpstr>
      <vt:lpstr>v_115_XP_U</vt:lpstr>
      <vt:lpstr>v_115_XPFOA</vt:lpstr>
      <vt:lpstr>v_115_XPFOS</vt:lpstr>
      <vt:lpstr>v_115_XPHA_GAO</vt:lpstr>
      <vt:lpstr>v_115_XPHA_PAO</vt:lpstr>
      <vt:lpstr>v_115_XPP</vt:lpstr>
      <vt:lpstr>v_115_XS</vt:lpstr>
      <vt:lpstr>v_115_XSOO</vt:lpstr>
      <vt:lpstr>v_115_XSTR</vt:lpstr>
      <vt:lpstr>v_115_XU</vt:lpstr>
      <vt:lpstr>v_115_XVivi</vt:lpstr>
      <vt:lpstr>v_116_CB</vt:lpstr>
      <vt:lpstr>v_116_CU</vt:lpstr>
      <vt:lpstr>v_116_GCH4</vt:lpstr>
      <vt:lpstr>v_116_GCH4_atm</vt:lpstr>
      <vt:lpstr>v_116_GCO2</vt:lpstr>
      <vt:lpstr>v_116_GCO2_atm</vt:lpstr>
      <vt:lpstr>v_116_GH2</vt:lpstr>
      <vt:lpstr>v_116_GH2_atm</vt:lpstr>
      <vt:lpstr>v_116_GH2S</vt:lpstr>
      <vt:lpstr>v_116_GH2S_atm</vt:lpstr>
      <vt:lpstr>v_116_GN2</vt:lpstr>
      <vt:lpstr>v_116_GN2_atm</vt:lpstr>
      <vt:lpstr>v_116_GNH3</vt:lpstr>
      <vt:lpstr>v_116_GNH3_atm</vt:lpstr>
      <vt:lpstr>v_116_GO2</vt:lpstr>
      <vt:lpstr>v_116_GO2_atm</vt:lpstr>
      <vt:lpstr>v_116_SALPHA</vt:lpstr>
      <vt:lpstr>v_116_SAN</vt:lpstr>
      <vt:lpstr>v_116_SB</vt:lpstr>
      <vt:lpstr>v_116_SCa</vt:lpstr>
      <vt:lpstr>v_116_SCAT</vt:lpstr>
      <vt:lpstr>v_116_SCH4</vt:lpstr>
      <vt:lpstr>v_116_SCO2</vt:lpstr>
      <vt:lpstr>v_116_SFe2</vt:lpstr>
      <vt:lpstr>v_116_SH</vt:lpstr>
      <vt:lpstr>v_116_SH2</vt:lpstr>
      <vt:lpstr>v_116_SH2S</vt:lpstr>
      <vt:lpstr>v_116_SK</vt:lpstr>
      <vt:lpstr>v_116_SMEOL</vt:lpstr>
      <vt:lpstr>v_116_SMg</vt:lpstr>
      <vt:lpstr>v_116_SMM_index</vt:lpstr>
      <vt:lpstr>v_116_SN_B</vt:lpstr>
      <vt:lpstr>v_116_SN2</vt:lpstr>
      <vt:lpstr>v_116_SNHx</vt:lpstr>
      <vt:lpstr>v_116_SNO2</vt:lpstr>
      <vt:lpstr>v_116_SNO3</vt:lpstr>
      <vt:lpstr>v_116_SO2</vt:lpstr>
      <vt:lpstr>v_116_SORPswitch</vt:lpstr>
      <vt:lpstr>v_116_SP_B</vt:lpstr>
      <vt:lpstr>v_116_SPFOA</vt:lpstr>
      <vt:lpstr>v_116_SPFOS</vt:lpstr>
      <vt:lpstr>v_116_SPO4</vt:lpstr>
      <vt:lpstr>v_116_SSO4</vt:lpstr>
      <vt:lpstr>v_116_SU</vt:lpstr>
      <vt:lpstr>v_116_SVFA</vt:lpstr>
      <vt:lpstr>v_116_XACP</vt:lpstr>
      <vt:lpstr>v_116_XALGAE</vt:lpstr>
      <vt:lpstr>v_116_XAMETO</vt:lpstr>
      <vt:lpstr>v_116_XAMX</vt:lpstr>
      <vt:lpstr>v_116_XAOB</vt:lpstr>
      <vt:lpstr>v_116_XASRO</vt:lpstr>
      <vt:lpstr>v_116_XB</vt:lpstr>
      <vt:lpstr>v_116_XB_e</vt:lpstr>
      <vt:lpstr>v_116_XBSH</vt:lpstr>
      <vt:lpstr>v_116_XCaCO3</vt:lpstr>
      <vt:lpstr>v_116_XCASTO</vt:lpstr>
      <vt:lpstr>v_116_XE</vt:lpstr>
      <vt:lpstr>v_116_XE_ana</vt:lpstr>
      <vt:lpstr>v_116_XFeS</vt:lpstr>
      <vt:lpstr>v_116_XHAO_H</vt:lpstr>
      <vt:lpstr>v_116_XHAO_H_P</vt:lpstr>
      <vt:lpstr>v_116_XHAO_H_P_old</vt:lpstr>
      <vt:lpstr>v_116_XHAO_L</vt:lpstr>
      <vt:lpstr>v_116_XHAO_L_P</vt:lpstr>
      <vt:lpstr>v_116_XHAO_L_P_old</vt:lpstr>
      <vt:lpstr>v_116_XHAO_old</vt:lpstr>
      <vt:lpstr>v_116_XHFO_H</vt:lpstr>
      <vt:lpstr>v_116_XHFO_H_P</vt:lpstr>
      <vt:lpstr>v_116_XHFO_H_P_old</vt:lpstr>
      <vt:lpstr>v_116_XHFO_L</vt:lpstr>
      <vt:lpstr>v_116_XHFO_L_P</vt:lpstr>
      <vt:lpstr>v_116_XHFO_L_P_old</vt:lpstr>
      <vt:lpstr>v_116_XHFO_old</vt:lpstr>
      <vt:lpstr>v_116_XHMETO</vt:lpstr>
      <vt:lpstr>v_116_XHSRO</vt:lpstr>
      <vt:lpstr>v_116_XINORG</vt:lpstr>
      <vt:lpstr>v_116_XMEOLO</vt:lpstr>
      <vt:lpstr>v_116_XN_B</vt:lpstr>
      <vt:lpstr>v_116_XN_Be</vt:lpstr>
      <vt:lpstr>v_116_XN_U</vt:lpstr>
      <vt:lpstr>v_116_XNOB</vt:lpstr>
      <vt:lpstr>v_116_XOHO</vt:lpstr>
      <vt:lpstr>v_116_XP_B</vt:lpstr>
      <vt:lpstr>v_116_XP_Be</vt:lpstr>
      <vt:lpstr>v_116_XP_U</vt:lpstr>
      <vt:lpstr>v_116_XPFOA</vt:lpstr>
      <vt:lpstr>v_116_XPFOS</vt:lpstr>
      <vt:lpstr>v_116_XPHA_GAO</vt:lpstr>
      <vt:lpstr>v_116_XPHA_PAO</vt:lpstr>
      <vt:lpstr>v_116_XPP</vt:lpstr>
      <vt:lpstr>v_116_XS</vt:lpstr>
      <vt:lpstr>v_116_XSOO</vt:lpstr>
      <vt:lpstr>v_116_XSTR</vt:lpstr>
      <vt:lpstr>v_116_XU</vt:lpstr>
      <vt:lpstr>v_116_XVivi</vt:lpstr>
      <vt:lpstr>v_117_CB</vt:lpstr>
      <vt:lpstr>v_117_CU</vt:lpstr>
      <vt:lpstr>v_117_GCH4</vt:lpstr>
      <vt:lpstr>v_117_GCH4_atm</vt:lpstr>
      <vt:lpstr>v_117_GCO2</vt:lpstr>
      <vt:lpstr>v_117_GCO2_atm</vt:lpstr>
      <vt:lpstr>v_117_GH2</vt:lpstr>
      <vt:lpstr>v_117_GH2_atm</vt:lpstr>
      <vt:lpstr>v_117_GH2S</vt:lpstr>
      <vt:lpstr>v_117_GH2S_atm</vt:lpstr>
      <vt:lpstr>v_117_GN2</vt:lpstr>
      <vt:lpstr>v_117_GN2_atm</vt:lpstr>
      <vt:lpstr>v_117_GNH3</vt:lpstr>
      <vt:lpstr>v_117_GNH3_atm</vt:lpstr>
      <vt:lpstr>v_117_GO2</vt:lpstr>
      <vt:lpstr>v_117_GO2_atm</vt:lpstr>
      <vt:lpstr>v_117_SALPHA</vt:lpstr>
      <vt:lpstr>v_117_SAN</vt:lpstr>
      <vt:lpstr>v_117_SB</vt:lpstr>
      <vt:lpstr>v_117_SCa</vt:lpstr>
      <vt:lpstr>v_117_SCAT</vt:lpstr>
      <vt:lpstr>v_117_SCH4</vt:lpstr>
      <vt:lpstr>v_117_SCO2</vt:lpstr>
      <vt:lpstr>v_117_SFe2</vt:lpstr>
      <vt:lpstr>v_117_SH</vt:lpstr>
      <vt:lpstr>v_117_SH2</vt:lpstr>
      <vt:lpstr>v_117_SH2S</vt:lpstr>
      <vt:lpstr>v_117_SK</vt:lpstr>
      <vt:lpstr>v_117_SMEOL</vt:lpstr>
      <vt:lpstr>v_117_SMg</vt:lpstr>
      <vt:lpstr>v_117_SMM_index</vt:lpstr>
      <vt:lpstr>v_117_SN_B</vt:lpstr>
      <vt:lpstr>v_117_SN2</vt:lpstr>
      <vt:lpstr>v_117_SNHx</vt:lpstr>
      <vt:lpstr>v_117_SNO2</vt:lpstr>
      <vt:lpstr>v_117_SNO3</vt:lpstr>
      <vt:lpstr>v_117_SO2</vt:lpstr>
      <vt:lpstr>v_117_SORPswitch</vt:lpstr>
      <vt:lpstr>v_117_SP_B</vt:lpstr>
      <vt:lpstr>v_117_SPFOA</vt:lpstr>
      <vt:lpstr>v_117_SPFOS</vt:lpstr>
      <vt:lpstr>v_117_SPO4</vt:lpstr>
      <vt:lpstr>v_117_SSO4</vt:lpstr>
      <vt:lpstr>v_117_SU</vt:lpstr>
      <vt:lpstr>v_117_SVFA</vt:lpstr>
      <vt:lpstr>v_117_XACP</vt:lpstr>
      <vt:lpstr>v_117_XALGAE</vt:lpstr>
      <vt:lpstr>v_117_XAMETO</vt:lpstr>
      <vt:lpstr>v_117_XAMX</vt:lpstr>
      <vt:lpstr>v_117_XAOB</vt:lpstr>
      <vt:lpstr>v_117_XASRO</vt:lpstr>
      <vt:lpstr>v_117_XB</vt:lpstr>
      <vt:lpstr>v_117_XB_e</vt:lpstr>
      <vt:lpstr>v_117_XBSH</vt:lpstr>
      <vt:lpstr>v_117_XCaCO3</vt:lpstr>
      <vt:lpstr>v_117_XCASTO</vt:lpstr>
      <vt:lpstr>v_117_XE</vt:lpstr>
      <vt:lpstr>v_117_XE_ana</vt:lpstr>
      <vt:lpstr>v_117_XFeS</vt:lpstr>
      <vt:lpstr>v_117_XHAO_H</vt:lpstr>
      <vt:lpstr>v_117_XHAO_H_P</vt:lpstr>
      <vt:lpstr>v_117_XHAO_H_P_old</vt:lpstr>
      <vt:lpstr>v_117_XHAO_L</vt:lpstr>
      <vt:lpstr>v_117_XHAO_L_P</vt:lpstr>
      <vt:lpstr>v_117_XHAO_L_P_old</vt:lpstr>
      <vt:lpstr>v_117_XHAO_old</vt:lpstr>
      <vt:lpstr>v_117_XHFO_H</vt:lpstr>
      <vt:lpstr>v_117_XHFO_H_P</vt:lpstr>
      <vt:lpstr>v_117_XHFO_H_P_old</vt:lpstr>
      <vt:lpstr>v_117_XHFO_L</vt:lpstr>
      <vt:lpstr>v_117_XHFO_L_P</vt:lpstr>
      <vt:lpstr>v_117_XHFO_L_P_old</vt:lpstr>
      <vt:lpstr>v_117_XHFO_old</vt:lpstr>
      <vt:lpstr>v_117_XHMETO</vt:lpstr>
      <vt:lpstr>v_117_XHSRO</vt:lpstr>
      <vt:lpstr>v_117_XINORG</vt:lpstr>
      <vt:lpstr>v_117_XMEOLO</vt:lpstr>
      <vt:lpstr>v_117_XN_B</vt:lpstr>
      <vt:lpstr>v_117_XN_Be</vt:lpstr>
      <vt:lpstr>v_117_XN_U</vt:lpstr>
      <vt:lpstr>v_117_XNOB</vt:lpstr>
      <vt:lpstr>v_117_XOHO</vt:lpstr>
      <vt:lpstr>v_117_XP_B</vt:lpstr>
      <vt:lpstr>v_117_XP_Be</vt:lpstr>
      <vt:lpstr>v_117_XP_U</vt:lpstr>
      <vt:lpstr>v_117_XPFOA</vt:lpstr>
      <vt:lpstr>v_117_XPFOS</vt:lpstr>
      <vt:lpstr>v_117_XPHA_GAO</vt:lpstr>
      <vt:lpstr>v_117_XPHA_PAO</vt:lpstr>
      <vt:lpstr>v_117_XPP</vt:lpstr>
      <vt:lpstr>v_117_XS</vt:lpstr>
      <vt:lpstr>v_117_XSOO</vt:lpstr>
      <vt:lpstr>v_117_XSTR</vt:lpstr>
      <vt:lpstr>v_117_XU</vt:lpstr>
      <vt:lpstr>v_117_XVivi</vt:lpstr>
      <vt:lpstr>v_118_CB</vt:lpstr>
      <vt:lpstr>v_118_CU</vt:lpstr>
      <vt:lpstr>v_118_GCH4</vt:lpstr>
      <vt:lpstr>v_118_GCH4_atm</vt:lpstr>
      <vt:lpstr>v_118_GCO2</vt:lpstr>
      <vt:lpstr>v_118_GCO2_atm</vt:lpstr>
      <vt:lpstr>v_118_GH2</vt:lpstr>
      <vt:lpstr>v_118_GH2_atm</vt:lpstr>
      <vt:lpstr>v_118_GH2S</vt:lpstr>
      <vt:lpstr>v_118_GH2S_atm</vt:lpstr>
      <vt:lpstr>v_118_GN2</vt:lpstr>
      <vt:lpstr>v_118_GN2_atm</vt:lpstr>
      <vt:lpstr>v_118_GNH3</vt:lpstr>
      <vt:lpstr>v_118_GNH3_atm</vt:lpstr>
      <vt:lpstr>v_118_GO2</vt:lpstr>
      <vt:lpstr>v_118_GO2_atm</vt:lpstr>
      <vt:lpstr>v_118_SALPHA</vt:lpstr>
      <vt:lpstr>v_118_SAN</vt:lpstr>
      <vt:lpstr>v_118_SB</vt:lpstr>
      <vt:lpstr>v_118_SCa</vt:lpstr>
      <vt:lpstr>v_118_SCAT</vt:lpstr>
      <vt:lpstr>v_118_SCH4</vt:lpstr>
      <vt:lpstr>v_118_SCO2</vt:lpstr>
      <vt:lpstr>v_118_SFe2</vt:lpstr>
      <vt:lpstr>v_118_SH</vt:lpstr>
      <vt:lpstr>v_118_SH2</vt:lpstr>
      <vt:lpstr>v_118_SH2S</vt:lpstr>
      <vt:lpstr>v_118_SK</vt:lpstr>
      <vt:lpstr>v_118_SMEOL</vt:lpstr>
      <vt:lpstr>v_118_SMg</vt:lpstr>
      <vt:lpstr>v_118_SMM_index</vt:lpstr>
      <vt:lpstr>v_118_SN_B</vt:lpstr>
      <vt:lpstr>v_118_SN2</vt:lpstr>
      <vt:lpstr>v_118_SNHx</vt:lpstr>
      <vt:lpstr>v_118_SNO2</vt:lpstr>
      <vt:lpstr>v_118_SNO3</vt:lpstr>
      <vt:lpstr>v_118_SO2</vt:lpstr>
      <vt:lpstr>v_118_SORPswitch</vt:lpstr>
      <vt:lpstr>v_118_SP_B</vt:lpstr>
      <vt:lpstr>v_118_SPFOA</vt:lpstr>
      <vt:lpstr>v_118_SPFOS</vt:lpstr>
      <vt:lpstr>v_118_SPO4</vt:lpstr>
      <vt:lpstr>v_118_SSO4</vt:lpstr>
      <vt:lpstr>v_118_SU</vt:lpstr>
      <vt:lpstr>v_118_SVFA</vt:lpstr>
      <vt:lpstr>v_118_XACP</vt:lpstr>
      <vt:lpstr>v_118_XALGAE</vt:lpstr>
      <vt:lpstr>v_118_XAMETO</vt:lpstr>
      <vt:lpstr>v_118_XAMX</vt:lpstr>
      <vt:lpstr>v_118_XAOB</vt:lpstr>
      <vt:lpstr>v_118_XASRO</vt:lpstr>
      <vt:lpstr>v_118_XB</vt:lpstr>
      <vt:lpstr>v_118_XB_e</vt:lpstr>
      <vt:lpstr>v_118_XBSH</vt:lpstr>
      <vt:lpstr>v_118_XCaCO3</vt:lpstr>
      <vt:lpstr>v_118_XCASTO</vt:lpstr>
      <vt:lpstr>v_118_XE</vt:lpstr>
      <vt:lpstr>v_118_XE_ana</vt:lpstr>
      <vt:lpstr>v_118_XFeS</vt:lpstr>
      <vt:lpstr>v_118_XHAO_H</vt:lpstr>
      <vt:lpstr>v_118_XHAO_H_P</vt:lpstr>
      <vt:lpstr>v_118_XHAO_H_P_old</vt:lpstr>
      <vt:lpstr>v_118_XHAO_L</vt:lpstr>
      <vt:lpstr>v_118_XHAO_L_P</vt:lpstr>
      <vt:lpstr>v_118_XHAO_L_P_old</vt:lpstr>
      <vt:lpstr>v_118_XHAO_old</vt:lpstr>
      <vt:lpstr>v_118_XHFO_H</vt:lpstr>
      <vt:lpstr>v_118_XHFO_H_P</vt:lpstr>
      <vt:lpstr>v_118_XHFO_H_P_old</vt:lpstr>
      <vt:lpstr>v_118_XHFO_L</vt:lpstr>
      <vt:lpstr>v_118_XHFO_L_P</vt:lpstr>
      <vt:lpstr>v_118_XHFO_L_P_old</vt:lpstr>
      <vt:lpstr>v_118_XHFO_old</vt:lpstr>
      <vt:lpstr>v_118_XHMETO</vt:lpstr>
      <vt:lpstr>v_118_XHSRO</vt:lpstr>
      <vt:lpstr>v_118_XINORG</vt:lpstr>
      <vt:lpstr>v_118_XMEOLO</vt:lpstr>
      <vt:lpstr>v_118_XN_B</vt:lpstr>
      <vt:lpstr>v_118_XN_Be</vt:lpstr>
      <vt:lpstr>v_118_XN_U</vt:lpstr>
      <vt:lpstr>v_118_XNOB</vt:lpstr>
      <vt:lpstr>v_118_XOHO</vt:lpstr>
      <vt:lpstr>v_118_XP_B</vt:lpstr>
      <vt:lpstr>v_118_XP_Be</vt:lpstr>
      <vt:lpstr>v_118_XP_U</vt:lpstr>
      <vt:lpstr>v_118_XPFOA</vt:lpstr>
      <vt:lpstr>v_118_XPFOS</vt:lpstr>
      <vt:lpstr>v_118_XPHA_GAO</vt:lpstr>
      <vt:lpstr>v_118_XPHA_PAO</vt:lpstr>
      <vt:lpstr>v_118_XPP</vt:lpstr>
      <vt:lpstr>v_118_XS</vt:lpstr>
      <vt:lpstr>v_118_XSOO</vt:lpstr>
      <vt:lpstr>v_118_XSTR</vt:lpstr>
      <vt:lpstr>v_118_XU</vt:lpstr>
      <vt:lpstr>v_118_XVivi</vt:lpstr>
      <vt:lpstr>v_119_CB</vt:lpstr>
      <vt:lpstr>v_119_CU</vt:lpstr>
      <vt:lpstr>v_119_GCH4</vt:lpstr>
      <vt:lpstr>v_119_GCH4_atm</vt:lpstr>
      <vt:lpstr>v_119_GCO2</vt:lpstr>
      <vt:lpstr>v_119_GCO2_atm</vt:lpstr>
      <vt:lpstr>v_119_GH2</vt:lpstr>
      <vt:lpstr>v_119_GH2_atm</vt:lpstr>
      <vt:lpstr>v_119_GH2S</vt:lpstr>
      <vt:lpstr>v_119_GH2S_atm</vt:lpstr>
      <vt:lpstr>v_119_GN2</vt:lpstr>
      <vt:lpstr>v_119_GN2_atm</vt:lpstr>
      <vt:lpstr>v_119_GNH3</vt:lpstr>
      <vt:lpstr>v_119_GNH3_atm</vt:lpstr>
      <vt:lpstr>v_119_GO2</vt:lpstr>
      <vt:lpstr>v_119_GO2_atm</vt:lpstr>
      <vt:lpstr>v_119_SALPHA</vt:lpstr>
      <vt:lpstr>v_119_SAN</vt:lpstr>
      <vt:lpstr>v_119_SB</vt:lpstr>
      <vt:lpstr>v_119_SCa</vt:lpstr>
      <vt:lpstr>v_119_SCAT</vt:lpstr>
      <vt:lpstr>v_119_SCH4</vt:lpstr>
      <vt:lpstr>v_119_SCO2</vt:lpstr>
      <vt:lpstr>v_119_SFe2</vt:lpstr>
      <vt:lpstr>v_119_SH</vt:lpstr>
      <vt:lpstr>v_119_SH2</vt:lpstr>
      <vt:lpstr>v_119_SH2S</vt:lpstr>
      <vt:lpstr>v_119_SK</vt:lpstr>
      <vt:lpstr>v_119_SMEOL</vt:lpstr>
      <vt:lpstr>v_119_SMg</vt:lpstr>
      <vt:lpstr>v_119_SMM_index</vt:lpstr>
      <vt:lpstr>v_119_SN_B</vt:lpstr>
      <vt:lpstr>v_119_SN2</vt:lpstr>
      <vt:lpstr>v_119_SNHx</vt:lpstr>
      <vt:lpstr>v_119_SNO2</vt:lpstr>
      <vt:lpstr>v_119_SNO3</vt:lpstr>
      <vt:lpstr>v_119_SO2</vt:lpstr>
      <vt:lpstr>v_119_SORPswitch</vt:lpstr>
      <vt:lpstr>v_119_SP_B</vt:lpstr>
      <vt:lpstr>v_119_SPFOA</vt:lpstr>
      <vt:lpstr>v_119_SPFOS</vt:lpstr>
      <vt:lpstr>v_119_SPO4</vt:lpstr>
      <vt:lpstr>v_119_SSO4</vt:lpstr>
      <vt:lpstr>v_119_SU</vt:lpstr>
      <vt:lpstr>v_119_SVFA</vt:lpstr>
      <vt:lpstr>v_119_XACP</vt:lpstr>
      <vt:lpstr>v_119_XALGAE</vt:lpstr>
      <vt:lpstr>v_119_XAMETO</vt:lpstr>
      <vt:lpstr>v_119_XAMX</vt:lpstr>
      <vt:lpstr>v_119_XAOB</vt:lpstr>
      <vt:lpstr>v_119_XASRO</vt:lpstr>
      <vt:lpstr>v_119_XB</vt:lpstr>
      <vt:lpstr>v_119_XB_e</vt:lpstr>
      <vt:lpstr>v_119_XBSH</vt:lpstr>
      <vt:lpstr>v_119_XCaCO3</vt:lpstr>
      <vt:lpstr>v_119_XCASTO</vt:lpstr>
      <vt:lpstr>v_119_XE</vt:lpstr>
      <vt:lpstr>v_119_XE_ana</vt:lpstr>
      <vt:lpstr>v_119_XFeS</vt:lpstr>
      <vt:lpstr>v_119_XHAO_H</vt:lpstr>
      <vt:lpstr>v_119_XHAO_H_P</vt:lpstr>
      <vt:lpstr>v_119_XHAO_H_P_old</vt:lpstr>
      <vt:lpstr>v_119_XHAO_L</vt:lpstr>
      <vt:lpstr>v_119_XHAO_L_P</vt:lpstr>
      <vt:lpstr>v_119_XHAO_L_P_old</vt:lpstr>
      <vt:lpstr>v_119_XHAO_old</vt:lpstr>
      <vt:lpstr>v_119_XHFO_H</vt:lpstr>
      <vt:lpstr>v_119_XHFO_H_P</vt:lpstr>
      <vt:lpstr>v_119_XHFO_H_P_old</vt:lpstr>
      <vt:lpstr>v_119_XHFO_L</vt:lpstr>
      <vt:lpstr>v_119_XHFO_L_P</vt:lpstr>
      <vt:lpstr>v_119_XHFO_L_P_old</vt:lpstr>
      <vt:lpstr>v_119_XHFO_old</vt:lpstr>
      <vt:lpstr>v_119_XHMETO</vt:lpstr>
      <vt:lpstr>v_119_XHSRO</vt:lpstr>
      <vt:lpstr>v_119_XINORG</vt:lpstr>
      <vt:lpstr>v_119_XMEOLO</vt:lpstr>
      <vt:lpstr>v_119_XN_B</vt:lpstr>
      <vt:lpstr>v_119_XN_Be</vt:lpstr>
      <vt:lpstr>v_119_XN_U</vt:lpstr>
      <vt:lpstr>v_119_XNOB</vt:lpstr>
      <vt:lpstr>v_119_XOHO</vt:lpstr>
      <vt:lpstr>v_119_XP_B</vt:lpstr>
      <vt:lpstr>v_119_XP_Be</vt:lpstr>
      <vt:lpstr>v_119_XP_U</vt:lpstr>
      <vt:lpstr>v_119_XPFOA</vt:lpstr>
      <vt:lpstr>v_119_XPFOS</vt:lpstr>
      <vt:lpstr>v_119_XPHA_GAO</vt:lpstr>
      <vt:lpstr>v_119_XPHA_PAO</vt:lpstr>
      <vt:lpstr>v_119_XPP</vt:lpstr>
      <vt:lpstr>v_119_XS</vt:lpstr>
      <vt:lpstr>v_119_XSOO</vt:lpstr>
      <vt:lpstr>v_119_XSTR</vt:lpstr>
      <vt:lpstr>v_119_XU</vt:lpstr>
      <vt:lpstr>v_119_XVivi</vt:lpstr>
      <vt:lpstr>v_12_CB</vt:lpstr>
      <vt:lpstr>v_12_CU</vt:lpstr>
      <vt:lpstr>v_12_GCH4</vt:lpstr>
      <vt:lpstr>v_12_GCH4_atm</vt:lpstr>
      <vt:lpstr>v_12_GCO2</vt:lpstr>
      <vt:lpstr>v_12_GCO2_atm</vt:lpstr>
      <vt:lpstr>v_12_GH2</vt:lpstr>
      <vt:lpstr>v_12_GH2_atm</vt:lpstr>
      <vt:lpstr>v_12_GH2S</vt:lpstr>
      <vt:lpstr>v_12_GH2S_atm</vt:lpstr>
      <vt:lpstr>v_12_GN2</vt:lpstr>
      <vt:lpstr>v_12_GN2_atm</vt:lpstr>
      <vt:lpstr>v_12_GNH3</vt:lpstr>
      <vt:lpstr>v_12_GNH3_atm</vt:lpstr>
      <vt:lpstr>v_12_GO2</vt:lpstr>
      <vt:lpstr>v_12_GO2_atm</vt:lpstr>
      <vt:lpstr>v_12_SALPHA</vt:lpstr>
      <vt:lpstr>v_12_SAN</vt:lpstr>
      <vt:lpstr>v_12_SB</vt:lpstr>
      <vt:lpstr>v_12_SCa</vt:lpstr>
      <vt:lpstr>v_12_SCAT</vt:lpstr>
      <vt:lpstr>v_12_SCH4</vt:lpstr>
      <vt:lpstr>v_12_SCO2</vt:lpstr>
      <vt:lpstr>v_12_SFe2</vt:lpstr>
      <vt:lpstr>v_12_SH</vt:lpstr>
      <vt:lpstr>v_12_SH2</vt:lpstr>
      <vt:lpstr>v_12_SH2S</vt:lpstr>
      <vt:lpstr>v_12_SK</vt:lpstr>
      <vt:lpstr>v_12_SMEOL</vt:lpstr>
      <vt:lpstr>v_12_SMg</vt:lpstr>
      <vt:lpstr>v_12_SMM_index</vt:lpstr>
      <vt:lpstr>v_12_SN_B</vt:lpstr>
      <vt:lpstr>v_12_SN2</vt:lpstr>
      <vt:lpstr>v_12_SNHx</vt:lpstr>
      <vt:lpstr>v_12_SNO2</vt:lpstr>
      <vt:lpstr>v_12_SNO3</vt:lpstr>
      <vt:lpstr>v_12_SO2</vt:lpstr>
      <vt:lpstr>v_12_SORPswitch</vt:lpstr>
      <vt:lpstr>v_12_SP_B</vt:lpstr>
      <vt:lpstr>v_12_SPFOA</vt:lpstr>
      <vt:lpstr>v_12_SPFOS</vt:lpstr>
      <vt:lpstr>v_12_SPO4</vt:lpstr>
      <vt:lpstr>v_12_SSO4</vt:lpstr>
      <vt:lpstr>v_12_SU</vt:lpstr>
      <vt:lpstr>v_12_SVFA</vt:lpstr>
      <vt:lpstr>v_12_XACP</vt:lpstr>
      <vt:lpstr>v_12_XALGAE</vt:lpstr>
      <vt:lpstr>v_12_XAMETO</vt:lpstr>
      <vt:lpstr>v_12_XAMX</vt:lpstr>
      <vt:lpstr>v_12_XAOB</vt:lpstr>
      <vt:lpstr>v_12_XASRO</vt:lpstr>
      <vt:lpstr>v_12_XB</vt:lpstr>
      <vt:lpstr>v_12_XB_e</vt:lpstr>
      <vt:lpstr>v_12_XBSH</vt:lpstr>
      <vt:lpstr>v_12_XCaCO3</vt:lpstr>
      <vt:lpstr>v_12_XCASTO</vt:lpstr>
      <vt:lpstr>v_12_XE</vt:lpstr>
      <vt:lpstr>v_12_XE_ana</vt:lpstr>
      <vt:lpstr>v_12_XFeS</vt:lpstr>
      <vt:lpstr>v_12_XHAO_H</vt:lpstr>
      <vt:lpstr>v_12_XHAO_H_P</vt:lpstr>
      <vt:lpstr>v_12_XHAO_H_P_old</vt:lpstr>
      <vt:lpstr>v_12_XHAO_L</vt:lpstr>
      <vt:lpstr>v_12_XHAO_L_P</vt:lpstr>
      <vt:lpstr>v_12_XHAO_L_P_old</vt:lpstr>
      <vt:lpstr>v_12_XHAO_old</vt:lpstr>
      <vt:lpstr>v_12_XHFO_H</vt:lpstr>
      <vt:lpstr>v_12_XHFO_H_P</vt:lpstr>
      <vt:lpstr>v_12_XHFO_H_P_old</vt:lpstr>
      <vt:lpstr>v_12_XHFO_L</vt:lpstr>
      <vt:lpstr>v_12_XHFO_L_P</vt:lpstr>
      <vt:lpstr>v_12_XHFO_L_P_old</vt:lpstr>
      <vt:lpstr>v_12_XHFO_old</vt:lpstr>
      <vt:lpstr>v_12_XHMETO</vt:lpstr>
      <vt:lpstr>v_12_XHSRO</vt:lpstr>
      <vt:lpstr>v_12_XINORG</vt:lpstr>
      <vt:lpstr>v_12_XMEOLO</vt:lpstr>
      <vt:lpstr>v_12_XN_B</vt:lpstr>
      <vt:lpstr>v_12_XN_Be</vt:lpstr>
      <vt:lpstr>v_12_XN_U</vt:lpstr>
      <vt:lpstr>v_12_XNOB</vt:lpstr>
      <vt:lpstr>v_12_XOHO</vt:lpstr>
      <vt:lpstr>v_12_XP_B</vt:lpstr>
      <vt:lpstr>v_12_XP_Be</vt:lpstr>
      <vt:lpstr>v_12_XP_U</vt:lpstr>
      <vt:lpstr>v_12_XPFOA</vt:lpstr>
      <vt:lpstr>v_12_XPFOS</vt:lpstr>
      <vt:lpstr>v_12_XPHA_GAO</vt:lpstr>
      <vt:lpstr>v_12_XPHA_PAO</vt:lpstr>
      <vt:lpstr>v_12_XPP</vt:lpstr>
      <vt:lpstr>v_12_XS</vt:lpstr>
      <vt:lpstr>v_12_XSOO</vt:lpstr>
      <vt:lpstr>v_12_XSTR</vt:lpstr>
      <vt:lpstr>v_12_XU</vt:lpstr>
      <vt:lpstr>v_12_XVivi</vt:lpstr>
      <vt:lpstr>v_120_CB</vt:lpstr>
      <vt:lpstr>v_120_CU</vt:lpstr>
      <vt:lpstr>v_120_GCH4</vt:lpstr>
      <vt:lpstr>v_120_GCH4_atm</vt:lpstr>
      <vt:lpstr>v_120_GCO2</vt:lpstr>
      <vt:lpstr>v_120_GCO2_atm</vt:lpstr>
      <vt:lpstr>v_120_GH2</vt:lpstr>
      <vt:lpstr>v_120_GH2_atm</vt:lpstr>
      <vt:lpstr>v_120_GH2S</vt:lpstr>
      <vt:lpstr>v_120_GH2S_atm</vt:lpstr>
      <vt:lpstr>v_120_GN2</vt:lpstr>
      <vt:lpstr>v_120_GN2_atm</vt:lpstr>
      <vt:lpstr>v_120_GNH3</vt:lpstr>
      <vt:lpstr>v_120_GNH3_atm</vt:lpstr>
      <vt:lpstr>v_120_GO2</vt:lpstr>
      <vt:lpstr>v_120_GO2_atm</vt:lpstr>
      <vt:lpstr>v_120_SALPHA</vt:lpstr>
      <vt:lpstr>v_120_SAN</vt:lpstr>
      <vt:lpstr>v_120_SB</vt:lpstr>
      <vt:lpstr>v_120_SCa</vt:lpstr>
      <vt:lpstr>v_120_SCAT</vt:lpstr>
      <vt:lpstr>v_120_SCH4</vt:lpstr>
      <vt:lpstr>v_120_SCO2</vt:lpstr>
      <vt:lpstr>v_120_SFe2</vt:lpstr>
      <vt:lpstr>v_120_SH</vt:lpstr>
      <vt:lpstr>v_120_SH2</vt:lpstr>
      <vt:lpstr>v_120_SH2S</vt:lpstr>
      <vt:lpstr>v_120_SK</vt:lpstr>
      <vt:lpstr>v_120_SMEOL</vt:lpstr>
      <vt:lpstr>v_120_SMg</vt:lpstr>
      <vt:lpstr>v_120_SMM_index</vt:lpstr>
      <vt:lpstr>v_120_SN_B</vt:lpstr>
      <vt:lpstr>v_120_SN2</vt:lpstr>
      <vt:lpstr>v_120_SNHx</vt:lpstr>
      <vt:lpstr>v_120_SNO2</vt:lpstr>
      <vt:lpstr>v_120_SNO3</vt:lpstr>
      <vt:lpstr>v_120_SO2</vt:lpstr>
      <vt:lpstr>v_120_SORPswitch</vt:lpstr>
      <vt:lpstr>v_120_SP_B</vt:lpstr>
      <vt:lpstr>v_120_SPFOA</vt:lpstr>
      <vt:lpstr>v_120_SPFOS</vt:lpstr>
      <vt:lpstr>v_120_SPO4</vt:lpstr>
      <vt:lpstr>v_120_SSO4</vt:lpstr>
      <vt:lpstr>v_120_SU</vt:lpstr>
      <vt:lpstr>v_120_SVFA</vt:lpstr>
      <vt:lpstr>v_120_XACP</vt:lpstr>
      <vt:lpstr>v_120_XALGAE</vt:lpstr>
      <vt:lpstr>v_120_XAMETO</vt:lpstr>
      <vt:lpstr>v_120_XAMX</vt:lpstr>
      <vt:lpstr>v_120_XAOB</vt:lpstr>
      <vt:lpstr>v_120_XASRO</vt:lpstr>
      <vt:lpstr>v_120_XB</vt:lpstr>
      <vt:lpstr>v_120_XB_e</vt:lpstr>
      <vt:lpstr>v_120_XBSH</vt:lpstr>
      <vt:lpstr>v_120_XCaCO3</vt:lpstr>
      <vt:lpstr>v_120_XCASTO</vt:lpstr>
      <vt:lpstr>v_120_XE</vt:lpstr>
      <vt:lpstr>v_120_XE_ana</vt:lpstr>
      <vt:lpstr>v_120_XFeS</vt:lpstr>
      <vt:lpstr>v_120_XHAO_H</vt:lpstr>
      <vt:lpstr>v_120_XHAO_H_P</vt:lpstr>
      <vt:lpstr>v_120_XHAO_H_P_old</vt:lpstr>
      <vt:lpstr>v_120_XHAO_L</vt:lpstr>
      <vt:lpstr>v_120_XHAO_L_P</vt:lpstr>
      <vt:lpstr>v_120_XHAO_L_P_old</vt:lpstr>
      <vt:lpstr>v_120_XHAO_old</vt:lpstr>
      <vt:lpstr>v_120_XHFO_H</vt:lpstr>
      <vt:lpstr>v_120_XHFO_H_P</vt:lpstr>
      <vt:lpstr>v_120_XHFO_H_P_old</vt:lpstr>
      <vt:lpstr>v_120_XHFO_L</vt:lpstr>
      <vt:lpstr>v_120_XHFO_L_P</vt:lpstr>
      <vt:lpstr>v_120_XHFO_L_P_old</vt:lpstr>
      <vt:lpstr>v_120_XHFO_old</vt:lpstr>
      <vt:lpstr>v_120_XHMETO</vt:lpstr>
      <vt:lpstr>v_120_XHSRO</vt:lpstr>
      <vt:lpstr>v_120_XINORG</vt:lpstr>
      <vt:lpstr>v_120_XMEOLO</vt:lpstr>
      <vt:lpstr>v_120_XN_B</vt:lpstr>
      <vt:lpstr>v_120_XN_Be</vt:lpstr>
      <vt:lpstr>v_120_XN_U</vt:lpstr>
      <vt:lpstr>v_120_XNOB</vt:lpstr>
      <vt:lpstr>v_120_XOHO</vt:lpstr>
      <vt:lpstr>v_120_XP_B</vt:lpstr>
      <vt:lpstr>v_120_XP_Be</vt:lpstr>
      <vt:lpstr>v_120_XP_U</vt:lpstr>
      <vt:lpstr>v_120_XPFOA</vt:lpstr>
      <vt:lpstr>v_120_XPFOS</vt:lpstr>
      <vt:lpstr>v_120_XPHA_GAO</vt:lpstr>
      <vt:lpstr>v_120_XPHA_PAO</vt:lpstr>
      <vt:lpstr>v_120_XPP</vt:lpstr>
      <vt:lpstr>v_120_XS</vt:lpstr>
      <vt:lpstr>v_120_XSOO</vt:lpstr>
      <vt:lpstr>v_120_XSTR</vt:lpstr>
      <vt:lpstr>v_120_XU</vt:lpstr>
      <vt:lpstr>v_120_XVivi</vt:lpstr>
      <vt:lpstr>v_121_CB</vt:lpstr>
      <vt:lpstr>v_121_CU</vt:lpstr>
      <vt:lpstr>v_121_GCH4</vt:lpstr>
      <vt:lpstr>v_121_GCH4_atm</vt:lpstr>
      <vt:lpstr>v_121_GCO2</vt:lpstr>
      <vt:lpstr>v_121_GCO2_atm</vt:lpstr>
      <vt:lpstr>v_121_GH2</vt:lpstr>
      <vt:lpstr>v_121_GH2_atm</vt:lpstr>
      <vt:lpstr>v_121_GH2S</vt:lpstr>
      <vt:lpstr>v_121_GH2S_atm</vt:lpstr>
      <vt:lpstr>v_121_GN2</vt:lpstr>
      <vt:lpstr>v_121_GN2_atm</vt:lpstr>
      <vt:lpstr>v_121_GNH3</vt:lpstr>
      <vt:lpstr>v_121_GNH3_atm</vt:lpstr>
      <vt:lpstr>v_121_GO2</vt:lpstr>
      <vt:lpstr>v_121_GO2_atm</vt:lpstr>
      <vt:lpstr>v_121_SALPHA</vt:lpstr>
      <vt:lpstr>v_121_SAN</vt:lpstr>
      <vt:lpstr>v_121_SB</vt:lpstr>
      <vt:lpstr>v_121_SCa</vt:lpstr>
      <vt:lpstr>v_121_SCAT</vt:lpstr>
      <vt:lpstr>v_121_SCH4</vt:lpstr>
      <vt:lpstr>v_121_SCO2</vt:lpstr>
      <vt:lpstr>v_121_SFe2</vt:lpstr>
      <vt:lpstr>v_121_SH</vt:lpstr>
      <vt:lpstr>v_121_SH2</vt:lpstr>
      <vt:lpstr>v_121_SH2S</vt:lpstr>
      <vt:lpstr>v_121_SK</vt:lpstr>
      <vt:lpstr>v_121_SMEOL</vt:lpstr>
      <vt:lpstr>v_121_SMg</vt:lpstr>
      <vt:lpstr>v_121_SMM_index</vt:lpstr>
      <vt:lpstr>v_121_SN_B</vt:lpstr>
      <vt:lpstr>v_121_SN2</vt:lpstr>
      <vt:lpstr>v_121_SNHx</vt:lpstr>
      <vt:lpstr>v_121_SNO2</vt:lpstr>
      <vt:lpstr>v_121_SNO3</vt:lpstr>
      <vt:lpstr>v_121_SO2</vt:lpstr>
      <vt:lpstr>v_121_SORPswitch</vt:lpstr>
      <vt:lpstr>v_121_SP_B</vt:lpstr>
      <vt:lpstr>v_121_SPFOA</vt:lpstr>
      <vt:lpstr>v_121_SPFOS</vt:lpstr>
      <vt:lpstr>v_121_SPO4</vt:lpstr>
      <vt:lpstr>v_121_SSO4</vt:lpstr>
      <vt:lpstr>v_121_SU</vt:lpstr>
      <vt:lpstr>v_121_SVFA</vt:lpstr>
      <vt:lpstr>v_121_XACP</vt:lpstr>
      <vt:lpstr>v_121_XALGAE</vt:lpstr>
      <vt:lpstr>v_121_XAMETO</vt:lpstr>
      <vt:lpstr>v_121_XAMX</vt:lpstr>
      <vt:lpstr>v_121_XAOB</vt:lpstr>
      <vt:lpstr>v_121_XASRO</vt:lpstr>
      <vt:lpstr>v_121_XB</vt:lpstr>
      <vt:lpstr>v_121_XB_e</vt:lpstr>
      <vt:lpstr>v_121_XBSH</vt:lpstr>
      <vt:lpstr>v_121_XCaCO3</vt:lpstr>
      <vt:lpstr>v_121_XCASTO</vt:lpstr>
      <vt:lpstr>v_121_XE</vt:lpstr>
      <vt:lpstr>v_121_XE_ana</vt:lpstr>
      <vt:lpstr>v_121_XFeS</vt:lpstr>
      <vt:lpstr>v_121_XHAO_H</vt:lpstr>
      <vt:lpstr>v_121_XHAO_H_P</vt:lpstr>
      <vt:lpstr>v_121_XHAO_H_P_old</vt:lpstr>
      <vt:lpstr>v_121_XHAO_L</vt:lpstr>
      <vt:lpstr>v_121_XHAO_L_P</vt:lpstr>
      <vt:lpstr>v_121_XHAO_L_P_old</vt:lpstr>
      <vt:lpstr>v_121_XHAO_old</vt:lpstr>
      <vt:lpstr>v_121_XHFO_H</vt:lpstr>
      <vt:lpstr>v_121_XHFO_H_P</vt:lpstr>
      <vt:lpstr>v_121_XHFO_H_P_old</vt:lpstr>
      <vt:lpstr>v_121_XHFO_L</vt:lpstr>
      <vt:lpstr>v_121_XHFO_L_P</vt:lpstr>
      <vt:lpstr>v_121_XHFO_L_P_old</vt:lpstr>
      <vt:lpstr>v_121_XHFO_old</vt:lpstr>
      <vt:lpstr>v_121_XHMETO</vt:lpstr>
      <vt:lpstr>v_121_XHSRO</vt:lpstr>
      <vt:lpstr>v_121_XINORG</vt:lpstr>
      <vt:lpstr>v_121_XMEOLO</vt:lpstr>
      <vt:lpstr>v_121_XN_B</vt:lpstr>
      <vt:lpstr>v_121_XN_Be</vt:lpstr>
      <vt:lpstr>v_121_XN_U</vt:lpstr>
      <vt:lpstr>v_121_XNOB</vt:lpstr>
      <vt:lpstr>v_121_XOHO</vt:lpstr>
      <vt:lpstr>v_121_XP_B</vt:lpstr>
      <vt:lpstr>v_121_XP_Be</vt:lpstr>
      <vt:lpstr>v_121_XP_U</vt:lpstr>
      <vt:lpstr>v_121_XPFOA</vt:lpstr>
      <vt:lpstr>v_121_XPFOS</vt:lpstr>
      <vt:lpstr>v_121_XPHA_GAO</vt:lpstr>
      <vt:lpstr>v_121_XPHA_PAO</vt:lpstr>
      <vt:lpstr>v_121_XPP</vt:lpstr>
      <vt:lpstr>v_121_XS</vt:lpstr>
      <vt:lpstr>v_121_XSOO</vt:lpstr>
      <vt:lpstr>v_121_XSTR</vt:lpstr>
      <vt:lpstr>v_121_XU</vt:lpstr>
      <vt:lpstr>v_121_XVivi</vt:lpstr>
      <vt:lpstr>v_122_CB</vt:lpstr>
      <vt:lpstr>v_122_CU</vt:lpstr>
      <vt:lpstr>v_122_GCH4</vt:lpstr>
      <vt:lpstr>v_122_GCH4_atm</vt:lpstr>
      <vt:lpstr>v_122_GCO2</vt:lpstr>
      <vt:lpstr>v_122_GCO2_atm</vt:lpstr>
      <vt:lpstr>v_122_GH2</vt:lpstr>
      <vt:lpstr>v_122_GH2_atm</vt:lpstr>
      <vt:lpstr>v_122_GH2S</vt:lpstr>
      <vt:lpstr>v_122_GH2S_atm</vt:lpstr>
      <vt:lpstr>v_122_GN2</vt:lpstr>
      <vt:lpstr>v_122_GN2_atm</vt:lpstr>
      <vt:lpstr>v_122_GNH3</vt:lpstr>
      <vt:lpstr>v_122_GNH3_atm</vt:lpstr>
      <vt:lpstr>v_122_GO2</vt:lpstr>
      <vt:lpstr>v_122_GO2_atm</vt:lpstr>
      <vt:lpstr>v_122_SALPHA</vt:lpstr>
      <vt:lpstr>v_122_SAN</vt:lpstr>
      <vt:lpstr>v_122_SB</vt:lpstr>
      <vt:lpstr>v_122_SCa</vt:lpstr>
      <vt:lpstr>v_122_SCAT</vt:lpstr>
      <vt:lpstr>v_122_SCH4</vt:lpstr>
      <vt:lpstr>v_122_SCO2</vt:lpstr>
      <vt:lpstr>v_122_SFe2</vt:lpstr>
      <vt:lpstr>v_122_SH</vt:lpstr>
      <vt:lpstr>v_122_SH2</vt:lpstr>
      <vt:lpstr>v_122_SH2S</vt:lpstr>
      <vt:lpstr>v_122_SK</vt:lpstr>
      <vt:lpstr>v_122_SMEOL</vt:lpstr>
      <vt:lpstr>v_122_SMg</vt:lpstr>
      <vt:lpstr>v_122_SMM_index</vt:lpstr>
      <vt:lpstr>v_122_SN_B</vt:lpstr>
      <vt:lpstr>v_122_SN2</vt:lpstr>
      <vt:lpstr>v_122_SNHx</vt:lpstr>
      <vt:lpstr>v_122_SNO2</vt:lpstr>
      <vt:lpstr>v_122_SNO3</vt:lpstr>
      <vt:lpstr>v_122_SO2</vt:lpstr>
      <vt:lpstr>v_122_SORPswitch</vt:lpstr>
      <vt:lpstr>v_122_SP_B</vt:lpstr>
      <vt:lpstr>v_122_SPFOA</vt:lpstr>
      <vt:lpstr>v_122_SPFOS</vt:lpstr>
      <vt:lpstr>v_122_SPO4</vt:lpstr>
      <vt:lpstr>v_122_SSO4</vt:lpstr>
      <vt:lpstr>v_122_SU</vt:lpstr>
      <vt:lpstr>v_122_SVFA</vt:lpstr>
      <vt:lpstr>v_122_XACP</vt:lpstr>
      <vt:lpstr>v_122_XALGAE</vt:lpstr>
      <vt:lpstr>v_122_XAMETO</vt:lpstr>
      <vt:lpstr>v_122_XAMX</vt:lpstr>
      <vt:lpstr>v_122_XAOB</vt:lpstr>
      <vt:lpstr>v_122_XASRO</vt:lpstr>
      <vt:lpstr>v_122_XB</vt:lpstr>
      <vt:lpstr>v_122_XB_e</vt:lpstr>
      <vt:lpstr>v_122_XBSH</vt:lpstr>
      <vt:lpstr>v_122_XCaCO3</vt:lpstr>
      <vt:lpstr>v_122_XCASTO</vt:lpstr>
      <vt:lpstr>v_122_XE</vt:lpstr>
      <vt:lpstr>v_122_XE_ana</vt:lpstr>
      <vt:lpstr>v_122_XFeS</vt:lpstr>
      <vt:lpstr>v_122_XHAO_H</vt:lpstr>
      <vt:lpstr>v_122_XHAO_H_P</vt:lpstr>
      <vt:lpstr>v_122_XHAO_H_P_old</vt:lpstr>
      <vt:lpstr>v_122_XHAO_L</vt:lpstr>
      <vt:lpstr>v_122_XHAO_L_P</vt:lpstr>
      <vt:lpstr>v_122_XHAO_L_P_old</vt:lpstr>
      <vt:lpstr>v_122_XHAO_old</vt:lpstr>
      <vt:lpstr>v_122_XHFO_H</vt:lpstr>
      <vt:lpstr>v_122_XHFO_H_P</vt:lpstr>
      <vt:lpstr>v_122_XHFO_H_P_old</vt:lpstr>
      <vt:lpstr>v_122_XHFO_L</vt:lpstr>
      <vt:lpstr>v_122_XHFO_L_P</vt:lpstr>
      <vt:lpstr>v_122_XHFO_L_P_old</vt:lpstr>
      <vt:lpstr>v_122_XHFO_old</vt:lpstr>
      <vt:lpstr>v_122_XHMETO</vt:lpstr>
      <vt:lpstr>v_122_XHSRO</vt:lpstr>
      <vt:lpstr>v_122_XINORG</vt:lpstr>
      <vt:lpstr>v_122_XMEOLO</vt:lpstr>
      <vt:lpstr>v_122_XN_B</vt:lpstr>
      <vt:lpstr>v_122_XN_Be</vt:lpstr>
      <vt:lpstr>v_122_XN_U</vt:lpstr>
      <vt:lpstr>v_122_XNOB</vt:lpstr>
      <vt:lpstr>v_122_XOHO</vt:lpstr>
      <vt:lpstr>v_122_XP_B</vt:lpstr>
      <vt:lpstr>v_122_XP_Be</vt:lpstr>
      <vt:lpstr>v_122_XP_U</vt:lpstr>
      <vt:lpstr>v_122_XPFOA</vt:lpstr>
      <vt:lpstr>v_122_XPFOS</vt:lpstr>
      <vt:lpstr>v_122_XPHA_GAO</vt:lpstr>
      <vt:lpstr>v_122_XPHA_PAO</vt:lpstr>
      <vt:lpstr>v_122_XPP</vt:lpstr>
      <vt:lpstr>v_122_XS</vt:lpstr>
      <vt:lpstr>v_122_XSOO</vt:lpstr>
      <vt:lpstr>v_122_XSTR</vt:lpstr>
      <vt:lpstr>v_122_XU</vt:lpstr>
      <vt:lpstr>v_122_XVivi</vt:lpstr>
      <vt:lpstr>v_123_CB</vt:lpstr>
      <vt:lpstr>v_123_CU</vt:lpstr>
      <vt:lpstr>v_123_GCH4</vt:lpstr>
      <vt:lpstr>v_123_GCH4_atm</vt:lpstr>
      <vt:lpstr>v_123_GCO2</vt:lpstr>
      <vt:lpstr>v_123_GCO2_atm</vt:lpstr>
      <vt:lpstr>v_123_GH2</vt:lpstr>
      <vt:lpstr>v_123_GH2_atm</vt:lpstr>
      <vt:lpstr>v_123_GH2S</vt:lpstr>
      <vt:lpstr>v_123_GH2S_atm</vt:lpstr>
      <vt:lpstr>v_123_GN2</vt:lpstr>
      <vt:lpstr>v_123_GN2_atm</vt:lpstr>
      <vt:lpstr>v_123_GNH3</vt:lpstr>
      <vt:lpstr>v_123_GNH3_atm</vt:lpstr>
      <vt:lpstr>v_123_GO2</vt:lpstr>
      <vt:lpstr>v_123_GO2_atm</vt:lpstr>
      <vt:lpstr>v_123_SALPHA</vt:lpstr>
      <vt:lpstr>v_123_SAN</vt:lpstr>
      <vt:lpstr>v_123_SB</vt:lpstr>
      <vt:lpstr>v_123_SCa</vt:lpstr>
      <vt:lpstr>v_123_SCAT</vt:lpstr>
      <vt:lpstr>v_123_SCH4</vt:lpstr>
      <vt:lpstr>v_123_SCO2</vt:lpstr>
      <vt:lpstr>v_123_SFe2</vt:lpstr>
      <vt:lpstr>v_123_SH</vt:lpstr>
      <vt:lpstr>v_123_SH2</vt:lpstr>
      <vt:lpstr>v_123_SH2S</vt:lpstr>
      <vt:lpstr>v_123_SK</vt:lpstr>
      <vt:lpstr>v_123_SMEOL</vt:lpstr>
      <vt:lpstr>v_123_SMg</vt:lpstr>
      <vt:lpstr>v_123_SMM_index</vt:lpstr>
      <vt:lpstr>v_123_SN_B</vt:lpstr>
      <vt:lpstr>v_123_SN2</vt:lpstr>
      <vt:lpstr>v_123_SNHx</vt:lpstr>
      <vt:lpstr>v_123_SNO2</vt:lpstr>
      <vt:lpstr>v_123_SNO3</vt:lpstr>
      <vt:lpstr>v_123_SO2</vt:lpstr>
      <vt:lpstr>v_123_SORPswitch</vt:lpstr>
      <vt:lpstr>v_123_SP_B</vt:lpstr>
      <vt:lpstr>v_123_SPFOA</vt:lpstr>
      <vt:lpstr>v_123_SPFOS</vt:lpstr>
      <vt:lpstr>v_123_SPO4</vt:lpstr>
      <vt:lpstr>v_123_SSO4</vt:lpstr>
      <vt:lpstr>v_123_SU</vt:lpstr>
      <vt:lpstr>v_123_SVFA</vt:lpstr>
      <vt:lpstr>v_123_XACP</vt:lpstr>
      <vt:lpstr>v_123_XALGAE</vt:lpstr>
      <vt:lpstr>v_123_XAMETO</vt:lpstr>
      <vt:lpstr>v_123_XAMX</vt:lpstr>
      <vt:lpstr>v_123_XAOB</vt:lpstr>
      <vt:lpstr>v_123_XASRO</vt:lpstr>
      <vt:lpstr>v_123_XB</vt:lpstr>
      <vt:lpstr>v_123_XB_e</vt:lpstr>
      <vt:lpstr>v_123_XBSH</vt:lpstr>
      <vt:lpstr>v_123_XCaCO3</vt:lpstr>
      <vt:lpstr>v_123_XCASTO</vt:lpstr>
      <vt:lpstr>v_123_XE</vt:lpstr>
      <vt:lpstr>v_123_XE_ana</vt:lpstr>
      <vt:lpstr>v_123_XFeS</vt:lpstr>
      <vt:lpstr>v_123_XHAO_H</vt:lpstr>
      <vt:lpstr>v_123_XHAO_H_P</vt:lpstr>
      <vt:lpstr>v_123_XHAO_H_P_old</vt:lpstr>
      <vt:lpstr>v_123_XHAO_L</vt:lpstr>
      <vt:lpstr>v_123_XHAO_L_P</vt:lpstr>
      <vt:lpstr>v_123_XHAO_L_P_old</vt:lpstr>
      <vt:lpstr>v_123_XHAO_old</vt:lpstr>
      <vt:lpstr>v_123_XHFO_H</vt:lpstr>
      <vt:lpstr>v_123_XHFO_H_P</vt:lpstr>
      <vt:lpstr>v_123_XHFO_H_P_old</vt:lpstr>
      <vt:lpstr>v_123_XHFO_L</vt:lpstr>
      <vt:lpstr>v_123_XHFO_L_P</vt:lpstr>
      <vt:lpstr>v_123_XHFO_L_P_old</vt:lpstr>
      <vt:lpstr>v_123_XHFO_old</vt:lpstr>
      <vt:lpstr>v_123_XHMETO</vt:lpstr>
      <vt:lpstr>v_123_XHSRO</vt:lpstr>
      <vt:lpstr>v_123_XINORG</vt:lpstr>
      <vt:lpstr>v_123_XMEOLO</vt:lpstr>
      <vt:lpstr>v_123_XN_B</vt:lpstr>
      <vt:lpstr>v_123_XN_Be</vt:lpstr>
      <vt:lpstr>v_123_XN_U</vt:lpstr>
      <vt:lpstr>v_123_XNOB</vt:lpstr>
      <vt:lpstr>v_123_XOHO</vt:lpstr>
      <vt:lpstr>v_123_XP_B</vt:lpstr>
      <vt:lpstr>v_123_XP_Be</vt:lpstr>
      <vt:lpstr>v_123_XP_U</vt:lpstr>
      <vt:lpstr>v_123_XPFOA</vt:lpstr>
      <vt:lpstr>v_123_XPFOS</vt:lpstr>
      <vt:lpstr>v_123_XPHA_GAO</vt:lpstr>
      <vt:lpstr>v_123_XPHA_PAO</vt:lpstr>
      <vt:lpstr>v_123_XPP</vt:lpstr>
      <vt:lpstr>v_123_XS</vt:lpstr>
      <vt:lpstr>v_123_XSOO</vt:lpstr>
      <vt:lpstr>v_123_XSTR</vt:lpstr>
      <vt:lpstr>v_123_XU</vt:lpstr>
      <vt:lpstr>v_123_XVivi</vt:lpstr>
      <vt:lpstr>v_124_CB</vt:lpstr>
      <vt:lpstr>v_124_CU</vt:lpstr>
      <vt:lpstr>v_124_GCH4</vt:lpstr>
      <vt:lpstr>v_124_GCH4_atm</vt:lpstr>
      <vt:lpstr>v_124_GCO2</vt:lpstr>
      <vt:lpstr>v_124_GCO2_atm</vt:lpstr>
      <vt:lpstr>v_124_GH2</vt:lpstr>
      <vt:lpstr>v_124_GH2_atm</vt:lpstr>
      <vt:lpstr>v_124_GH2S</vt:lpstr>
      <vt:lpstr>v_124_GH2S_atm</vt:lpstr>
      <vt:lpstr>v_124_GN2</vt:lpstr>
      <vt:lpstr>v_124_GN2_atm</vt:lpstr>
      <vt:lpstr>v_124_GNH3</vt:lpstr>
      <vt:lpstr>v_124_GNH3_atm</vt:lpstr>
      <vt:lpstr>v_124_GO2</vt:lpstr>
      <vt:lpstr>v_124_GO2_atm</vt:lpstr>
      <vt:lpstr>v_124_SALPHA</vt:lpstr>
      <vt:lpstr>v_124_SAN</vt:lpstr>
      <vt:lpstr>v_124_SB</vt:lpstr>
      <vt:lpstr>v_124_SCa</vt:lpstr>
      <vt:lpstr>v_124_SCAT</vt:lpstr>
      <vt:lpstr>v_124_SCH4</vt:lpstr>
      <vt:lpstr>v_124_SCO2</vt:lpstr>
      <vt:lpstr>v_124_SFe2</vt:lpstr>
      <vt:lpstr>v_124_SH</vt:lpstr>
      <vt:lpstr>v_124_SH2</vt:lpstr>
      <vt:lpstr>v_124_SH2S</vt:lpstr>
      <vt:lpstr>v_124_SK</vt:lpstr>
      <vt:lpstr>v_124_SMEOL</vt:lpstr>
      <vt:lpstr>v_124_SMg</vt:lpstr>
      <vt:lpstr>v_124_SMM_index</vt:lpstr>
      <vt:lpstr>v_124_SN_B</vt:lpstr>
      <vt:lpstr>v_124_SN2</vt:lpstr>
      <vt:lpstr>v_124_SNHx</vt:lpstr>
      <vt:lpstr>v_124_SNO2</vt:lpstr>
      <vt:lpstr>v_124_SNO3</vt:lpstr>
      <vt:lpstr>v_124_SO2</vt:lpstr>
      <vt:lpstr>v_124_SORPswitch</vt:lpstr>
      <vt:lpstr>v_124_SP_B</vt:lpstr>
      <vt:lpstr>v_124_SPFOA</vt:lpstr>
      <vt:lpstr>v_124_SPFOS</vt:lpstr>
      <vt:lpstr>v_124_SPO4</vt:lpstr>
      <vt:lpstr>v_124_SSO4</vt:lpstr>
      <vt:lpstr>v_124_SU</vt:lpstr>
      <vt:lpstr>v_124_SVFA</vt:lpstr>
      <vt:lpstr>v_124_XACP</vt:lpstr>
      <vt:lpstr>v_124_XALGAE</vt:lpstr>
      <vt:lpstr>v_124_XAMETO</vt:lpstr>
      <vt:lpstr>v_124_XAMX</vt:lpstr>
      <vt:lpstr>v_124_XAOB</vt:lpstr>
      <vt:lpstr>v_124_XASRO</vt:lpstr>
      <vt:lpstr>v_124_XB</vt:lpstr>
      <vt:lpstr>v_124_XB_e</vt:lpstr>
      <vt:lpstr>v_124_XBSH</vt:lpstr>
      <vt:lpstr>v_124_XCaCO3</vt:lpstr>
      <vt:lpstr>v_124_XCASTO</vt:lpstr>
      <vt:lpstr>v_124_XE</vt:lpstr>
      <vt:lpstr>v_124_XE_ana</vt:lpstr>
      <vt:lpstr>v_124_XFeS</vt:lpstr>
      <vt:lpstr>v_124_XHAO_H</vt:lpstr>
      <vt:lpstr>v_124_XHAO_H_P</vt:lpstr>
      <vt:lpstr>v_124_XHAO_H_P_old</vt:lpstr>
      <vt:lpstr>v_124_XHAO_L</vt:lpstr>
      <vt:lpstr>v_124_XHAO_L_P</vt:lpstr>
      <vt:lpstr>v_124_XHAO_L_P_old</vt:lpstr>
      <vt:lpstr>v_124_XHAO_old</vt:lpstr>
      <vt:lpstr>v_124_XHFO_H</vt:lpstr>
      <vt:lpstr>v_124_XHFO_H_P</vt:lpstr>
      <vt:lpstr>v_124_XHFO_H_P_old</vt:lpstr>
      <vt:lpstr>v_124_XHFO_L</vt:lpstr>
      <vt:lpstr>v_124_XHFO_L_P</vt:lpstr>
      <vt:lpstr>v_124_XHFO_L_P_old</vt:lpstr>
      <vt:lpstr>v_124_XHFO_old</vt:lpstr>
      <vt:lpstr>v_124_XHMETO</vt:lpstr>
      <vt:lpstr>v_124_XHSRO</vt:lpstr>
      <vt:lpstr>v_124_XINORG</vt:lpstr>
      <vt:lpstr>v_124_XMEOLO</vt:lpstr>
      <vt:lpstr>v_124_XN_B</vt:lpstr>
      <vt:lpstr>v_124_XN_Be</vt:lpstr>
      <vt:lpstr>v_124_XN_U</vt:lpstr>
      <vt:lpstr>v_124_XNOB</vt:lpstr>
      <vt:lpstr>v_124_XOHO</vt:lpstr>
      <vt:lpstr>v_124_XP_B</vt:lpstr>
      <vt:lpstr>v_124_XP_Be</vt:lpstr>
      <vt:lpstr>v_124_XP_U</vt:lpstr>
      <vt:lpstr>v_124_XPFOA</vt:lpstr>
      <vt:lpstr>v_124_XPFOS</vt:lpstr>
      <vt:lpstr>v_124_XPHA_GAO</vt:lpstr>
      <vt:lpstr>v_124_XPHA_PAO</vt:lpstr>
      <vt:lpstr>v_124_XPP</vt:lpstr>
      <vt:lpstr>v_124_XS</vt:lpstr>
      <vt:lpstr>v_124_XSOO</vt:lpstr>
      <vt:lpstr>v_124_XSTR</vt:lpstr>
      <vt:lpstr>v_124_XU</vt:lpstr>
      <vt:lpstr>v_124_XVivi</vt:lpstr>
      <vt:lpstr>v_125_CB</vt:lpstr>
      <vt:lpstr>v_125_CU</vt:lpstr>
      <vt:lpstr>v_125_GCH4</vt:lpstr>
      <vt:lpstr>v_125_GCH4_atm</vt:lpstr>
      <vt:lpstr>v_125_GCO2</vt:lpstr>
      <vt:lpstr>v_125_GCO2_atm</vt:lpstr>
      <vt:lpstr>v_125_GH2</vt:lpstr>
      <vt:lpstr>v_125_GH2_atm</vt:lpstr>
      <vt:lpstr>v_125_GH2S</vt:lpstr>
      <vt:lpstr>v_125_GH2S_atm</vt:lpstr>
      <vt:lpstr>v_125_GN2</vt:lpstr>
      <vt:lpstr>v_125_GN2_atm</vt:lpstr>
      <vt:lpstr>v_125_GNH3</vt:lpstr>
      <vt:lpstr>v_125_GNH3_atm</vt:lpstr>
      <vt:lpstr>v_125_GO2</vt:lpstr>
      <vt:lpstr>v_125_GO2_atm</vt:lpstr>
      <vt:lpstr>v_125_SALPHA</vt:lpstr>
      <vt:lpstr>v_125_SAN</vt:lpstr>
      <vt:lpstr>v_125_SB</vt:lpstr>
      <vt:lpstr>v_125_SCa</vt:lpstr>
      <vt:lpstr>v_125_SCAT</vt:lpstr>
      <vt:lpstr>v_125_SCH4</vt:lpstr>
      <vt:lpstr>v_125_SCO2</vt:lpstr>
      <vt:lpstr>v_125_SFe2</vt:lpstr>
      <vt:lpstr>v_125_SH</vt:lpstr>
      <vt:lpstr>v_125_SH2</vt:lpstr>
      <vt:lpstr>v_125_SH2S</vt:lpstr>
      <vt:lpstr>v_125_SK</vt:lpstr>
      <vt:lpstr>v_125_SMEOL</vt:lpstr>
      <vt:lpstr>v_125_SMg</vt:lpstr>
      <vt:lpstr>v_125_SMM_index</vt:lpstr>
      <vt:lpstr>v_125_SN_B</vt:lpstr>
      <vt:lpstr>v_125_SN2</vt:lpstr>
      <vt:lpstr>v_125_SNHx</vt:lpstr>
      <vt:lpstr>v_125_SNO2</vt:lpstr>
      <vt:lpstr>v_125_SNO3</vt:lpstr>
      <vt:lpstr>v_125_SO2</vt:lpstr>
      <vt:lpstr>v_125_SORPswitch</vt:lpstr>
      <vt:lpstr>v_125_SP_B</vt:lpstr>
      <vt:lpstr>v_125_SPFOA</vt:lpstr>
      <vt:lpstr>v_125_SPFOS</vt:lpstr>
      <vt:lpstr>v_125_SPO4</vt:lpstr>
      <vt:lpstr>v_125_SSO4</vt:lpstr>
      <vt:lpstr>v_125_SU</vt:lpstr>
      <vt:lpstr>v_125_SVFA</vt:lpstr>
      <vt:lpstr>v_125_XACP</vt:lpstr>
      <vt:lpstr>v_125_XALGAE</vt:lpstr>
      <vt:lpstr>v_125_XAMETO</vt:lpstr>
      <vt:lpstr>v_125_XAMX</vt:lpstr>
      <vt:lpstr>v_125_XAOB</vt:lpstr>
      <vt:lpstr>v_125_XASRO</vt:lpstr>
      <vt:lpstr>v_125_XB</vt:lpstr>
      <vt:lpstr>v_125_XB_e</vt:lpstr>
      <vt:lpstr>v_125_XBSH</vt:lpstr>
      <vt:lpstr>v_125_XCaCO3</vt:lpstr>
      <vt:lpstr>v_125_XCASTO</vt:lpstr>
      <vt:lpstr>v_125_XE</vt:lpstr>
      <vt:lpstr>v_125_XE_ana</vt:lpstr>
      <vt:lpstr>v_125_XFeS</vt:lpstr>
      <vt:lpstr>v_125_XHAO_H</vt:lpstr>
      <vt:lpstr>v_125_XHAO_H_P</vt:lpstr>
      <vt:lpstr>v_125_XHAO_H_P_old</vt:lpstr>
      <vt:lpstr>v_125_XHAO_L</vt:lpstr>
      <vt:lpstr>v_125_XHAO_L_P</vt:lpstr>
      <vt:lpstr>v_125_XHAO_L_P_old</vt:lpstr>
      <vt:lpstr>v_125_XHAO_old</vt:lpstr>
      <vt:lpstr>v_125_XHFO_H</vt:lpstr>
      <vt:lpstr>v_125_XHFO_H_P</vt:lpstr>
      <vt:lpstr>v_125_XHFO_H_P_old</vt:lpstr>
      <vt:lpstr>v_125_XHFO_L</vt:lpstr>
      <vt:lpstr>v_125_XHFO_L_P</vt:lpstr>
      <vt:lpstr>v_125_XHFO_L_P_old</vt:lpstr>
      <vt:lpstr>v_125_XHFO_old</vt:lpstr>
      <vt:lpstr>v_125_XHMETO</vt:lpstr>
      <vt:lpstr>v_125_XHSRO</vt:lpstr>
      <vt:lpstr>v_125_XINORG</vt:lpstr>
      <vt:lpstr>v_125_XMEOLO</vt:lpstr>
      <vt:lpstr>v_125_XN_B</vt:lpstr>
      <vt:lpstr>v_125_XN_Be</vt:lpstr>
      <vt:lpstr>v_125_XN_U</vt:lpstr>
      <vt:lpstr>v_125_XNOB</vt:lpstr>
      <vt:lpstr>v_125_XOHO</vt:lpstr>
      <vt:lpstr>v_125_XP_B</vt:lpstr>
      <vt:lpstr>v_125_XP_Be</vt:lpstr>
      <vt:lpstr>v_125_XP_U</vt:lpstr>
      <vt:lpstr>v_125_XPFOA</vt:lpstr>
      <vt:lpstr>v_125_XPFOS</vt:lpstr>
      <vt:lpstr>v_125_XPHA_GAO</vt:lpstr>
      <vt:lpstr>v_125_XPHA_PAO</vt:lpstr>
      <vt:lpstr>v_125_XPP</vt:lpstr>
      <vt:lpstr>v_125_XS</vt:lpstr>
      <vt:lpstr>v_125_XSOO</vt:lpstr>
      <vt:lpstr>v_125_XSTR</vt:lpstr>
      <vt:lpstr>v_125_XU</vt:lpstr>
      <vt:lpstr>v_125_XVivi</vt:lpstr>
      <vt:lpstr>v_126_CB</vt:lpstr>
      <vt:lpstr>v_126_CU</vt:lpstr>
      <vt:lpstr>v_126_GCH4</vt:lpstr>
      <vt:lpstr>v_126_GCH4_atm</vt:lpstr>
      <vt:lpstr>v_126_GCO2</vt:lpstr>
      <vt:lpstr>v_126_GCO2_atm</vt:lpstr>
      <vt:lpstr>v_126_GH2</vt:lpstr>
      <vt:lpstr>v_126_GH2_atm</vt:lpstr>
      <vt:lpstr>v_126_GH2S</vt:lpstr>
      <vt:lpstr>v_126_GH2S_atm</vt:lpstr>
      <vt:lpstr>v_126_GN2</vt:lpstr>
      <vt:lpstr>v_126_GN2_atm</vt:lpstr>
      <vt:lpstr>v_126_GNH3</vt:lpstr>
      <vt:lpstr>v_126_GNH3_atm</vt:lpstr>
      <vt:lpstr>v_126_GO2</vt:lpstr>
      <vt:lpstr>v_126_GO2_atm</vt:lpstr>
      <vt:lpstr>v_126_SALPHA</vt:lpstr>
      <vt:lpstr>v_126_SAN</vt:lpstr>
      <vt:lpstr>v_126_SB</vt:lpstr>
      <vt:lpstr>v_126_SCa</vt:lpstr>
      <vt:lpstr>v_126_SCAT</vt:lpstr>
      <vt:lpstr>v_126_SCH4</vt:lpstr>
      <vt:lpstr>v_126_SCO2</vt:lpstr>
      <vt:lpstr>v_126_SFe2</vt:lpstr>
      <vt:lpstr>v_126_SH</vt:lpstr>
      <vt:lpstr>v_126_SH2</vt:lpstr>
      <vt:lpstr>v_126_SH2S</vt:lpstr>
      <vt:lpstr>v_126_SK</vt:lpstr>
      <vt:lpstr>v_126_SMEOL</vt:lpstr>
      <vt:lpstr>v_126_SMg</vt:lpstr>
      <vt:lpstr>v_126_SMM_index</vt:lpstr>
      <vt:lpstr>v_126_SN_B</vt:lpstr>
      <vt:lpstr>v_126_SN2</vt:lpstr>
      <vt:lpstr>v_126_SNHx</vt:lpstr>
      <vt:lpstr>v_126_SNO2</vt:lpstr>
      <vt:lpstr>v_126_SNO3</vt:lpstr>
      <vt:lpstr>v_126_SO2</vt:lpstr>
      <vt:lpstr>v_126_SORPswitch</vt:lpstr>
      <vt:lpstr>v_126_SP_B</vt:lpstr>
      <vt:lpstr>v_126_SPFOA</vt:lpstr>
      <vt:lpstr>v_126_SPFOS</vt:lpstr>
      <vt:lpstr>v_126_SPO4</vt:lpstr>
      <vt:lpstr>v_126_SSO4</vt:lpstr>
      <vt:lpstr>v_126_SU</vt:lpstr>
      <vt:lpstr>v_126_SVFA</vt:lpstr>
      <vt:lpstr>v_126_XACP</vt:lpstr>
      <vt:lpstr>v_126_XALGAE</vt:lpstr>
      <vt:lpstr>v_126_XAMETO</vt:lpstr>
      <vt:lpstr>v_126_XAMX</vt:lpstr>
      <vt:lpstr>v_126_XAOB</vt:lpstr>
      <vt:lpstr>v_126_XASRO</vt:lpstr>
      <vt:lpstr>v_126_XB</vt:lpstr>
      <vt:lpstr>v_126_XB_e</vt:lpstr>
      <vt:lpstr>v_126_XBSH</vt:lpstr>
      <vt:lpstr>v_126_XCaCO3</vt:lpstr>
      <vt:lpstr>v_126_XCASTO</vt:lpstr>
      <vt:lpstr>v_126_XE</vt:lpstr>
      <vt:lpstr>v_126_XE_ana</vt:lpstr>
      <vt:lpstr>v_126_XFeS</vt:lpstr>
      <vt:lpstr>v_126_XHAO_H</vt:lpstr>
      <vt:lpstr>v_126_XHAO_H_P</vt:lpstr>
      <vt:lpstr>v_126_XHAO_H_P_old</vt:lpstr>
      <vt:lpstr>v_126_XHAO_L</vt:lpstr>
      <vt:lpstr>v_126_XHAO_L_P</vt:lpstr>
      <vt:lpstr>v_126_XHAO_L_P_old</vt:lpstr>
      <vt:lpstr>v_126_XHAO_old</vt:lpstr>
      <vt:lpstr>v_126_XHFO_H</vt:lpstr>
      <vt:lpstr>v_126_XHFO_H_P</vt:lpstr>
      <vt:lpstr>v_126_XHFO_H_P_old</vt:lpstr>
      <vt:lpstr>v_126_XHFO_L</vt:lpstr>
      <vt:lpstr>v_126_XHFO_L_P</vt:lpstr>
      <vt:lpstr>v_126_XHFO_L_P_old</vt:lpstr>
      <vt:lpstr>v_126_XHFO_old</vt:lpstr>
      <vt:lpstr>v_126_XHMETO</vt:lpstr>
      <vt:lpstr>v_126_XHSRO</vt:lpstr>
      <vt:lpstr>v_126_XINORG</vt:lpstr>
      <vt:lpstr>v_126_XMEOLO</vt:lpstr>
      <vt:lpstr>v_126_XN_B</vt:lpstr>
      <vt:lpstr>v_126_XN_Be</vt:lpstr>
      <vt:lpstr>v_126_XN_U</vt:lpstr>
      <vt:lpstr>v_126_XNOB</vt:lpstr>
      <vt:lpstr>v_126_XOHO</vt:lpstr>
      <vt:lpstr>v_126_XP_B</vt:lpstr>
      <vt:lpstr>v_126_XP_Be</vt:lpstr>
      <vt:lpstr>v_126_XP_U</vt:lpstr>
      <vt:lpstr>v_126_XPFOA</vt:lpstr>
      <vt:lpstr>v_126_XPFOS</vt:lpstr>
      <vt:lpstr>v_126_XPHA_GAO</vt:lpstr>
      <vt:lpstr>v_126_XPHA_PAO</vt:lpstr>
      <vt:lpstr>v_126_XPP</vt:lpstr>
      <vt:lpstr>v_126_XS</vt:lpstr>
      <vt:lpstr>v_126_XSOO</vt:lpstr>
      <vt:lpstr>v_126_XSTR</vt:lpstr>
      <vt:lpstr>v_126_XU</vt:lpstr>
      <vt:lpstr>v_126_XVivi</vt:lpstr>
      <vt:lpstr>v_127_CB</vt:lpstr>
      <vt:lpstr>v_127_CU</vt:lpstr>
      <vt:lpstr>v_127_GCH4</vt:lpstr>
      <vt:lpstr>v_127_GCH4_atm</vt:lpstr>
      <vt:lpstr>v_127_GCO2</vt:lpstr>
      <vt:lpstr>v_127_GCO2_atm</vt:lpstr>
      <vt:lpstr>v_127_GH2</vt:lpstr>
      <vt:lpstr>v_127_GH2_atm</vt:lpstr>
      <vt:lpstr>v_127_GH2S</vt:lpstr>
      <vt:lpstr>v_127_GH2S_atm</vt:lpstr>
      <vt:lpstr>v_127_GN2</vt:lpstr>
      <vt:lpstr>v_127_GN2_atm</vt:lpstr>
      <vt:lpstr>v_127_GNH3</vt:lpstr>
      <vt:lpstr>v_127_GNH3_atm</vt:lpstr>
      <vt:lpstr>v_127_GO2</vt:lpstr>
      <vt:lpstr>v_127_GO2_atm</vt:lpstr>
      <vt:lpstr>v_127_SALPHA</vt:lpstr>
      <vt:lpstr>v_127_SAN</vt:lpstr>
      <vt:lpstr>v_127_SB</vt:lpstr>
      <vt:lpstr>v_127_SCa</vt:lpstr>
      <vt:lpstr>v_127_SCAT</vt:lpstr>
      <vt:lpstr>v_127_SCH4</vt:lpstr>
      <vt:lpstr>v_127_SCO2</vt:lpstr>
      <vt:lpstr>v_127_SFe2</vt:lpstr>
      <vt:lpstr>v_127_SH</vt:lpstr>
      <vt:lpstr>v_127_SH2</vt:lpstr>
      <vt:lpstr>v_127_SH2S</vt:lpstr>
      <vt:lpstr>v_127_SK</vt:lpstr>
      <vt:lpstr>v_127_SMEOL</vt:lpstr>
      <vt:lpstr>v_127_SMg</vt:lpstr>
      <vt:lpstr>v_127_SMM_index</vt:lpstr>
      <vt:lpstr>v_127_SN_B</vt:lpstr>
      <vt:lpstr>v_127_SN2</vt:lpstr>
      <vt:lpstr>v_127_SNHx</vt:lpstr>
      <vt:lpstr>v_127_SNO2</vt:lpstr>
      <vt:lpstr>v_127_SNO3</vt:lpstr>
      <vt:lpstr>v_127_SO2</vt:lpstr>
      <vt:lpstr>v_127_SORPswitch</vt:lpstr>
      <vt:lpstr>v_127_SP_B</vt:lpstr>
      <vt:lpstr>v_127_SPFOA</vt:lpstr>
      <vt:lpstr>v_127_SPFOS</vt:lpstr>
      <vt:lpstr>v_127_SPO4</vt:lpstr>
      <vt:lpstr>v_127_SSO4</vt:lpstr>
      <vt:lpstr>v_127_SU</vt:lpstr>
      <vt:lpstr>v_127_SVFA</vt:lpstr>
      <vt:lpstr>v_127_XACP</vt:lpstr>
      <vt:lpstr>v_127_XALGAE</vt:lpstr>
      <vt:lpstr>v_127_XAMETO</vt:lpstr>
      <vt:lpstr>v_127_XAMX</vt:lpstr>
      <vt:lpstr>v_127_XAOB</vt:lpstr>
      <vt:lpstr>v_127_XASRO</vt:lpstr>
      <vt:lpstr>v_127_XB</vt:lpstr>
      <vt:lpstr>v_127_XB_e</vt:lpstr>
      <vt:lpstr>v_127_XBSH</vt:lpstr>
      <vt:lpstr>v_127_XCaCO3</vt:lpstr>
      <vt:lpstr>v_127_XCASTO</vt:lpstr>
      <vt:lpstr>v_127_XE</vt:lpstr>
      <vt:lpstr>v_127_XE_ana</vt:lpstr>
      <vt:lpstr>v_127_XFeS</vt:lpstr>
      <vt:lpstr>v_127_XHAO_H</vt:lpstr>
      <vt:lpstr>v_127_XHAO_H_P</vt:lpstr>
      <vt:lpstr>v_127_XHAO_H_P_old</vt:lpstr>
      <vt:lpstr>v_127_XHAO_L</vt:lpstr>
      <vt:lpstr>v_127_XHAO_L_P</vt:lpstr>
      <vt:lpstr>v_127_XHAO_L_P_old</vt:lpstr>
      <vt:lpstr>v_127_XHAO_old</vt:lpstr>
      <vt:lpstr>v_127_XHFO_H</vt:lpstr>
      <vt:lpstr>v_127_XHFO_H_P</vt:lpstr>
      <vt:lpstr>v_127_XHFO_H_P_old</vt:lpstr>
      <vt:lpstr>v_127_XHFO_L</vt:lpstr>
      <vt:lpstr>v_127_XHFO_L_P</vt:lpstr>
      <vt:lpstr>v_127_XHFO_L_P_old</vt:lpstr>
      <vt:lpstr>v_127_XHFO_old</vt:lpstr>
      <vt:lpstr>v_127_XHMETO</vt:lpstr>
      <vt:lpstr>v_127_XHSRO</vt:lpstr>
      <vt:lpstr>v_127_XINORG</vt:lpstr>
      <vt:lpstr>v_127_XMEOLO</vt:lpstr>
      <vt:lpstr>v_127_XN_B</vt:lpstr>
      <vt:lpstr>v_127_XN_Be</vt:lpstr>
      <vt:lpstr>v_127_XN_U</vt:lpstr>
      <vt:lpstr>v_127_XNOB</vt:lpstr>
      <vt:lpstr>v_127_XOHO</vt:lpstr>
      <vt:lpstr>v_127_XP_B</vt:lpstr>
      <vt:lpstr>v_127_XP_Be</vt:lpstr>
      <vt:lpstr>v_127_XP_U</vt:lpstr>
      <vt:lpstr>v_127_XPFOA</vt:lpstr>
      <vt:lpstr>v_127_XPFOS</vt:lpstr>
      <vt:lpstr>v_127_XPHA_GAO</vt:lpstr>
      <vt:lpstr>v_127_XPHA_PAO</vt:lpstr>
      <vt:lpstr>v_127_XPP</vt:lpstr>
      <vt:lpstr>v_127_XS</vt:lpstr>
      <vt:lpstr>v_127_XSOO</vt:lpstr>
      <vt:lpstr>v_127_XSTR</vt:lpstr>
      <vt:lpstr>v_127_XU</vt:lpstr>
      <vt:lpstr>v_127_XVivi</vt:lpstr>
      <vt:lpstr>v_128_CB</vt:lpstr>
      <vt:lpstr>v_128_CU</vt:lpstr>
      <vt:lpstr>v_128_GCH4</vt:lpstr>
      <vt:lpstr>v_128_GCH4_atm</vt:lpstr>
      <vt:lpstr>v_128_GCO2</vt:lpstr>
      <vt:lpstr>v_128_GCO2_atm</vt:lpstr>
      <vt:lpstr>v_128_GH2</vt:lpstr>
      <vt:lpstr>v_128_GH2_atm</vt:lpstr>
      <vt:lpstr>v_128_GH2S</vt:lpstr>
      <vt:lpstr>v_128_GH2S_atm</vt:lpstr>
      <vt:lpstr>v_128_GN2</vt:lpstr>
      <vt:lpstr>v_128_GN2_atm</vt:lpstr>
      <vt:lpstr>v_128_GNH3</vt:lpstr>
      <vt:lpstr>v_128_GNH3_atm</vt:lpstr>
      <vt:lpstr>v_128_GO2</vt:lpstr>
      <vt:lpstr>v_128_GO2_atm</vt:lpstr>
      <vt:lpstr>v_128_SALPHA</vt:lpstr>
      <vt:lpstr>v_128_SAN</vt:lpstr>
      <vt:lpstr>v_128_SB</vt:lpstr>
      <vt:lpstr>v_128_SCa</vt:lpstr>
      <vt:lpstr>v_128_SCAT</vt:lpstr>
      <vt:lpstr>v_128_SCH4</vt:lpstr>
      <vt:lpstr>v_128_SCO2</vt:lpstr>
      <vt:lpstr>v_128_SFe2</vt:lpstr>
      <vt:lpstr>v_128_SH</vt:lpstr>
      <vt:lpstr>v_128_SH2</vt:lpstr>
      <vt:lpstr>v_128_SH2S</vt:lpstr>
      <vt:lpstr>v_128_SK</vt:lpstr>
      <vt:lpstr>v_128_SMEOL</vt:lpstr>
      <vt:lpstr>v_128_SMg</vt:lpstr>
      <vt:lpstr>v_128_SMM_index</vt:lpstr>
      <vt:lpstr>v_128_SN_B</vt:lpstr>
      <vt:lpstr>v_128_SN2</vt:lpstr>
      <vt:lpstr>v_128_SNHx</vt:lpstr>
      <vt:lpstr>v_128_SNO2</vt:lpstr>
      <vt:lpstr>v_128_SNO3</vt:lpstr>
      <vt:lpstr>v_128_SO2</vt:lpstr>
      <vt:lpstr>v_128_SORPswitch</vt:lpstr>
      <vt:lpstr>v_128_SP_B</vt:lpstr>
      <vt:lpstr>v_128_SPFOA</vt:lpstr>
      <vt:lpstr>v_128_SPFOS</vt:lpstr>
      <vt:lpstr>v_128_SPO4</vt:lpstr>
      <vt:lpstr>v_128_SSO4</vt:lpstr>
      <vt:lpstr>v_128_SU</vt:lpstr>
      <vt:lpstr>v_128_SVFA</vt:lpstr>
      <vt:lpstr>v_128_XACP</vt:lpstr>
      <vt:lpstr>v_128_XALGAE</vt:lpstr>
      <vt:lpstr>v_128_XAMETO</vt:lpstr>
      <vt:lpstr>v_128_XAMX</vt:lpstr>
      <vt:lpstr>v_128_XAOB</vt:lpstr>
      <vt:lpstr>v_128_XASRO</vt:lpstr>
      <vt:lpstr>v_128_XB</vt:lpstr>
      <vt:lpstr>v_128_XB_e</vt:lpstr>
      <vt:lpstr>v_128_XBSH</vt:lpstr>
      <vt:lpstr>v_128_XCaCO3</vt:lpstr>
      <vt:lpstr>v_128_XCASTO</vt:lpstr>
      <vt:lpstr>v_128_XE</vt:lpstr>
      <vt:lpstr>v_128_XE_ana</vt:lpstr>
      <vt:lpstr>v_128_XFeS</vt:lpstr>
      <vt:lpstr>v_128_XHAO_H</vt:lpstr>
      <vt:lpstr>v_128_XHAO_H_P</vt:lpstr>
      <vt:lpstr>v_128_XHAO_H_P_old</vt:lpstr>
      <vt:lpstr>v_128_XHAO_L</vt:lpstr>
      <vt:lpstr>v_128_XHAO_L_P</vt:lpstr>
      <vt:lpstr>v_128_XHAO_L_P_old</vt:lpstr>
      <vt:lpstr>v_128_XHAO_old</vt:lpstr>
      <vt:lpstr>v_128_XHFO_H</vt:lpstr>
      <vt:lpstr>v_128_XHFO_H_P</vt:lpstr>
      <vt:lpstr>v_128_XHFO_H_P_old</vt:lpstr>
      <vt:lpstr>v_128_XHFO_L</vt:lpstr>
      <vt:lpstr>v_128_XHFO_L_P</vt:lpstr>
      <vt:lpstr>v_128_XHFO_L_P_old</vt:lpstr>
      <vt:lpstr>v_128_XHFO_old</vt:lpstr>
      <vt:lpstr>v_128_XHMETO</vt:lpstr>
      <vt:lpstr>v_128_XHSRO</vt:lpstr>
      <vt:lpstr>v_128_XINORG</vt:lpstr>
      <vt:lpstr>v_128_XMEOLO</vt:lpstr>
      <vt:lpstr>v_128_XN_B</vt:lpstr>
      <vt:lpstr>v_128_XN_Be</vt:lpstr>
      <vt:lpstr>v_128_XN_U</vt:lpstr>
      <vt:lpstr>v_128_XNOB</vt:lpstr>
      <vt:lpstr>v_128_XOHO</vt:lpstr>
      <vt:lpstr>v_128_XP_B</vt:lpstr>
      <vt:lpstr>v_128_XP_Be</vt:lpstr>
      <vt:lpstr>v_128_XP_U</vt:lpstr>
      <vt:lpstr>v_128_XPFOA</vt:lpstr>
      <vt:lpstr>v_128_XPFOS</vt:lpstr>
      <vt:lpstr>v_128_XPHA_GAO</vt:lpstr>
      <vt:lpstr>v_128_XPHA_PAO</vt:lpstr>
      <vt:lpstr>v_128_XPP</vt:lpstr>
      <vt:lpstr>v_128_XS</vt:lpstr>
      <vt:lpstr>v_128_XSOO</vt:lpstr>
      <vt:lpstr>v_128_XSTR</vt:lpstr>
      <vt:lpstr>v_128_XU</vt:lpstr>
      <vt:lpstr>v_128_XVivi</vt:lpstr>
      <vt:lpstr>v_129_CB</vt:lpstr>
      <vt:lpstr>v_129_CU</vt:lpstr>
      <vt:lpstr>v_129_GCH4</vt:lpstr>
      <vt:lpstr>v_129_GCH4_atm</vt:lpstr>
      <vt:lpstr>v_129_GCO2</vt:lpstr>
      <vt:lpstr>v_129_GCO2_atm</vt:lpstr>
      <vt:lpstr>v_129_GH2</vt:lpstr>
      <vt:lpstr>v_129_GH2_atm</vt:lpstr>
      <vt:lpstr>v_129_GH2S</vt:lpstr>
      <vt:lpstr>v_129_GH2S_atm</vt:lpstr>
      <vt:lpstr>v_129_GN2</vt:lpstr>
      <vt:lpstr>v_129_GN2_atm</vt:lpstr>
      <vt:lpstr>v_129_GNH3</vt:lpstr>
      <vt:lpstr>v_129_GNH3_atm</vt:lpstr>
      <vt:lpstr>v_129_GO2</vt:lpstr>
      <vt:lpstr>v_129_GO2_atm</vt:lpstr>
      <vt:lpstr>v_129_SALPHA</vt:lpstr>
      <vt:lpstr>v_129_SAN</vt:lpstr>
      <vt:lpstr>v_129_SB</vt:lpstr>
      <vt:lpstr>v_129_SCa</vt:lpstr>
      <vt:lpstr>v_129_SCAT</vt:lpstr>
      <vt:lpstr>v_129_SCH4</vt:lpstr>
      <vt:lpstr>v_129_SCO2</vt:lpstr>
      <vt:lpstr>v_129_SFe2</vt:lpstr>
      <vt:lpstr>v_129_SH</vt:lpstr>
      <vt:lpstr>v_129_SH2</vt:lpstr>
      <vt:lpstr>v_129_SH2S</vt:lpstr>
      <vt:lpstr>v_129_SK</vt:lpstr>
      <vt:lpstr>v_129_SMEOL</vt:lpstr>
      <vt:lpstr>v_129_SMg</vt:lpstr>
      <vt:lpstr>v_129_SMM_index</vt:lpstr>
      <vt:lpstr>v_129_SN_B</vt:lpstr>
      <vt:lpstr>v_129_SN2</vt:lpstr>
      <vt:lpstr>v_129_SNHx</vt:lpstr>
      <vt:lpstr>v_129_SNO2</vt:lpstr>
      <vt:lpstr>v_129_SNO3</vt:lpstr>
      <vt:lpstr>v_129_SO2</vt:lpstr>
      <vt:lpstr>v_129_SORPswitch</vt:lpstr>
      <vt:lpstr>v_129_SP_B</vt:lpstr>
      <vt:lpstr>v_129_SPFOA</vt:lpstr>
      <vt:lpstr>v_129_SPFOS</vt:lpstr>
      <vt:lpstr>v_129_SPO4</vt:lpstr>
      <vt:lpstr>v_129_SSO4</vt:lpstr>
      <vt:lpstr>v_129_SU</vt:lpstr>
      <vt:lpstr>v_129_SVFA</vt:lpstr>
      <vt:lpstr>v_129_XACP</vt:lpstr>
      <vt:lpstr>v_129_XALGAE</vt:lpstr>
      <vt:lpstr>v_129_XAMETO</vt:lpstr>
      <vt:lpstr>v_129_XAMX</vt:lpstr>
      <vt:lpstr>v_129_XAOB</vt:lpstr>
      <vt:lpstr>v_129_XASRO</vt:lpstr>
      <vt:lpstr>v_129_XB</vt:lpstr>
      <vt:lpstr>v_129_XB_e</vt:lpstr>
      <vt:lpstr>v_129_XBSH</vt:lpstr>
      <vt:lpstr>v_129_XCaCO3</vt:lpstr>
      <vt:lpstr>v_129_XCASTO</vt:lpstr>
      <vt:lpstr>v_129_XE</vt:lpstr>
      <vt:lpstr>v_129_XE_ana</vt:lpstr>
      <vt:lpstr>v_129_XFeS</vt:lpstr>
      <vt:lpstr>v_129_XHAO_H</vt:lpstr>
      <vt:lpstr>v_129_XHAO_H_P</vt:lpstr>
      <vt:lpstr>v_129_XHAO_H_P_old</vt:lpstr>
      <vt:lpstr>v_129_XHAO_L</vt:lpstr>
      <vt:lpstr>v_129_XHAO_L_P</vt:lpstr>
      <vt:lpstr>v_129_XHAO_L_P_old</vt:lpstr>
      <vt:lpstr>v_129_XHAO_old</vt:lpstr>
      <vt:lpstr>v_129_XHFO_H</vt:lpstr>
      <vt:lpstr>v_129_XHFO_H_P</vt:lpstr>
      <vt:lpstr>v_129_XHFO_H_P_old</vt:lpstr>
      <vt:lpstr>v_129_XHFO_L</vt:lpstr>
      <vt:lpstr>v_129_XHFO_L_P</vt:lpstr>
      <vt:lpstr>v_129_XHFO_L_P_old</vt:lpstr>
      <vt:lpstr>v_129_XHFO_old</vt:lpstr>
      <vt:lpstr>v_129_XHMETO</vt:lpstr>
      <vt:lpstr>v_129_XHSRO</vt:lpstr>
      <vt:lpstr>v_129_XINORG</vt:lpstr>
      <vt:lpstr>v_129_XMEOLO</vt:lpstr>
      <vt:lpstr>v_129_XN_B</vt:lpstr>
      <vt:lpstr>v_129_XN_Be</vt:lpstr>
      <vt:lpstr>v_129_XN_U</vt:lpstr>
      <vt:lpstr>v_129_XNOB</vt:lpstr>
      <vt:lpstr>v_129_XOHO</vt:lpstr>
      <vt:lpstr>v_129_XP_B</vt:lpstr>
      <vt:lpstr>v_129_XP_Be</vt:lpstr>
      <vt:lpstr>v_129_XP_U</vt:lpstr>
      <vt:lpstr>v_129_XPFOA</vt:lpstr>
      <vt:lpstr>v_129_XPFOS</vt:lpstr>
      <vt:lpstr>v_129_XPHA_GAO</vt:lpstr>
      <vt:lpstr>v_129_XPHA_PAO</vt:lpstr>
      <vt:lpstr>v_129_XPP</vt:lpstr>
      <vt:lpstr>v_129_XS</vt:lpstr>
      <vt:lpstr>v_129_XSOO</vt:lpstr>
      <vt:lpstr>v_129_XSTR</vt:lpstr>
      <vt:lpstr>v_129_XU</vt:lpstr>
      <vt:lpstr>v_129_XVivi</vt:lpstr>
      <vt:lpstr>v_13_CB</vt:lpstr>
      <vt:lpstr>v_13_CU</vt:lpstr>
      <vt:lpstr>v_13_GCH4</vt:lpstr>
      <vt:lpstr>v_13_GCH4_atm</vt:lpstr>
      <vt:lpstr>v_13_GCO2</vt:lpstr>
      <vt:lpstr>v_13_GCO2_atm</vt:lpstr>
      <vt:lpstr>v_13_GH2</vt:lpstr>
      <vt:lpstr>v_13_GH2_atm</vt:lpstr>
      <vt:lpstr>v_13_GH2S</vt:lpstr>
      <vt:lpstr>v_13_GH2S_atm</vt:lpstr>
      <vt:lpstr>v_13_GN2</vt:lpstr>
      <vt:lpstr>v_13_GN2_atm</vt:lpstr>
      <vt:lpstr>v_13_GNH3</vt:lpstr>
      <vt:lpstr>v_13_GNH3_atm</vt:lpstr>
      <vt:lpstr>v_13_GO2</vt:lpstr>
      <vt:lpstr>v_13_GO2_atm</vt:lpstr>
      <vt:lpstr>v_13_SALPHA</vt:lpstr>
      <vt:lpstr>v_13_SAN</vt:lpstr>
      <vt:lpstr>v_13_SB</vt:lpstr>
      <vt:lpstr>v_13_SCa</vt:lpstr>
      <vt:lpstr>v_13_SCAT</vt:lpstr>
      <vt:lpstr>v_13_SCH4</vt:lpstr>
      <vt:lpstr>v_13_SCO2</vt:lpstr>
      <vt:lpstr>v_13_SFe2</vt:lpstr>
      <vt:lpstr>v_13_SH</vt:lpstr>
      <vt:lpstr>v_13_SH2</vt:lpstr>
      <vt:lpstr>v_13_SH2S</vt:lpstr>
      <vt:lpstr>v_13_SK</vt:lpstr>
      <vt:lpstr>v_13_SMEOL</vt:lpstr>
      <vt:lpstr>v_13_SMg</vt:lpstr>
      <vt:lpstr>v_13_SMM_index</vt:lpstr>
      <vt:lpstr>v_13_SN_B</vt:lpstr>
      <vt:lpstr>v_13_SN2</vt:lpstr>
      <vt:lpstr>v_13_SNHx</vt:lpstr>
      <vt:lpstr>v_13_SNO2</vt:lpstr>
      <vt:lpstr>v_13_SNO3</vt:lpstr>
      <vt:lpstr>v_13_SO2</vt:lpstr>
      <vt:lpstr>v_13_SORPswitch</vt:lpstr>
      <vt:lpstr>v_13_SP_B</vt:lpstr>
      <vt:lpstr>v_13_SPFOA</vt:lpstr>
      <vt:lpstr>v_13_SPFOS</vt:lpstr>
      <vt:lpstr>v_13_SPO4</vt:lpstr>
      <vt:lpstr>v_13_SSO4</vt:lpstr>
      <vt:lpstr>v_13_SU</vt:lpstr>
      <vt:lpstr>v_13_SVFA</vt:lpstr>
      <vt:lpstr>v_13_XACP</vt:lpstr>
      <vt:lpstr>v_13_XALGAE</vt:lpstr>
      <vt:lpstr>v_13_XAMETO</vt:lpstr>
      <vt:lpstr>v_13_XAMX</vt:lpstr>
      <vt:lpstr>v_13_XAOB</vt:lpstr>
      <vt:lpstr>v_13_XASRO</vt:lpstr>
      <vt:lpstr>v_13_XB</vt:lpstr>
      <vt:lpstr>v_13_XB_e</vt:lpstr>
      <vt:lpstr>v_13_XBSH</vt:lpstr>
      <vt:lpstr>v_13_XCaCO3</vt:lpstr>
      <vt:lpstr>v_13_XCASTO</vt:lpstr>
      <vt:lpstr>v_13_XE</vt:lpstr>
      <vt:lpstr>v_13_XE_ana</vt:lpstr>
      <vt:lpstr>v_13_XFeS</vt:lpstr>
      <vt:lpstr>v_13_XHAO_H</vt:lpstr>
      <vt:lpstr>v_13_XHAO_H_P</vt:lpstr>
      <vt:lpstr>v_13_XHAO_H_P_old</vt:lpstr>
      <vt:lpstr>v_13_XHAO_L</vt:lpstr>
      <vt:lpstr>v_13_XHAO_L_P</vt:lpstr>
      <vt:lpstr>v_13_XHAO_L_P_old</vt:lpstr>
      <vt:lpstr>v_13_XHAO_old</vt:lpstr>
      <vt:lpstr>v_13_XHFO_H</vt:lpstr>
      <vt:lpstr>v_13_XHFO_H_P</vt:lpstr>
      <vt:lpstr>v_13_XHFO_H_P_old</vt:lpstr>
      <vt:lpstr>v_13_XHFO_L</vt:lpstr>
      <vt:lpstr>v_13_XHFO_L_P</vt:lpstr>
      <vt:lpstr>v_13_XHFO_L_P_old</vt:lpstr>
      <vt:lpstr>v_13_XHFO_old</vt:lpstr>
      <vt:lpstr>v_13_XHMETO</vt:lpstr>
      <vt:lpstr>v_13_XHSRO</vt:lpstr>
      <vt:lpstr>v_13_XINORG</vt:lpstr>
      <vt:lpstr>v_13_XMEOLO</vt:lpstr>
      <vt:lpstr>v_13_XN_B</vt:lpstr>
      <vt:lpstr>v_13_XN_Be</vt:lpstr>
      <vt:lpstr>v_13_XN_U</vt:lpstr>
      <vt:lpstr>v_13_XNOB</vt:lpstr>
      <vt:lpstr>v_13_XOHO</vt:lpstr>
      <vt:lpstr>v_13_XP_B</vt:lpstr>
      <vt:lpstr>v_13_XP_Be</vt:lpstr>
      <vt:lpstr>v_13_XP_U</vt:lpstr>
      <vt:lpstr>v_13_XPFOA</vt:lpstr>
      <vt:lpstr>v_13_XPFOS</vt:lpstr>
      <vt:lpstr>v_13_XPHA_GAO</vt:lpstr>
      <vt:lpstr>v_13_XPHA_PAO</vt:lpstr>
      <vt:lpstr>v_13_XPP</vt:lpstr>
      <vt:lpstr>v_13_XS</vt:lpstr>
      <vt:lpstr>v_13_XSOO</vt:lpstr>
      <vt:lpstr>v_13_XSTR</vt:lpstr>
      <vt:lpstr>v_13_XU</vt:lpstr>
      <vt:lpstr>v_13_XVivi</vt:lpstr>
      <vt:lpstr>v_130_CB</vt:lpstr>
      <vt:lpstr>v_130_CU</vt:lpstr>
      <vt:lpstr>v_130_GCH4</vt:lpstr>
      <vt:lpstr>v_130_GCH4_atm</vt:lpstr>
      <vt:lpstr>v_130_GCO2</vt:lpstr>
      <vt:lpstr>v_130_GCO2_atm</vt:lpstr>
      <vt:lpstr>v_130_GH2</vt:lpstr>
      <vt:lpstr>v_130_GH2_atm</vt:lpstr>
      <vt:lpstr>v_130_GH2S</vt:lpstr>
      <vt:lpstr>v_130_GH2S_atm</vt:lpstr>
      <vt:lpstr>v_130_GN2</vt:lpstr>
      <vt:lpstr>v_130_GN2_atm</vt:lpstr>
      <vt:lpstr>v_130_GNH3</vt:lpstr>
      <vt:lpstr>v_130_GNH3_atm</vt:lpstr>
      <vt:lpstr>v_130_GO2</vt:lpstr>
      <vt:lpstr>v_130_GO2_atm</vt:lpstr>
      <vt:lpstr>v_130_SALPHA</vt:lpstr>
      <vt:lpstr>v_130_SAN</vt:lpstr>
      <vt:lpstr>v_130_SB</vt:lpstr>
      <vt:lpstr>v_130_SCa</vt:lpstr>
      <vt:lpstr>v_130_SCAT</vt:lpstr>
      <vt:lpstr>v_130_SCH4</vt:lpstr>
      <vt:lpstr>v_130_SCO2</vt:lpstr>
      <vt:lpstr>v_130_SFe2</vt:lpstr>
      <vt:lpstr>v_130_SH</vt:lpstr>
      <vt:lpstr>v_130_SH2</vt:lpstr>
      <vt:lpstr>v_130_SH2S</vt:lpstr>
      <vt:lpstr>v_130_SK</vt:lpstr>
      <vt:lpstr>v_130_SMEOL</vt:lpstr>
      <vt:lpstr>v_130_SMg</vt:lpstr>
      <vt:lpstr>v_130_SMM_index</vt:lpstr>
      <vt:lpstr>v_130_SN_B</vt:lpstr>
      <vt:lpstr>v_130_SN2</vt:lpstr>
      <vt:lpstr>v_130_SNHx</vt:lpstr>
      <vt:lpstr>v_130_SNO2</vt:lpstr>
      <vt:lpstr>v_130_SNO3</vt:lpstr>
      <vt:lpstr>v_130_SO2</vt:lpstr>
      <vt:lpstr>v_130_SORPswitch</vt:lpstr>
      <vt:lpstr>v_130_SP_B</vt:lpstr>
      <vt:lpstr>v_130_SPFOA</vt:lpstr>
      <vt:lpstr>v_130_SPFOS</vt:lpstr>
      <vt:lpstr>v_130_SPO4</vt:lpstr>
      <vt:lpstr>v_130_SSO4</vt:lpstr>
      <vt:lpstr>v_130_SU</vt:lpstr>
      <vt:lpstr>v_130_SVFA</vt:lpstr>
      <vt:lpstr>v_130_XACP</vt:lpstr>
      <vt:lpstr>v_130_XALGAE</vt:lpstr>
      <vt:lpstr>v_130_XAMETO</vt:lpstr>
      <vt:lpstr>v_130_XAMX</vt:lpstr>
      <vt:lpstr>v_130_XAOB</vt:lpstr>
      <vt:lpstr>v_130_XASRO</vt:lpstr>
      <vt:lpstr>v_130_XB</vt:lpstr>
      <vt:lpstr>v_130_XB_e</vt:lpstr>
      <vt:lpstr>v_130_XBSH</vt:lpstr>
      <vt:lpstr>v_130_XCaCO3</vt:lpstr>
      <vt:lpstr>v_130_XCASTO</vt:lpstr>
      <vt:lpstr>v_130_XE</vt:lpstr>
      <vt:lpstr>v_130_XE_ana</vt:lpstr>
      <vt:lpstr>v_130_XFeS</vt:lpstr>
      <vt:lpstr>v_130_XHAO_H</vt:lpstr>
      <vt:lpstr>v_130_XHAO_H_P</vt:lpstr>
      <vt:lpstr>v_130_XHAO_H_P_old</vt:lpstr>
      <vt:lpstr>v_130_XHAO_L</vt:lpstr>
      <vt:lpstr>v_130_XHAO_L_P</vt:lpstr>
      <vt:lpstr>v_130_XHAO_L_P_old</vt:lpstr>
      <vt:lpstr>v_130_XHAO_old</vt:lpstr>
      <vt:lpstr>v_130_XHFO_H</vt:lpstr>
      <vt:lpstr>v_130_XHFO_H_P</vt:lpstr>
      <vt:lpstr>v_130_XHFO_H_P_old</vt:lpstr>
      <vt:lpstr>v_130_XHFO_L</vt:lpstr>
      <vt:lpstr>v_130_XHFO_L_P</vt:lpstr>
      <vt:lpstr>v_130_XHFO_L_P_old</vt:lpstr>
      <vt:lpstr>v_130_XHFO_old</vt:lpstr>
      <vt:lpstr>v_130_XHMETO</vt:lpstr>
      <vt:lpstr>v_130_XHSRO</vt:lpstr>
      <vt:lpstr>v_130_XINORG</vt:lpstr>
      <vt:lpstr>v_130_XMEOLO</vt:lpstr>
      <vt:lpstr>v_130_XN_B</vt:lpstr>
      <vt:lpstr>v_130_XN_Be</vt:lpstr>
      <vt:lpstr>v_130_XN_U</vt:lpstr>
      <vt:lpstr>v_130_XNOB</vt:lpstr>
      <vt:lpstr>v_130_XOHO</vt:lpstr>
      <vt:lpstr>v_130_XP_B</vt:lpstr>
      <vt:lpstr>v_130_XP_Be</vt:lpstr>
      <vt:lpstr>v_130_XP_U</vt:lpstr>
      <vt:lpstr>v_130_XPFOA</vt:lpstr>
      <vt:lpstr>v_130_XPFOS</vt:lpstr>
      <vt:lpstr>v_130_XPHA_GAO</vt:lpstr>
      <vt:lpstr>v_130_XPHA_PAO</vt:lpstr>
      <vt:lpstr>v_130_XPP</vt:lpstr>
      <vt:lpstr>v_130_XS</vt:lpstr>
      <vt:lpstr>v_130_XSOO</vt:lpstr>
      <vt:lpstr>v_130_XSTR</vt:lpstr>
      <vt:lpstr>v_130_XU</vt:lpstr>
      <vt:lpstr>v_130_XVivi</vt:lpstr>
      <vt:lpstr>v_14_CB</vt:lpstr>
      <vt:lpstr>v_14_CU</vt:lpstr>
      <vt:lpstr>v_14_GCH4</vt:lpstr>
      <vt:lpstr>v_14_GCH4_atm</vt:lpstr>
      <vt:lpstr>v_14_GCO2</vt:lpstr>
      <vt:lpstr>v_14_GCO2_atm</vt:lpstr>
      <vt:lpstr>v_14_GH2</vt:lpstr>
      <vt:lpstr>v_14_GH2_atm</vt:lpstr>
      <vt:lpstr>v_14_GH2S</vt:lpstr>
      <vt:lpstr>v_14_GH2S_atm</vt:lpstr>
      <vt:lpstr>v_14_GN2</vt:lpstr>
      <vt:lpstr>v_14_GN2_atm</vt:lpstr>
      <vt:lpstr>v_14_GNH3</vt:lpstr>
      <vt:lpstr>v_14_GNH3_atm</vt:lpstr>
      <vt:lpstr>v_14_GO2</vt:lpstr>
      <vt:lpstr>v_14_GO2_atm</vt:lpstr>
      <vt:lpstr>v_14_SALPHA</vt:lpstr>
      <vt:lpstr>v_14_SAN</vt:lpstr>
      <vt:lpstr>v_14_SB</vt:lpstr>
      <vt:lpstr>v_14_SCa</vt:lpstr>
      <vt:lpstr>v_14_SCAT</vt:lpstr>
      <vt:lpstr>v_14_SCH4</vt:lpstr>
      <vt:lpstr>v_14_SCO2</vt:lpstr>
      <vt:lpstr>v_14_SFe2</vt:lpstr>
      <vt:lpstr>v_14_SH</vt:lpstr>
      <vt:lpstr>v_14_SH2</vt:lpstr>
      <vt:lpstr>v_14_SH2S</vt:lpstr>
      <vt:lpstr>v_14_SK</vt:lpstr>
      <vt:lpstr>v_14_SMEOL</vt:lpstr>
      <vt:lpstr>v_14_SMg</vt:lpstr>
      <vt:lpstr>v_14_SMM_index</vt:lpstr>
      <vt:lpstr>v_14_SN_B</vt:lpstr>
      <vt:lpstr>v_14_SN2</vt:lpstr>
      <vt:lpstr>v_14_SNHx</vt:lpstr>
      <vt:lpstr>v_14_SNO2</vt:lpstr>
      <vt:lpstr>v_14_SNO3</vt:lpstr>
      <vt:lpstr>v_14_SO2</vt:lpstr>
      <vt:lpstr>v_14_SORPswitch</vt:lpstr>
      <vt:lpstr>v_14_SP_B</vt:lpstr>
      <vt:lpstr>v_14_SPFOA</vt:lpstr>
      <vt:lpstr>v_14_SPFOS</vt:lpstr>
      <vt:lpstr>v_14_SPO4</vt:lpstr>
      <vt:lpstr>v_14_SSO4</vt:lpstr>
      <vt:lpstr>v_14_SU</vt:lpstr>
      <vt:lpstr>v_14_SVFA</vt:lpstr>
      <vt:lpstr>v_14_XACP</vt:lpstr>
      <vt:lpstr>v_14_XALGAE</vt:lpstr>
      <vt:lpstr>v_14_XAMETO</vt:lpstr>
      <vt:lpstr>v_14_XAMX</vt:lpstr>
      <vt:lpstr>v_14_XAOB</vt:lpstr>
      <vt:lpstr>v_14_XASRO</vt:lpstr>
      <vt:lpstr>v_14_XB</vt:lpstr>
      <vt:lpstr>v_14_XB_e</vt:lpstr>
      <vt:lpstr>v_14_XBSH</vt:lpstr>
      <vt:lpstr>v_14_XCaCO3</vt:lpstr>
      <vt:lpstr>v_14_XCASTO</vt:lpstr>
      <vt:lpstr>v_14_XE</vt:lpstr>
      <vt:lpstr>v_14_XE_ana</vt:lpstr>
      <vt:lpstr>v_14_XFeS</vt:lpstr>
      <vt:lpstr>v_14_XHAO_H</vt:lpstr>
      <vt:lpstr>v_14_XHAO_H_P</vt:lpstr>
      <vt:lpstr>v_14_XHAO_H_P_old</vt:lpstr>
      <vt:lpstr>v_14_XHAO_L</vt:lpstr>
      <vt:lpstr>v_14_XHAO_L_P</vt:lpstr>
      <vt:lpstr>v_14_XHAO_L_P_old</vt:lpstr>
      <vt:lpstr>v_14_XHAO_old</vt:lpstr>
      <vt:lpstr>v_14_XHFO_H</vt:lpstr>
      <vt:lpstr>v_14_XHFO_H_P</vt:lpstr>
      <vt:lpstr>v_14_XHFO_H_P_old</vt:lpstr>
      <vt:lpstr>v_14_XHFO_L</vt:lpstr>
      <vt:lpstr>v_14_XHFO_L_P</vt:lpstr>
      <vt:lpstr>v_14_XHFO_L_P_old</vt:lpstr>
      <vt:lpstr>v_14_XHFO_old</vt:lpstr>
      <vt:lpstr>v_14_XHMETO</vt:lpstr>
      <vt:lpstr>v_14_XHSRO</vt:lpstr>
      <vt:lpstr>v_14_XINORG</vt:lpstr>
      <vt:lpstr>v_14_XMEOLO</vt:lpstr>
      <vt:lpstr>v_14_XN_B</vt:lpstr>
      <vt:lpstr>v_14_XN_Be</vt:lpstr>
      <vt:lpstr>v_14_XN_U</vt:lpstr>
      <vt:lpstr>v_14_XNOB</vt:lpstr>
      <vt:lpstr>v_14_XOHO</vt:lpstr>
      <vt:lpstr>v_14_XP_B</vt:lpstr>
      <vt:lpstr>v_14_XP_Be</vt:lpstr>
      <vt:lpstr>v_14_XP_U</vt:lpstr>
      <vt:lpstr>v_14_XPFOA</vt:lpstr>
      <vt:lpstr>v_14_XPFOS</vt:lpstr>
      <vt:lpstr>v_14_XPHA_GAO</vt:lpstr>
      <vt:lpstr>v_14_XPHA_PAO</vt:lpstr>
      <vt:lpstr>v_14_XPP</vt:lpstr>
      <vt:lpstr>v_14_XS</vt:lpstr>
      <vt:lpstr>v_14_XSOO</vt:lpstr>
      <vt:lpstr>v_14_XSTR</vt:lpstr>
      <vt:lpstr>v_14_XU</vt:lpstr>
      <vt:lpstr>v_14_XVivi</vt:lpstr>
      <vt:lpstr>v_15_CB</vt:lpstr>
      <vt:lpstr>v_15_CU</vt:lpstr>
      <vt:lpstr>v_15_GCH4</vt:lpstr>
      <vt:lpstr>v_15_GCH4_atm</vt:lpstr>
      <vt:lpstr>v_15_GCO2</vt:lpstr>
      <vt:lpstr>v_15_GCO2_atm</vt:lpstr>
      <vt:lpstr>v_15_GH2</vt:lpstr>
      <vt:lpstr>v_15_GH2_atm</vt:lpstr>
      <vt:lpstr>v_15_GH2S</vt:lpstr>
      <vt:lpstr>v_15_GH2S_atm</vt:lpstr>
      <vt:lpstr>v_15_GN2</vt:lpstr>
      <vt:lpstr>v_15_GN2_atm</vt:lpstr>
      <vt:lpstr>v_15_GNH3</vt:lpstr>
      <vt:lpstr>v_15_GNH3_atm</vt:lpstr>
      <vt:lpstr>v_15_GO2</vt:lpstr>
      <vt:lpstr>v_15_GO2_atm</vt:lpstr>
      <vt:lpstr>v_15_SALPHA</vt:lpstr>
      <vt:lpstr>v_15_SAN</vt:lpstr>
      <vt:lpstr>v_15_SB</vt:lpstr>
      <vt:lpstr>v_15_SCa</vt:lpstr>
      <vt:lpstr>v_15_SCAT</vt:lpstr>
      <vt:lpstr>v_15_SCH4</vt:lpstr>
      <vt:lpstr>v_15_SCO2</vt:lpstr>
      <vt:lpstr>v_15_SFe2</vt:lpstr>
      <vt:lpstr>v_15_SH</vt:lpstr>
      <vt:lpstr>v_15_SH2</vt:lpstr>
      <vt:lpstr>v_15_SH2S</vt:lpstr>
      <vt:lpstr>v_15_SK</vt:lpstr>
      <vt:lpstr>v_15_SMEOL</vt:lpstr>
      <vt:lpstr>v_15_SMg</vt:lpstr>
      <vt:lpstr>v_15_SMM_index</vt:lpstr>
      <vt:lpstr>v_15_SN_B</vt:lpstr>
      <vt:lpstr>v_15_SN2</vt:lpstr>
      <vt:lpstr>v_15_SNHx</vt:lpstr>
      <vt:lpstr>v_15_SNO2</vt:lpstr>
      <vt:lpstr>v_15_SNO3</vt:lpstr>
      <vt:lpstr>v_15_SO2</vt:lpstr>
      <vt:lpstr>v_15_SORPswitch</vt:lpstr>
      <vt:lpstr>v_15_SP_B</vt:lpstr>
      <vt:lpstr>v_15_SPFOA</vt:lpstr>
      <vt:lpstr>v_15_SPFOS</vt:lpstr>
      <vt:lpstr>v_15_SPO4</vt:lpstr>
      <vt:lpstr>v_15_SSO4</vt:lpstr>
      <vt:lpstr>v_15_SU</vt:lpstr>
      <vt:lpstr>v_15_SVFA</vt:lpstr>
      <vt:lpstr>v_15_XACP</vt:lpstr>
      <vt:lpstr>v_15_XALGAE</vt:lpstr>
      <vt:lpstr>v_15_XAMETO</vt:lpstr>
      <vt:lpstr>v_15_XAMX</vt:lpstr>
      <vt:lpstr>v_15_XAOB</vt:lpstr>
      <vt:lpstr>v_15_XASRO</vt:lpstr>
      <vt:lpstr>v_15_XB</vt:lpstr>
      <vt:lpstr>v_15_XB_e</vt:lpstr>
      <vt:lpstr>v_15_XBSH</vt:lpstr>
      <vt:lpstr>v_15_XCaCO3</vt:lpstr>
      <vt:lpstr>v_15_XCASTO</vt:lpstr>
      <vt:lpstr>v_15_XE</vt:lpstr>
      <vt:lpstr>v_15_XE_ana</vt:lpstr>
      <vt:lpstr>v_15_XFeS</vt:lpstr>
      <vt:lpstr>v_15_XHAO_H</vt:lpstr>
      <vt:lpstr>v_15_XHAO_H_P</vt:lpstr>
      <vt:lpstr>v_15_XHAO_H_P_old</vt:lpstr>
      <vt:lpstr>v_15_XHAO_L</vt:lpstr>
      <vt:lpstr>v_15_XHAO_L_P</vt:lpstr>
      <vt:lpstr>v_15_XHAO_L_P_old</vt:lpstr>
      <vt:lpstr>v_15_XHAO_old</vt:lpstr>
      <vt:lpstr>v_15_XHFO_H</vt:lpstr>
      <vt:lpstr>v_15_XHFO_H_P</vt:lpstr>
      <vt:lpstr>v_15_XHFO_H_P_old</vt:lpstr>
      <vt:lpstr>v_15_XHFO_L</vt:lpstr>
      <vt:lpstr>v_15_XHFO_L_P</vt:lpstr>
      <vt:lpstr>v_15_XHFO_L_P_old</vt:lpstr>
      <vt:lpstr>v_15_XHFO_old</vt:lpstr>
      <vt:lpstr>v_15_XHMETO</vt:lpstr>
      <vt:lpstr>v_15_XHSRO</vt:lpstr>
      <vt:lpstr>v_15_XINORG</vt:lpstr>
      <vt:lpstr>v_15_XMEOLO</vt:lpstr>
      <vt:lpstr>v_15_XN_B</vt:lpstr>
      <vt:lpstr>v_15_XN_Be</vt:lpstr>
      <vt:lpstr>v_15_XN_U</vt:lpstr>
      <vt:lpstr>v_15_XNOB</vt:lpstr>
      <vt:lpstr>v_15_XOHO</vt:lpstr>
      <vt:lpstr>v_15_XP_B</vt:lpstr>
      <vt:lpstr>v_15_XP_Be</vt:lpstr>
      <vt:lpstr>v_15_XP_U</vt:lpstr>
      <vt:lpstr>v_15_XPFOA</vt:lpstr>
      <vt:lpstr>v_15_XPFOS</vt:lpstr>
      <vt:lpstr>v_15_XPHA_GAO</vt:lpstr>
      <vt:lpstr>v_15_XPHA_PAO</vt:lpstr>
      <vt:lpstr>v_15_XPP</vt:lpstr>
      <vt:lpstr>v_15_XS</vt:lpstr>
      <vt:lpstr>v_15_XSOO</vt:lpstr>
      <vt:lpstr>v_15_XSTR</vt:lpstr>
      <vt:lpstr>v_15_XU</vt:lpstr>
      <vt:lpstr>v_15_XVivi</vt:lpstr>
      <vt:lpstr>v_16_CB</vt:lpstr>
      <vt:lpstr>v_16_CU</vt:lpstr>
      <vt:lpstr>v_16_GCH4</vt:lpstr>
      <vt:lpstr>v_16_GCH4_atm</vt:lpstr>
      <vt:lpstr>v_16_GCO2</vt:lpstr>
      <vt:lpstr>v_16_GCO2_atm</vt:lpstr>
      <vt:lpstr>v_16_GH2</vt:lpstr>
      <vt:lpstr>v_16_GH2_atm</vt:lpstr>
      <vt:lpstr>v_16_GH2S</vt:lpstr>
      <vt:lpstr>v_16_GH2S_atm</vt:lpstr>
      <vt:lpstr>v_16_GN2</vt:lpstr>
      <vt:lpstr>v_16_GN2_atm</vt:lpstr>
      <vt:lpstr>v_16_GNH3</vt:lpstr>
      <vt:lpstr>v_16_GNH3_atm</vt:lpstr>
      <vt:lpstr>v_16_GO2</vt:lpstr>
      <vt:lpstr>v_16_GO2_atm</vt:lpstr>
      <vt:lpstr>v_16_SALPHA</vt:lpstr>
      <vt:lpstr>v_16_SAN</vt:lpstr>
      <vt:lpstr>v_16_SB</vt:lpstr>
      <vt:lpstr>v_16_SCa</vt:lpstr>
      <vt:lpstr>v_16_SCAT</vt:lpstr>
      <vt:lpstr>v_16_SCH4</vt:lpstr>
      <vt:lpstr>v_16_SCO2</vt:lpstr>
      <vt:lpstr>v_16_SFe2</vt:lpstr>
      <vt:lpstr>v_16_SH</vt:lpstr>
      <vt:lpstr>v_16_SH2</vt:lpstr>
      <vt:lpstr>v_16_SH2S</vt:lpstr>
      <vt:lpstr>v_16_SK</vt:lpstr>
      <vt:lpstr>v_16_SMEOL</vt:lpstr>
      <vt:lpstr>v_16_SMg</vt:lpstr>
      <vt:lpstr>v_16_SMM_index</vt:lpstr>
      <vt:lpstr>v_16_SN_B</vt:lpstr>
      <vt:lpstr>v_16_SN2</vt:lpstr>
      <vt:lpstr>v_16_SNHx</vt:lpstr>
      <vt:lpstr>v_16_SNO2</vt:lpstr>
      <vt:lpstr>v_16_SNO3</vt:lpstr>
      <vt:lpstr>v_16_SO2</vt:lpstr>
      <vt:lpstr>v_16_SORPswitch</vt:lpstr>
      <vt:lpstr>v_16_SP_B</vt:lpstr>
      <vt:lpstr>v_16_SPFOA</vt:lpstr>
      <vt:lpstr>v_16_SPFOS</vt:lpstr>
      <vt:lpstr>v_16_SPO4</vt:lpstr>
      <vt:lpstr>v_16_SSO4</vt:lpstr>
      <vt:lpstr>v_16_SU</vt:lpstr>
      <vt:lpstr>v_16_SVFA</vt:lpstr>
      <vt:lpstr>v_16_XACP</vt:lpstr>
      <vt:lpstr>v_16_XALGAE</vt:lpstr>
      <vt:lpstr>v_16_XAMETO</vt:lpstr>
      <vt:lpstr>v_16_XAMX</vt:lpstr>
      <vt:lpstr>v_16_XAOB</vt:lpstr>
      <vt:lpstr>v_16_XASRO</vt:lpstr>
      <vt:lpstr>v_16_XB</vt:lpstr>
      <vt:lpstr>v_16_XB_e</vt:lpstr>
      <vt:lpstr>v_16_XBSH</vt:lpstr>
      <vt:lpstr>v_16_XCaCO3</vt:lpstr>
      <vt:lpstr>v_16_XCASTO</vt:lpstr>
      <vt:lpstr>v_16_XE</vt:lpstr>
      <vt:lpstr>v_16_XE_ana</vt:lpstr>
      <vt:lpstr>v_16_XFeS</vt:lpstr>
      <vt:lpstr>v_16_XHAO_H</vt:lpstr>
      <vt:lpstr>v_16_XHAO_H_P</vt:lpstr>
      <vt:lpstr>v_16_XHAO_H_P_old</vt:lpstr>
      <vt:lpstr>v_16_XHAO_L</vt:lpstr>
      <vt:lpstr>v_16_XHAO_L_P</vt:lpstr>
      <vt:lpstr>v_16_XHAO_L_P_old</vt:lpstr>
      <vt:lpstr>v_16_XHAO_old</vt:lpstr>
      <vt:lpstr>v_16_XHFO_H</vt:lpstr>
      <vt:lpstr>v_16_XHFO_H_P</vt:lpstr>
      <vt:lpstr>v_16_XHFO_H_P_old</vt:lpstr>
      <vt:lpstr>v_16_XHFO_L</vt:lpstr>
      <vt:lpstr>v_16_XHFO_L_P</vt:lpstr>
      <vt:lpstr>v_16_XHFO_L_P_old</vt:lpstr>
      <vt:lpstr>v_16_XHFO_old</vt:lpstr>
      <vt:lpstr>v_16_XHMETO</vt:lpstr>
      <vt:lpstr>v_16_XHSRO</vt:lpstr>
      <vt:lpstr>v_16_XINORG</vt:lpstr>
      <vt:lpstr>v_16_XMEOLO</vt:lpstr>
      <vt:lpstr>v_16_XN_B</vt:lpstr>
      <vt:lpstr>v_16_XN_Be</vt:lpstr>
      <vt:lpstr>v_16_XN_U</vt:lpstr>
      <vt:lpstr>v_16_XNOB</vt:lpstr>
      <vt:lpstr>v_16_XOHO</vt:lpstr>
      <vt:lpstr>v_16_XP_B</vt:lpstr>
      <vt:lpstr>v_16_XP_Be</vt:lpstr>
      <vt:lpstr>v_16_XP_U</vt:lpstr>
      <vt:lpstr>v_16_XPFOA</vt:lpstr>
      <vt:lpstr>v_16_XPFOS</vt:lpstr>
      <vt:lpstr>v_16_XPHA_GAO</vt:lpstr>
      <vt:lpstr>v_16_XPHA_PAO</vt:lpstr>
      <vt:lpstr>v_16_XPP</vt:lpstr>
      <vt:lpstr>v_16_XS</vt:lpstr>
      <vt:lpstr>v_16_XSOO</vt:lpstr>
      <vt:lpstr>v_16_XSTR</vt:lpstr>
      <vt:lpstr>v_16_XU</vt:lpstr>
      <vt:lpstr>v_16_XVivi</vt:lpstr>
      <vt:lpstr>v_17_CB</vt:lpstr>
      <vt:lpstr>v_17_CU</vt:lpstr>
      <vt:lpstr>v_17_GCH4</vt:lpstr>
      <vt:lpstr>v_17_GCH4_atm</vt:lpstr>
      <vt:lpstr>v_17_GCO2</vt:lpstr>
      <vt:lpstr>v_17_GCO2_atm</vt:lpstr>
      <vt:lpstr>v_17_GH2</vt:lpstr>
      <vt:lpstr>v_17_GH2_atm</vt:lpstr>
      <vt:lpstr>v_17_GH2S</vt:lpstr>
      <vt:lpstr>v_17_GH2S_atm</vt:lpstr>
      <vt:lpstr>v_17_GN2</vt:lpstr>
      <vt:lpstr>v_17_GN2_atm</vt:lpstr>
      <vt:lpstr>v_17_GNH3</vt:lpstr>
      <vt:lpstr>v_17_GNH3_atm</vt:lpstr>
      <vt:lpstr>v_17_GO2</vt:lpstr>
      <vt:lpstr>v_17_GO2_atm</vt:lpstr>
      <vt:lpstr>v_17_SALPHA</vt:lpstr>
      <vt:lpstr>v_17_SAN</vt:lpstr>
      <vt:lpstr>v_17_SB</vt:lpstr>
      <vt:lpstr>v_17_SCa</vt:lpstr>
      <vt:lpstr>v_17_SCAT</vt:lpstr>
      <vt:lpstr>v_17_SCH4</vt:lpstr>
      <vt:lpstr>v_17_SCO2</vt:lpstr>
      <vt:lpstr>v_17_SFe2</vt:lpstr>
      <vt:lpstr>v_17_SH</vt:lpstr>
      <vt:lpstr>v_17_SH2</vt:lpstr>
      <vt:lpstr>v_17_SH2S</vt:lpstr>
      <vt:lpstr>v_17_SK</vt:lpstr>
      <vt:lpstr>v_17_SMEOL</vt:lpstr>
      <vt:lpstr>v_17_SMg</vt:lpstr>
      <vt:lpstr>v_17_SMM_index</vt:lpstr>
      <vt:lpstr>v_17_SN_B</vt:lpstr>
      <vt:lpstr>v_17_SN2</vt:lpstr>
      <vt:lpstr>v_17_SNHx</vt:lpstr>
      <vt:lpstr>v_17_SNO2</vt:lpstr>
      <vt:lpstr>v_17_SNO3</vt:lpstr>
      <vt:lpstr>v_17_SO2</vt:lpstr>
      <vt:lpstr>v_17_SORPswitch</vt:lpstr>
      <vt:lpstr>v_17_SP_B</vt:lpstr>
      <vt:lpstr>v_17_SPFOA</vt:lpstr>
      <vt:lpstr>v_17_SPFOS</vt:lpstr>
      <vt:lpstr>v_17_SPO4</vt:lpstr>
      <vt:lpstr>v_17_SSO4</vt:lpstr>
      <vt:lpstr>v_17_SU</vt:lpstr>
      <vt:lpstr>v_17_SVFA</vt:lpstr>
      <vt:lpstr>v_17_XACP</vt:lpstr>
      <vt:lpstr>v_17_XALGAE</vt:lpstr>
      <vt:lpstr>v_17_XAMETO</vt:lpstr>
      <vt:lpstr>v_17_XAMX</vt:lpstr>
      <vt:lpstr>v_17_XAOB</vt:lpstr>
      <vt:lpstr>v_17_XASRO</vt:lpstr>
      <vt:lpstr>v_17_XB</vt:lpstr>
      <vt:lpstr>v_17_XB_e</vt:lpstr>
      <vt:lpstr>v_17_XBSH</vt:lpstr>
      <vt:lpstr>v_17_XCaCO3</vt:lpstr>
      <vt:lpstr>v_17_XCASTO</vt:lpstr>
      <vt:lpstr>v_17_XE</vt:lpstr>
      <vt:lpstr>v_17_XE_ana</vt:lpstr>
      <vt:lpstr>v_17_XFeS</vt:lpstr>
      <vt:lpstr>v_17_XHAO_H</vt:lpstr>
      <vt:lpstr>v_17_XHAO_H_P</vt:lpstr>
      <vt:lpstr>v_17_XHAO_H_P_old</vt:lpstr>
      <vt:lpstr>v_17_XHAO_L</vt:lpstr>
      <vt:lpstr>v_17_XHAO_L_P</vt:lpstr>
      <vt:lpstr>v_17_XHAO_L_P_old</vt:lpstr>
      <vt:lpstr>v_17_XHAO_old</vt:lpstr>
      <vt:lpstr>v_17_XHFO_H</vt:lpstr>
      <vt:lpstr>v_17_XHFO_H_P</vt:lpstr>
      <vt:lpstr>v_17_XHFO_H_P_old</vt:lpstr>
      <vt:lpstr>v_17_XHFO_L</vt:lpstr>
      <vt:lpstr>v_17_XHFO_L_P</vt:lpstr>
      <vt:lpstr>v_17_XHFO_L_P_old</vt:lpstr>
      <vt:lpstr>v_17_XHFO_old</vt:lpstr>
      <vt:lpstr>v_17_XHMETO</vt:lpstr>
      <vt:lpstr>v_17_XHSRO</vt:lpstr>
      <vt:lpstr>v_17_XINORG</vt:lpstr>
      <vt:lpstr>v_17_XMEOLO</vt:lpstr>
      <vt:lpstr>v_17_XN_B</vt:lpstr>
      <vt:lpstr>v_17_XN_Be</vt:lpstr>
      <vt:lpstr>v_17_XN_U</vt:lpstr>
      <vt:lpstr>v_17_XNOB</vt:lpstr>
      <vt:lpstr>v_17_XOHO</vt:lpstr>
      <vt:lpstr>v_17_XP_B</vt:lpstr>
      <vt:lpstr>v_17_XP_Be</vt:lpstr>
      <vt:lpstr>v_17_XP_U</vt:lpstr>
      <vt:lpstr>v_17_XPFOA</vt:lpstr>
      <vt:lpstr>v_17_XPFOS</vt:lpstr>
      <vt:lpstr>v_17_XPHA_GAO</vt:lpstr>
      <vt:lpstr>v_17_XPHA_PAO</vt:lpstr>
      <vt:lpstr>v_17_XPP</vt:lpstr>
      <vt:lpstr>v_17_XS</vt:lpstr>
      <vt:lpstr>v_17_XSOO</vt:lpstr>
      <vt:lpstr>v_17_XSTR</vt:lpstr>
      <vt:lpstr>v_17_XU</vt:lpstr>
      <vt:lpstr>v_17_XVivi</vt:lpstr>
      <vt:lpstr>v_18_CB</vt:lpstr>
      <vt:lpstr>v_18_CU</vt:lpstr>
      <vt:lpstr>v_18_GCH4</vt:lpstr>
      <vt:lpstr>v_18_GCH4_atm</vt:lpstr>
      <vt:lpstr>v_18_GCO2</vt:lpstr>
      <vt:lpstr>v_18_GCO2_atm</vt:lpstr>
      <vt:lpstr>v_18_GH2</vt:lpstr>
      <vt:lpstr>v_18_GH2_atm</vt:lpstr>
      <vt:lpstr>v_18_GH2S</vt:lpstr>
      <vt:lpstr>v_18_GH2S_atm</vt:lpstr>
      <vt:lpstr>v_18_GN2</vt:lpstr>
      <vt:lpstr>v_18_GN2_atm</vt:lpstr>
      <vt:lpstr>v_18_GNH3</vt:lpstr>
      <vt:lpstr>v_18_GNH3_atm</vt:lpstr>
      <vt:lpstr>v_18_GO2</vt:lpstr>
      <vt:lpstr>v_18_GO2_atm</vt:lpstr>
      <vt:lpstr>v_18_SALPHA</vt:lpstr>
      <vt:lpstr>v_18_SAN</vt:lpstr>
      <vt:lpstr>v_18_SB</vt:lpstr>
      <vt:lpstr>v_18_SCa</vt:lpstr>
      <vt:lpstr>v_18_SCAT</vt:lpstr>
      <vt:lpstr>v_18_SCH4</vt:lpstr>
      <vt:lpstr>v_18_SCO2</vt:lpstr>
      <vt:lpstr>v_18_SFe2</vt:lpstr>
      <vt:lpstr>v_18_SH</vt:lpstr>
      <vt:lpstr>v_18_SH2</vt:lpstr>
      <vt:lpstr>v_18_SH2S</vt:lpstr>
      <vt:lpstr>v_18_SK</vt:lpstr>
      <vt:lpstr>v_18_SMEOL</vt:lpstr>
      <vt:lpstr>v_18_SMg</vt:lpstr>
      <vt:lpstr>v_18_SMM_index</vt:lpstr>
      <vt:lpstr>v_18_SN_B</vt:lpstr>
      <vt:lpstr>v_18_SN2</vt:lpstr>
      <vt:lpstr>v_18_SNHx</vt:lpstr>
      <vt:lpstr>v_18_SNO2</vt:lpstr>
      <vt:lpstr>v_18_SNO3</vt:lpstr>
      <vt:lpstr>v_18_SO2</vt:lpstr>
      <vt:lpstr>v_18_SORPswitch</vt:lpstr>
      <vt:lpstr>v_18_SP_B</vt:lpstr>
      <vt:lpstr>v_18_SPFOA</vt:lpstr>
      <vt:lpstr>v_18_SPFOS</vt:lpstr>
      <vt:lpstr>v_18_SPO4</vt:lpstr>
      <vt:lpstr>v_18_SSO4</vt:lpstr>
      <vt:lpstr>v_18_SU</vt:lpstr>
      <vt:lpstr>v_18_SVFA</vt:lpstr>
      <vt:lpstr>v_18_XACP</vt:lpstr>
      <vt:lpstr>v_18_XALGAE</vt:lpstr>
      <vt:lpstr>v_18_XAMETO</vt:lpstr>
      <vt:lpstr>v_18_XAMX</vt:lpstr>
      <vt:lpstr>v_18_XAOB</vt:lpstr>
      <vt:lpstr>v_18_XASRO</vt:lpstr>
      <vt:lpstr>v_18_XB</vt:lpstr>
      <vt:lpstr>v_18_XB_e</vt:lpstr>
      <vt:lpstr>v_18_XBSH</vt:lpstr>
      <vt:lpstr>v_18_XCaCO3</vt:lpstr>
      <vt:lpstr>v_18_XCASTO</vt:lpstr>
      <vt:lpstr>v_18_XE</vt:lpstr>
      <vt:lpstr>v_18_XE_ana</vt:lpstr>
      <vt:lpstr>v_18_XFeS</vt:lpstr>
      <vt:lpstr>v_18_XHAO_H</vt:lpstr>
      <vt:lpstr>v_18_XHAO_H_P</vt:lpstr>
      <vt:lpstr>v_18_XHAO_H_P_old</vt:lpstr>
      <vt:lpstr>v_18_XHAO_L</vt:lpstr>
      <vt:lpstr>v_18_XHAO_L_P</vt:lpstr>
      <vt:lpstr>v_18_XHAO_L_P_old</vt:lpstr>
      <vt:lpstr>v_18_XHAO_old</vt:lpstr>
      <vt:lpstr>v_18_XHFO_H</vt:lpstr>
      <vt:lpstr>v_18_XHFO_H_P</vt:lpstr>
      <vt:lpstr>v_18_XHFO_H_P_old</vt:lpstr>
      <vt:lpstr>v_18_XHFO_L</vt:lpstr>
      <vt:lpstr>v_18_XHFO_L_P</vt:lpstr>
      <vt:lpstr>v_18_XHFO_L_P_old</vt:lpstr>
      <vt:lpstr>v_18_XHFO_old</vt:lpstr>
      <vt:lpstr>v_18_XHMETO</vt:lpstr>
      <vt:lpstr>v_18_XHSRO</vt:lpstr>
      <vt:lpstr>v_18_XINORG</vt:lpstr>
      <vt:lpstr>v_18_XMEOLO</vt:lpstr>
      <vt:lpstr>v_18_XN_B</vt:lpstr>
      <vt:lpstr>v_18_XN_Be</vt:lpstr>
      <vt:lpstr>v_18_XN_U</vt:lpstr>
      <vt:lpstr>v_18_XNOB</vt:lpstr>
      <vt:lpstr>v_18_XOHO</vt:lpstr>
      <vt:lpstr>v_18_XP_B</vt:lpstr>
      <vt:lpstr>v_18_XP_Be</vt:lpstr>
      <vt:lpstr>v_18_XP_U</vt:lpstr>
      <vt:lpstr>v_18_XPFOA</vt:lpstr>
      <vt:lpstr>v_18_XPFOS</vt:lpstr>
      <vt:lpstr>v_18_XPHA_GAO</vt:lpstr>
      <vt:lpstr>v_18_XPHA_PAO</vt:lpstr>
      <vt:lpstr>v_18_XPP</vt:lpstr>
      <vt:lpstr>v_18_XS</vt:lpstr>
      <vt:lpstr>v_18_XSOO</vt:lpstr>
      <vt:lpstr>v_18_XSTR</vt:lpstr>
      <vt:lpstr>v_18_XU</vt:lpstr>
      <vt:lpstr>v_18_XVivi</vt:lpstr>
      <vt:lpstr>v_19_CB</vt:lpstr>
      <vt:lpstr>v_19_CU</vt:lpstr>
      <vt:lpstr>v_19_GCH4</vt:lpstr>
      <vt:lpstr>v_19_GCH4_atm</vt:lpstr>
      <vt:lpstr>v_19_GCO2</vt:lpstr>
      <vt:lpstr>v_19_GCO2_atm</vt:lpstr>
      <vt:lpstr>v_19_GH2</vt:lpstr>
      <vt:lpstr>v_19_GH2_atm</vt:lpstr>
      <vt:lpstr>v_19_GH2S</vt:lpstr>
      <vt:lpstr>v_19_GH2S_atm</vt:lpstr>
      <vt:lpstr>v_19_GN2</vt:lpstr>
      <vt:lpstr>v_19_GN2_atm</vt:lpstr>
      <vt:lpstr>v_19_GNH3</vt:lpstr>
      <vt:lpstr>v_19_GNH3_atm</vt:lpstr>
      <vt:lpstr>v_19_GO2</vt:lpstr>
      <vt:lpstr>v_19_GO2_atm</vt:lpstr>
      <vt:lpstr>v_19_SALPHA</vt:lpstr>
      <vt:lpstr>v_19_SAN</vt:lpstr>
      <vt:lpstr>v_19_SB</vt:lpstr>
      <vt:lpstr>v_19_SCa</vt:lpstr>
      <vt:lpstr>v_19_SCAT</vt:lpstr>
      <vt:lpstr>v_19_SCH4</vt:lpstr>
      <vt:lpstr>v_19_SCO2</vt:lpstr>
      <vt:lpstr>v_19_SFe2</vt:lpstr>
      <vt:lpstr>v_19_SH</vt:lpstr>
      <vt:lpstr>v_19_SH2</vt:lpstr>
      <vt:lpstr>v_19_SH2S</vt:lpstr>
      <vt:lpstr>v_19_SK</vt:lpstr>
      <vt:lpstr>v_19_SMEOL</vt:lpstr>
      <vt:lpstr>v_19_SMg</vt:lpstr>
      <vt:lpstr>v_19_SMM_index</vt:lpstr>
      <vt:lpstr>v_19_SN_B</vt:lpstr>
      <vt:lpstr>v_19_SN2</vt:lpstr>
      <vt:lpstr>v_19_SNHx</vt:lpstr>
      <vt:lpstr>v_19_SNO2</vt:lpstr>
      <vt:lpstr>v_19_SNO3</vt:lpstr>
      <vt:lpstr>v_19_SO2</vt:lpstr>
      <vt:lpstr>v_19_SORPswitch</vt:lpstr>
      <vt:lpstr>v_19_SP_B</vt:lpstr>
      <vt:lpstr>v_19_SPFOA</vt:lpstr>
      <vt:lpstr>v_19_SPFOS</vt:lpstr>
      <vt:lpstr>v_19_SPO4</vt:lpstr>
      <vt:lpstr>v_19_SSO4</vt:lpstr>
      <vt:lpstr>v_19_SU</vt:lpstr>
      <vt:lpstr>v_19_SVFA</vt:lpstr>
      <vt:lpstr>v_19_XACP</vt:lpstr>
      <vt:lpstr>v_19_XALGAE</vt:lpstr>
      <vt:lpstr>v_19_XAMETO</vt:lpstr>
      <vt:lpstr>v_19_XAMX</vt:lpstr>
      <vt:lpstr>v_19_XAOB</vt:lpstr>
      <vt:lpstr>v_19_XASRO</vt:lpstr>
      <vt:lpstr>v_19_XB</vt:lpstr>
      <vt:lpstr>v_19_XB_e</vt:lpstr>
      <vt:lpstr>v_19_XBSH</vt:lpstr>
      <vt:lpstr>v_19_XCaCO3</vt:lpstr>
      <vt:lpstr>v_19_XCASTO</vt:lpstr>
      <vt:lpstr>v_19_XE</vt:lpstr>
      <vt:lpstr>v_19_XE_ana</vt:lpstr>
      <vt:lpstr>v_19_XFeS</vt:lpstr>
      <vt:lpstr>v_19_XHAO_H</vt:lpstr>
      <vt:lpstr>v_19_XHAO_H_P</vt:lpstr>
      <vt:lpstr>v_19_XHAO_H_P_old</vt:lpstr>
      <vt:lpstr>v_19_XHAO_L</vt:lpstr>
      <vt:lpstr>v_19_XHAO_L_P</vt:lpstr>
      <vt:lpstr>v_19_XHAO_L_P_old</vt:lpstr>
      <vt:lpstr>v_19_XHAO_old</vt:lpstr>
      <vt:lpstr>v_19_XHFO_H</vt:lpstr>
      <vt:lpstr>v_19_XHFO_H_P</vt:lpstr>
      <vt:lpstr>v_19_XHFO_H_P_old</vt:lpstr>
      <vt:lpstr>v_19_XHFO_L</vt:lpstr>
      <vt:lpstr>v_19_XHFO_L_P</vt:lpstr>
      <vt:lpstr>v_19_XHFO_L_P_old</vt:lpstr>
      <vt:lpstr>v_19_XHFO_old</vt:lpstr>
      <vt:lpstr>v_19_XHMETO</vt:lpstr>
      <vt:lpstr>v_19_XHSRO</vt:lpstr>
      <vt:lpstr>v_19_XINORG</vt:lpstr>
      <vt:lpstr>v_19_XMEOLO</vt:lpstr>
      <vt:lpstr>v_19_XN_B</vt:lpstr>
      <vt:lpstr>v_19_XN_Be</vt:lpstr>
      <vt:lpstr>v_19_XN_U</vt:lpstr>
      <vt:lpstr>v_19_XNOB</vt:lpstr>
      <vt:lpstr>v_19_XOHO</vt:lpstr>
      <vt:lpstr>v_19_XP_B</vt:lpstr>
      <vt:lpstr>v_19_XP_Be</vt:lpstr>
      <vt:lpstr>v_19_XP_U</vt:lpstr>
      <vt:lpstr>v_19_XPFOA</vt:lpstr>
      <vt:lpstr>v_19_XPFOS</vt:lpstr>
      <vt:lpstr>v_19_XPHA_GAO</vt:lpstr>
      <vt:lpstr>v_19_XPHA_PAO</vt:lpstr>
      <vt:lpstr>v_19_XPP</vt:lpstr>
      <vt:lpstr>v_19_XS</vt:lpstr>
      <vt:lpstr>v_19_XSOO</vt:lpstr>
      <vt:lpstr>v_19_XSTR</vt:lpstr>
      <vt:lpstr>v_19_XU</vt:lpstr>
      <vt:lpstr>v_19_XVivi</vt:lpstr>
      <vt:lpstr>v_2_CB</vt:lpstr>
      <vt:lpstr>v_2_CU</vt:lpstr>
      <vt:lpstr>v_2_GCH4</vt:lpstr>
      <vt:lpstr>v_2_GCH4_atm</vt:lpstr>
      <vt:lpstr>v_2_GCO2</vt:lpstr>
      <vt:lpstr>v_2_GCO2_atm</vt:lpstr>
      <vt:lpstr>v_2_GH2</vt:lpstr>
      <vt:lpstr>v_2_GH2_atm</vt:lpstr>
      <vt:lpstr>v_2_GH2S</vt:lpstr>
      <vt:lpstr>v_2_GH2S_atm</vt:lpstr>
      <vt:lpstr>v_2_GN2</vt:lpstr>
      <vt:lpstr>v_2_GN2_atm</vt:lpstr>
      <vt:lpstr>v_2_GNH3</vt:lpstr>
      <vt:lpstr>v_2_GNH3_atm</vt:lpstr>
      <vt:lpstr>v_2_GO2</vt:lpstr>
      <vt:lpstr>v_2_GO2_atm</vt:lpstr>
      <vt:lpstr>v_2_SALPHA</vt:lpstr>
      <vt:lpstr>v_2_SAN</vt:lpstr>
      <vt:lpstr>v_2_SB</vt:lpstr>
      <vt:lpstr>v_2_SCa</vt:lpstr>
      <vt:lpstr>v_2_SCAT</vt:lpstr>
      <vt:lpstr>v_2_SCH4</vt:lpstr>
      <vt:lpstr>v_2_SCO2</vt:lpstr>
      <vt:lpstr>v_2_SFe2</vt:lpstr>
      <vt:lpstr>v_2_SH</vt:lpstr>
      <vt:lpstr>v_2_SH2</vt:lpstr>
      <vt:lpstr>v_2_SH2S</vt:lpstr>
      <vt:lpstr>v_2_SK</vt:lpstr>
      <vt:lpstr>v_2_SMEOL</vt:lpstr>
      <vt:lpstr>v_2_SMg</vt:lpstr>
      <vt:lpstr>v_2_SMM_index</vt:lpstr>
      <vt:lpstr>v_2_SN_B</vt:lpstr>
      <vt:lpstr>v_2_SN2</vt:lpstr>
      <vt:lpstr>v_2_SNHx</vt:lpstr>
      <vt:lpstr>v_2_SNO2</vt:lpstr>
      <vt:lpstr>v_2_SNO3</vt:lpstr>
      <vt:lpstr>v_2_SO2</vt:lpstr>
      <vt:lpstr>v_2_SORPswitch</vt:lpstr>
      <vt:lpstr>v_2_SP_B</vt:lpstr>
      <vt:lpstr>v_2_SPFOA</vt:lpstr>
      <vt:lpstr>v_2_SPFOS</vt:lpstr>
      <vt:lpstr>v_2_SPO4</vt:lpstr>
      <vt:lpstr>v_2_SSO4</vt:lpstr>
      <vt:lpstr>v_2_SU</vt:lpstr>
      <vt:lpstr>v_2_SVFA</vt:lpstr>
      <vt:lpstr>v_2_XACP</vt:lpstr>
      <vt:lpstr>v_2_XALGAE</vt:lpstr>
      <vt:lpstr>v_2_XAMETO</vt:lpstr>
      <vt:lpstr>v_2_XAMX</vt:lpstr>
      <vt:lpstr>v_2_XAOB</vt:lpstr>
      <vt:lpstr>v_2_XASRO</vt:lpstr>
      <vt:lpstr>v_2_XB</vt:lpstr>
      <vt:lpstr>v_2_XB_e</vt:lpstr>
      <vt:lpstr>v_2_XBSH</vt:lpstr>
      <vt:lpstr>v_2_XCaCO3</vt:lpstr>
      <vt:lpstr>v_2_XCASTO</vt:lpstr>
      <vt:lpstr>v_2_XE</vt:lpstr>
      <vt:lpstr>v_2_XE_ana</vt:lpstr>
      <vt:lpstr>v_2_XFeS</vt:lpstr>
      <vt:lpstr>v_2_XHAO_H</vt:lpstr>
      <vt:lpstr>v_2_XHAO_H_P</vt:lpstr>
      <vt:lpstr>v_2_XHAO_H_P_old</vt:lpstr>
      <vt:lpstr>v_2_XHAO_L</vt:lpstr>
      <vt:lpstr>v_2_XHAO_L_P</vt:lpstr>
      <vt:lpstr>v_2_XHAO_L_P_old</vt:lpstr>
      <vt:lpstr>v_2_XHAO_old</vt:lpstr>
      <vt:lpstr>v_2_XHFO_H</vt:lpstr>
      <vt:lpstr>v_2_XHFO_H_P</vt:lpstr>
      <vt:lpstr>v_2_XHFO_H_P_old</vt:lpstr>
      <vt:lpstr>v_2_XHFO_L</vt:lpstr>
      <vt:lpstr>v_2_XHFO_L_P</vt:lpstr>
      <vt:lpstr>v_2_XHFO_L_P_old</vt:lpstr>
      <vt:lpstr>v_2_XHFO_old</vt:lpstr>
      <vt:lpstr>v_2_XHMETO</vt:lpstr>
      <vt:lpstr>v_2_XHSRO</vt:lpstr>
      <vt:lpstr>v_2_XINORG</vt:lpstr>
      <vt:lpstr>v_2_XMEOLO</vt:lpstr>
      <vt:lpstr>v_2_XN_B</vt:lpstr>
      <vt:lpstr>v_2_XN_Be</vt:lpstr>
      <vt:lpstr>v_2_XN_U</vt:lpstr>
      <vt:lpstr>v_2_XNOB</vt:lpstr>
      <vt:lpstr>v_2_XOHO</vt:lpstr>
      <vt:lpstr>v_2_XP_B</vt:lpstr>
      <vt:lpstr>v_2_XP_Be</vt:lpstr>
      <vt:lpstr>v_2_XP_U</vt:lpstr>
      <vt:lpstr>v_2_XPFOA</vt:lpstr>
      <vt:lpstr>v_2_XPFOS</vt:lpstr>
      <vt:lpstr>v_2_XPHA_GAO</vt:lpstr>
      <vt:lpstr>v_2_XPHA_PAO</vt:lpstr>
      <vt:lpstr>v_2_XPP</vt:lpstr>
      <vt:lpstr>v_2_XS</vt:lpstr>
      <vt:lpstr>v_2_XSOO</vt:lpstr>
      <vt:lpstr>v_2_XSTR</vt:lpstr>
      <vt:lpstr>v_2_XU</vt:lpstr>
      <vt:lpstr>v_2_XVivi</vt:lpstr>
      <vt:lpstr>v_20_CB</vt:lpstr>
      <vt:lpstr>v_20_CU</vt:lpstr>
      <vt:lpstr>v_20_GCH4</vt:lpstr>
      <vt:lpstr>v_20_GCH4_atm</vt:lpstr>
      <vt:lpstr>v_20_GCO2</vt:lpstr>
      <vt:lpstr>v_20_GCO2_atm</vt:lpstr>
      <vt:lpstr>v_20_GH2</vt:lpstr>
      <vt:lpstr>v_20_GH2_atm</vt:lpstr>
      <vt:lpstr>v_20_GH2S</vt:lpstr>
      <vt:lpstr>v_20_GH2S_atm</vt:lpstr>
      <vt:lpstr>v_20_GN2</vt:lpstr>
      <vt:lpstr>v_20_GN2_atm</vt:lpstr>
      <vt:lpstr>v_20_GNH3</vt:lpstr>
      <vt:lpstr>v_20_GNH3_atm</vt:lpstr>
      <vt:lpstr>v_20_GO2</vt:lpstr>
      <vt:lpstr>v_20_GO2_atm</vt:lpstr>
      <vt:lpstr>v_20_SALPHA</vt:lpstr>
      <vt:lpstr>v_20_SAN</vt:lpstr>
      <vt:lpstr>v_20_SB</vt:lpstr>
      <vt:lpstr>v_20_SCa</vt:lpstr>
      <vt:lpstr>v_20_SCAT</vt:lpstr>
      <vt:lpstr>v_20_SCH4</vt:lpstr>
      <vt:lpstr>v_20_SCO2</vt:lpstr>
      <vt:lpstr>v_20_SFe2</vt:lpstr>
      <vt:lpstr>v_20_SH</vt:lpstr>
      <vt:lpstr>v_20_SH2</vt:lpstr>
      <vt:lpstr>v_20_SH2S</vt:lpstr>
      <vt:lpstr>v_20_SK</vt:lpstr>
      <vt:lpstr>v_20_SMEOL</vt:lpstr>
      <vt:lpstr>v_20_SMg</vt:lpstr>
      <vt:lpstr>v_20_SMM_index</vt:lpstr>
      <vt:lpstr>v_20_SN_B</vt:lpstr>
      <vt:lpstr>v_20_SN2</vt:lpstr>
      <vt:lpstr>v_20_SNHx</vt:lpstr>
      <vt:lpstr>v_20_SNO2</vt:lpstr>
      <vt:lpstr>v_20_SNO3</vt:lpstr>
      <vt:lpstr>v_20_SO2</vt:lpstr>
      <vt:lpstr>v_20_SORPswitch</vt:lpstr>
      <vt:lpstr>v_20_SP_B</vt:lpstr>
      <vt:lpstr>v_20_SPFOA</vt:lpstr>
      <vt:lpstr>v_20_SPFOS</vt:lpstr>
      <vt:lpstr>v_20_SPO4</vt:lpstr>
      <vt:lpstr>v_20_SSO4</vt:lpstr>
      <vt:lpstr>v_20_SU</vt:lpstr>
      <vt:lpstr>v_20_SVFA</vt:lpstr>
      <vt:lpstr>v_20_XACP</vt:lpstr>
      <vt:lpstr>v_20_XALGAE</vt:lpstr>
      <vt:lpstr>v_20_XAMETO</vt:lpstr>
      <vt:lpstr>v_20_XAMX</vt:lpstr>
      <vt:lpstr>v_20_XAOB</vt:lpstr>
      <vt:lpstr>v_20_XASRO</vt:lpstr>
      <vt:lpstr>v_20_XB</vt:lpstr>
      <vt:lpstr>v_20_XB_e</vt:lpstr>
      <vt:lpstr>v_20_XBSH</vt:lpstr>
      <vt:lpstr>v_20_XCaCO3</vt:lpstr>
      <vt:lpstr>v_20_XCASTO</vt:lpstr>
      <vt:lpstr>v_20_XE</vt:lpstr>
      <vt:lpstr>v_20_XE_ana</vt:lpstr>
      <vt:lpstr>v_20_XFeS</vt:lpstr>
      <vt:lpstr>v_20_XHAO_H</vt:lpstr>
      <vt:lpstr>v_20_XHAO_H_P</vt:lpstr>
      <vt:lpstr>v_20_XHAO_H_P_old</vt:lpstr>
      <vt:lpstr>v_20_XHAO_L</vt:lpstr>
      <vt:lpstr>v_20_XHAO_L_P</vt:lpstr>
      <vt:lpstr>v_20_XHAO_L_P_old</vt:lpstr>
      <vt:lpstr>v_20_XHAO_old</vt:lpstr>
      <vt:lpstr>v_20_XHFO_H</vt:lpstr>
      <vt:lpstr>v_20_XHFO_H_P</vt:lpstr>
      <vt:lpstr>v_20_XHFO_H_P_old</vt:lpstr>
      <vt:lpstr>v_20_XHFO_L</vt:lpstr>
      <vt:lpstr>v_20_XHFO_L_P</vt:lpstr>
      <vt:lpstr>v_20_XHFO_L_P_old</vt:lpstr>
      <vt:lpstr>v_20_XHFO_old</vt:lpstr>
      <vt:lpstr>v_20_XHMETO</vt:lpstr>
      <vt:lpstr>v_20_XHSRO</vt:lpstr>
      <vt:lpstr>v_20_XINORG</vt:lpstr>
      <vt:lpstr>v_20_XMEOLO</vt:lpstr>
      <vt:lpstr>v_20_XN_B</vt:lpstr>
      <vt:lpstr>v_20_XN_Be</vt:lpstr>
      <vt:lpstr>v_20_XN_U</vt:lpstr>
      <vt:lpstr>v_20_XNOB</vt:lpstr>
      <vt:lpstr>v_20_XOHO</vt:lpstr>
      <vt:lpstr>v_20_XP_B</vt:lpstr>
      <vt:lpstr>v_20_XP_Be</vt:lpstr>
      <vt:lpstr>v_20_XP_U</vt:lpstr>
      <vt:lpstr>v_20_XPFOA</vt:lpstr>
      <vt:lpstr>v_20_XPFOS</vt:lpstr>
      <vt:lpstr>v_20_XPHA_GAO</vt:lpstr>
      <vt:lpstr>v_20_XPHA_PAO</vt:lpstr>
      <vt:lpstr>v_20_XPP</vt:lpstr>
      <vt:lpstr>v_20_XS</vt:lpstr>
      <vt:lpstr>v_20_XSOO</vt:lpstr>
      <vt:lpstr>v_20_XSTR</vt:lpstr>
      <vt:lpstr>v_20_XU</vt:lpstr>
      <vt:lpstr>v_20_XVivi</vt:lpstr>
      <vt:lpstr>v_21_CB</vt:lpstr>
      <vt:lpstr>v_21_CU</vt:lpstr>
      <vt:lpstr>v_21_GCH4</vt:lpstr>
      <vt:lpstr>v_21_GCH4_atm</vt:lpstr>
      <vt:lpstr>v_21_GCO2</vt:lpstr>
      <vt:lpstr>v_21_GCO2_atm</vt:lpstr>
      <vt:lpstr>v_21_GH2</vt:lpstr>
      <vt:lpstr>v_21_GH2_atm</vt:lpstr>
      <vt:lpstr>v_21_GH2S</vt:lpstr>
      <vt:lpstr>v_21_GH2S_atm</vt:lpstr>
      <vt:lpstr>v_21_GN2</vt:lpstr>
      <vt:lpstr>v_21_GN2_atm</vt:lpstr>
      <vt:lpstr>v_21_GNH3</vt:lpstr>
      <vt:lpstr>v_21_GNH3_atm</vt:lpstr>
      <vt:lpstr>v_21_GO2</vt:lpstr>
      <vt:lpstr>v_21_GO2_atm</vt:lpstr>
      <vt:lpstr>v_21_SALPHA</vt:lpstr>
      <vt:lpstr>v_21_SAN</vt:lpstr>
      <vt:lpstr>v_21_SB</vt:lpstr>
      <vt:lpstr>v_21_SCa</vt:lpstr>
      <vt:lpstr>v_21_SCAT</vt:lpstr>
      <vt:lpstr>v_21_SCH4</vt:lpstr>
      <vt:lpstr>v_21_SCO2</vt:lpstr>
      <vt:lpstr>v_21_SFe2</vt:lpstr>
      <vt:lpstr>v_21_SH</vt:lpstr>
      <vt:lpstr>v_21_SH2</vt:lpstr>
      <vt:lpstr>v_21_SH2S</vt:lpstr>
      <vt:lpstr>v_21_SK</vt:lpstr>
      <vt:lpstr>v_21_SMEOL</vt:lpstr>
      <vt:lpstr>v_21_SMg</vt:lpstr>
      <vt:lpstr>v_21_SMM_index</vt:lpstr>
      <vt:lpstr>v_21_SN_B</vt:lpstr>
      <vt:lpstr>v_21_SN2</vt:lpstr>
      <vt:lpstr>v_21_SNHx</vt:lpstr>
      <vt:lpstr>v_21_SNO2</vt:lpstr>
      <vt:lpstr>v_21_SNO3</vt:lpstr>
      <vt:lpstr>v_21_SO2</vt:lpstr>
      <vt:lpstr>v_21_SORPswitch</vt:lpstr>
      <vt:lpstr>v_21_SP_B</vt:lpstr>
      <vt:lpstr>v_21_SPFOA</vt:lpstr>
      <vt:lpstr>v_21_SPFOS</vt:lpstr>
      <vt:lpstr>v_21_SPO4</vt:lpstr>
      <vt:lpstr>v_21_SSO4</vt:lpstr>
      <vt:lpstr>v_21_SU</vt:lpstr>
      <vt:lpstr>v_21_SVFA</vt:lpstr>
      <vt:lpstr>v_21_XACP</vt:lpstr>
      <vt:lpstr>v_21_XALGAE</vt:lpstr>
      <vt:lpstr>v_21_XAMETO</vt:lpstr>
      <vt:lpstr>v_21_XAMX</vt:lpstr>
      <vt:lpstr>v_21_XAOB</vt:lpstr>
      <vt:lpstr>v_21_XASRO</vt:lpstr>
      <vt:lpstr>v_21_XB</vt:lpstr>
      <vt:lpstr>v_21_XB_e</vt:lpstr>
      <vt:lpstr>v_21_XBSH</vt:lpstr>
      <vt:lpstr>v_21_XCaCO3</vt:lpstr>
      <vt:lpstr>v_21_XCASTO</vt:lpstr>
      <vt:lpstr>v_21_XE</vt:lpstr>
      <vt:lpstr>v_21_XE_ana</vt:lpstr>
      <vt:lpstr>v_21_XFeS</vt:lpstr>
      <vt:lpstr>v_21_XHAO_H</vt:lpstr>
      <vt:lpstr>v_21_XHAO_H_P</vt:lpstr>
      <vt:lpstr>v_21_XHAO_H_P_old</vt:lpstr>
      <vt:lpstr>v_21_XHAO_L</vt:lpstr>
      <vt:lpstr>v_21_XHAO_L_P</vt:lpstr>
      <vt:lpstr>v_21_XHAO_L_P_old</vt:lpstr>
      <vt:lpstr>v_21_XHAO_old</vt:lpstr>
      <vt:lpstr>v_21_XHFO_H</vt:lpstr>
      <vt:lpstr>v_21_XHFO_H_P</vt:lpstr>
      <vt:lpstr>v_21_XHFO_H_P_old</vt:lpstr>
      <vt:lpstr>v_21_XHFO_L</vt:lpstr>
      <vt:lpstr>v_21_XHFO_L_P</vt:lpstr>
      <vt:lpstr>v_21_XHFO_L_P_old</vt:lpstr>
      <vt:lpstr>v_21_XHFO_old</vt:lpstr>
      <vt:lpstr>v_21_XHMETO</vt:lpstr>
      <vt:lpstr>v_21_XHSRO</vt:lpstr>
      <vt:lpstr>v_21_XINORG</vt:lpstr>
      <vt:lpstr>v_21_XMEOLO</vt:lpstr>
      <vt:lpstr>v_21_XN_B</vt:lpstr>
      <vt:lpstr>v_21_XN_Be</vt:lpstr>
      <vt:lpstr>v_21_XN_U</vt:lpstr>
      <vt:lpstr>v_21_XNOB</vt:lpstr>
      <vt:lpstr>v_21_XOHO</vt:lpstr>
      <vt:lpstr>v_21_XP_B</vt:lpstr>
      <vt:lpstr>v_21_XP_Be</vt:lpstr>
      <vt:lpstr>v_21_XP_U</vt:lpstr>
      <vt:lpstr>v_21_XPFOA</vt:lpstr>
      <vt:lpstr>v_21_XPFOS</vt:lpstr>
      <vt:lpstr>v_21_XPHA_GAO</vt:lpstr>
      <vt:lpstr>v_21_XPHA_PAO</vt:lpstr>
      <vt:lpstr>v_21_XPP</vt:lpstr>
      <vt:lpstr>v_21_XS</vt:lpstr>
      <vt:lpstr>v_21_XSOO</vt:lpstr>
      <vt:lpstr>v_21_XSTR</vt:lpstr>
      <vt:lpstr>v_21_XU</vt:lpstr>
      <vt:lpstr>v_21_XVivi</vt:lpstr>
      <vt:lpstr>v_22_CB</vt:lpstr>
      <vt:lpstr>v_22_CU</vt:lpstr>
      <vt:lpstr>v_22_GCH4</vt:lpstr>
      <vt:lpstr>v_22_GCH4_atm</vt:lpstr>
      <vt:lpstr>v_22_GCO2</vt:lpstr>
      <vt:lpstr>v_22_GCO2_atm</vt:lpstr>
      <vt:lpstr>v_22_GH2</vt:lpstr>
      <vt:lpstr>v_22_GH2_atm</vt:lpstr>
      <vt:lpstr>v_22_GH2S</vt:lpstr>
      <vt:lpstr>v_22_GH2S_atm</vt:lpstr>
      <vt:lpstr>v_22_GN2</vt:lpstr>
      <vt:lpstr>v_22_GN2_atm</vt:lpstr>
      <vt:lpstr>v_22_GNH3</vt:lpstr>
      <vt:lpstr>v_22_GNH3_atm</vt:lpstr>
      <vt:lpstr>v_22_GO2</vt:lpstr>
      <vt:lpstr>v_22_GO2_atm</vt:lpstr>
      <vt:lpstr>v_22_SALPHA</vt:lpstr>
      <vt:lpstr>v_22_SAN</vt:lpstr>
      <vt:lpstr>v_22_SB</vt:lpstr>
      <vt:lpstr>v_22_SCa</vt:lpstr>
      <vt:lpstr>v_22_SCAT</vt:lpstr>
      <vt:lpstr>v_22_SCH4</vt:lpstr>
      <vt:lpstr>v_22_SCO2</vt:lpstr>
      <vt:lpstr>v_22_SFe2</vt:lpstr>
      <vt:lpstr>v_22_SH</vt:lpstr>
      <vt:lpstr>v_22_SH2</vt:lpstr>
      <vt:lpstr>v_22_SH2S</vt:lpstr>
      <vt:lpstr>v_22_SK</vt:lpstr>
      <vt:lpstr>v_22_SMEOL</vt:lpstr>
      <vt:lpstr>v_22_SMg</vt:lpstr>
      <vt:lpstr>v_22_SMM_index</vt:lpstr>
      <vt:lpstr>v_22_SN_B</vt:lpstr>
      <vt:lpstr>v_22_SN2</vt:lpstr>
      <vt:lpstr>v_22_SNHx</vt:lpstr>
      <vt:lpstr>v_22_SNO2</vt:lpstr>
      <vt:lpstr>v_22_SNO3</vt:lpstr>
      <vt:lpstr>v_22_SO2</vt:lpstr>
      <vt:lpstr>v_22_SORPswitch</vt:lpstr>
      <vt:lpstr>v_22_SP_B</vt:lpstr>
      <vt:lpstr>v_22_SPFOA</vt:lpstr>
      <vt:lpstr>v_22_SPFOS</vt:lpstr>
      <vt:lpstr>v_22_SPO4</vt:lpstr>
      <vt:lpstr>v_22_SSO4</vt:lpstr>
      <vt:lpstr>v_22_SU</vt:lpstr>
      <vt:lpstr>v_22_SVFA</vt:lpstr>
      <vt:lpstr>v_22_XACP</vt:lpstr>
      <vt:lpstr>v_22_XALGAE</vt:lpstr>
      <vt:lpstr>v_22_XAMETO</vt:lpstr>
      <vt:lpstr>v_22_XAMX</vt:lpstr>
      <vt:lpstr>v_22_XAOB</vt:lpstr>
      <vt:lpstr>v_22_XASRO</vt:lpstr>
      <vt:lpstr>v_22_XB</vt:lpstr>
      <vt:lpstr>v_22_XB_e</vt:lpstr>
      <vt:lpstr>v_22_XBSH</vt:lpstr>
      <vt:lpstr>v_22_XCaCO3</vt:lpstr>
      <vt:lpstr>v_22_XCASTO</vt:lpstr>
      <vt:lpstr>v_22_XE</vt:lpstr>
      <vt:lpstr>v_22_XE_ana</vt:lpstr>
      <vt:lpstr>v_22_XFeS</vt:lpstr>
      <vt:lpstr>v_22_XHAO_H</vt:lpstr>
      <vt:lpstr>v_22_XHAO_H_P</vt:lpstr>
      <vt:lpstr>v_22_XHAO_H_P_old</vt:lpstr>
      <vt:lpstr>v_22_XHAO_L</vt:lpstr>
      <vt:lpstr>v_22_XHAO_L_P</vt:lpstr>
      <vt:lpstr>v_22_XHAO_L_P_old</vt:lpstr>
      <vt:lpstr>v_22_XHAO_old</vt:lpstr>
      <vt:lpstr>v_22_XHFO_H</vt:lpstr>
      <vt:lpstr>v_22_XHFO_H_P</vt:lpstr>
      <vt:lpstr>v_22_XHFO_H_P_old</vt:lpstr>
      <vt:lpstr>v_22_XHFO_L</vt:lpstr>
      <vt:lpstr>v_22_XHFO_L_P</vt:lpstr>
      <vt:lpstr>v_22_XHFO_L_P_old</vt:lpstr>
      <vt:lpstr>v_22_XHFO_old</vt:lpstr>
      <vt:lpstr>v_22_XHMETO</vt:lpstr>
      <vt:lpstr>v_22_XHSRO</vt:lpstr>
      <vt:lpstr>v_22_XINORG</vt:lpstr>
      <vt:lpstr>v_22_XMEOLO</vt:lpstr>
      <vt:lpstr>v_22_XN_B</vt:lpstr>
      <vt:lpstr>v_22_XN_Be</vt:lpstr>
      <vt:lpstr>v_22_XN_U</vt:lpstr>
      <vt:lpstr>v_22_XNOB</vt:lpstr>
      <vt:lpstr>v_22_XOHO</vt:lpstr>
      <vt:lpstr>v_22_XP_B</vt:lpstr>
      <vt:lpstr>v_22_XP_Be</vt:lpstr>
      <vt:lpstr>v_22_XP_U</vt:lpstr>
      <vt:lpstr>v_22_XPFOA</vt:lpstr>
      <vt:lpstr>v_22_XPFOS</vt:lpstr>
      <vt:lpstr>v_22_XPHA_GAO</vt:lpstr>
      <vt:lpstr>v_22_XPHA_PAO</vt:lpstr>
      <vt:lpstr>v_22_XPP</vt:lpstr>
      <vt:lpstr>v_22_XS</vt:lpstr>
      <vt:lpstr>v_22_XSOO</vt:lpstr>
      <vt:lpstr>v_22_XSTR</vt:lpstr>
      <vt:lpstr>v_22_XU</vt:lpstr>
      <vt:lpstr>v_22_XVivi</vt:lpstr>
      <vt:lpstr>v_23_CB</vt:lpstr>
      <vt:lpstr>v_23_CU</vt:lpstr>
      <vt:lpstr>v_23_GCH4</vt:lpstr>
      <vt:lpstr>v_23_GCH4_atm</vt:lpstr>
      <vt:lpstr>v_23_GCO2</vt:lpstr>
      <vt:lpstr>v_23_GCO2_atm</vt:lpstr>
      <vt:lpstr>v_23_GH2</vt:lpstr>
      <vt:lpstr>v_23_GH2_atm</vt:lpstr>
      <vt:lpstr>v_23_GH2S</vt:lpstr>
      <vt:lpstr>v_23_GH2S_atm</vt:lpstr>
      <vt:lpstr>v_23_GN2</vt:lpstr>
      <vt:lpstr>v_23_GN2_atm</vt:lpstr>
      <vt:lpstr>v_23_GNH3</vt:lpstr>
      <vt:lpstr>v_23_GNH3_atm</vt:lpstr>
      <vt:lpstr>v_23_GO2</vt:lpstr>
      <vt:lpstr>v_23_GO2_atm</vt:lpstr>
      <vt:lpstr>v_23_SALPHA</vt:lpstr>
      <vt:lpstr>v_23_SAN</vt:lpstr>
      <vt:lpstr>v_23_SB</vt:lpstr>
      <vt:lpstr>v_23_SCa</vt:lpstr>
      <vt:lpstr>v_23_SCAT</vt:lpstr>
      <vt:lpstr>v_23_SCH4</vt:lpstr>
      <vt:lpstr>v_23_SCO2</vt:lpstr>
      <vt:lpstr>v_23_SFe2</vt:lpstr>
      <vt:lpstr>v_23_SH</vt:lpstr>
      <vt:lpstr>v_23_SH2</vt:lpstr>
      <vt:lpstr>v_23_SH2S</vt:lpstr>
      <vt:lpstr>v_23_SK</vt:lpstr>
      <vt:lpstr>v_23_SMEOL</vt:lpstr>
      <vt:lpstr>v_23_SMg</vt:lpstr>
      <vt:lpstr>v_23_SMM_index</vt:lpstr>
      <vt:lpstr>v_23_SN_B</vt:lpstr>
      <vt:lpstr>v_23_SN2</vt:lpstr>
      <vt:lpstr>v_23_SNHx</vt:lpstr>
      <vt:lpstr>v_23_SNO2</vt:lpstr>
      <vt:lpstr>v_23_SNO3</vt:lpstr>
      <vt:lpstr>v_23_SO2</vt:lpstr>
      <vt:lpstr>v_23_SORPswitch</vt:lpstr>
      <vt:lpstr>v_23_SP_B</vt:lpstr>
      <vt:lpstr>v_23_SPFOA</vt:lpstr>
      <vt:lpstr>v_23_SPFOS</vt:lpstr>
      <vt:lpstr>v_23_SPO4</vt:lpstr>
      <vt:lpstr>v_23_SSO4</vt:lpstr>
      <vt:lpstr>v_23_SU</vt:lpstr>
      <vt:lpstr>v_23_SVFA</vt:lpstr>
      <vt:lpstr>v_23_XACP</vt:lpstr>
      <vt:lpstr>v_23_XALGAE</vt:lpstr>
      <vt:lpstr>v_23_XAMETO</vt:lpstr>
      <vt:lpstr>v_23_XAMX</vt:lpstr>
      <vt:lpstr>v_23_XAOB</vt:lpstr>
      <vt:lpstr>v_23_XASRO</vt:lpstr>
      <vt:lpstr>v_23_XB</vt:lpstr>
      <vt:lpstr>v_23_XB_e</vt:lpstr>
      <vt:lpstr>v_23_XBSH</vt:lpstr>
      <vt:lpstr>v_23_XCaCO3</vt:lpstr>
      <vt:lpstr>v_23_XCASTO</vt:lpstr>
      <vt:lpstr>v_23_XE</vt:lpstr>
      <vt:lpstr>v_23_XE_ana</vt:lpstr>
      <vt:lpstr>v_23_XFeS</vt:lpstr>
      <vt:lpstr>v_23_XHAO_H</vt:lpstr>
      <vt:lpstr>v_23_XHAO_H_P</vt:lpstr>
      <vt:lpstr>v_23_XHAO_H_P_old</vt:lpstr>
      <vt:lpstr>v_23_XHAO_L</vt:lpstr>
      <vt:lpstr>v_23_XHAO_L_P</vt:lpstr>
      <vt:lpstr>v_23_XHAO_L_P_old</vt:lpstr>
      <vt:lpstr>v_23_XHAO_old</vt:lpstr>
      <vt:lpstr>v_23_XHFO_H</vt:lpstr>
      <vt:lpstr>v_23_XHFO_H_P</vt:lpstr>
      <vt:lpstr>v_23_XHFO_H_P_old</vt:lpstr>
      <vt:lpstr>v_23_XHFO_L</vt:lpstr>
      <vt:lpstr>v_23_XHFO_L_P</vt:lpstr>
      <vt:lpstr>v_23_XHFO_L_P_old</vt:lpstr>
      <vt:lpstr>v_23_XHFO_old</vt:lpstr>
      <vt:lpstr>v_23_XHMETO</vt:lpstr>
      <vt:lpstr>v_23_XHSRO</vt:lpstr>
      <vt:lpstr>v_23_XINORG</vt:lpstr>
      <vt:lpstr>v_23_XMEOLO</vt:lpstr>
      <vt:lpstr>v_23_XN_B</vt:lpstr>
      <vt:lpstr>v_23_XN_Be</vt:lpstr>
      <vt:lpstr>v_23_XN_U</vt:lpstr>
      <vt:lpstr>v_23_XNOB</vt:lpstr>
      <vt:lpstr>v_23_XOHO</vt:lpstr>
      <vt:lpstr>v_23_XP_B</vt:lpstr>
      <vt:lpstr>v_23_XP_Be</vt:lpstr>
      <vt:lpstr>v_23_XP_U</vt:lpstr>
      <vt:lpstr>v_23_XPFOA</vt:lpstr>
      <vt:lpstr>v_23_XPFOS</vt:lpstr>
      <vt:lpstr>v_23_XPHA_GAO</vt:lpstr>
      <vt:lpstr>v_23_XPHA_PAO</vt:lpstr>
      <vt:lpstr>v_23_XPP</vt:lpstr>
      <vt:lpstr>v_23_XS</vt:lpstr>
      <vt:lpstr>v_23_XSOO</vt:lpstr>
      <vt:lpstr>v_23_XSTR</vt:lpstr>
      <vt:lpstr>v_23_XU</vt:lpstr>
      <vt:lpstr>v_23_XVivi</vt:lpstr>
      <vt:lpstr>v_24_CB</vt:lpstr>
      <vt:lpstr>v_24_CU</vt:lpstr>
      <vt:lpstr>v_24_GCH4</vt:lpstr>
      <vt:lpstr>v_24_GCH4_atm</vt:lpstr>
      <vt:lpstr>v_24_GCO2</vt:lpstr>
      <vt:lpstr>v_24_GCO2_atm</vt:lpstr>
      <vt:lpstr>v_24_GH2</vt:lpstr>
      <vt:lpstr>v_24_GH2_atm</vt:lpstr>
      <vt:lpstr>v_24_GH2S</vt:lpstr>
      <vt:lpstr>v_24_GH2S_atm</vt:lpstr>
      <vt:lpstr>v_24_GN2</vt:lpstr>
      <vt:lpstr>v_24_GN2_atm</vt:lpstr>
      <vt:lpstr>v_24_GNH3</vt:lpstr>
      <vt:lpstr>v_24_GNH3_atm</vt:lpstr>
      <vt:lpstr>v_24_GO2</vt:lpstr>
      <vt:lpstr>v_24_GO2_atm</vt:lpstr>
      <vt:lpstr>v_24_SALPHA</vt:lpstr>
      <vt:lpstr>v_24_SAN</vt:lpstr>
      <vt:lpstr>v_24_SB</vt:lpstr>
      <vt:lpstr>v_24_SCa</vt:lpstr>
      <vt:lpstr>v_24_SCAT</vt:lpstr>
      <vt:lpstr>v_24_SCH4</vt:lpstr>
      <vt:lpstr>v_24_SCO2</vt:lpstr>
      <vt:lpstr>v_24_SFe2</vt:lpstr>
      <vt:lpstr>v_24_SH</vt:lpstr>
      <vt:lpstr>v_24_SH2</vt:lpstr>
      <vt:lpstr>v_24_SH2S</vt:lpstr>
      <vt:lpstr>v_24_SK</vt:lpstr>
      <vt:lpstr>v_24_SMEOL</vt:lpstr>
      <vt:lpstr>v_24_SMg</vt:lpstr>
      <vt:lpstr>v_24_SMM_index</vt:lpstr>
      <vt:lpstr>v_24_SN_B</vt:lpstr>
      <vt:lpstr>v_24_SN2</vt:lpstr>
      <vt:lpstr>v_24_SNHx</vt:lpstr>
      <vt:lpstr>v_24_SNO2</vt:lpstr>
      <vt:lpstr>v_24_SNO3</vt:lpstr>
      <vt:lpstr>v_24_SO2</vt:lpstr>
      <vt:lpstr>v_24_SORPswitch</vt:lpstr>
      <vt:lpstr>v_24_SP_B</vt:lpstr>
      <vt:lpstr>v_24_SPFOA</vt:lpstr>
      <vt:lpstr>v_24_SPFOS</vt:lpstr>
      <vt:lpstr>v_24_SPO4</vt:lpstr>
      <vt:lpstr>v_24_SSO4</vt:lpstr>
      <vt:lpstr>v_24_SU</vt:lpstr>
      <vt:lpstr>v_24_SVFA</vt:lpstr>
      <vt:lpstr>v_24_XACP</vt:lpstr>
      <vt:lpstr>v_24_XALGAE</vt:lpstr>
      <vt:lpstr>v_24_XAMETO</vt:lpstr>
      <vt:lpstr>v_24_XAMX</vt:lpstr>
      <vt:lpstr>v_24_XAOB</vt:lpstr>
      <vt:lpstr>v_24_XASRO</vt:lpstr>
      <vt:lpstr>v_24_XB</vt:lpstr>
      <vt:lpstr>v_24_XB_e</vt:lpstr>
      <vt:lpstr>v_24_XBSH</vt:lpstr>
      <vt:lpstr>v_24_XCaCO3</vt:lpstr>
      <vt:lpstr>v_24_XCASTO</vt:lpstr>
      <vt:lpstr>v_24_XE</vt:lpstr>
      <vt:lpstr>v_24_XE_ana</vt:lpstr>
      <vt:lpstr>v_24_XFeS</vt:lpstr>
      <vt:lpstr>v_24_XHAO_H</vt:lpstr>
      <vt:lpstr>v_24_XHAO_H_P</vt:lpstr>
      <vt:lpstr>v_24_XHAO_H_P_old</vt:lpstr>
      <vt:lpstr>v_24_XHAO_L</vt:lpstr>
      <vt:lpstr>v_24_XHAO_L_P</vt:lpstr>
      <vt:lpstr>v_24_XHAO_L_P_old</vt:lpstr>
      <vt:lpstr>v_24_XHAO_old</vt:lpstr>
      <vt:lpstr>v_24_XHFO_H</vt:lpstr>
      <vt:lpstr>v_24_XHFO_H_P</vt:lpstr>
      <vt:lpstr>v_24_XHFO_H_P_old</vt:lpstr>
      <vt:lpstr>v_24_XHFO_L</vt:lpstr>
      <vt:lpstr>v_24_XHFO_L_P</vt:lpstr>
      <vt:lpstr>v_24_XHFO_L_P_old</vt:lpstr>
      <vt:lpstr>v_24_XHFO_old</vt:lpstr>
      <vt:lpstr>v_24_XHMETO</vt:lpstr>
      <vt:lpstr>v_24_XHSRO</vt:lpstr>
      <vt:lpstr>v_24_XINORG</vt:lpstr>
      <vt:lpstr>v_24_XMEOLO</vt:lpstr>
      <vt:lpstr>v_24_XN_B</vt:lpstr>
      <vt:lpstr>v_24_XN_Be</vt:lpstr>
      <vt:lpstr>v_24_XN_U</vt:lpstr>
      <vt:lpstr>v_24_XNOB</vt:lpstr>
      <vt:lpstr>v_24_XOHO</vt:lpstr>
      <vt:lpstr>v_24_XP_B</vt:lpstr>
      <vt:lpstr>v_24_XP_Be</vt:lpstr>
      <vt:lpstr>v_24_XP_U</vt:lpstr>
      <vt:lpstr>v_24_XPFOA</vt:lpstr>
      <vt:lpstr>v_24_XPFOS</vt:lpstr>
      <vt:lpstr>v_24_XPHA_GAO</vt:lpstr>
      <vt:lpstr>v_24_XPHA_PAO</vt:lpstr>
      <vt:lpstr>v_24_XPP</vt:lpstr>
      <vt:lpstr>v_24_XS</vt:lpstr>
      <vt:lpstr>v_24_XSOO</vt:lpstr>
      <vt:lpstr>v_24_XSTR</vt:lpstr>
      <vt:lpstr>v_24_XU</vt:lpstr>
      <vt:lpstr>v_24_XVivi</vt:lpstr>
      <vt:lpstr>v_25_CB</vt:lpstr>
      <vt:lpstr>v_25_CU</vt:lpstr>
      <vt:lpstr>v_25_GCH4</vt:lpstr>
      <vt:lpstr>v_25_GCH4_atm</vt:lpstr>
      <vt:lpstr>v_25_GCO2</vt:lpstr>
      <vt:lpstr>v_25_GCO2_atm</vt:lpstr>
      <vt:lpstr>v_25_GH2</vt:lpstr>
      <vt:lpstr>v_25_GH2_atm</vt:lpstr>
      <vt:lpstr>v_25_GH2S</vt:lpstr>
      <vt:lpstr>v_25_GH2S_atm</vt:lpstr>
      <vt:lpstr>v_25_GN2</vt:lpstr>
      <vt:lpstr>v_25_GN2_atm</vt:lpstr>
      <vt:lpstr>v_25_GNH3</vt:lpstr>
      <vt:lpstr>v_25_GNH3_atm</vt:lpstr>
      <vt:lpstr>v_25_GO2</vt:lpstr>
      <vt:lpstr>v_25_GO2_atm</vt:lpstr>
      <vt:lpstr>v_25_SALPHA</vt:lpstr>
      <vt:lpstr>v_25_SAN</vt:lpstr>
      <vt:lpstr>v_25_SB</vt:lpstr>
      <vt:lpstr>v_25_SCa</vt:lpstr>
      <vt:lpstr>v_25_SCAT</vt:lpstr>
      <vt:lpstr>v_25_SCH4</vt:lpstr>
      <vt:lpstr>v_25_SCO2</vt:lpstr>
      <vt:lpstr>v_25_SFe2</vt:lpstr>
      <vt:lpstr>v_25_SH</vt:lpstr>
      <vt:lpstr>v_25_SH2</vt:lpstr>
      <vt:lpstr>v_25_SH2S</vt:lpstr>
      <vt:lpstr>v_25_SK</vt:lpstr>
      <vt:lpstr>v_25_SMEOL</vt:lpstr>
      <vt:lpstr>v_25_SMg</vt:lpstr>
      <vt:lpstr>v_25_SMM_index</vt:lpstr>
      <vt:lpstr>v_25_SN_B</vt:lpstr>
      <vt:lpstr>v_25_SN2</vt:lpstr>
      <vt:lpstr>v_25_SNHx</vt:lpstr>
      <vt:lpstr>v_25_SNO2</vt:lpstr>
      <vt:lpstr>v_25_SNO3</vt:lpstr>
      <vt:lpstr>v_25_SO2</vt:lpstr>
      <vt:lpstr>v_25_SORPswitch</vt:lpstr>
      <vt:lpstr>v_25_SP_B</vt:lpstr>
      <vt:lpstr>v_25_SPFOA</vt:lpstr>
      <vt:lpstr>v_25_SPFOS</vt:lpstr>
      <vt:lpstr>v_25_SPO4</vt:lpstr>
      <vt:lpstr>v_25_SSO4</vt:lpstr>
      <vt:lpstr>v_25_SU</vt:lpstr>
      <vt:lpstr>v_25_SVFA</vt:lpstr>
      <vt:lpstr>v_25_XACP</vt:lpstr>
      <vt:lpstr>v_25_XALGAE</vt:lpstr>
      <vt:lpstr>v_25_XAMETO</vt:lpstr>
      <vt:lpstr>v_25_XAMX</vt:lpstr>
      <vt:lpstr>v_25_XAOB</vt:lpstr>
      <vt:lpstr>v_25_XASRO</vt:lpstr>
      <vt:lpstr>v_25_XB</vt:lpstr>
      <vt:lpstr>v_25_XB_e</vt:lpstr>
      <vt:lpstr>v_25_XBSH</vt:lpstr>
      <vt:lpstr>v_25_XCaCO3</vt:lpstr>
      <vt:lpstr>v_25_XCASTO</vt:lpstr>
      <vt:lpstr>v_25_XE</vt:lpstr>
      <vt:lpstr>v_25_XE_ana</vt:lpstr>
      <vt:lpstr>v_25_XFeS</vt:lpstr>
      <vt:lpstr>v_25_XHAO_H</vt:lpstr>
      <vt:lpstr>v_25_XHAO_H_P</vt:lpstr>
      <vt:lpstr>v_25_XHAO_H_P_old</vt:lpstr>
      <vt:lpstr>v_25_XHAO_L</vt:lpstr>
      <vt:lpstr>v_25_XHAO_L_P</vt:lpstr>
      <vt:lpstr>v_25_XHAO_L_P_old</vt:lpstr>
      <vt:lpstr>v_25_XHAO_old</vt:lpstr>
      <vt:lpstr>v_25_XHFO_H</vt:lpstr>
      <vt:lpstr>v_25_XHFO_H_P</vt:lpstr>
      <vt:lpstr>v_25_XHFO_H_P_old</vt:lpstr>
      <vt:lpstr>v_25_XHFO_L</vt:lpstr>
      <vt:lpstr>v_25_XHFO_L_P</vt:lpstr>
      <vt:lpstr>v_25_XHFO_L_P_old</vt:lpstr>
      <vt:lpstr>v_25_XHFO_old</vt:lpstr>
      <vt:lpstr>v_25_XHMETO</vt:lpstr>
      <vt:lpstr>v_25_XHSRO</vt:lpstr>
      <vt:lpstr>v_25_XINORG</vt:lpstr>
      <vt:lpstr>v_25_XMEOLO</vt:lpstr>
      <vt:lpstr>v_25_XN_B</vt:lpstr>
      <vt:lpstr>v_25_XN_Be</vt:lpstr>
      <vt:lpstr>v_25_XN_U</vt:lpstr>
      <vt:lpstr>v_25_XNOB</vt:lpstr>
      <vt:lpstr>v_25_XOHO</vt:lpstr>
      <vt:lpstr>v_25_XP_B</vt:lpstr>
      <vt:lpstr>v_25_XP_Be</vt:lpstr>
      <vt:lpstr>v_25_XP_U</vt:lpstr>
      <vt:lpstr>v_25_XPFOA</vt:lpstr>
      <vt:lpstr>v_25_XPFOS</vt:lpstr>
      <vt:lpstr>v_25_XPHA_GAO</vt:lpstr>
      <vt:lpstr>v_25_XPHA_PAO</vt:lpstr>
      <vt:lpstr>v_25_XPP</vt:lpstr>
      <vt:lpstr>v_25_XS</vt:lpstr>
      <vt:lpstr>v_25_XSOO</vt:lpstr>
      <vt:lpstr>v_25_XSTR</vt:lpstr>
      <vt:lpstr>v_25_XU</vt:lpstr>
      <vt:lpstr>v_25_XVivi</vt:lpstr>
      <vt:lpstr>v_26_CB</vt:lpstr>
      <vt:lpstr>v_26_CU</vt:lpstr>
      <vt:lpstr>v_26_GCH4</vt:lpstr>
      <vt:lpstr>v_26_GCH4_atm</vt:lpstr>
      <vt:lpstr>v_26_GCO2</vt:lpstr>
      <vt:lpstr>v_26_GCO2_atm</vt:lpstr>
      <vt:lpstr>v_26_GH2</vt:lpstr>
      <vt:lpstr>v_26_GH2_atm</vt:lpstr>
      <vt:lpstr>v_26_GH2S</vt:lpstr>
      <vt:lpstr>v_26_GH2S_atm</vt:lpstr>
      <vt:lpstr>v_26_GN2</vt:lpstr>
      <vt:lpstr>v_26_GN2_atm</vt:lpstr>
      <vt:lpstr>v_26_GNH3</vt:lpstr>
      <vt:lpstr>v_26_GNH3_atm</vt:lpstr>
      <vt:lpstr>v_26_GO2</vt:lpstr>
      <vt:lpstr>v_26_GO2_atm</vt:lpstr>
      <vt:lpstr>v_26_SALPHA</vt:lpstr>
      <vt:lpstr>v_26_SAN</vt:lpstr>
      <vt:lpstr>v_26_SB</vt:lpstr>
      <vt:lpstr>v_26_SCa</vt:lpstr>
      <vt:lpstr>v_26_SCAT</vt:lpstr>
      <vt:lpstr>v_26_SCH4</vt:lpstr>
      <vt:lpstr>v_26_SCO2</vt:lpstr>
      <vt:lpstr>v_26_SFe2</vt:lpstr>
      <vt:lpstr>v_26_SH</vt:lpstr>
      <vt:lpstr>v_26_SH2</vt:lpstr>
      <vt:lpstr>v_26_SH2S</vt:lpstr>
      <vt:lpstr>v_26_SK</vt:lpstr>
      <vt:lpstr>v_26_SMEOL</vt:lpstr>
      <vt:lpstr>v_26_SMg</vt:lpstr>
      <vt:lpstr>v_26_SMM_index</vt:lpstr>
      <vt:lpstr>v_26_SN_B</vt:lpstr>
      <vt:lpstr>v_26_SN2</vt:lpstr>
      <vt:lpstr>v_26_SNHx</vt:lpstr>
      <vt:lpstr>v_26_SNO2</vt:lpstr>
      <vt:lpstr>v_26_SNO3</vt:lpstr>
      <vt:lpstr>v_26_SO2</vt:lpstr>
      <vt:lpstr>v_26_SORPswitch</vt:lpstr>
      <vt:lpstr>v_26_SP_B</vt:lpstr>
      <vt:lpstr>v_26_SPFOA</vt:lpstr>
      <vt:lpstr>v_26_SPFOS</vt:lpstr>
      <vt:lpstr>v_26_SPO4</vt:lpstr>
      <vt:lpstr>v_26_SSO4</vt:lpstr>
      <vt:lpstr>v_26_SU</vt:lpstr>
      <vt:lpstr>v_26_SVFA</vt:lpstr>
      <vt:lpstr>v_26_XACP</vt:lpstr>
      <vt:lpstr>v_26_XALGAE</vt:lpstr>
      <vt:lpstr>v_26_XAMETO</vt:lpstr>
      <vt:lpstr>v_26_XAMX</vt:lpstr>
      <vt:lpstr>v_26_XAOB</vt:lpstr>
      <vt:lpstr>v_26_XASRO</vt:lpstr>
      <vt:lpstr>v_26_XB</vt:lpstr>
      <vt:lpstr>v_26_XB_e</vt:lpstr>
      <vt:lpstr>v_26_XBSH</vt:lpstr>
      <vt:lpstr>v_26_XCaCO3</vt:lpstr>
      <vt:lpstr>v_26_XCASTO</vt:lpstr>
      <vt:lpstr>v_26_XE</vt:lpstr>
      <vt:lpstr>v_26_XE_ana</vt:lpstr>
      <vt:lpstr>v_26_XFeS</vt:lpstr>
      <vt:lpstr>v_26_XHAO_H</vt:lpstr>
      <vt:lpstr>v_26_XHAO_H_P</vt:lpstr>
      <vt:lpstr>v_26_XHAO_H_P_old</vt:lpstr>
      <vt:lpstr>v_26_XHAO_L</vt:lpstr>
      <vt:lpstr>v_26_XHAO_L_P</vt:lpstr>
      <vt:lpstr>v_26_XHAO_L_P_old</vt:lpstr>
      <vt:lpstr>v_26_XHAO_old</vt:lpstr>
      <vt:lpstr>v_26_XHFO_H</vt:lpstr>
      <vt:lpstr>v_26_XHFO_H_P</vt:lpstr>
      <vt:lpstr>v_26_XHFO_H_P_old</vt:lpstr>
      <vt:lpstr>v_26_XHFO_L</vt:lpstr>
      <vt:lpstr>v_26_XHFO_L_P</vt:lpstr>
      <vt:lpstr>v_26_XHFO_L_P_old</vt:lpstr>
      <vt:lpstr>v_26_XHFO_old</vt:lpstr>
      <vt:lpstr>v_26_XHMETO</vt:lpstr>
      <vt:lpstr>v_26_XHSRO</vt:lpstr>
      <vt:lpstr>v_26_XINORG</vt:lpstr>
      <vt:lpstr>v_26_XMEOLO</vt:lpstr>
      <vt:lpstr>v_26_XN_B</vt:lpstr>
      <vt:lpstr>v_26_XN_Be</vt:lpstr>
      <vt:lpstr>v_26_XN_U</vt:lpstr>
      <vt:lpstr>v_26_XNOB</vt:lpstr>
      <vt:lpstr>v_26_XOHO</vt:lpstr>
      <vt:lpstr>v_26_XP_B</vt:lpstr>
      <vt:lpstr>v_26_XP_Be</vt:lpstr>
      <vt:lpstr>v_26_XP_U</vt:lpstr>
      <vt:lpstr>v_26_XPFOA</vt:lpstr>
      <vt:lpstr>v_26_XPFOS</vt:lpstr>
      <vt:lpstr>v_26_XPHA_GAO</vt:lpstr>
      <vt:lpstr>v_26_XPHA_PAO</vt:lpstr>
      <vt:lpstr>v_26_XPP</vt:lpstr>
      <vt:lpstr>v_26_XS</vt:lpstr>
      <vt:lpstr>v_26_XSOO</vt:lpstr>
      <vt:lpstr>v_26_XSTR</vt:lpstr>
      <vt:lpstr>v_26_XU</vt:lpstr>
      <vt:lpstr>v_26_XVivi</vt:lpstr>
      <vt:lpstr>v_27_CB</vt:lpstr>
      <vt:lpstr>v_27_CU</vt:lpstr>
      <vt:lpstr>v_27_GCH4</vt:lpstr>
      <vt:lpstr>v_27_GCH4_atm</vt:lpstr>
      <vt:lpstr>v_27_GCO2</vt:lpstr>
      <vt:lpstr>v_27_GCO2_atm</vt:lpstr>
      <vt:lpstr>v_27_GH2</vt:lpstr>
      <vt:lpstr>v_27_GH2_atm</vt:lpstr>
      <vt:lpstr>v_27_GH2S</vt:lpstr>
      <vt:lpstr>v_27_GH2S_atm</vt:lpstr>
      <vt:lpstr>v_27_GN2</vt:lpstr>
      <vt:lpstr>v_27_GN2_atm</vt:lpstr>
      <vt:lpstr>v_27_GNH3</vt:lpstr>
      <vt:lpstr>v_27_GNH3_atm</vt:lpstr>
      <vt:lpstr>v_27_GO2</vt:lpstr>
      <vt:lpstr>v_27_GO2_atm</vt:lpstr>
      <vt:lpstr>v_27_SALPHA</vt:lpstr>
      <vt:lpstr>v_27_SAN</vt:lpstr>
      <vt:lpstr>v_27_SB</vt:lpstr>
      <vt:lpstr>v_27_SCa</vt:lpstr>
      <vt:lpstr>v_27_SCAT</vt:lpstr>
      <vt:lpstr>v_27_SCH4</vt:lpstr>
      <vt:lpstr>v_27_SCO2</vt:lpstr>
      <vt:lpstr>v_27_SFe2</vt:lpstr>
      <vt:lpstr>v_27_SH</vt:lpstr>
      <vt:lpstr>v_27_SH2</vt:lpstr>
      <vt:lpstr>v_27_SH2S</vt:lpstr>
      <vt:lpstr>v_27_SK</vt:lpstr>
      <vt:lpstr>v_27_SMEOL</vt:lpstr>
      <vt:lpstr>v_27_SMg</vt:lpstr>
      <vt:lpstr>v_27_SMM_index</vt:lpstr>
      <vt:lpstr>v_27_SN_B</vt:lpstr>
      <vt:lpstr>v_27_SN2</vt:lpstr>
      <vt:lpstr>v_27_SNHx</vt:lpstr>
      <vt:lpstr>v_27_SNO2</vt:lpstr>
      <vt:lpstr>v_27_SNO3</vt:lpstr>
      <vt:lpstr>v_27_SO2</vt:lpstr>
      <vt:lpstr>v_27_SORPswitch</vt:lpstr>
      <vt:lpstr>v_27_SP_B</vt:lpstr>
      <vt:lpstr>v_27_SPFOA</vt:lpstr>
      <vt:lpstr>v_27_SPFOS</vt:lpstr>
      <vt:lpstr>v_27_SPO4</vt:lpstr>
      <vt:lpstr>v_27_SSO4</vt:lpstr>
      <vt:lpstr>v_27_SU</vt:lpstr>
      <vt:lpstr>v_27_SVFA</vt:lpstr>
      <vt:lpstr>v_27_XACP</vt:lpstr>
      <vt:lpstr>v_27_XALGAE</vt:lpstr>
      <vt:lpstr>v_27_XAMETO</vt:lpstr>
      <vt:lpstr>v_27_XAMX</vt:lpstr>
      <vt:lpstr>v_27_XAOB</vt:lpstr>
      <vt:lpstr>v_27_XASRO</vt:lpstr>
      <vt:lpstr>v_27_XB</vt:lpstr>
      <vt:lpstr>v_27_XB_e</vt:lpstr>
      <vt:lpstr>v_27_XBSH</vt:lpstr>
      <vt:lpstr>v_27_XCaCO3</vt:lpstr>
      <vt:lpstr>v_27_XCASTO</vt:lpstr>
      <vt:lpstr>v_27_XE</vt:lpstr>
      <vt:lpstr>v_27_XE_ana</vt:lpstr>
      <vt:lpstr>v_27_XFeS</vt:lpstr>
      <vt:lpstr>v_27_XHAO_H</vt:lpstr>
      <vt:lpstr>v_27_XHAO_H_P</vt:lpstr>
      <vt:lpstr>v_27_XHAO_H_P_old</vt:lpstr>
      <vt:lpstr>v_27_XHAO_L</vt:lpstr>
      <vt:lpstr>v_27_XHAO_L_P</vt:lpstr>
      <vt:lpstr>v_27_XHAO_L_P_old</vt:lpstr>
      <vt:lpstr>v_27_XHAO_old</vt:lpstr>
      <vt:lpstr>v_27_XHFO_H</vt:lpstr>
      <vt:lpstr>v_27_XHFO_H_P</vt:lpstr>
      <vt:lpstr>v_27_XHFO_H_P_old</vt:lpstr>
      <vt:lpstr>v_27_XHFO_L</vt:lpstr>
      <vt:lpstr>v_27_XHFO_L_P</vt:lpstr>
      <vt:lpstr>v_27_XHFO_L_P_old</vt:lpstr>
      <vt:lpstr>v_27_XHFO_old</vt:lpstr>
      <vt:lpstr>v_27_XHMETO</vt:lpstr>
      <vt:lpstr>v_27_XHSRO</vt:lpstr>
      <vt:lpstr>v_27_XINORG</vt:lpstr>
      <vt:lpstr>v_27_XMEOLO</vt:lpstr>
      <vt:lpstr>v_27_XN_B</vt:lpstr>
      <vt:lpstr>v_27_XN_Be</vt:lpstr>
      <vt:lpstr>v_27_XN_U</vt:lpstr>
      <vt:lpstr>v_27_XNOB</vt:lpstr>
      <vt:lpstr>v_27_XOHO</vt:lpstr>
      <vt:lpstr>v_27_XP_B</vt:lpstr>
      <vt:lpstr>v_27_XP_Be</vt:lpstr>
      <vt:lpstr>v_27_XP_U</vt:lpstr>
      <vt:lpstr>v_27_XPFOA</vt:lpstr>
      <vt:lpstr>v_27_XPFOS</vt:lpstr>
      <vt:lpstr>v_27_XPHA_GAO</vt:lpstr>
      <vt:lpstr>v_27_XPHA_PAO</vt:lpstr>
      <vt:lpstr>v_27_XPP</vt:lpstr>
      <vt:lpstr>v_27_XS</vt:lpstr>
      <vt:lpstr>v_27_XSOO</vt:lpstr>
      <vt:lpstr>v_27_XSTR</vt:lpstr>
      <vt:lpstr>v_27_XU</vt:lpstr>
      <vt:lpstr>v_27_XVivi</vt:lpstr>
      <vt:lpstr>v_28_CB</vt:lpstr>
      <vt:lpstr>v_28_CU</vt:lpstr>
      <vt:lpstr>v_28_GCH4</vt:lpstr>
      <vt:lpstr>v_28_GCH4_atm</vt:lpstr>
      <vt:lpstr>v_28_GCO2</vt:lpstr>
      <vt:lpstr>v_28_GCO2_atm</vt:lpstr>
      <vt:lpstr>v_28_GH2</vt:lpstr>
      <vt:lpstr>v_28_GH2_atm</vt:lpstr>
      <vt:lpstr>v_28_GH2S</vt:lpstr>
      <vt:lpstr>v_28_GH2S_atm</vt:lpstr>
      <vt:lpstr>v_28_GN2</vt:lpstr>
      <vt:lpstr>v_28_GN2_atm</vt:lpstr>
      <vt:lpstr>v_28_GNH3</vt:lpstr>
      <vt:lpstr>v_28_GNH3_atm</vt:lpstr>
      <vt:lpstr>v_28_GO2</vt:lpstr>
      <vt:lpstr>v_28_GO2_atm</vt:lpstr>
      <vt:lpstr>v_28_SALPHA</vt:lpstr>
      <vt:lpstr>v_28_SAN</vt:lpstr>
      <vt:lpstr>v_28_SB</vt:lpstr>
      <vt:lpstr>v_28_SCa</vt:lpstr>
      <vt:lpstr>v_28_SCAT</vt:lpstr>
      <vt:lpstr>v_28_SCH4</vt:lpstr>
      <vt:lpstr>v_28_SCO2</vt:lpstr>
      <vt:lpstr>v_28_SFe2</vt:lpstr>
      <vt:lpstr>v_28_SH</vt:lpstr>
      <vt:lpstr>v_28_SH2</vt:lpstr>
      <vt:lpstr>v_28_SH2S</vt:lpstr>
      <vt:lpstr>v_28_SK</vt:lpstr>
      <vt:lpstr>v_28_SMEOL</vt:lpstr>
      <vt:lpstr>v_28_SMg</vt:lpstr>
      <vt:lpstr>v_28_SMM_index</vt:lpstr>
      <vt:lpstr>v_28_SN_B</vt:lpstr>
      <vt:lpstr>v_28_SN2</vt:lpstr>
      <vt:lpstr>v_28_SNHx</vt:lpstr>
      <vt:lpstr>v_28_SNO2</vt:lpstr>
      <vt:lpstr>v_28_SNO3</vt:lpstr>
      <vt:lpstr>v_28_SO2</vt:lpstr>
      <vt:lpstr>v_28_SORPswitch</vt:lpstr>
      <vt:lpstr>v_28_SP_B</vt:lpstr>
      <vt:lpstr>v_28_SPFOA</vt:lpstr>
      <vt:lpstr>v_28_SPFOS</vt:lpstr>
      <vt:lpstr>v_28_SPO4</vt:lpstr>
      <vt:lpstr>v_28_SSO4</vt:lpstr>
      <vt:lpstr>v_28_SU</vt:lpstr>
      <vt:lpstr>v_28_SVFA</vt:lpstr>
      <vt:lpstr>v_28_XACP</vt:lpstr>
      <vt:lpstr>v_28_XALGAE</vt:lpstr>
      <vt:lpstr>v_28_XAMETO</vt:lpstr>
      <vt:lpstr>v_28_XAMX</vt:lpstr>
      <vt:lpstr>v_28_XAOB</vt:lpstr>
      <vt:lpstr>v_28_XASRO</vt:lpstr>
      <vt:lpstr>v_28_XB</vt:lpstr>
      <vt:lpstr>v_28_XB_e</vt:lpstr>
      <vt:lpstr>v_28_XBSH</vt:lpstr>
      <vt:lpstr>v_28_XCaCO3</vt:lpstr>
      <vt:lpstr>v_28_XCASTO</vt:lpstr>
      <vt:lpstr>v_28_XE</vt:lpstr>
      <vt:lpstr>v_28_XE_ana</vt:lpstr>
      <vt:lpstr>v_28_XFeS</vt:lpstr>
      <vt:lpstr>v_28_XHAO_H</vt:lpstr>
      <vt:lpstr>v_28_XHAO_H_P</vt:lpstr>
      <vt:lpstr>v_28_XHAO_H_P_old</vt:lpstr>
      <vt:lpstr>v_28_XHAO_L</vt:lpstr>
      <vt:lpstr>v_28_XHAO_L_P</vt:lpstr>
      <vt:lpstr>v_28_XHAO_L_P_old</vt:lpstr>
      <vt:lpstr>v_28_XHAO_old</vt:lpstr>
      <vt:lpstr>v_28_XHFO_H</vt:lpstr>
      <vt:lpstr>v_28_XHFO_H_P</vt:lpstr>
      <vt:lpstr>v_28_XHFO_H_P_old</vt:lpstr>
      <vt:lpstr>v_28_XHFO_L</vt:lpstr>
      <vt:lpstr>v_28_XHFO_L_P</vt:lpstr>
      <vt:lpstr>v_28_XHFO_L_P_old</vt:lpstr>
      <vt:lpstr>v_28_XHFO_old</vt:lpstr>
      <vt:lpstr>v_28_XHMETO</vt:lpstr>
      <vt:lpstr>v_28_XHSRO</vt:lpstr>
      <vt:lpstr>v_28_XINORG</vt:lpstr>
      <vt:lpstr>v_28_XMEOLO</vt:lpstr>
      <vt:lpstr>v_28_XN_B</vt:lpstr>
      <vt:lpstr>v_28_XN_Be</vt:lpstr>
      <vt:lpstr>v_28_XN_U</vt:lpstr>
      <vt:lpstr>v_28_XNOB</vt:lpstr>
      <vt:lpstr>v_28_XOHO</vt:lpstr>
      <vt:lpstr>v_28_XP_B</vt:lpstr>
      <vt:lpstr>v_28_XP_Be</vt:lpstr>
      <vt:lpstr>v_28_XP_U</vt:lpstr>
      <vt:lpstr>v_28_XPFOA</vt:lpstr>
      <vt:lpstr>v_28_XPFOS</vt:lpstr>
      <vt:lpstr>v_28_XPHA_GAO</vt:lpstr>
      <vt:lpstr>v_28_XPHA_PAO</vt:lpstr>
      <vt:lpstr>v_28_XPP</vt:lpstr>
      <vt:lpstr>v_28_XS</vt:lpstr>
      <vt:lpstr>v_28_XSOO</vt:lpstr>
      <vt:lpstr>v_28_XSTR</vt:lpstr>
      <vt:lpstr>v_28_XU</vt:lpstr>
      <vt:lpstr>v_28_XVivi</vt:lpstr>
      <vt:lpstr>v_29_CB</vt:lpstr>
      <vt:lpstr>v_29_CU</vt:lpstr>
      <vt:lpstr>v_29_GCH4</vt:lpstr>
      <vt:lpstr>v_29_GCH4_atm</vt:lpstr>
      <vt:lpstr>v_29_GCO2</vt:lpstr>
      <vt:lpstr>v_29_GCO2_atm</vt:lpstr>
      <vt:lpstr>v_29_GH2</vt:lpstr>
      <vt:lpstr>v_29_GH2_atm</vt:lpstr>
      <vt:lpstr>v_29_GH2S</vt:lpstr>
      <vt:lpstr>v_29_GH2S_atm</vt:lpstr>
      <vt:lpstr>v_29_GN2</vt:lpstr>
      <vt:lpstr>v_29_GN2_atm</vt:lpstr>
      <vt:lpstr>v_29_GNH3</vt:lpstr>
      <vt:lpstr>v_29_GNH3_atm</vt:lpstr>
      <vt:lpstr>v_29_GO2</vt:lpstr>
      <vt:lpstr>v_29_GO2_atm</vt:lpstr>
      <vt:lpstr>v_29_SALPHA</vt:lpstr>
      <vt:lpstr>v_29_SAN</vt:lpstr>
      <vt:lpstr>v_29_SB</vt:lpstr>
      <vt:lpstr>v_29_SCa</vt:lpstr>
      <vt:lpstr>v_29_SCAT</vt:lpstr>
      <vt:lpstr>v_29_SCH4</vt:lpstr>
      <vt:lpstr>v_29_SCO2</vt:lpstr>
      <vt:lpstr>v_29_SFe2</vt:lpstr>
      <vt:lpstr>v_29_SH</vt:lpstr>
      <vt:lpstr>v_29_SH2</vt:lpstr>
      <vt:lpstr>v_29_SH2S</vt:lpstr>
      <vt:lpstr>v_29_SK</vt:lpstr>
      <vt:lpstr>v_29_SMEOL</vt:lpstr>
      <vt:lpstr>v_29_SMg</vt:lpstr>
      <vt:lpstr>v_29_SMM_index</vt:lpstr>
      <vt:lpstr>v_29_SN_B</vt:lpstr>
      <vt:lpstr>v_29_SN2</vt:lpstr>
      <vt:lpstr>v_29_SNHx</vt:lpstr>
      <vt:lpstr>v_29_SNO2</vt:lpstr>
      <vt:lpstr>v_29_SNO3</vt:lpstr>
      <vt:lpstr>v_29_SO2</vt:lpstr>
      <vt:lpstr>v_29_SORPswitch</vt:lpstr>
      <vt:lpstr>v_29_SP_B</vt:lpstr>
      <vt:lpstr>v_29_SPFOA</vt:lpstr>
      <vt:lpstr>v_29_SPFOS</vt:lpstr>
      <vt:lpstr>v_29_SPO4</vt:lpstr>
      <vt:lpstr>v_29_SSO4</vt:lpstr>
      <vt:lpstr>v_29_SU</vt:lpstr>
      <vt:lpstr>v_29_SVFA</vt:lpstr>
      <vt:lpstr>v_29_XACP</vt:lpstr>
      <vt:lpstr>v_29_XALGAE</vt:lpstr>
      <vt:lpstr>v_29_XAMETO</vt:lpstr>
      <vt:lpstr>v_29_XAMX</vt:lpstr>
      <vt:lpstr>v_29_XAOB</vt:lpstr>
      <vt:lpstr>v_29_XASRO</vt:lpstr>
      <vt:lpstr>v_29_XB</vt:lpstr>
      <vt:lpstr>v_29_XB_e</vt:lpstr>
      <vt:lpstr>v_29_XBSH</vt:lpstr>
      <vt:lpstr>v_29_XCaCO3</vt:lpstr>
      <vt:lpstr>v_29_XCASTO</vt:lpstr>
      <vt:lpstr>v_29_XE</vt:lpstr>
      <vt:lpstr>v_29_XE_ana</vt:lpstr>
      <vt:lpstr>v_29_XFeS</vt:lpstr>
      <vt:lpstr>v_29_XHAO_H</vt:lpstr>
      <vt:lpstr>v_29_XHAO_H_P</vt:lpstr>
      <vt:lpstr>v_29_XHAO_H_P_old</vt:lpstr>
      <vt:lpstr>v_29_XHAO_L</vt:lpstr>
      <vt:lpstr>v_29_XHAO_L_P</vt:lpstr>
      <vt:lpstr>v_29_XHAO_L_P_old</vt:lpstr>
      <vt:lpstr>v_29_XHAO_old</vt:lpstr>
      <vt:lpstr>v_29_XHFO_H</vt:lpstr>
      <vt:lpstr>v_29_XHFO_H_P</vt:lpstr>
      <vt:lpstr>v_29_XHFO_H_P_old</vt:lpstr>
      <vt:lpstr>v_29_XHFO_L</vt:lpstr>
      <vt:lpstr>v_29_XHFO_L_P</vt:lpstr>
      <vt:lpstr>v_29_XHFO_L_P_old</vt:lpstr>
      <vt:lpstr>v_29_XHFO_old</vt:lpstr>
      <vt:lpstr>v_29_XHMETO</vt:lpstr>
      <vt:lpstr>v_29_XHSRO</vt:lpstr>
      <vt:lpstr>v_29_XINORG</vt:lpstr>
      <vt:lpstr>v_29_XMEOLO</vt:lpstr>
      <vt:lpstr>v_29_XN_B</vt:lpstr>
      <vt:lpstr>v_29_XN_Be</vt:lpstr>
      <vt:lpstr>v_29_XN_U</vt:lpstr>
      <vt:lpstr>v_29_XNOB</vt:lpstr>
      <vt:lpstr>v_29_XOHO</vt:lpstr>
      <vt:lpstr>v_29_XP_B</vt:lpstr>
      <vt:lpstr>v_29_XP_Be</vt:lpstr>
      <vt:lpstr>v_29_XP_U</vt:lpstr>
      <vt:lpstr>v_29_XPFOA</vt:lpstr>
      <vt:lpstr>v_29_XPFOS</vt:lpstr>
      <vt:lpstr>v_29_XPHA_GAO</vt:lpstr>
      <vt:lpstr>v_29_XPHA_PAO</vt:lpstr>
      <vt:lpstr>v_29_XPP</vt:lpstr>
      <vt:lpstr>v_29_XS</vt:lpstr>
      <vt:lpstr>v_29_XSOO</vt:lpstr>
      <vt:lpstr>v_29_XSTR</vt:lpstr>
      <vt:lpstr>v_29_XU</vt:lpstr>
      <vt:lpstr>v_29_XVivi</vt:lpstr>
      <vt:lpstr>v_3_CB</vt:lpstr>
      <vt:lpstr>v_3_CU</vt:lpstr>
      <vt:lpstr>v_3_GCH4</vt:lpstr>
      <vt:lpstr>v_3_GCH4_atm</vt:lpstr>
      <vt:lpstr>v_3_GCO2</vt:lpstr>
      <vt:lpstr>v_3_GCO2_atm</vt:lpstr>
      <vt:lpstr>v_3_GH2</vt:lpstr>
      <vt:lpstr>v_3_GH2_atm</vt:lpstr>
      <vt:lpstr>v_3_GH2S</vt:lpstr>
      <vt:lpstr>v_3_GH2S_atm</vt:lpstr>
      <vt:lpstr>v_3_GN2</vt:lpstr>
      <vt:lpstr>v_3_GN2_atm</vt:lpstr>
      <vt:lpstr>v_3_GNH3</vt:lpstr>
      <vt:lpstr>v_3_GNH3_atm</vt:lpstr>
      <vt:lpstr>v_3_GO2</vt:lpstr>
      <vt:lpstr>v_3_GO2_atm</vt:lpstr>
      <vt:lpstr>v_3_SALPHA</vt:lpstr>
      <vt:lpstr>v_3_SAN</vt:lpstr>
      <vt:lpstr>v_3_SB</vt:lpstr>
      <vt:lpstr>v_3_SCa</vt:lpstr>
      <vt:lpstr>v_3_SCAT</vt:lpstr>
      <vt:lpstr>v_3_SCH4</vt:lpstr>
      <vt:lpstr>v_3_SCO2</vt:lpstr>
      <vt:lpstr>v_3_SFe2</vt:lpstr>
      <vt:lpstr>v_3_SH</vt:lpstr>
      <vt:lpstr>v_3_SH2</vt:lpstr>
      <vt:lpstr>v_3_SH2S</vt:lpstr>
      <vt:lpstr>v_3_SK</vt:lpstr>
      <vt:lpstr>v_3_SMEOL</vt:lpstr>
      <vt:lpstr>v_3_SMg</vt:lpstr>
      <vt:lpstr>v_3_SMM_index</vt:lpstr>
      <vt:lpstr>v_3_SN_B</vt:lpstr>
      <vt:lpstr>v_3_SN2</vt:lpstr>
      <vt:lpstr>v_3_SNHx</vt:lpstr>
      <vt:lpstr>v_3_SNO2</vt:lpstr>
      <vt:lpstr>v_3_SNO3</vt:lpstr>
      <vt:lpstr>v_3_SO2</vt:lpstr>
      <vt:lpstr>v_3_SORPswitch</vt:lpstr>
      <vt:lpstr>v_3_SP_B</vt:lpstr>
      <vt:lpstr>v_3_SPFOA</vt:lpstr>
      <vt:lpstr>v_3_SPFOS</vt:lpstr>
      <vt:lpstr>v_3_SPO4</vt:lpstr>
      <vt:lpstr>v_3_SSO4</vt:lpstr>
      <vt:lpstr>v_3_SU</vt:lpstr>
      <vt:lpstr>v_3_SVFA</vt:lpstr>
      <vt:lpstr>v_3_XACP</vt:lpstr>
      <vt:lpstr>v_3_XALGAE</vt:lpstr>
      <vt:lpstr>v_3_XAMETO</vt:lpstr>
      <vt:lpstr>v_3_XAMX</vt:lpstr>
      <vt:lpstr>v_3_XAOB</vt:lpstr>
      <vt:lpstr>v_3_XASRO</vt:lpstr>
      <vt:lpstr>v_3_XB</vt:lpstr>
      <vt:lpstr>v_3_XB_e</vt:lpstr>
      <vt:lpstr>v_3_XBSH</vt:lpstr>
      <vt:lpstr>v_3_XCaCO3</vt:lpstr>
      <vt:lpstr>v_3_XCASTO</vt:lpstr>
      <vt:lpstr>v_3_XE</vt:lpstr>
      <vt:lpstr>v_3_XE_ana</vt:lpstr>
      <vt:lpstr>v_3_XFeS</vt:lpstr>
      <vt:lpstr>v_3_XHAO_H</vt:lpstr>
      <vt:lpstr>v_3_XHAO_H_P</vt:lpstr>
      <vt:lpstr>v_3_XHAO_H_P_old</vt:lpstr>
      <vt:lpstr>v_3_XHAO_L</vt:lpstr>
      <vt:lpstr>v_3_XHAO_L_P</vt:lpstr>
      <vt:lpstr>v_3_XHAO_L_P_old</vt:lpstr>
      <vt:lpstr>v_3_XHAO_old</vt:lpstr>
      <vt:lpstr>v_3_XHFO_H</vt:lpstr>
      <vt:lpstr>v_3_XHFO_H_P</vt:lpstr>
      <vt:lpstr>v_3_XHFO_H_P_old</vt:lpstr>
      <vt:lpstr>v_3_XHFO_L</vt:lpstr>
      <vt:lpstr>v_3_XHFO_L_P</vt:lpstr>
      <vt:lpstr>v_3_XHFO_L_P_old</vt:lpstr>
      <vt:lpstr>v_3_XHFO_old</vt:lpstr>
      <vt:lpstr>v_3_XHMETO</vt:lpstr>
      <vt:lpstr>v_3_XHSRO</vt:lpstr>
      <vt:lpstr>v_3_XINORG</vt:lpstr>
      <vt:lpstr>v_3_XMEOLO</vt:lpstr>
      <vt:lpstr>v_3_XN_B</vt:lpstr>
      <vt:lpstr>v_3_XN_Be</vt:lpstr>
      <vt:lpstr>v_3_XN_U</vt:lpstr>
      <vt:lpstr>v_3_XNOB</vt:lpstr>
      <vt:lpstr>v_3_XOHO</vt:lpstr>
      <vt:lpstr>v_3_XP_B</vt:lpstr>
      <vt:lpstr>v_3_XP_Be</vt:lpstr>
      <vt:lpstr>v_3_XP_U</vt:lpstr>
      <vt:lpstr>v_3_XPFOA</vt:lpstr>
      <vt:lpstr>v_3_XPFOS</vt:lpstr>
      <vt:lpstr>v_3_XPHA_GAO</vt:lpstr>
      <vt:lpstr>v_3_XPHA_PAO</vt:lpstr>
      <vt:lpstr>v_3_XPP</vt:lpstr>
      <vt:lpstr>v_3_XS</vt:lpstr>
      <vt:lpstr>v_3_XSOO</vt:lpstr>
      <vt:lpstr>v_3_XSTR</vt:lpstr>
      <vt:lpstr>v_3_XU</vt:lpstr>
      <vt:lpstr>v_3_XVivi</vt:lpstr>
      <vt:lpstr>v_30_CB</vt:lpstr>
      <vt:lpstr>v_30_CU</vt:lpstr>
      <vt:lpstr>v_30_GCH4</vt:lpstr>
      <vt:lpstr>v_30_GCH4_atm</vt:lpstr>
      <vt:lpstr>v_30_GCO2</vt:lpstr>
      <vt:lpstr>v_30_GCO2_atm</vt:lpstr>
      <vt:lpstr>v_30_GH2</vt:lpstr>
      <vt:lpstr>v_30_GH2_atm</vt:lpstr>
      <vt:lpstr>v_30_GH2S</vt:lpstr>
      <vt:lpstr>v_30_GH2S_atm</vt:lpstr>
      <vt:lpstr>v_30_GN2</vt:lpstr>
      <vt:lpstr>v_30_GN2_atm</vt:lpstr>
      <vt:lpstr>v_30_GNH3</vt:lpstr>
      <vt:lpstr>v_30_GNH3_atm</vt:lpstr>
      <vt:lpstr>v_30_GO2</vt:lpstr>
      <vt:lpstr>v_30_GO2_atm</vt:lpstr>
      <vt:lpstr>v_30_SALPHA</vt:lpstr>
      <vt:lpstr>v_30_SAN</vt:lpstr>
      <vt:lpstr>v_30_SB</vt:lpstr>
      <vt:lpstr>v_30_SCa</vt:lpstr>
      <vt:lpstr>v_30_SCAT</vt:lpstr>
      <vt:lpstr>v_30_SCH4</vt:lpstr>
      <vt:lpstr>v_30_SCO2</vt:lpstr>
      <vt:lpstr>v_30_SFe2</vt:lpstr>
      <vt:lpstr>v_30_SH</vt:lpstr>
      <vt:lpstr>v_30_SH2</vt:lpstr>
      <vt:lpstr>v_30_SH2S</vt:lpstr>
      <vt:lpstr>v_30_SK</vt:lpstr>
      <vt:lpstr>v_30_SMEOL</vt:lpstr>
      <vt:lpstr>v_30_SMg</vt:lpstr>
      <vt:lpstr>v_30_SMM_index</vt:lpstr>
      <vt:lpstr>v_30_SN_B</vt:lpstr>
      <vt:lpstr>v_30_SN2</vt:lpstr>
      <vt:lpstr>v_30_SNHx</vt:lpstr>
      <vt:lpstr>v_30_SNO2</vt:lpstr>
      <vt:lpstr>v_30_SNO3</vt:lpstr>
      <vt:lpstr>v_30_SO2</vt:lpstr>
      <vt:lpstr>v_30_SORPswitch</vt:lpstr>
      <vt:lpstr>v_30_SP_B</vt:lpstr>
      <vt:lpstr>v_30_SPFOA</vt:lpstr>
      <vt:lpstr>v_30_SPFOS</vt:lpstr>
      <vt:lpstr>v_30_SPO4</vt:lpstr>
      <vt:lpstr>v_30_SSO4</vt:lpstr>
      <vt:lpstr>v_30_SU</vt:lpstr>
      <vt:lpstr>v_30_SVFA</vt:lpstr>
      <vt:lpstr>v_30_XACP</vt:lpstr>
      <vt:lpstr>v_30_XALGAE</vt:lpstr>
      <vt:lpstr>v_30_XAMETO</vt:lpstr>
      <vt:lpstr>v_30_XAMX</vt:lpstr>
      <vt:lpstr>v_30_XAOB</vt:lpstr>
      <vt:lpstr>v_30_XASRO</vt:lpstr>
      <vt:lpstr>v_30_XB</vt:lpstr>
      <vt:lpstr>v_30_XB_e</vt:lpstr>
      <vt:lpstr>v_30_XBSH</vt:lpstr>
      <vt:lpstr>v_30_XCaCO3</vt:lpstr>
      <vt:lpstr>v_30_XCASTO</vt:lpstr>
      <vt:lpstr>v_30_XE</vt:lpstr>
      <vt:lpstr>v_30_XE_ana</vt:lpstr>
      <vt:lpstr>v_30_XFeS</vt:lpstr>
      <vt:lpstr>v_30_XHAO_H</vt:lpstr>
      <vt:lpstr>v_30_XHAO_H_P</vt:lpstr>
      <vt:lpstr>v_30_XHAO_H_P_old</vt:lpstr>
      <vt:lpstr>v_30_XHAO_L</vt:lpstr>
      <vt:lpstr>v_30_XHAO_L_P</vt:lpstr>
      <vt:lpstr>v_30_XHAO_L_P_old</vt:lpstr>
      <vt:lpstr>v_30_XHAO_old</vt:lpstr>
      <vt:lpstr>v_30_XHFO_H</vt:lpstr>
      <vt:lpstr>v_30_XHFO_H_P</vt:lpstr>
      <vt:lpstr>v_30_XHFO_H_P_old</vt:lpstr>
      <vt:lpstr>v_30_XHFO_L</vt:lpstr>
      <vt:lpstr>v_30_XHFO_L_P</vt:lpstr>
      <vt:lpstr>v_30_XHFO_L_P_old</vt:lpstr>
      <vt:lpstr>v_30_XHFO_old</vt:lpstr>
      <vt:lpstr>v_30_XHMETO</vt:lpstr>
      <vt:lpstr>v_30_XHSRO</vt:lpstr>
      <vt:lpstr>v_30_XINORG</vt:lpstr>
      <vt:lpstr>v_30_XMEOLO</vt:lpstr>
      <vt:lpstr>v_30_XN_B</vt:lpstr>
      <vt:lpstr>v_30_XN_Be</vt:lpstr>
      <vt:lpstr>v_30_XN_U</vt:lpstr>
      <vt:lpstr>v_30_XNOB</vt:lpstr>
      <vt:lpstr>v_30_XOHO</vt:lpstr>
      <vt:lpstr>v_30_XP_B</vt:lpstr>
      <vt:lpstr>v_30_XP_Be</vt:lpstr>
      <vt:lpstr>v_30_XP_U</vt:lpstr>
      <vt:lpstr>v_30_XPFOA</vt:lpstr>
      <vt:lpstr>v_30_XPFOS</vt:lpstr>
      <vt:lpstr>v_30_XPHA_GAO</vt:lpstr>
      <vt:lpstr>v_30_XPHA_PAO</vt:lpstr>
      <vt:lpstr>v_30_XPP</vt:lpstr>
      <vt:lpstr>v_30_XS</vt:lpstr>
      <vt:lpstr>v_30_XSOO</vt:lpstr>
      <vt:lpstr>v_30_XSTR</vt:lpstr>
      <vt:lpstr>v_30_XU</vt:lpstr>
      <vt:lpstr>v_30_XVivi</vt:lpstr>
      <vt:lpstr>v_31_CB</vt:lpstr>
      <vt:lpstr>v_31_CU</vt:lpstr>
      <vt:lpstr>v_31_GCH4</vt:lpstr>
      <vt:lpstr>v_31_GCH4_atm</vt:lpstr>
      <vt:lpstr>v_31_GCO2</vt:lpstr>
      <vt:lpstr>v_31_GCO2_atm</vt:lpstr>
      <vt:lpstr>v_31_GH2</vt:lpstr>
      <vt:lpstr>v_31_GH2_atm</vt:lpstr>
      <vt:lpstr>v_31_GH2S</vt:lpstr>
      <vt:lpstr>v_31_GH2S_atm</vt:lpstr>
      <vt:lpstr>v_31_GN2</vt:lpstr>
      <vt:lpstr>v_31_GN2_atm</vt:lpstr>
      <vt:lpstr>v_31_GNH3</vt:lpstr>
      <vt:lpstr>v_31_GNH3_atm</vt:lpstr>
      <vt:lpstr>v_31_GO2</vt:lpstr>
      <vt:lpstr>v_31_GO2_atm</vt:lpstr>
      <vt:lpstr>v_31_SALPHA</vt:lpstr>
      <vt:lpstr>v_31_SAN</vt:lpstr>
      <vt:lpstr>v_31_SB</vt:lpstr>
      <vt:lpstr>v_31_SCa</vt:lpstr>
      <vt:lpstr>v_31_SCAT</vt:lpstr>
      <vt:lpstr>v_31_SCH4</vt:lpstr>
      <vt:lpstr>v_31_SCO2</vt:lpstr>
      <vt:lpstr>v_31_SFe2</vt:lpstr>
      <vt:lpstr>v_31_SH</vt:lpstr>
      <vt:lpstr>v_31_SH2</vt:lpstr>
      <vt:lpstr>v_31_SH2S</vt:lpstr>
      <vt:lpstr>v_31_SK</vt:lpstr>
      <vt:lpstr>v_31_SMEOL</vt:lpstr>
      <vt:lpstr>v_31_SMg</vt:lpstr>
      <vt:lpstr>v_31_SMM_index</vt:lpstr>
      <vt:lpstr>v_31_SN_B</vt:lpstr>
      <vt:lpstr>v_31_SN2</vt:lpstr>
      <vt:lpstr>v_31_SNHx</vt:lpstr>
      <vt:lpstr>v_31_SNO2</vt:lpstr>
      <vt:lpstr>v_31_SNO3</vt:lpstr>
      <vt:lpstr>v_31_SO2</vt:lpstr>
      <vt:lpstr>v_31_SORPswitch</vt:lpstr>
      <vt:lpstr>v_31_SP_B</vt:lpstr>
      <vt:lpstr>v_31_SPFOA</vt:lpstr>
      <vt:lpstr>v_31_SPFOS</vt:lpstr>
      <vt:lpstr>v_31_SPO4</vt:lpstr>
      <vt:lpstr>v_31_SSO4</vt:lpstr>
      <vt:lpstr>v_31_SU</vt:lpstr>
      <vt:lpstr>v_31_SVFA</vt:lpstr>
      <vt:lpstr>v_31_XACP</vt:lpstr>
      <vt:lpstr>v_31_XALGAE</vt:lpstr>
      <vt:lpstr>v_31_XAMETO</vt:lpstr>
      <vt:lpstr>v_31_XAMX</vt:lpstr>
      <vt:lpstr>v_31_XAOB</vt:lpstr>
      <vt:lpstr>v_31_XASRO</vt:lpstr>
      <vt:lpstr>v_31_XB</vt:lpstr>
      <vt:lpstr>v_31_XB_e</vt:lpstr>
      <vt:lpstr>v_31_XBSH</vt:lpstr>
      <vt:lpstr>v_31_XCaCO3</vt:lpstr>
      <vt:lpstr>v_31_XCASTO</vt:lpstr>
      <vt:lpstr>v_31_XE</vt:lpstr>
      <vt:lpstr>v_31_XE_ana</vt:lpstr>
      <vt:lpstr>v_31_XFeS</vt:lpstr>
      <vt:lpstr>v_31_XHAO_H</vt:lpstr>
      <vt:lpstr>v_31_XHAO_H_P</vt:lpstr>
      <vt:lpstr>v_31_XHAO_H_P_old</vt:lpstr>
      <vt:lpstr>v_31_XHAO_L</vt:lpstr>
      <vt:lpstr>v_31_XHAO_L_P</vt:lpstr>
      <vt:lpstr>v_31_XHAO_L_P_old</vt:lpstr>
      <vt:lpstr>v_31_XHAO_old</vt:lpstr>
      <vt:lpstr>v_31_XHFO_H</vt:lpstr>
      <vt:lpstr>v_31_XHFO_H_P</vt:lpstr>
      <vt:lpstr>v_31_XHFO_H_P_old</vt:lpstr>
      <vt:lpstr>v_31_XHFO_L</vt:lpstr>
      <vt:lpstr>v_31_XHFO_L_P</vt:lpstr>
      <vt:lpstr>v_31_XHFO_L_P_old</vt:lpstr>
      <vt:lpstr>v_31_XHFO_old</vt:lpstr>
      <vt:lpstr>v_31_XHMETO</vt:lpstr>
      <vt:lpstr>v_31_XHSRO</vt:lpstr>
      <vt:lpstr>v_31_XINORG</vt:lpstr>
      <vt:lpstr>v_31_XMEOLO</vt:lpstr>
      <vt:lpstr>v_31_XN_B</vt:lpstr>
      <vt:lpstr>v_31_XN_Be</vt:lpstr>
      <vt:lpstr>v_31_XN_U</vt:lpstr>
      <vt:lpstr>v_31_XNOB</vt:lpstr>
      <vt:lpstr>v_31_XOHO</vt:lpstr>
      <vt:lpstr>v_31_XP_B</vt:lpstr>
      <vt:lpstr>v_31_XP_Be</vt:lpstr>
      <vt:lpstr>v_31_XP_U</vt:lpstr>
      <vt:lpstr>v_31_XPFOA</vt:lpstr>
      <vt:lpstr>v_31_XPFOS</vt:lpstr>
      <vt:lpstr>v_31_XPHA_GAO</vt:lpstr>
      <vt:lpstr>v_31_XPHA_PAO</vt:lpstr>
      <vt:lpstr>v_31_XPP</vt:lpstr>
      <vt:lpstr>v_31_XS</vt:lpstr>
      <vt:lpstr>v_31_XSOO</vt:lpstr>
      <vt:lpstr>v_31_XSTR</vt:lpstr>
      <vt:lpstr>v_31_XU</vt:lpstr>
      <vt:lpstr>v_31_XVivi</vt:lpstr>
      <vt:lpstr>v_32_CB</vt:lpstr>
      <vt:lpstr>v_32_CU</vt:lpstr>
      <vt:lpstr>v_32_GCH4</vt:lpstr>
      <vt:lpstr>v_32_GCH4_atm</vt:lpstr>
      <vt:lpstr>v_32_GCO2</vt:lpstr>
      <vt:lpstr>v_32_GCO2_atm</vt:lpstr>
      <vt:lpstr>v_32_GH2</vt:lpstr>
      <vt:lpstr>v_32_GH2_atm</vt:lpstr>
      <vt:lpstr>v_32_GH2S</vt:lpstr>
      <vt:lpstr>v_32_GH2S_atm</vt:lpstr>
      <vt:lpstr>v_32_GN2</vt:lpstr>
      <vt:lpstr>v_32_GN2_atm</vt:lpstr>
      <vt:lpstr>v_32_GNH3</vt:lpstr>
      <vt:lpstr>v_32_GNH3_atm</vt:lpstr>
      <vt:lpstr>v_32_GO2</vt:lpstr>
      <vt:lpstr>v_32_GO2_atm</vt:lpstr>
      <vt:lpstr>v_32_SALPHA</vt:lpstr>
      <vt:lpstr>v_32_SAN</vt:lpstr>
      <vt:lpstr>v_32_SB</vt:lpstr>
      <vt:lpstr>v_32_SCa</vt:lpstr>
      <vt:lpstr>v_32_SCAT</vt:lpstr>
      <vt:lpstr>v_32_SCH4</vt:lpstr>
      <vt:lpstr>v_32_SCO2</vt:lpstr>
      <vt:lpstr>v_32_SFe2</vt:lpstr>
      <vt:lpstr>v_32_SH</vt:lpstr>
      <vt:lpstr>v_32_SH2</vt:lpstr>
      <vt:lpstr>v_32_SH2S</vt:lpstr>
      <vt:lpstr>v_32_SK</vt:lpstr>
      <vt:lpstr>v_32_SMEOL</vt:lpstr>
      <vt:lpstr>v_32_SMg</vt:lpstr>
      <vt:lpstr>v_32_SMM_index</vt:lpstr>
      <vt:lpstr>v_32_SN_B</vt:lpstr>
      <vt:lpstr>v_32_SN2</vt:lpstr>
      <vt:lpstr>v_32_SNHx</vt:lpstr>
      <vt:lpstr>v_32_SNO2</vt:lpstr>
      <vt:lpstr>v_32_SNO3</vt:lpstr>
      <vt:lpstr>v_32_SO2</vt:lpstr>
      <vt:lpstr>v_32_SORPswitch</vt:lpstr>
      <vt:lpstr>v_32_SP_B</vt:lpstr>
      <vt:lpstr>v_32_SPFOA</vt:lpstr>
      <vt:lpstr>v_32_SPFOS</vt:lpstr>
      <vt:lpstr>v_32_SPO4</vt:lpstr>
      <vt:lpstr>v_32_SSO4</vt:lpstr>
      <vt:lpstr>v_32_SU</vt:lpstr>
      <vt:lpstr>v_32_SVFA</vt:lpstr>
      <vt:lpstr>v_32_XACP</vt:lpstr>
      <vt:lpstr>v_32_XALGAE</vt:lpstr>
      <vt:lpstr>v_32_XAMETO</vt:lpstr>
      <vt:lpstr>v_32_XAMX</vt:lpstr>
      <vt:lpstr>v_32_XAOB</vt:lpstr>
      <vt:lpstr>v_32_XASRO</vt:lpstr>
      <vt:lpstr>v_32_XB</vt:lpstr>
      <vt:lpstr>v_32_XB_e</vt:lpstr>
      <vt:lpstr>v_32_XBSH</vt:lpstr>
      <vt:lpstr>v_32_XCaCO3</vt:lpstr>
      <vt:lpstr>v_32_XCASTO</vt:lpstr>
      <vt:lpstr>v_32_XE</vt:lpstr>
      <vt:lpstr>v_32_XE_ana</vt:lpstr>
      <vt:lpstr>v_32_XFeS</vt:lpstr>
      <vt:lpstr>v_32_XHAO_H</vt:lpstr>
      <vt:lpstr>v_32_XHAO_H_P</vt:lpstr>
      <vt:lpstr>v_32_XHAO_H_P_old</vt:lpstr>
      <vt:lpstr>v_32_XHAO_L</vt:lpstr>
      <vt:lpstr>v_32_XHAO_L_P</vt:lpstr>
      <vt:lpstr>v_32_XHAO_L_P_old</vt:lpstr>
      <vt:lpstr>v_32_XHAO_old</vt:lpstr>
      <vt:lpstr>v_32_XHFO_H</vt:lpstr>
      <vt:lpstr>v_32_XHFO_H_P</vt:lpstr>
      <vt:lpstr>v_32_XHFO_H_P_old</vt:lpstr>
      <vt:lpstr>v_32_XHFO_L</vt:lpstr>
      <vt:lpstr>v_32_XHFO_L_P</vt:lpstr>
      <vt:lpstr>v_32_XHFO_L_P_old</vt:lpstr>
      <vt:lpstr>v_32_XHFO_old</vt:lpstr>
      <vt:lpstr>v_32_XHMETO</vt:lpstr>
      <vt:lpstr>v_32_XHSRO</vt:lpstr>
      <vt:lpstr>v_32_XINORG</vt:lpstr>
      <vt:lpstr>v_32_XMEOLO</vt:lpstr>
      <vt:lpstr>v_32_XN_B</vt:lpstr>
      <vt:lpstr>v_32_XN_Be</vt:lpstr>
      <vt:lpstr>v_32_XN_U</vt:lpstr>
      <vt:lpstr>v_32_XNOB</vt:lpstr>
      <vt:lpstr>v_32_XOHO</vt:lpstr>
      <vt:lpstr>v_32_XP_B</vt:lpstr>
      <vt:lpstr>v_32_XP_Be</vt:lpstr>
      <vt:lpstr>v_32_XP_U</vt:lpstr>
      <vt:lpstr>v_32_XPFOA</vt:lpstr>
      <vt:lpstr>v_32_XPFOS</vt:lpstr>
      <vt:lpstr>v_32_XPHA_GAO</vt:lpstr>
      <vt:lpstr>v_32_XPHA_PAO</vt:lpstr>
      <vt:lpstr>v_32_XPP</vt:lpstr>
      <vt:lpstr>v_32_XS</vt:lpstr>
      <vt:lpstr>v_32_XSOO</vt:lpstr>
      <vt:lpstr>v_32_XSTR</vt:lpstr>
      <vt:lpstr>v_32_XU</vt:lpstr>
      <vt:lpstr>v_32_XVivi</vt:lpstr>
      <vt:lpstr>v_33_CB</vt:lpstr>
      <vt:lpstr>v_33_CU</vt:lpstr>
      <vt:lpstr>v_33_GCH4</vt:lpstr>
      <vt:lpstr>v_33_GCH4_atm</vt:lpstr>
      <vt:lpstr>v_33_GCO2</vt:lpstr>
      <vt:lpstr>v_33_GCO2_atm</vt:lpstr>
      <vt:lpstr>v_33_GH2</vt:lpstr>
      <vt:lpstr>v_33_GH2_atm</vt:lpstr>
      <vt:lpstr>v_33_GH2S</vt:lpstr>
      <vt:lpstr>v_33_GH2S_atm</vt:lpstr>
      <vt:lpstr>v_33_GN2</vt:lpstr>
      <vt:lpstr>v_33_GN2_atm</vt:lpstr>
      <vt:lpstr>v_33_GNH3</vt:lpstr>
      <vt:lpstr>v_33_GNH3_atm</vt:lpstr>
      <vt:lpstr>v_33_GO2</vt:lpstr>
      <vt:lpstr>v_33_GO2_atm</vt:lpstr>
      <vt:lpstr>v_33_SALPHA</vt:lpstr>
      <vt:lpstr>v_33_SAN</vt:lpstr>
      <vt:lpstr>v_33_SB</vt:lpstr>
      <vt:lpstr>v_33_SCa</vt:lpstr>
      <vt:lpstr>v_33_SCAT</vt:lpstr>
      <vt:lpstr>v_33_SCH4</vt:lpstr>
      <vt:lpstr>v_33_SCO2</vt:lpstr>
      <vt:lpstr>v_33_SFe2</vt:lpstr>
      <vt:lpstr>v_33_SH</vt:lpstr>
      <vt:lpstr>v_33_SH2</vt:lpstr>
      <vt:lpstr>v_33_SH2S</vt:lpstr>
      <vt:lpstr>v_33_SK</vt:lpstr>
      <vt:lpstr>v_33_SMEOL</vt:lpstr>
      <vt:lpstr>v_33_SMg</vt:lpstr>
      <vt:lpstr>v_33_SMM_index</vt:lpstr>
      <vt:lpstr>v_33_SN_B</vt:lpstr>
      <vt:lpstr>v_33_SN2</vt:lpstr>
      <vt:lpstr>v_33_SNHx</vt:lpstr>
      <vt:lpstr>v_33_SNO2</vt:lpstr>
      <vt:lpstr>v_33_SNO3</vt:lpstr>
      <vt:lpstr>v_33_SO2</vt:lpstr>
      <vt:lpstr>v_33_SORPswitch</vt:lpstr>
      <vt:lpstr>v_33_SP_B</vt:lpstr>
      <vt:lpstr>v_33_SPFOA</vt:lpstr>
      <vt:lpstr>v_33_SPFOS</vt:lpstr>
      <vt:lpstr>v_33_SPO4</vt:lpstr>
      <vt:lpstr>v_33_SSO4</vt:lpstr>
      <vt:lpstr>v_33_SU</vt:lpstr>
      <vt:lpstr>v_33_SVFA</vt:lpstr>
      <vt:lpstr>v_33_XACP</vt:lpstr>
      <vt:lpstr>v_33_XALGAE</vt:lpstr>
      <vt:lpstr>v_33_XAMETO</vt:lpstr>
      <vt:lpstr>v_33_XAMX</vt:lpstr>
      <vt:lpstr>v_33_XAOB</vt:lpstr>
      <vt:lpstr>v_33_XASRO</vt:lpstr>
      <vt:lpstr>v_33_XB</vt:lpstr>
      <vt:lpstr>v_33_XB_e</vt:lpstr>
      <vt:lpstr>v_33_XBSH</vt:lpstr>
      <vt:lpstr>v_33_XCaCO3</vt:lpstr>
      <vt:lpstr>v_33_XCASTO</vt:lpstr>
      <vt:lpstr>v_33_XE</vt:lpstr>
      <vt:lpstr>v_33_XE_ana</vt:lpstr>
      <vt:lpstr>v_33_XFeS</vt:lpstr>
      <vt:lpstr>v_33_XHAO_H</vt:lpstr>
      <vt:lpstr>v_33_XHAO_H_P</vt:lpstr>
      <vt:lpstr>v_33_XHAO_H_P_old</vt:lpstr>
      <vt:lpstr>v_33_XHAO_L</vt:lpstr>
      <vt:lpstr>v_33_XHAO_L_P</vt:lpstr>
      <vt:lpstr>v_33_XHAO_L_P_old</vt:lpstr>
      <vt:lpstr>v_33_XHAO_old</vt:lpstr>
      <vt:lpstr>v_33_XHFO_H</vt:lpstr>
      <vt:lpstr>v_33_XHFO_H_P</vt:lpstr>
      <vt:lpstr>v_33_XHFO_H_P_old</vt:lpstr>
      <vt:lpstr>v_33_XHFO_L</vt:lpstr>
      <vt:lpstr>v_33_XHFO_L_P</vt:lpstr>
      <vt:lpstr>v_33_XHFO_L_P_old</vt:lpstr>
      <vt:lpstr>v_33_XHFO_old</vt:lpstr>
      <vt:lpstr>v_33_XHMETO</vt:lpstr>
      <vt:lpstr>v_33_XHSRO</vt:lpstr>
      <vt:lpstr>v_33_XINORG</vt:lpstr>
      <vt:lpstr>v_33_XMEOLO</vt:lpstr>
      <vt:lpstr>v_33_XN_B</vt:lpstr>
      <vt:lpstr>v_33_XN_Be</vt:lpstr>
      <vt:lpstr>v_33_XN_U</vt:lpstr>
      <vt:lpstr>v_33_XNOB</vt:lpstr>
      <vt:lpstr>v_33_XOHO</vt:lpstr>
      <vt:lpstr>v_33_XP_B</vt:lpstr>
      <vt:lpstr>v_33_XP_Be</vt:lpstr>
      <vt:lpstr>v_33_XP_U</vt:lpstr>
      <vt:lpstr>v_33_XPFOA</vt:lpstr>
      <vt:lpstr>v_33_XPFOS</vt:lpstr>
      <vt:lpstr>v_33_XPHA_GAO</vt:lpstr>
      <vt:lpstr>v_33_XPHA_PAO</vt:lpstr>
      <vt:lpstr>v_33_XPP</vt:lpstr>
      <vt:lpstr>v_33_XS</vt:lpstr>
      <vt:lpstr>v_33_XSOO</vt:lpstr>
      <vt:lpstr>v_33_XSTR</vt:lpstr>
      <vt:lpstr>v_33_XU</vt:lpstr>
      <vt:lpstr>v_33_XVivi</vt:lpstr>
      <vt:lpstr>v_34_CB</vt:lpstr>
      <vt:lpstr>v_34_CU</vt:lpstr>
      <vt:lpstr>v_34_GCH4</vt:lpstr>
      <vt:lpstr>v_34_GCH4_atm</vt:lpstr>
      <vt:lpstr>v_34_GCO2</vt:lpstr>
      <vt:lpstr>v_34_GCO2_atm</vt:lpstr>
      <vt:lpstr>v_34_GH2</vt:lpstr>
      <vt:lpstr>v_34_GH2_atm</vt:lpstr>
      <vt:lpstr>v_34_GH2S</vt:lpstr>
      <vt:lpstr>v_34_GH2S_atm</vt:lpstr>
      <vt:lpstr>v_34_GN2</vt:lpstr>
      <vt:lpstr>v_34_GN2_atm</vt:lpstr>
      <vt:lpstr>v_34_GNH3</vt:lpstr>
      <vt:lpstr>v_34_GNH3_atm</vt:lpstr>
      <vt:lpstr>v_34_GO2</vt:lpstr>
      <vt:lpstr>v_34_GO2_atm</vt:lpstr>
      <vt:lpstr>v_34_SALPHA</vt:lpstr>
      <vt:lpstr>v_34_SAN</vt:lpstr>
      <vt:lpstr>v_34_SB</vt:lpstr>
      <vt:lpstr>v_34_SCa</vt:lpstr>
      <vt:lpstr>v_34_SCAT</vt:lpstr>
      <vt:lpstr>v_34_SCH4</vt:lpstr>
      <vt:lpstr>v_34_SCO2</vt:lpstr>
      <vt:lpstr>v_34_SFe2</vt:lpstr>
      <vt:lpstr>v_34_SH</vt:lpstr>
      <vt:lpstr>v_34_SH2</vt:lpstr>
      <vt:lpstr>v_34_SH2S</vt:lpstr>
      <vt:lpstr>v_34_SK</vt:lpstr>
      <vt:lpstr>v_34_SMEOL</vt:lpstr>
      <vt:lpstr>v_34_SMg</vt:lpstr>
      <vt:lpstr>v_34_SMM_index</vt:lpstr>
      <vt:lpstr>v_34_SN_B</vt:lpstr>
      <vt:lpstr>v_34_SN2</vt:lpstr>
      <vt:lpstr>v_34_SNHx</vt:lpstr>
      <vt:lpstr>v_34_SNO2</vt:lpstr>
      <vt:lpstr>v_34_SNO3</vt:lpstr>
      <vt:lpstr>v_34_SO2</vt:lpstr>
      <vt:lpstr>v_34_SORPswitch</vt:lpstr>
      <vt:lpstr>v_34_SP_B</vt:lpstr>
      <vt:lpstr>v_34_SPFOA</vt:lpstr>
      <vt:lpstr>v_34_SPFOS</vt:lpstr>
      <vt:lpstr>v_34_SPO4</vt:lpstr>
      <vt:lpstr>v_34_SSO4</vt:lpstr>
      <vt:lpstr>v_34_SU</vt:lpstr>
      <vt:lpstr>v_34_SVFA</vt:lpstr>
      <vt:lpstr>v_34_XACP</vt:lpstr>
      <vt:lpstr>v_34_XALGAE</vt:lpstr>
      <vt:lpstr>v_34_XAMETO</vt:lpstr>
      <vt:lpstr>v_34_XAMX</vt:lpstr>
      <vt:lpstr>v_34_XAOB</vt:lpstr>
      <vt:lpstr>v_34_XASRO</vt:lpstr>
      <vt:lpstr>v_34_XB</vt:lpstr>
      <vt:lpstr>v_34_XB_e</vt:lpstr>
      <vt:lpstr>v_34_XBSH</vt:lpstr>
      <vt:lpstr>v_34_XCaCO3</vt:lpstr>
      <vt:lpstr>v_34_XCASTO</vt:lpstr>
      <vt:lpstr>v_34_XE</vt:lpstr>
      <vt:lpstr>v_34_XE_ana</vt:lpstr>
      <vt:lpstr>v_34_XFeS</vt:lpstr>
      <vt:lpstr>v_34_XHAO_H</vt:lpstr>
      <vt:lpstr>v_34_XHAO_H_P</vt:lpstr>
      <vt:lpstr>v_34_XHAO_H_P_old</vt:lpstr>
      <vt:lpstr>v_34_XHAO_L</vt:lpstr>
      <vt:lpstr>v_34_XHAO_L_P</vt:lpstr>
      <vt:lpstr>v_34_XHAO_L_P_old</vt:lpstr>
      <vt:lpstr>v_34_XHAO_old</vt:lpstr>
      <vt:lpstr>v_34_XHFO_H</vt:lpstr>
      <vt:lpstr>v_34_XHFO_H_P</vt:lpstr>
      <vt:lpstr>v_34_XHFO_H_P_old</vt:lpstr>
      <vt:lpstr>v_34_XHFO_L</vt:lpstr>
      <vt:lpstr>v_34_XHFO_L_P</vt:lpstr>
      <vt:lpstr>v_34_XHFO_L_P_old</vt:lpstr>
      <vt:lpstr>v_34_XHFO_old</vt:lpstr>
      <vt:lpstr>v_34_XHMETO</vt:lpstr>
      <vt:lpstr>v_34_XHSRO</vt:lpstr>
      <vt:lpstr>v_34_XINORG</vt:lpstr>
      <vt:lpstr>v_34_XMEOLO</vt:lpstr>
      <vt:lpstr>v_34_XN_B</vt:lpstr>
      <vt:lpstr>v_34_XN_Be</vt:lpstr>
      <vt:lpstr>v_34_XN_U</vt:lpstr>
      <vt:lpstr>v_34_XNOB</vt:lpstr>
      <vt:lpstr>v_34_XOHO</vt:lpstr>
      <vt:lpstr>v_34_XP_B</vt:lpstr>
      <vt:lpstr>v_34_XP_Be</vt:lpstr>
      <vt:lpstr>v_34_XP_U</vt:lpstr>
      <vt:lpstr>v_34_XPFOA</vt:lpstr>
      <vt:lpstr>v_34_XPFOS</vt:lpstr>
      <vt:lpstr>v_34_XPHA_GAO</vt:lpstr>
      <vt:lpstr>v_34_XPHA_PAO</vt:lpstr>
      <vt:lpstr>v_34_XPP</vt:lpstr>
      <vt:lpstr>v_34_XS</vt:lpstr>
      <vt:lpstr>v_34_XSOO</vt:lpstr>
      <vt:lpstr>v_34_XSTR</vt:lpstr>
      <vt:lpstr>v_34_XU</vt:lpstr>
      <vt:lpstr>v_34_XVivi</vt:lpstr>
      <vt:lpstr>v_35_CB</vt:lpstr>
      <vt:lpstr>v_35_CU</vt:lpstr>
      <vt:lpstr>v_35_GCH4</vt:lpstr>
      <vt:lpstr>v_35_GCH4_atm</vt:lpstr>
      <vt:lpstr>v_35_GCO2</vt:lpstr>
      <vt:lpstr>v_35_GCO2_atm</vt:lpstr>
      <vt:lpstr>v_35_GH2</vt:lpstr>
      <vt:lpstr>v_35_GH2_atm</vt:lpstr>
      <vt:lpstr>v_35_GH2S</vt:lpstr>
      <vt:lpstr>v_35_GH2S_atm</vt:lpstr>
      <vt:lpstr>v_35_GN2</vt:lpstr>
      <vt:lpstr>v_35_GN2_atm</vt:lpstr>
      <vt:lpstr>v_35_GNH3</vt:lpstr>
      <vt:lpstr>v_35_GNH3_atm</vt:lpstr>
      <vt:lpstr>v_35_GO2</vt:lpstr>
      <vt:lpstr>v_35_GO2_atm</vt:lpstr>
      <vt:lpstr>v_35_SALPHA</vt:lpstr>
      <vt:lpstr>v_35_SAN</vt:lpstr>
      <vt:lpstr>v_35_SB</vt:lpstr>
      <vt:lpstr>v_35_SCa</vt:lpstr>
      <vt:lpstr>v_35_SCAT</vt:lpstr>
      <vt:lpstr>v_35_SCH4</vt:lpstr>
      <vt:lpstr>v_35_SCO2</vt:lpstr>
      <vt:lpstr>v_35_SFe2</vt:lpstr>
      <vt:lpstr>v_35_SH</vt:lpstr>
      <vt:lpstr>v_35_SH2</vt:lpstr>
      <vt:lpstr>v_35_SH2S</vt:lpstr>
      <vt:lpstr>v_35_SK</vt:lpstr>
      <vt:lpstr>v_35_SMEOL</vt:lpstr>
      <vt:lpstr>v_35_SMg</vt:lpstr>
      <vt:lpstr>v_35_SMM_index</vt:lpstr>
      <vt:lpstr>v_35_SN_B</vt:lpstr>
      <vt:lpstr>v_35_SN2</vt:lpstr>
      <vt:lpstr>v_35_SNHx</vt:lpstr>
      <vt:lpstr>v_35_SNO2</vt:lpstr>
      <vt:lpstr>v_35_SNO3</vt:lpstr>
      <vt:lpstr>v_35_SO2</vt:lpstr>
      <vt:lpstr>v_35_SORPswitch</vt:lpstr>
      <vt:lpstr>v_35_SP_B</vt:lpstr>
      <vt:lpstr>v_35_SPFOA</vt:lpstr>
      <vt:lpstr>v_35_SPFOS</vt:lpstr>
      <vt:lpstr>v_35_SPO4</vt:lpstr>
      <vt:lpstr>v_35_SSO4</vt:lpstr>
      <vt:lpstr>v_35_SU</vt:lpstr>
      <vt:lpstr>v_35_SVFA</vt:lpstr>
      <vt:lpstr>v_35_XACP</vt:lpstr>
      <vt:lpstr>v_35_XALGAE</vt:lpstr>
      <vt:lpstr>v_35_XAMETO</vt:lpstr>
      <vt:lpstr>v_35_XAMX</vt:lpstr>
      <vt:lpstr>v_35_XAOB</vt:lpstr>
      <vt:lpstr>v_35_XASRO</vt:lpstr>
      <vt:lpstr>v_35_XB</vt:lpstr>
      <vt:lpstr>v_35_XB_e</vt:lpstr>
      <vt:lpstr>v_35_XBSH</vt:lpstr>
      <vt:lpstr>v_35_XCaCO3</vt:lpstr>
      <vt:lpstr>v_35_XCASTO</vt:lpstr>
      <vt:lpstr>v_35_XE</vt:lpstr>
      <vt:lpstr>v_35_XE_ana</vt:lpstr>
      <vt:lpstr>v_35_XFeS</vt:lpstr>
      <vt:lpstr>v_35_XHAO_H</vt:lpstr>
      <vt:lpstr>v_35_XHAO_H_P</vt:lpstr>
      <vt:lpstr>v_35_XHAO_H_P_old</vt:lpstr>
      <vt:lpstr>v_35_XHAO_L</vt:lpstr>
      <vt:lpstr>v_35_XHAO_L_P</vt:lpstr>
      <vt:lpstr>v_35_XHAO_L_P_old</vt:lpstr>
      <vt:lpstr>v_35_XHAO_old</vt:lpstr>
      <vt:lpstr>v_35_XHFO_H</vt:lpstr>
      <vt:lpstr>v_35_XHFO_H_P</vt:lpstr>
      <vt:lpstr>v_35_XHFO_H_P_old</vt:lpstr>
      <vt:lpstr>v_35_XHFO_L</vt:lpstr>
      <vt:lpstr>v_35_XHFO_L_P</vt:lpstr>
      <vt:lpstr>v_35_XHFO_L_P_old</vt:lpstr>
      <vt:lpstr>v_35_XHFO_old</vt:lpstr>
      <vt:lpstr>v_35_XHMETO</vt:lpstr>
      <vt:lpstr>v_35_XHSRO</vt:lpstr>
      <vt:lpstr>v_35_XINORG</vt:lpstr>
      <vt:lpstr>v_35_XMEOLO</vt:lpstr>
      <vt:lpstr>v_35_XN_B</vt:lpstr>
      <vt:lpstr>v_35_XN_Be</vt:lpstr>
      <vt:lpstr>v_35_XN_U</vt:lpstr>
      <vt:lpstr>v_35_XNOB</vt:lpstr>
      <vt:lpstr>v_35_XOHO</vt:lpstr>
      <vt:lpstr>v_35_XP_B</vt:lpstr>
      <vt:lpstr>v_35_XP_Be</vt:lpstr>
      <vt:lpstr>v_35_XP_U</vt:lpstr>
      <vt:lpstr>v_35_XPFOA</vt:lpstr>
      <vt:lpstr>v_35_XPFOS</vt:lpstr>
      <vt:lpstr>v_35_XPHA_GAO</vt:lpstr>
      <vt:lpstr>v_35_XPHA_PAO</vt:lpstr>
      <vt:lpstr>v_35_XPP</vt:lpstr>
      <vt:lpstr>v_35_XS</vt:lpstr>
      <vt:lpstr>v_35_XSOO</vt:lpstr>
      <vt:lpstr>v_35_XSTR</vt:lpstr>
      <vt:lpstr>v_35_XU</vt:lpstr>
      <vt:lpstr>v_35_XVivi</vt:lpstr>
      <vt:lpstr>v_36_CB</vt:lpstr>
      <vt:lpstr>v_36_CU</vt:lpstr>
      <vt:lpstr>v_36_GCH4</vt:lpstr>
      <vt:lpstr>v_36_GCH4_atm</vt:lpstr>
      <vt:lpstr>v_36_GCO2</vt:lpstr>
      <vt:lpstr>v_36_GCO2_atm</vt:lpstr>
      <vt:lpstr>v_36_GH2</vt:lpstr>
      <vt:lpstr>v_36_GH2_atm</vt:lpstr>
      <vt:lpstr>v_36_GH2S</vt:lpstr>
      <vt:lpstr>v_36_GH2S_atm</vt:lpstr>
      <vt:lpstr>v_36_GN2</vt:lpstr>
      <vt:lpstr>v_36_GN2_atm</vt:lpstr>
      <vt:lpstr>v_36_GNH3</vt:lpstr>
      <vt:lpstr>v_36_GNH3_atm</vt:lpstr>
      <vt:lpstr>v_36_GO2</vt:lpstr>
      <vt:lpstr>v_36_GO2_atm</vt:lpstr>
      <vt:lpstr>v_36_SALPHA</vt:lpstr>
      <vt:lpstr>v_36_SAN</vt:lpstr>
      <vt:lpstr>v_36_SB</vt:lpstr>
      <vt:lpstr>v_36_SCa</vt:lpstr>
      <vt:lpstr>v_36_SCAT</vt:lpstr>
      <vt:lpstr>v_36_SCH4</vt:lpstr>
      <vt:lpstr>v_36_SCO2</vt:lpstr>
      <vt:lpstr>v_36_SFe2</vt:lpstr>
      <vt:lpstr>v_36_SH</vt:lpstr>
      <vt:lpstr>v_36_SH2</vt:lpstr>
      <vt:lpstr>v_36_SH2S</vt:lpstr>
      <vt:lpstr>v_36_SK</vt:lpstr>
      <vt:lpstr>v_36_SMEOL</vt:lpstr>
      <vt:lpstr>v_36_SMg</vt:lpstr>
      <vt:lpstr>v_36_SMM_index</vt:lpstr>
      <vt:lpstr>v_36_SN_B</vt:lpstr>
      <vt:lpstr>v_36_SN2</vt:lpstr>
      <vt:lpstr>v_36_SNHx</vt:lpstr>
      <vt:lpstr>v_36_SNO2</vt:lpstr>
      <vt:lpstr>v_36_SNO3</vt:lpstr>
      <vt:lpstr>v_36_SO2</vt:lpstr>
      <vt:lpstr>v_36_SORPswitch</vt:lpstr>
      <vt:lpstr>v_36_SP_B</vt:lpstr>
      <vt:lpstr>v_36_SPFOA</vt:lpstr>
      <vt:lpstr>v_36_SPFOS</vt:lpstr>
      <vt:lpstr>v_36_SPO4</vt:lpstr>
      <vt:lpstr>v_36_SSO4</vt:lpstr>
      <vt:lpstr>v_36_SU</vt:lpstr>
      <vt:lpstr>v_36_SVFA</vt:lpstr>
      <vt:lpstr>v_36_XACP</vt:lpstr>
      <vt:lpstr>v_36_XALGAE</vt:lpstr>
      <vt:lpstr>v_36_XAMETO</vt:lpstr>
      <vt:lpstr>v_36_XAMX</vt:lpstr>
      <vt:lpstr>v_36_XAOB</vt:lpstr>
      <vt:lpstr>v_36_XASRO</vt:lpstr>
      <vt:lpstr>v_36_XB</vt:lpstr>
      <vt:lpstr>v_36_XB_e</vt:lpstr>
      <vt:lpstr>v_36_XBSH</vt:lpstr>
      <vt:lpstr>v_36_XCaCO3</vt:lpstr>
      <vt:lpstr>v_36_XCASTO</vt:lpstr>
      <vt:lpstr>v_36_XE</vt:lpstr>
      <vt:lpstr>v_36_XE_ana</vt:lpstr>
      <vt:lpstr>v_36_XFeS</vt:lpstr>
      <vt:lpstr>v_36_XHAO_H</vt:lpstr>
      <vt:lpstr>v_36_XHAO_H_P</vt:lpstr>
      <vt:lpstr>v_36_XHAO_H_P_old</vt:lpstr>
      <vt:lpstr>v_36_XHAO_L</vt:lpstr>
      <vt:lpstr>v_36_XHAO_L_P</vt:lpstr>
      <vt:lpstr>v_36_XHAO_L_P_old</vt:lpstr>
      <vt:lpstr>v_36_XHAO_old</vt:lpstr>
      <vt:lpstr>v_36_XHFO_H</vt:lpstr>
      <vt:lpstr>v_36_XHFO_H_P</vt:lpstr>
      <vt:lpstr>v_36_XHFO_H_P_old</vt:lpstr>
      <vt:lpstr>v_36_XHFO_L</vt:lpstr>
      <vt:lpstr>v_36_XHFO_L_P</vt:lpstr>
      <vt:lpstr>v_36_XHFO_L_P_old</vt:lpstr>
      <vt:lpstr>v_36_XHFO_old</vt:lpstr>
      <vt:lpstr>v_36_XHMETO</vt:lpstr>
      <vt:lpstr>v_36_XHSRO</vt:lpstr>
      <vt:lpstr>v_36_XINORG</vt:lpstr>
      <vt:lpstr>v_36_XMEOLO</vt:lpstr>
      <vt:lpstr>v_36_XN_B</vt:lpstr>
      <vt:lpstr>v_36_XN_Be</vt:lpstr>
      <vt:lpstr>v_36_XN_U</vt:lpstr>
      <vt:lpstr>v_36_XNOB</vt:lpstr>
      <vt:lpstr>v_36_XOHO</vt:lpstr>
      <vt:lpstr>v_36_XP_B</vt:lpstr>
      <vt:lpstr>v_36_XP_Be</vt:lpstr>
      <vt:lpstr>v_36_XP_U</vt:lpstr>
      <vt:lpstr>v_36_XPFOA</vt:lpstr>
      <vt:lpstr>v_36_XPFOS</vt:lpstr>
      <vt:lpstr>v_36_XPHA_GAO</vt:lpstr>
      <vt:lpstr>v_36_XPHA_PAO</vt:lpstr>
      <vt:lpstr>v_36_XPP</vt:lpstr>
      <vt:lpstr>v_36_XS</vt:lpstr>
      <vt:lpstr>v_36_XSOO</vt:lpstr>
      <vt:lpstr>v_36_XSTR</vt:lpstr>
      <vt:lpstr>v_36_XU</vt:lpstr>
      <vt:lpstr>v_36_XVivi</vt:lpstr>
      <vt:lpstr>v_37_CB</vt:lpstr>
      <vt:lpstr>v_37_CU</vt:lpstr>
      <vt:lpstr>v_37_GCH4</vt:lpstr>
      <vt:lpstr>v_37_GCH4_atm</vt:lpstr>
      <vt:lpstr>v_37_GCO2</vt:lpstr>
      <vt:lpstr>v_37_GCO2_atm</vt:lpstr>
      <vt:lpstr>v_37_GH2</vt:lpstr>
      <vt:lpstr>v_37_GH2_atm</vt:lpstr>
      <vt:lpstr>v_37_GH2S</vt:lpstr>
      <vt:lpstr>v_37_GH2S_atm</vt:lpstr>
      <vt:lpstr>v_37_GN2</vt:lpstr>
      <vt:lpstr>v_37_GN2_atm</vt:lpstr>
      <vt:lpstr>v_37_GNH3</vt:lpstr>
      <vt:lpstr>v_37_GNH3_atm</vt:lpstr>
      <vt:lpstr>v_37_GO2</vt:lpstr>
      <vt:lpstr>v_37_GO2_atm</vt:lpstr>
      <vt:lpstr>v_37_SALPHA</vt:lpstr>
      <vt:lpstr>v_37_SAN</vt:lpstr>
      <vt:lpstr>v_37_SB</vt:lpstr>
      <vt:lpstr>v_37_SCa</vt:lpstr>
      <vt:lpstr>v_37_SCAT</vt:lpstr>
      <vt:lpstr>v_37_SCH4</vt:lpstr>
      <vt:lpstr>v_37_SCO2</vt:lpstr>
      <vt:lpstr>v_37_SFe2</vt:lpstr>
      <vt:lpstr>v_37_SH</vt:lpstr>
      <vt:lpstr>v_37_SH2</vt:lpstr>
      <vt:lpstr>v_37_SH2S</vt:lpstr>
      <vt:lpstr>v_37_SK</vt:lpstr>
      <vt:lpstr>v_37_SMEOL</vt:lpstr>
      <vt:lpstr>v_37_SMg</vt:lpstr>
      <vt:lpstr>v_37_SMM_index</vt:lpstr>
      <vt:lpstr>v_37_SN_B</vt:lpstr>
      <vt:lpstr>v_37_SN2</vt:lpstr>
      <vt:lpstr>v_37_SNHx</vt:lpstr>
      <vt:lpstr>v_37_SNO2</vt:lpstr>
      <vt:lpstr>v_37_SNO3</vt:lpstr>
      <vt:lpstr>v_37_SO2</vt:lpstr>
      <vt:lpstr>v_37_SORPswitch</vt:lpstr>
      <vt:lpstr>v_37_SP_B</vt:lpstr>
      <vt:lpstr>v_37_SPFOA</vt:lpstr>
      <vt:lpstr>v_37_SPFOS</vt:lpstr>
      <vt:lpstr>v_37_SPO4</vt:lpstr>
      <vt:lpstr>v_37_SSO4</vt:lpstr>
      <vt:lpstr>v_37_SU</vt:lpstr>
      <vt:lpstr>v_37_SVFA</vt:lpstr>
      <vt:lpstr>v_37_XACP</vt:lpstr>
      <vt:lpstr>v_37_XALGAE</vt:lpstr>
      <vt:lpstr>v_37_XAMETO</vt:lpstr>
      <vt:lpstr>v_37_XAMX</vt:lpstr>
      <vt:lpstr>v_37_XAOB</vt:lpstr>
      <vt:lpstr>v_37_XASRO</vt:lpstr>
      <vt:lpstr>v_37_XB</vt:lpstr>
      <vt:lpstr>v_37_XB_e</vt:lpstr>
      <vt:lpstr>v_37_XBSH</vt:lpstr>
      <vt:lpstr>v_37_XCaCO3</vt:lpstr>
      <vt:lpstr>v_37_XCASTO</vt:lpstr>
      <vt:lpstr>v_37_XE</vt:lpstr>
      <vt:lpstr>v_37_XE_ana</vt:lpstr>
      <vt:lpstr>v_37_XFeS</vt:lpstr>
      <vt:lpstr>v_37_XHAO_H</vt:lpstr>
      <vt:lpstr>v_37_XHAO_H_P</vt:lpstr>
      <vt:lpstr>v_37_XHAO_H_P_old</vt:lpstr>
      <vt:lpstr>v_37_XHAO_L</vt:lpstr>
      <vt:lpstr>v_37_XHAO_L_P</vt:lpstr>
      <vt:lpstr>v_37_XHAO_L_P_old</vt:lpstr>
      <vt:lpstr>v_37_XHAO_old</vt:lpstr>
      <vt:lpstr>v_37_XHFO_H</vt:lpstr>
      <vt:lpstr>v_37_XHFO_H_P</vt:lpstr>
      <vt:lpstr>v_37_XHFO_H_P_old</vt:lpstr>
      <vt:lpstr>v_37_XHFO_L</vt:lpstr>
      <vt:lpstr>v_37_XHFO_L_P</vt:lpstr>
      <vt:lpstr>v_37_XHFO_L_P_old</vt:lpstr>
      <vt:lpstr>v_37_XHFO_old</vt:lpstr>
      <vt:lpstr>v_37_XHMETO</vt:lpstr>
      <vt:lpstr>v_37_XHSRO</vt:lpstr>
      <vt:lpstr>v_37_XINORG</vt:lpstr>
      <vt:lpstr>v_37_XMEOLO</vt:lpstr>
      <vt:lpstr>v_37_XN_B</vt:lpstr>
      <vt:lpstr>v_37_XN_Be</vt:lpstr>
      <vt:lpstr>v_37_XN_U</vt:lpstr>
      <vt:lpstr>v_37_XNOB</vt:lpstr>
      <vt:lpstr>v_37_XOHO</vt:lpstr>
      <vt:lpstr>v_37_XP_B</vt:lpstr>
      <vt:lpstr>v_37_XP_Be</vt:lpstr>
      <vt:lpstr>v_37_XP_U</vt:lpstr>
      <vt:lpstr>v_37_XPFOA</vt:lpstr>
      <vt:lpstr>v_37_XPFOS</vt:lpstr>
      <vt:lpstr>v_37_XPHA_GAO</vt:lpstr>
      <vt:lpstr>v_37_XPHA_PAO</vt:lpstr>
      <vt:lpstr>v_37_XPP</vt:lpstr>
      <vt:lpstr>v_37_XS</vt:lpstr>
      <vt:lpstr>v_37_XSOO</vt:lpstr>
      <vt:lpstr>v_37_XSTR</vt:lpstr>
      <vt:lpstr>v_37_XU</vt:lpstr>
      <vt:lpstr>v_37_XVivi</vt:lpstr>
      <vt:lpstr>v_38_CB</vt:lpstr>
      <vt:lpstr>v_38_CU</vt:lpstr>
      <vt:lpstr>v_38_GCH4</vt:lpstr>
      <vt:lpstr>v_38_GCH4_atm</vt:lpstr>
      <vt:lpstr>v_38_GCO2</vt:lpstr>
      <vt:lpstr>v_38_GCO2_atm</vt:lpstr>
      <vt:lpstr>v_38_GH2</vt:lpstr>
      <vt:lpstr>v_38_GH2_atm</vt:lpstr>
      <vt:lpstr>v_38_GH2S</vt:lpstr>
      <vt:lpstr>v_38_GH2S_atm</vt:lpstr>
      <vt:lpstr>v_38_GN2</vt:lpstr>
      <vt:lpstr>v_38_GN2_atm</vt:lpstr>
      <vt:lpstr>v_38_GNH3</vt:lpstr>
      <vt:lpstr>v_38_GNH3_atm</vt:lpstr>
      <vt:lpstr>v_38_GO2</vt:lpstr>
      <vt:lpstr>v_38_GO2_atm</vt:lpstr>
      <vt:lpstr>v_38_SALPHA</vt:lpstr>
      <vt:lpstr>v_38_SAN</vt:lpstr>
      <vt:lpstr>v_38_SB</vt:lpstr>
      <vt:lpstr>v_38_SCa</vt:lpstr>
      <vt:lpstr>v_38_SCAT</vt:lpstr>
      <vt:lpstr>v_38_SCH4</vt:lpstr>
      <vt:lpstr>v_38_SCO2</vt:lpstr>
      <vt:lpstr>v_38_SFe2</vt:lpstr>
      <vt:lpstr>v_38_SH</vt:lpstr>
      <vt:lpstr>v_38_SH2</vt:lpstr>
      <vt:lpstr>v_38_SH2S</vt:lpstr>
      <vt:lpstr>v_38_SK</vt:lpstr>
      <vt:lpstr>v_38_SMEOL</vt:lpstr>
      <vt:lpstr>v_38_SMg</vt:lpstr>
      <vt:lpstr>v_38_SMM_index</vt:lpstr>
      <vt:lpstr>v_38_SN_B</vt:lpstr>
      <vt:lpstr>v_38_SN2</vt:lpstr>
      <vt:lpstr>v_38_SNHx</vt:lpstr>
      <vt:lpstr>v_38_SNO2</vt:lpstr>
      <vt:lpstr>v_38_SNO3</vt:lpstr>
      <vt:lpstr>v_38_SO2</vt:lpstr>
      <vt:lpstr>v_38_SORPswitch</vt:lpstr>
      <vt:lpstr>v_38_SP_B</vt:lpstr>
      <vt:lpstr>v_38_SPFOA</vt:lpstr>
      <vt:lpstr>v_38_SPFOS</vt:lpstr>
      <vt:lpstr>v_38_SPO4</vt:lpstr>
      <vt:lpstr>v_38_SSO4</vt:lpstr>
      <vt:lpstr>v_38_SU</vt:lpstr>
      <vt:lpstr>v_38_SVFA</vt:lpstr>
      <vt:lpstr>v_38_XACP</vt:lpstr>
      <vt:lpstr>v_38_XALGAE</vt:lpstr>
      <vt:lpstr>v_38_XAMETO</vt:lpstr>
      <vt:lpstr>v_38_XAMX</vt:lpstr>
      <vt:lpstr>v_38_XAOB</vt:lpstr>
      <vt:lpstr>v_38_XASRO</vt:lpstr>
      <vt:lpstr>v_38_XB</vt:lpstr>
      <vt:lpstr>v_38_XB_e</vt:lpstr>
      <vt:lpstr>v_38_XBSH</vt:lpstr>
      <vt:lpstr>v_38_XCaCO3</vt:lpstr>
      <vt:lpstr>v_38_XCASTO</vt:lpstr>
      <vt:lpstr>v_38_XE</vt:lpstr>
      <vt:lpstr>v_38_XE_ana</vt:lpstr>
      <vt:lpstr>v_38_XFeS</vt:lpstr>
      <vt:lpstr>v_38_XHAO_H</vt:lpstr>
      <vt:lpstr>v_38_XHAO_H_P</vt:lpstr>
      <vt:lpstr>v_38_XHAO_H_P_old</vt:lpstr>
      <vt:lpstr>v_38_XHAO_L</vt:lpstr>
      <vt:lpstr>v_38_XHAO_L_P</vt:lpstr>
      <vt:lpstr>v_38_XHAO_L_P_old</vt:lpstr>
      <vt:lpstr>v_38_XHAO_old</vt:lpstr>
      <vt:lpstr>v_38_XHFO_H</vt:lpstr>
      <vt:lpstr>v_38_XHFO_H_P</vt:lpstr>
      <vt:lpstr>v_38_XHFO_H_P_old</vt:lpstr>
      <vt:lpstr>v_38_XHFO_L</vt:lpstr>
      <vt:lpstr>v_38_XHFO_L_P</vt:lpstr>
      <vt:lpstr>v_38_XHFO_L_P_old</vt:lpstr>
      <vt:lpstr>v_38_XHFO_old</vt:lpstr>
      <vt:lpstr>v_38_XHMETO</vt:lpstr>
      <vt:lpstr>v_38_XHSRO</vt:lpstr>
      <vt:lpstr>v_38_XINORG</vt:lpstr>
      <vt:lpstr>v_38_XMEOLO</vt:lpstr>
      <vt:lpstr>v_38_XN_B</vt:lpstr>
      <vt:lpstr>v_38_XN_Be</vt:lpstr>
      <vt:lpstr>v_38_XN_U</vt:lpstr>
      <vt:lpstr>v_38_XNOB</vt:lpstr>
      <vt:lpstr>v_38_XOHO</vt:lpstr>
      <vt:lpstr>v_38_XP_B</vt:lpstr>
      <vt:lpstr>v_38_XP_Be</vt:lpstr>
      <vt:lpstr>v_38_XP_U</vt:lpstr>
      <vt:lpstr>v_38_XPFOA</vt:lpstr>
      <vt:lpstr>v_38_XPFOS</vt:lpstr>
      <vt:lpstr>v_38_XPHA_GAO</vt:lpstr>
      <vt:lpstr>v_38_XPHA_PAO</vt:lpstr>
      <vt:lpstr>v_38_XPP</vt:lpstr>
      <vt:lpstr>v_38_XS</vt:lpstr>
      <vt:lpstr>v_38_XSOO</vt:lpstr>
      <vt:lpstr>v_38_XSTR</vt:lpstr>
      <vt:lpstr>v_38_XU</vt:lpstr>
      <vt:lpstr>v_38_XVivi</vt:lpstr>
      <vt:lpstr>v_39_CB</vt:lpstr>
      <vt:lpstr>v_39_CU</vt:lpstr>
      <vt:lpstr>v_39_GCH4</vt:lpstr>
      <vt:lpstr>v_39_GCH4_atm</vt:lpstr>
      <vt:lpstr>v_39_GCO2</vt:lpstr>
      <vt:lpstr>v_39_GCO2_atm</vt:lpstr>
      <vt:lpstr>v_39_GH2</vt:lpstr>
      <vt:lpstr>v_39_GH2_atm</vt:lpstr>
      <vt:lpstr>v_39_GH2S</vt:lpstr>
      <vt:lpstr>v_39_GH2S_atm</vt:lpstr>
      <vt:lpstr>v_39_GN2</vt:lpstr>
      <vt:lpstr>v_39_GN2_atm</vt:lpstr>
      <vt:lpstr>v_39_GNH3</vt:lpstr>
      <vt:lpstr>v_39_GNH3_atm</vt:lpstr>
      <vt:lpstr>v_39_GO2</vt:lpstr>
      <vt:lpstr>v_39_GO2_atm</vt:lpstr>
      <vt:lpstr>v_39_SALPHA</vt:lpstr>
      <vt:lpstr>v_39_SAN</vt:lpstr>
      <vt:lpstr>v_39_SB</vt:lpstr>
      <vt:lpstr>v_39_SCa</vt:lpstr>
      <vt:lpstr>v_39_SCAT</vt:lpstr>
      <vt:lpstr>v_39_SCH4</vt:lpstr>
      <vt:lpstr>v_39_SCO2</vt:lpstr>
      <vt:lpstr>v_39_SFe2</vt:lpstr>
      <vt:lpstr>v_39_SH</vt:lpstr>
      <vt:lpstr>v_39_SH2</vt:lpstr>
      <vt:lpstr>v_39_SH2S</vt:lpstr>
      <vt:lpstr>v_39_SK</vt:lpstr>
      <vt:lpstr>v_39_SMEOL</vt:lpstr>
      <vt:lpstr>v_39_SMg</vt:lpstr>
      <vt:lpstr>v_39_SMM_index</vt:lpstr>
      <vt:lpstr>v_39_SN_B</vt:lpstr>
      <vt:lpstr>v_39_SN2</vt:lpstr>
      <vt:lpstr>v_39_SNHx</vt:lpstr>
      <vt:lpstr>v_39_SNO2</vt:lpstr>
      <vt:lpstr>v_39_SNO3</vt:lpstr>
      <vt:lpstr>v_39_SO2</vt:lpstr>
      <vt:lpstr>v_39_SORPswitch</vt:lpstr>
      <vt:lpstr>v_39_SP_B</vt:lpstr>
      <vt:lpstr>v_39_SPFOA</vt:lpstr>
      <vt:lpstr>v_39_SPFOS</vt:lpstr>
      <vt:lpstr>v_39_SPO4</vt:lpstr>
      <vt:lpstr>v_39_SSO4</vt:lpstr>
      <vt:lpstr>v_39_SU</vt:lpstr>
      <vt:lpstr>v_39_SVFA</vt:lpstr>
      <vt:lpstr>v_39_XACP</vt:lpstr>
      <vt:lpstr>v_39_XALGAE</vt:lpstr>
      <vt:lpstr>v_39_XAMETO</vt:lpstr>
      <vt:lpstr>v_39_XAMX</vt:lpstr>
      <vt:lpstr>v_39_XAOB</vt:lpstr>
      <vt:lpstr>v_39_XASRO</vt:lpstr>
      <vt:lpstr>v_39_XB</vt:lpstr>
      <vt:lpstr>v_39_XB_e</vt:lpstr>
      <vt:lpstr>v_39_XBSH</vt:lpstr>
      <vt:lpstr>v_39_XCaCO3</vt:lpstr>
      <vt:lpstr>v_39_XCASTO</vt:lpstr>
      <vt:lpstr>v_39_XE</vt:lpstr>
      <vt:lpstr>v_39_XE_ana</vt:lpstr>
      <vt:lpstr>v_39_XFeS</vt:lpstr>
      <vt:lpstr>v_39_XHAO_H</vt:lpstr>
      <vt:lpstr>v_39_XHAO_H_P</vt:lpstr>
      <vt:lpstr>v_39_XHAO_H_P_old</vt:lpstr>
      <vt:lpstr>v_39_XHAO_L</vt:lpstr>
      <vt:lpstr>v_39_XHAO_L_P</vt:lpstr>
      <vt:lpstr>v_39_XHAO_L_P_old</vt:lpstr>
      <vt:lpstr>v_39_XHAO_old</vt:lpstr>
      <vt:lpstr>v_39_XHFO_H</vt:lpstr>
      <vt:lpstr>v_39_XHFO_H_P</vt:lpstr>
      <vt:lpstr>v_39_XHFO_H_P_old</vt:lpstr>
      <vt:lpstr>v_39_XHFO_L</vt:lpstr>
      <vt:lpstr>v_39_XHFO_L_P</vt:lpstr>
      <vt:lpstr>v_39_XHFO_L_P_old</vt:lpstr>
      <vt:lpstr>v_39_XHFO_old</vt:lpstr>
      <vt:lpstr>v_39_XHMETO</vt:lpstr>
      <vt:lpstr>v_39_XHSRO</vt:lpstr>
      <vt:lpstr>v_39_XINORG</vt:lpstr>
      <vt:lpstr>v_39_XMEOLO</vt:lpstr>
      <vt:lpstr>v_39_XN_B</vt:lpstr>
      <vt:lpstr>v_39_XN_Be</vt:lpstr>
      <vt:lpstr>v_39_XN_U</vt:lpstr>
      <vt:lpstr>v_39_XNOB</vt:lpstr>
      <vt:lpstr>v_39_XOHO</vt:lpstr>
      <vt:lpstr>v_39_XP_B</vt:lpstr>
      <vt:lpstr>v_39_XP_Be</vt:lpstr>
      <vt:lpstr>v_39_XP_U</vt:lpstr>
      <vt:lpstr>v_39_XPFOA</vt:lpstr>
      <vt:lpstr>v_39_XPFOS</vt:lpstr>
      <vt:lpstr>v_39_XPHA_GAO</vt:lpstr>
      <vt:lpstr>v_39_XPHA_PAO</vt:lpstr>
      <vt:lpstr>v_39_XPP</vt:lpstr>
      <vt:lpstr>v_39_XS</vt:lpstr>
      <vt:lpstr>v_39_XSOO</vt:lpstr>
      <vt:lpstr>v_39_XSTR</vt:lpstr>
      <vt:lpstr>v_39_XU</vt:lpstr>
      <vt:lpstr>v_39_XVivi</vt:lpstr>
      <vt:lpstr>v_4_CB</vt:lpstr>
      <vt:lpstr>v_4_CU</vt:lpstr>
      <vt:lpstr>v_4_GCH4</vt:lpstr>
      <vt:lpstr>v_4_GCH4_atm</vt:lpstr>
      <vt:lpstr>v_4_GCO2</vt:lpstr>
      <vt:lpstr>v_4_GCO2_atm</vt:lpstr>
      <vt:lpstr>v_4_GH2</vt:lpstr>
      <vt:lpstr>v_4_GH2_atm</vt:lpstr>
      <vt:lpstr>v_4_GH2S</vt:lpstr>
      <vt:lpstr>v_4_GH2S_atm</vt:lpstr>
      <vt:lpstr>v_4_GN2</vt:lpstr>
      <vt:lpstr>v_4_GN2_atm</vt:lpstr>
      <vt:lpstr>v_4_GNH3</vt:lpstr>
      <vt:lpstr>v_4_GNH3_atm</vt:lpstr>
      <vt:lpstr>v_4_GO2</vt:lpstr>
      <vt:lpstr>v_4_GO2_atm</vt:lpstr>
      <vt:lpstr>v_4_SALPHA</vt:lpstr>
      <vt:lpstr>v_4_SAN</vt:lpstr>
      <vt:lpstr>v_4_SB</vt:lpstr>
      <vt:lpstr>v_4_SCa</vt:lpstr>
      <vt:lpstr>v_4_SCAT</vt:lpstr>
      <vt:lpstr>v_4_SCH4</vt:lpstr>
      <vt:lpstr>v_4_SCO2</vt:lpstr>
      <vt:lpstr>v_4_SFe2</vt:lpstr>
      <vt:lpstr>v_4_SH</vt:lpstr>
      <vt:lpstr>v_4_SH2</vt:lpstr>
      <vt:lpstr>v_4_SH2S</vt:lpstr>
      <vt:lpstr>v_4_SK</vt:lpstr>
      <vt:lpstr>v_4_SMEOL</vt:lpstr>
      <vt:lpstr>v_4_SMg</vt:lpstr>
      <vt:lpstr>v_4_SMM_index</vt:lpstr>
      <vt:lpstr>v_4_SN_B</vt:lpstr>
      <vt:lpstr>v_4_SN2</vt:lpstr>
      <vt:lpstr>v_4_SNHx</vt:lpstr>
      <vt:lpstr>v_4_SNO2</vt:lpstr>
      <vt:lpstr>v_4_SNO3</vt:lpstr>
      <vt:lpstr>v_4_SO2</vt:lpstr>
      <vt:lpstr>v_4_SORPswitch</vt:lpstr>
      <vt:lpstr>v_4_SP_B</vt:lpstr>
      <vt:lpstr>v_4_SPFOA</vt:lpstr>
      <vt:lpstr>v_4_SPFOS</vt:lpstr>
      <vt:lpstr>v_4_SPO4</vt:lpstr>
      <vt:lpstr>v_4_SSO4</vt:lpstr>
      <vt:lpstr>v_4_SU</vt:lpstr>
      <vt:lpstr>v_4_SVFA</vt:lpstr>
      <vt:lpstr>v_4_XACP</vt:lpstr>
      <vt:lpstr>v_4_XALGAE</vt:lpstr>
      <vt:lpstr>v_4_XAMETO</vt:lpstr>
      <vt:lpstr>v_4_XAMX</vt:lpstr>
      <vt:lpstr>v_4_XAOB</vt:lpstr>
      <vt:lpstr>v_4_XASRO</vt:lpstr>
      <vt:lpstr>v_4_XB</vt:lpstr>
      <vt:lpstr>v_4_XB_e</vt:lpstr>
      <vt:lpstr>v_4_XBSH</vt:lpstr>
      <vt:lpstr>v_4_XCaCO3</vt:lpstr>
      <vt:lpstr>v_4_XCASTO</vt:lpstr>
      <vt:lpstr>v_4_XE</vt:lpstr>
      <vt:lpstr>v_4_XE_ana</vt:lpstr>
      <vt:lpstr>v_4_XFeS</vt:lpstr>
      <vt:lpstr>v_4_XHAO_H</vt:lpstr>
      <vt:lpstr>v_4_XHAO_H_P</vt:lpstr>
      <vt:lpstr>v_4_XHAO_H_P_old</vt:lpstr>
      <vt:lpstr>v_4_XHAO_L</vt:lpstr>
      <vt:lpstr>v_4_XHAO_L_P</vt:lpstr>
      <vt:lpstr>v_4_XHAO_L_P_old</vt:lpstr>
      <vt:lpstr>v_4_XHAO_old</vt:lpstr>
      <vt:lpstr>v_4_XHFO_H</vt:lpstr>
      <vt:lpstr>v_4_XHFO_H_P</vt:lpstr>
      <vt:lpstr>v_4_XHFO_H_P_old</vt:lpstr>
      <vt:lpstr>v_4_XHFO_L</vt:lpstr>
      <vt:lpstr>v_4_XHFO_L_P</vt:lpstr>
      <vt:lpstr>v_4_XHFO_L_P_old</vt:lpstr>
      <vt:lpstr>v_4_XHFO_old</vt:lpstr>
      <vt:lpstr>v_4_XHMETO</vt:lpstr>
      <vt:lpstr>v_4_XHSRO</vt:lpstr>
      <vt:lpstr>v_4_XINORG</vt:lpstr>
      <vt:lpstr>v_4_XMEOLO</vt:lpstr>
      <vt:lpstr>v_4_XN_B</vt:lpstr>
      <vt:lpstr>v_4_XN_Be</vt:lpstr>
      <vt:lpstr>v_4_XN_U</vt:lpstr>
      <vt:lpstr>v_4_XNOB</vt:lpstr>
      <vt:lpstr>v_4_XOHO</vt:lpstr>
      <vt:lpstr>v_4_XP_B</vt:lpstr>
      <vt:lpstr>v_4_XP_Be</vt:lpstr>
      <vt:lpstr>v_4_XP_U</vt:lpstr>
      <vt:lpstr>v_4_XPFOA</vt:lpstr>
      <vt:lpstr>v_4_XPFOS</vt:lpstr>
      <vt:lpstr>v_4_XPHA_GAO</vt:lpstr>
      <vt:lpstr>v_4_XPHA_PAO</vt:lpstr>
      <vt:lpstr>v_4_XPP</vt:lpstr>
      <vt:lpstr>v_4_XS</vt:lpstr>
      <vt:lpstr>v_4_XSOO</vt:lpstr>
      <vt:lpstr>v_4_XSTR</vt:lpstr>
      <vt:lpstr>v_4_XU</vt:lpstr>
      <vt:lpstr>v_4_XVivi</vt:lpstr>
      <vt:lpstr>v_40_CB</vt:lpstr>
      <vt:lpstr>v_40_CU</vt:lpstr>
      <vt:lpstr>v_40_GCH4</vt:lpstr>
      <vt:lpstr>v_40_GCH4_atm</vt:lpstr>
      <vt:lpstr>v_40_GCO2</vt:lpstr>
      <vt:lpstr>v_40_GCO2_atm</vt:lpstr>
      <vt:lpstr>v_40_GH2</vt:lpstr>
      <vt:lpstr>v_40_GH2_atm</vt:lpstr>
      <vt:lpstr>v_40_GH2S</vt:lpstr>
      <vt:lpstr>v_40_GH2S_atm</vt:lpstr>
      <vt:lpstr>v_40_GN2</vt:lpstr>
      <vt:lpstr>v_40_GN2_atm</vt:lpstr>
      <vt:lpstr>v_40_GNH3</vt:lpstr>
      <vt:lpstr>v_40_GNH3_atm</vt:lpstr>
      <vt:lpstr>v_40_GO2</vt:lpstr>
      <vt:lpstr>v_40_GO2_atm</vt:lpstr>
      <vt:lpstr>v_40_SALPHA</vt:lpstr>
      <vt:lpstr>v_40_SAN</vt:lpstr>
      <vt:lpstr>v_40_SB</vt:lpstr>
      <vt:lpstr>v_40_SCa</vt:lpstr>
      <vt:lpstr>v_40_SCAT</vt:lpstr>
      <vt:lpstr>v_40_SCH4</vt:lpstr>
      <vt:lpstr>v_40_SCO2</vt:lpstr>
      <vt:lpstr>v_40_SFe2</vt:lpstr>
      <vt:lpstr>v_40_SH</vt:lpstr>
      <vt:lpstr>v_40_SH2</vt:lpstr>
      <vt:lpstr>v_40_SH2S</vt:lpstr>
      <vt:lpstr>v_40_SK</vt:lpstr>
      <vt:lpstr>v_40_SMEOL</vt:lpstr>
      <vt:lpstr>v_40_SMg</vt:lpstr>
      <vt:lpstr>v_40_SMM_index</vt:lpstr>
      <vt:lpstr>v_40_SN_B</vt:lpstr>
      <vt:lpstr>v_40_SN2</vt:lpstr>
      <vt:lpstr>v_40_SNHx</vt:lpstr>
      <vt:lpstr>v_40_SNO2</vt:lpstr>
      <vt:lpstr>v_40_SNO3</vt:lpstr>
      <vt:lpstr>v_40_SO2</vt:lpstr>
      <vt:lpstr>v_40_SORPswitch</vt:lpstr>
      <vt:lpstr>v_40_SP_B</vt:lpstr>
      <vt:lpstr>v_40_SPFOA</vt:lpstr>
      <vt:lpstr>v_40_SPFOS</vt:lpstr>
      <vt:lpstr>v_40_SPO4</vt:lpstr>
      <vt:lpstr>v_40_SSO4</vt:lpstr>
      <vt:lpstr>v_40_SU</vt:lpstr>
      <vt:lpstr>v_40_SVFA</vt:lpstr>
      <vt:lpstr>v_40_XACP</vt:lpstr>
      <vt:lpstr>v_40_XALGAE</vt:lpstr>
      <vt:lpstr>v_40_XAMETO</vt:lpstr>
      <vt:lpstr>v_40_XAMX</vt:lpstr>
      <vt:lpstr>v_40_XAOB</vt:lpstr>
      <vt:lpstr>v_40_XASRO</vt:lpstr>
      <vt:lpstr>v_40_XB</vt:lpstr>
      <vt:lpstr>v_40_XB_e</vt:lpstr>
      <vt:lpstr>v_40_XBSH</vt:lpstr>
      <vt:lpstr>v_40_XCaCO3</vt:lpstr>
      <vt:lpstr>v_40_XCASTO</vt:lpstr>
      <vt:lpstr>v_40_XE</vt:lpstr>
      <vt:lpstr>v_40_XE_ana</vt:lpstr>
      <vt:lpstr>v_40_XFeS</vt:lpstr>
      <vt:lpstr>v_40_XHAO_H</vt:lpstr>
      <vt:lpstr>v_40_XHAO_H_P</vt:lpstr>
      <vt:lpstr>v_40_XHAO_H_P_old</vt:lpstr>
      <vt:lpstr>v_40_XHAO_L</vt:lpstr>
      <vt:lpstr>v_40_XHAO_L_P</vt:lpstr>
      <vt:lpstr>v_40_XHAO_L_P_old</vt:lpstr>
      <vt:lpstr>v_40_XHAO_old</vt:lpstr>
      <vt:lpstr>v_40_XHFO_H</vt:lpstr>
      <vt:lpstr>v_40_XHFO_H_P</vt:lpstr>
      <vt:lpstr>v_40_XHFO_H_P_old</vt:lpstr>
      <vt:lpstr>v_40_XHFO_L</vt:lpstr>
      <vt:lpstr>v_40_XHFO_L_P</vt:lpstr>
      <vt:lpstr>v_40_XHFO_L_P_old</vt:lpstr>
      <vt:lpstr>v_40_XHFO_old</vt:lpstr>
      <vt:lpstr>v_40_XHMETO</vt:lpstr>
      <vt:lpstr>v_40_XHSRO</vt:lpstr>
      <vt:lpstr>v_40_XINORG</vt:lpstr>
      <vt:lpstr>v_40_XMEOLO</vt:lpstr>
      <vt:lpstr>v_40_XN_B</vt:lpstr>
      <vt:lpstr>v_40_XN_Be</vt:lpstr>
      <vt:lpstr>v_40_XN_U</vt:lpstr>
      <vt:lpstr>v_40_XNOB</vt:lpstr>
      <vt:lpstr>v_40_XOHO</vt:lpstr>
      <vt:lpstr>v_40_XP_B</vt:lpstr>
      <vt:lpstr>v_40_XP_Be</vt:lpstr>
      <vt:lpstr>v_40_XP_U</vt:lpstr>
      <vt:lpstr>v_40_XPFOA</vt:lpstr>
      <vt:lpstr>v_40_XPFOS</vt:lpstr>
      <vt:lpstr>v_40_XPHA_GAO</vt:lpstr>
      <vt:lpstr>v_40_XPHA_PAO</vt:lpstr>
      <vt:lpstr>v_40_XPP</vt:lpstr>
      <vt:lpstr>v_40_XS</vt:lpstr>
      <vt:lpstr>v_40_XSOO</vt:lpstr>
      <vt:lpstr>v_40_XSTR</vt:lpstr>
      <vt:lpstr>v_40_XU</vt:lpstr>
      <vt:lpstr>v_40_XVivi</vt:lpstr>
      <vt:lpstr>v_41_CB</vt:lpstr>
      <vt:lpstr>v_41_CU</vt:lpstr>
      <vt:lpstr>v_41_GCH4</vt:lpstr>
      <vt:lpstr>v_41_GCH4_atm</vt:lpstr>
      <vt:lpstr>v_41_GCO2</vt:lpstr>
      <vt:lpstr>v_41_GCO2_atm</vt:lpstr>
      <vt:lpstr>v_41_GH2</vt:lpstr>
      <vt:lpstr>v_41_GH2_atm</vt:lpstr>
      <vt:lpstr>v_41_GH2S</vt:lpstr>
      <vt:lpstr>v_41_GH2S_atm</vt:lpstr>
      <vt:lpstr>v_41_GN2</vt:lpstr>
      <vt:lpstr>v_41_GN2_atm</vt:lpstr>
      <vt:lpstr>v_41_GNH3</vt:lpstr>
      <vt:lpstr>v_41_GNH3_atm</vt:lpstr>
      <vt:lpstr>v_41_GO2</vt:lpstr>
      <vt:lpstr>v_41_GO2_atm</vt:lpstr>
      <vt:lpstr>v_41_SALPHA</vt:lpstr>
      <vt:lpstr>v_41_SAN</vt:lpstr>
      <vt:lpstr>v_41_SB</vt:lpstr>
      <vt:lpstr>v_41_SCa</vt:lpstr>
      <vt:lpstr>v_41_SCAT</vt:lpstr>
      <vt:lpstr>v_41_SCH4</vt:lpstr>
      <vt:lpstr>v_41_SCO2</vt:lpstr>
      <vt:lpstr>v_41_SFe2</vt:lpstr>
      <vt:lpstr>v_41_SH</vt:lpstr>
      <vt:lpstr>v_41_SH2</vt:lpstr>
      <vt:lpstr>v_41_SH2S</vt:lpstr>
      <vt:lpstr>v_41_SK</vt:lpstr>
      <vt:lpstr>v_41_SMEOL</vt:lpstr>
      <vt:lpstr>v_41_SMg</vt:lpstr>
      <vt:lpstr>v_41_SMM_index</vt:lpstr>
      <vt:lpstr>v_41_SN_B</vt:lpstr>
      <vt:lpstr>v_41_SN2</vt:lpstr>
      <vt:lpstr>v_41_SNHx</vt:lpstr>
      <vt:lpstr>v_41_SNO2</vt:lpstr>
      <vt:lpstr>v_41_SNO3</vt:lpstr>
      <vt:lpstr>v_41_SO2</vt:lpstr>
      <vt:lpstr>v_41_SORPswitch</vt:lpstr>
      <vt:lpstr>v_41_SP_B</vt:lpstr>
      <vt:lpstr>v_41_SPFOA</vt:lpstr>
      <vt:lpstr>v_41_SPFOS</vt:lpstr>
      <vt:lpstr>v_41_SPO4</vt:lpstr>
      <vt:lpstr>v_41_SSO4</vt:lpstr>
      <vt:lpstr>v_41_SU</vt:lpstr>
      <vt:lpstr>v_41_SVFA</vt:lpstr>
      <vt:lpstr>v_41_XACP</vt:lpstr>
      <vt:lpstr>v_41_XALGAE</vt:lpstr>
      <vt:lpstr>v_41_XAMETO</vt:lpstr>
      <vt:lpstr>v_41_XAMX</vt:lpstr>
      <vt:lpstr>v_41_XAOB</vt:lpstr>
      <vt:lpstr>v_41_XASRO</vt:lpstr>
      <vt:lpstr>v_41_XB</vt:lpstr>
      <vt:lpstr>v_41_XB_e</vt:lpstr>
      <vt:lpstr>v_41_XBSH</vt:lpstr>
      <vt:lpstr>v_41_XCaCO3</vt:lpstr>
      <vt:lpstr>v_41_XCASTO</vt:lpstr>
      <vt:lpstr>v_41_XE</vt:lpstr>
      <vt:lpstr>v_41_XE_ana</vt:lpstr>
      <vt:lpstr>v_41_XFeS</vt:lpstr>
      <vt:lpstr>v_41_XHAO_H</vt:lpstr>
      <vt:lpstr>v_41_XHAO_H_P</vt:lpstr>
      <vt:lpstr>v_41_XHAO_H_P_old</vt:lpstr>
      <vt:lpstr>v_41_XHAO_L</vt:lpstr>
      <vt:lpstr>v_41_XHAO_L_P</vt:lpstr>
      <vt:lpstr>v_41_XHAO_L_P_old</vt:lpstr>
      <vt:lpstr>v_41_XHAO_old</vt:lpstr>
      <vt:lpstr>v_41_XHFO_H</vt:lpstr>
      <vt:lpstr>v_41_XHFO_H_P</vt:lpstr>
      <vt:lpstr>v_41_XHFO_H_P_old</vt:lpstr>
      <vt:lpstr>v_41_XHFO_L</vt:lpstr>
      <vt:lpstr>v_41_XHFO_L_P</vt:lpstr>
      <vt:lpstr>v_41_XHFO_L_P_old</vt:lpstr>
      <vt:lpstr>v_41_XHFO_old</vt:lpstr>
      <vt:lpstr>v_41_XHMETO</vt:lpstr>
      <vt:lpstr>v_41_XHSRO</vt:lpstr>
      <vt:lpstr>v_41_XINORG</vt:lpstr>
      <vt:lpstr>v_41_XMEOLO</vt:lpstr>
      <vt:lpstr>v_41_XN_B</vt:lpstr>
      <vt:lpstr>v_41_XN_Be</vt:lpstr>
      <vt:lpstr>v_41_XN_U</vt:lpstr>
      <vt:lpstr>v_41_XNOB</vt:lpstr>
      <vt:lpstr>v_41_XOHO</vt:lpstr>
      <vt:lpstr>v_41_XP_B</vt:lpstr>
      <vt:lpstr>v_41_XP_Be</vt:lpstr>
      <vt:lpstr>v_41_XP_U</vt:lpstr>
      <vt:lpstr>v_41_XPFOA</vt:lpstr>
      <vt:lpstr>v_41_XPFOS</vt:lpstr>
      <vt:lpstr>v_41_XPHA_GAO</vt:lpstr>
      <vt:lpstr>v_41_XPHA_PAO</vt:lpstr>
      <vt:lpstr>v_41_XPP</vt:lpstr>
      <vt:lpstr>v_41_XS</vt:lpstr>
      <vt:lpstr>v_41_XSOO</vt:lpstr>
      <vt:lpstr>v_41_XSTR</vt:lpstr>
      <vt:lpstr>v_41_XU</vt:lpstr>
      <vt:lpstr>v_41_XVivi</vt:lpstr>
      <vt:lpstr>v_42_CB</vt:lpstr>
      <vt:lpstr>v_42_CU</vt:lpstr>
      <vt:lpstr>v_42_GCH4</vt:lpstr>
      <vt:lpstr>v_42_GCH4_atm</vt:lpstr>
      <vt:lpstr>v_42_GCO2</vt:lpstr>
      <vt:lpstr>v_42_GCO2_atm</vt:lpstr>
      <vt:lpstr>v_42_GH2</vt:lpstr>
      <vt:lpstr>v_42_GH2_atm</vt:lpstr>
      <vt:lpstr>v_42_GH2S</vt:lpstr>
      <vt:lpstr>v_42_GH2S_atm</vt:lpstr>
      <vt:lpstr>v_42_GN2</vt:lpstr>
      <vt:lpstr>v_42_GN2_atm</vt:lpstr>
      <vt:lpstr>v_42_GNH3</vt:lpstr>
      <vt:lpstr>v_42_GNH3_atm</vt:lpstr>
      <vt:lpstr>v_42_GO2</vt:lpstr>
      <vt:lpstr>v_42_GO2_atm</vt:lpstr>
      <vt:lpstr>v_42_SALPHA</vt:lpstr>
      <vt:lpstr>v_42_SAN</vt:lpstr>
      <vt:lpstr>v_42_SB</vt:lpstr>
      <vt:lpstr>v_42_SCa</vt:lpstr>
      <vt:lpstr>v_42_SCAT</vt:lpstr>
      <vt:lpstr>v_42_SCH4</vt:lpstr>
      <vt:lpstr>v_42_SCO2</vt:lpstr>
      <vt:lpstr>v_42_SFe2</vt:lpstr>
      <vt:lpstr>v_42_SH</vt:lpstr>
      <vt:lpstr>v_42_SH2</vt:lpstr>
      <vt:lpstr>v_42_SH2S</vt:lpstr>
      <vt:lpstr>v_42_SK</vt:lpstr>
      <vt:lpstr>v_42_SMEOL</vt:lpstr>
      <vt:lpstr>v_42_SMg</vt:lpstr>
      <vt:lpstr>v_42_SMM_index</vt:lpstr>
      <vt:lpstr>v_42_SN_B</vt:lpstr>
      <vt:lpstr>v_42_SN2</vt:lpstr>
      <vt:lpstr>v_42_SNHx</vt:lpstr>
      <vt:lpstr>v_42_SNO2</vt:lpstr>
      <vt:lpstr>v_42_SNO3</vt:lpstr>
      <vt:lpstr>v_42_SO2</vt:lpstr>
      <vt:lpstr>v_42_SORPswitch</vt:lpstr>
      <vt:lpstr>v_42_SP_B</vt:lpstr>
      <vt:lpstr>v_42_SPFOA</vt:lpstr>
      <vt:lpstr>v_42_SPFOS</vt:lpstr>
      <vt:lpstr>v_42_SPO4</vt:lpstr>
      <vt:lpstr>v_42_SSO4</vt:lpstr>
      <vt:lpstr>v_42_SU</vt:lpstr>
      <vt:lpstr>v_42_SVFA</vt:lpstr>
      <vt:lpstr>v_42_XACP</vt:lpstr>
      <vt:lpstr>v_42_XALGAE</vt:lpstr>
      <vt:lpstr>v_42_XAMETO</vt:lpstr>
      <vt:lpstr>v_42_XAMX</vt:lpstr>
      <vt:lpstr>v_42_XAOB</vt:lpstr>
      <vt:lpstr>v_42_XASRO</vt:lpstr>
      <vt:lpstr>v_42_XB</vt:lpstr>
      <vt:lpstr>v_42_XB_e</vt:lpstr>
      <vt:lpstr>v_42_XBSH</vt:lpstr>
      <vt:lpstr>v_42_XCaCO3</vt:lpstr>
      <vt:lpstr>v_42_XCASTO</vt:lpstr>
      <vt:lpstr>v_42_XE</vt:lpstr>
      <vt:lpstr>v_42_XE_ana</vt:lpstr>
      <vt:lpstr>v_42_XFeS</vt:lpstr>
      <vt:lpstr>v_42_XHAO_H</vt:lpstr>
      <vt:lpstr>v_42_XHAO_H_P</vt:lpstr>
      <vt:lpstr>v_42_XHAO_H_P_old</vt:lpstr>
      <vt:lpstr>v_42_XHAO_L</vt:lpstr>
      <vt:lpstr>v_42_XHAO_L_P</vt:lpstr>
      <vt:lpstr>v_42_XHAO_L_P_old</vt:lpstr>
      <vt:lpstr>v_42_XHAO_old</vt:lpstr>
      <vt:lpstr>v_42_XHFO_H</vt:lpstr>
      <vt:lpstr>v_42_XHFO_H_P</vt:lpstr>
      <vt:lpstr>v_42_XHFO_H_P_old</vt:lpstr>
      <vt:lpstr>v_42_XHFO_L</vt:lpstr>
      <vt:lpstr>v_42_XHFO_L_P</vt:lpstr>
      <vt:lpstr>v_42_XHFO_L_P_old</vt:lpstr>
      <vt:lpstr>v_42_XHFO_old</vt:lpstr>
      <vt:lpstr>v_42_XHMETO</vt:lpstr>
      <vt:lpstr>v_42_XHSRO</vt:lpstr>
      <vt:lpstr>v_42_XINORG</vt:lpstr>
      <vt:lpstr>v_42_XMEOLO</vt:lpstr>
      <vt:lpstr>v_42_XN_B</vt:lpstr>
      <vt:lpstr>v_42_XN_Be</vt:lpstr>
      <vt:lpstr>v_42_XN_U</vt:lpstr>
      <vt:lpstr>v_42_XNOB</vt:lpstr>
      <vt:lpstr>v_42_XOHO</vt:lpstr>
      <vt:lpstr>v_42_XP_B</vt:lpstr>
      <vt:lpstr>v_42_XP_Be</vt:lpstr>
      <vt:lpstr>v_42_XP_U</vt:lpstr>
      <vt:lpstr>v_42_XPFOA</vt:lpstr>
      <vt:lpstr>v_42_XPFOS</vt:lpstr>
      <vt:lpstr>v_42_XPHA_GAO</vt:lpstr>
      <vt:lpstr>v_42_XPHA_PAO</vt:lpstr>
      <vt:lpstr>v_42_XPP</vt:lpstr>
      <vt:lpstr>v_42_XS</vt:lpstr>
      <vt:lpstr>v_42_XSOO</vt:lpstr>
      <vt:lpstr>v_42_XSTR</vt:lpstr>
      <vt:lpstr>v_42_XU</vt:lpstr>
      <vt:lpstr>v_42_XVivi</vt:lpstr>
      <vt:lpstr>v_43_CB</vt:lpstr>
      <vt:lpstr>v_43_CU</vt:lpstr>
      <vt:lpstr>v_43_GCH4</vt:lpstr>
      <vt:lpstr>v_43_GCH4_atm</vt:lpstr>
      <vt:lpstr>v_43_GCO2</vt:lpstr>
      <vt:lpstr>v_43_GCO2_atm</vt:lpstr>
      <vt:lpstr>v_43_GH2</vt:lpstr>
      <vt:lpstr>v_43_GH2_atm</vt:lpstr>
      <vt:lpstr>v_43_GH2S</vt:lpstr>
      <vt:lpstr>v_43_GH2S_atm</vt:lpstr>
      <vt:lpstr>v_43_GN2</vt:lpstr>
      <vt:lpstr>v_43_GN2_atm</vt:lpstr>
      <vt:lpstr>v_43_GNH3</vt:lpstr>
      <vt:lpstr>v_43_GNH3_atm</vt:lpstr>
      <vt:lpstr>v_43_GO2</vt:lpstr>
      <vt:lpstr>v_43_GO2_atm</vt:lpstr>
      <vt:lpstr>v_43_SALPHA</vt:lpstr>
      <vt:lpstr>v_43_SAN</vt:lpstr>
      <vt:lpstr>v_43_SB</vt:lpstr>
      <vt:lpstr>v_43_SCa</vt:lpstr>
      <vt:lpstr>v_43_SCAT</vt:lpstr>
      <vt:lpstr>v_43_SCH4</vt:lpstr>
      <vt:lpstr>v_43_SCO2</vt:lpstr>
      <vt:lpstr>v_43_SFe2</vt:lpstr>
      <vt:lpstr>v_43_SH</vt:lpstr>
      <vt:lpstr>v_43_SH2</vt:lpstr>
      <vt:lpstr>v_43_SH2S</vt:lpstr>
      <vt:lpstr>v_43_SK</vt:lpstr>
      <vt:lpstr>v_43_SMEOL</vt:lpstr>
      <vt:lpstr>v_43_SMg</vt:lpstr>
      <vt:lpstr>v_43_SMM_index</vt:lpstr>
      <vt:lpstr>v_43_SN_B</vt:lpstr>
      <vt:lpstr>v_43_SN2</vt:lpstr>
      <vt:lpstr>v_43_SNHx</vt:lpstr>
      <vt:lpstr>v_43_SNO2</vt:lpstr>
      <vt:lpstr>v_43_SNO3</vt:lpstr>
      <vt:lpstr>v_43_SO2</vt:lpstr>
      <vt:lpstr>v_43_SORPswitch</vt:lpstr>
      <vt:lpstr>v_43_SP_B</vt:lpstr>
      <vt:lpstr>v_43_SPFOA</vt:lpstr>
      <vt:lpstr>v_43_SPFOS</vt:lpstr>
      <vt:lpstr>v_43_SPO4</vt:lpstr>
      <vt:lpstr>v_43_SSO4</vt:lpstr>
      <vt:lpstr>v_43_SU</vt:lpstr>
      <vt:lpstr>v_43_SVFA</vt:lpstr>
      <vt:lpstr>v_43_XACP</vt:lpstr>
      <vt:lpstr>v_43_XALGAE</vt:lpstr>
      <vt:lpstr>v_43_XAMETO</vt:lpstr>
      <vt:lpstr>v_43_XAMX</vt:lpstr>
      <vt:lpstr>v_43_XAOB</vt:lpstr>
      <vt:lpstr>v_43_XASRO</vt:lpstr>
      <vt:lpstr>v_43_XB</vt:lpstr>
      <vt:lpstr>v_43_XB_e</vt:lpstr>
      <vt:lpstr>v_43_XBSH</vt:lpstr>
      <vt:lpstr>v_43_XCaCO3</vt:lpstr>
      <vt:lpstr>v_43_XCASTO</vt:lpstr>
      <vt:lpstr>v_43_XE</vt:lpstr>
      <vt:lpstr>v_43_XE_ana</vt:lpstr>
      <vt:lpstr>v_43_XFeS</vt:lpstr>
      <vt:lpstr>v_43_XHAO_H</vt:lpstr>
      <vt:lpstr>v_43_XHAO_H_P</vt:lpstr>
      <vt:lpstr>v_43_XHAO_H_P_old</vt:lpstr>
      <vt:lpstr>v_43_XHAO_L</vt:lpstr>
      <vt:lpstr>v_43_XHAO_L_P</vt:lpstr>
      <vt:lpstr>v_43_XHAO_L_P_old</vt:lpstr>
      <vt:lpstr>v_43_XHAO_old</vt:lpstr>
      <vt:lpstr>v_43_XHFO_H</vt:lpstr>
      <vt:lpstr>v_43_XHFO_H_P</vt:lpstr>
      <vt:lpstr>v_43_XHFO_H_P_old</vt:lpstr>
      <vt:lpstr>v_43_XHFO_L</vt:lpstr>
      <vt:lpstr>v_43_XHFO_L_P</vt:lpstr>
      <vt:lpstr>v_43_XHFO_L_P_old</vt:lpstr>
      <vt:lpstr>v_43_XHFO_old</vt:lpstr>
      <vt:lpstr>v_43_XHMETO</vt:lpstr>
      <vt:lpstr>v_43_XHSRO</vt:lpstr>
      <vt:lpstr>v_43_XINORG</vt:lpstr>
      <vt:lpstr>v_43_XMEOLO</vt:lpstr>
      <vt:lpstr>v_43_XN_B</vt:lpstr>
      <vt:lpstr>v_43_XN_Be</vt:lpstr>
      <vt:lpstr>v_43_XN_U</vt:lpstr>
      <vt:lpstr>v_43_XNOB</vt:lpstr>
      <vt:lpstr>v_43_XOHO</vt:lpstr>
      <vt:lpstr>v_43_XP_B</vt:lpstr>
      <vt:lpstr>v_43_XP_Be</vt:lpstr>
      <vt:lpstr>v_43_XP_U</vt:lpstr>
      <vt:lpstr>v_43_XPFOA</vt:lpstr>
      <vt:lpstr>v_43_XPFOS</vt:lpstr>
      <vt:lpstr>v_43_XPHA_GAO</vt:lpstr>
      <vt:lpstr>v_43_XPHA_PAO</vt:lpstr>
      <vt:lpstr>v_43_XPP</vt:lpstr>
      <vt:lpstr>v_43_XS</vt:lpstr>
      <vt:lpstr>v_43_XSOO</vt:lpstr>
      <vt:lpstr>v_43_XSTR</vt:lpstr>
      <vt:lpstr>v_43_XU</vt:lpstr>
      <vt:lpstr>v_43_XVivi</vt:lpstr>
      <vt:lpstr>v_44_CB</vt:lpstr>
      <vt:lpstr>v_44_CU</vt:lpstr>
      <vt:lpstr>v_44_GCH4</vt:lpstr>
      <vt:lpstr>v_44_GCH4_atm</vt:lpstr>
      <vt:lpstr>v_44_GCO2</vt:lpstr>
      <vt:lpstr>v_44_GCO2_atm</vt:lpstr>
      <vt:lpstr>v_44_GH2</vt:lpstr>
      <vt:lpstr>v_44_GH2_atm</vt:lpstr>
      <vt:lpstr>v_44_GH2S</vt:lpstr>
      <vt:lpstr>v_44_GH2S_atm</vt:lpstr>
      <vt:lpstr>v_44_GN2</vt:lpstr>
      <vt:lpstr>v_44_GN2_atm</vt:lpstr>
      <vt:lpstr>v_44_GNH3</vt:lpstr>
      <vt:lpstr>v_44_GNH3_atm</vt:lpstr>
      <vt:lpstr>v_44_GO2</vt:lpstr>
      <vt:lpstr>v_44_GO2_atm</vt:lpstr>
      <vt:lpstr>v_44_SALPHA</vt:lpstr>
      <vt:lpstr>v_44_SAN</vt:lpstr>
      <vt:lpstr>v_44_SB</vt:lpstr>
      <vt:lpstr>v_44_SCa</vt:lpstr>
      <vt:lpstr>v_44_SCAT</vt:lpstr>
      <vt:lpstr>v_44_SCH4</vt:lpstr>
      <vt:lpstr>v_44_SCO2</vt:lpstr>
      <vt:lpstr>v_44_SFe2</vt:lpstr>
      <vt:lpstr>v_44_SH</vt:lpstr>
      <vt:lpstr>v_44_SH2</vt:lpstr>
      <vt:lpstr>v_44_SH2S</vt:lpstr>
      <vt:lpstr>v_44_SK</vt:lpstr>
      <vt:lpstr>v_44_SMEOL</vt:lpstr>
      <vt:lpstr>v_44_SMg</vt:lpstr>
      <vt:lpstr>v_44_SMM_index</vt:lpstr>
      <vt:lpstr>v_44_SN_B</vt:lpstr>
      <vt:lpstr>v_44_SN2</vt:lpstr>
      <vt:lpstr>v_44_SNHx</vt:lpstr>
      <vt:lpstr>v_44_SNO2</vt:lpstr>
      <vt:lpstr>v_44_SNO3</vt:lpstr>
      <vt:lpstr>v_44_SO2</vt:lpstr>
      <vt:lpstr>v_44_SORPswitch</vt:lpstr>
      <vt:lpstr>v_44_SP_B</vt:lpstr>
      <vt:lpstr>v_44_SPFOA</vt:lpstr>
      <vt:lpstr>v_44_SPFOS</vt:lpstr>
      <vt:lpstr>v_44_SPO4</vt:lpstr>
      <vt:lpstr>v_44_SSO4</vt:lpstr>
      <vt:lpstr>v_44_SU</vt:lpstr>
      <vt:lpstr>v_44_SVFA</vt:lpstr>
      <vt:lpstr>v_44_XACP</vt:lpstr>
      <vt:lpstr>v_44_XALGAE</vt:lpstr>
      <vt:lpstr>v_44_XAMETO</vt:lpstr>
      <vt:lpstr>v_44_XAMX</vt:lpstr>
      <vt:lpstr>v_44_XAOB</vt:lpstr>
      <vt:lpstr>v_44_XASRO</vt:lpstr>
      <vt:lpstr>v_44_XB</vt:lpstr>
      <vt:lpstr>v_44_XB_e</vt:lpstr>
      <vt:lpstr>v_44_XBSH</vt:lpstr>
      <vt:lpstr>v_44_XCaCO3</vt:lpstr>
      <vt:lpstr>v_44_XCASTO</vt:lpstr>
      <vt:lpstr>v_44_XE</vt:lpstr>
      <vt:lpstr>v_44_XE_ana</vt:lpstr>
      <vt:lpstr>v_44_XFeS</vt:lpstr>
      <vt:lpstr>v_44_XHAO_H</vt:lpstr>
      <vt:lpstr>v_44_XHAO_H_P</vt:lpstr>
      <vt:lpstr>v_44_XHAO_H_P_old</vt:lpstr>
      <vt:lpstr>v_44_XHAO_L</vt:lpstr>
      <vt:lpstr>v_44_XHAO_L_P</vt:lpstr>
      <vt:lpstr>v_44_XHAO_L_P_old</vt:lpstr>
      <vt:lpstr>v_44_XHAO_old</vt:lpstr>
      <vt:lpstr>v_44_XHFO_H</vt:lpstr>
      <vt:lpstr>v_44_XHFO_H_P</vt:lpstr>
      <vt:lpstr>v_44_XHFO_H_P_old</vt:lpstr>
      <vt:lpstr>v_44_XHFO_L</vt:lpstr>
      <vt:lpstr>v_44_XHFO_L_P</vt:lpstr>
      <vt:lpstr>v_44_XHFO_L_P_old</vt:lpstr>
      <vt:lpstr>v_44_XHFO_old</vt:lpstr>
      <vt:lpstr>v_44_XHMETO</vt:lpstr>
      <vt:lpstr>v_44_XHSRO</vt:lpstr>
      <vt:lpstr>v_44_XINORG</vt:lpstr>
      <vt:lpstr>v_44_XMEOLO</vt:lpstr>
      <vt:lpstr>v_44_XN_B</vt:lpstr>
      <vt:lpstr>v_44_XN_Be</vt:lpstr>
      <vt:lpstr>v_44_XN_U</vt:lpstr>
      <vt:lpstr>v_44_XNOB</vt:lpstr>
      <vt:lpstr>v_44_XOHO</vt:lpstr>
      <vt:lpstr>v_44_XP_B</vt:lpstr>
      <vt:lpstr>v_44_XP_Be</vt:lpstr>
      <vt:lpstr>v_44_XP_U</vt:lpstr>
      <vt:lpstr>v_44_XPFOA</vt:lpstr>
      <vt:lpstr>v_44_XPFOS</vt:lpstr>
      <vt:lpstr>v_44_XPHA_GAO</vt:lpstr>
      <vt:lpstr>v_44_XPHA_PAO</vt:lpstr>
      <vt:lpstr>v_44_XPP</vt:lpstr>
      <vt:lpstr>v_44_XS</vt:lpstr>
      <vt:lpstr>v_44_XSOO</vt:lpstr>
      <vt:lpstr>v_44_XSTR</vt:lpstr>
      <vt:lpstr>v_44_XU</vt:lpstr>
      <vt:lpstr>v_44_XVivi</vt:lpstr>
      <vt:lpstr>v_45_CB</vt:lpstr>
      <vt:lpstr>v_45_CU</vt:lpstr>
      <vt:lpstr>v_45_GCH4</vt:lpstr>
      <vt:lpstr>v_45_GCH4_atm</vt:lpstr>
      <vt:lpstr>v_45_GCO2</vt:lpstr>
      <vt:lpstr>v_45_GCO2_atm</vt:lpstr>
      <vt:lpstr>v_45_GH2</vt:lpstr>
      <vt:lpstr>v_45_GH2_atm</vt:lpstr>
      <vt:lpstr>v_45_GH2S</vt:lpstr>
      <vt:lpstr>v_45_GH2S_atm</vt:lpstr>
      <vt:lpstr>v_45_GN2</vt:lpstr>
      <vt:lpstr>v_45_GN2_atm</vt:lpstr>
      <vt:lpstr>v_45_GNH3</vt:lpstr>
      <vt:lpstr>v_45_GNH3_atm</vt:lpstr>
      <vt:lpstr>v_45_GO2</vt:lpstr>
      <vt:lpstr>v_45_GO2_atm</vt:lpstr>
      <vt:lpstr>v_45_SALPHA</vt:lpstr>
      <vt:lpstr>v_45_SAN</vt:lpstr>
      <vt:lpstr>v_45_SB</vt:lpstr>
      <vt:lpstr>v_45_SCa</vt:lpstr>
      <vt:lpstr>v_45_SCAT</vt:lpstr>
      <vt:lpstr>v_45_SCH4</vt:lpstr>
      <vt:lpstr>v_45_SCO2</vt:lpstr>
      <vt:lpstr>v_45_SFe2</vt:lpstr>
      <vt:lpstr>v_45_SH</vt:lpstr>
      <vt:lpstr>v_45_SH2</vt:lpstr>
      <vt:lpstr>v_45_SH2S</vt:lpstr>
      <vt:lpstr>v_45_SK</vt:lpstr>
      <vt:lpstr>v_45_SMEOL</vt:lpstr>
      <vt:lpstr>v_45_SMg</vt:lpstr>
      <vt:lpstr>v_45_SMM_index</vt:lpstr>
      <vt:lpstr>v_45_SN_B</vt:lpstr>
      <vt:lpstr>v_45_SN2</vt:lpstr>
      <vt:lpstr>v_45_SNHx</vt:lpstr>
      <vt:lpstr>v_45_SNO2</vt:lpstr>
      <vt:lpstr>v_45_SNO3</vt:lpstr>
      <vt:lpstr>v_45_SO2</vt:lpstr>
      <vt:lpstr>v_45_SORPswitch</vt:lpstr>
      <vt:lpstr>v_45_SP_B</vt:lpstr>
      <vt:lpstr>v_45_SPFOA</vt:lpstr>
      <vt:lpstr>v_45_SPFOS</vt:lpstr>
      <vt:lpstr>v_45_SPO4</vt:lpstr>
      <vt:lpstr>v_45_SSO4</vt:lpstr>
      <vt:lpstr>v_45_SU</vt:lpstr>
      <vt:lpstr>v_45_SVFA</vt:lpstr>
      <vt:lpstr>v_45_XACP</vt:lpstr>
      <vt:lpstr>v_45_XALGAE</vt:lpstr>
      <vt:lpstr>v_45_XAMETO</vt:lpstr>
      <vt:lpstr>v_45_XAMX</vt:lpstr>
      <vt:lpstr>v_45_XAOB</vt:lpstr>
      <vt:lpstr>v_45_XASRO</vt:lpstr>
      <vt:lpstr>v_45_XB</vt:lpstr>
      <vt:lpstr>v_45_XB_e</vt:lpstr>
      <vt:lpstr>v_45_XBSH</vt:lpstr>
      <vt:lpstr>v_45_XCaCO3</vt:lpstr>
      <vt:lpstr>v_45_XCASTO</vt:lpstr>
      <vt:lpstr>v_45_XE</vt:lpstr>
      <vt:lpstr>v_45_XE_ana</vt:lpstr>
      <vt:lpstr>v_45_XFeS</vt:lpstr>
      <vt:lpstr>v_45_XHAO_H</vt:lpstr>
      <vt:lpstr>v_45_XHAO_H_P</vt:lpstr>
      <vt:lpstr>v_45_XHAO_H_P_old</vt:lpstr>
      <vt:lpstr>v_45_XHAO_L</vt:lpstr>
      <vt:lpstr>v_45_XHAO_L_P</vt:lpstr>
      <vt:lpstr>v_45_XHAO_L_P_old</vt:lpstr>
      <vt:lpstr>v_45_XHAO_old</vt:lpstr>
      <vt:lpstr>v_45_XHFO_H</vt:lpstr>
      <vt:lpstr>v_45_XHFO_H_P</vt:lpstr>
      <vt:lpstr>v_45_XHFO_H_P_old</vt:lpstr>
      <vt:lpstr>v_45_XHFO_L</vt:lpstr>
      <vt:lpstr>v_45_XHFO_L_P</vt:lpstr>
      <vt:lpstr>v_45_XHFO_L_P_old</vt:lpstr>
      <vt:lpstr>v_45_XHFO_old</vt:lpstr>
      <vt:lpstr>v_45_XHMETO</vt:lpstr>
      <vt:lpstr>v_45_XHSRO</vt:lpstr>
      <vt:lpstr>v_45_XINORG</vt:lpstr>
      <vt:lpstr>v_45_XMEOLO</vt:lpstr>
      <vt:lpstr>v_45_XN_B</vt:lpstr>
      <vt:lpstr>v_45_XN_Be</vt:lpstr>
      <vt:lpstr>v_45_XN_U</vt:lpstr>
      <vt:lpstr>v_45_XNOB</vt:lpstr>
      <vt:lpstr>v_45_XOHO</vt:lpstr>
      <vt:lpstr>v_45_XP_B</vt:lpstr>
      <vt:lpstr>v_45_XP_Be</vt:lpstr>
      <vt:lpstr>v_45_XP_U</vt:lpstr>
      <vt:lpstr>v_45_XPFOA</vt:lpstr>
      <vt:lpstr>v_45_XPFOS</vt:lpstr>
      <vt:lpstr>v_45_XPHA_GAO</vt:lpstr>
      <vt:lpstr>v_45_XPHA_PAO</vt:lpstr>
      <vt:lpstr>v_45_XPP</vt:lpstr>
      <vt:lpstr>v_45_XS</vt:lpstr>
      <vt:lpstr>v_45_XSOO</vt:lpstr>
      <vt:lpstr>v_45_XSTR</vt:lpstr>
      <vt:lpstr>v_45_XU</vt:lpstr>
      <vt:lpstr>v_45_XVivi</vt:lpstr>
      <vt:lpstr>v_46_CB</vt:lpstr>
      <vt:lpstr>v_46_CU</vt:lpstr>
      <vt:lpstr>v_46_GCH4</vt:lpstr>
      <vt:lpstr>v_46_GCH4_atm</vt:lpstr>
      <vt:lpstr>v_46_GCO2</vt:lpstr>
      <vt:lpstr>v_46_GCO2_atm</vt:lpstr>
      <vt:lpstr>v_46_GH2</vt:lpstr>
      <vt:lpstr>v_46_GH2_atm</vt:lpstr>
      <vt:lpstr>v_46_GH2S</vt:lpstr>
      <vt:lpstr>v_46_GH2S_atm</vt:lpstr>
      <vt:lpstr>v_46_GN2</vt:lpstr>
      <vt:lpstr>v_46_GN2_atm</vt:lpstr>
      <vt:lpstr>v_46_GNH3</vt:lpstr>
      <vt:lpstr>v_46_GNH3_atm</vt:lpstr>
      <vt:lpstr>v_46_GO2</vt:lpstr>
      <vt:lpstr>v_46_GO2_atm</vt:lpstr>
      <vt:lpstr>v_46_SALPHA</vt:lpstr>
      <vt:lpstr>v_46_SAN</vt:lpstr>
      <vt:lpstr>v_46_SB</vt:lpstr>
      <vt:lpstr>v_46_SCa</vt:lpstr>
      <vt:lpstr>v_46_SCAT</vt:lpstr>
      <vt:lpstr>v_46_SCH4</vt:lpstr>
      <vt:lpstr>v_46_SCO2</vt:lpstr>
      <vt:lpstr>v_46_SFe2</vt:lpstr>
      <vt:lpstr>v_46_SH</vt:lpstr>
      <vt:lpstr>v_46_SH2</vt:lpstr>
      <vt:lpstr>v_46_SH2S</vt:lpstr>
      <vt:lpstr>v_46_SK</vt:lpstr>
      <vt:lpstr>v_46_SMEOL</vt:lpstr>
      <vt:lpstr>v_46_SMg</vt:lpstr>
      <vt:lpstr>v_46_SMM_index</vt:lpstr>
      <vt:lpstr>v_46_SN_B</vt:lpstr>
      <vt:lpstr>v_46_SN2</vt:lpstr>
      <vt:lpstr>v_46_SNHx</vt:lpstr>
      <vt:lpstr>v_46_SNO2</vt:lpstr>
      <vt:lpstr>v_46_SNO3</vt:lpstr>
      <vt:lpstr>v_46_SO2</vt:lpstr>
      <vt:lpstr>v_46_SORPswitch</vt:lpstr>
      <vt:lpstr>v_46_SP_B</vt:lpstr>
      <vt:lpstr>v_46_SPFOA</vt:lpstr>
      <vt:lpstr>v_46_SPFOS</vt:lpstr>
      <vt:lpstr>v_46_SPO4</vt:lpstr>
      <vt:lpstr>v_46_SSO4</vt:lpstr>
      <vt:lpstr>v_46_SU</vt:lpstr>
      <vt:lpstr>v_46_SVFA</vt:lpstr>
      <vt:lpstr>v_46_XACP</vt:lpstr>
      <vt:lpstr>v_46_XALGAE</vt:lpstr>
      <vt:lpstr>v_46_XAMETO</vt:lpstr>
      <vt:lpstr>v_46_XAMX</vt:lpstr>
      <vt:lpstr>v_46_XAOB</vt:lpstr>
      <vt:lpstr>v_46_XASRO</vt:lpstr>
      <vt:lpstr>v_46_XB</vt:lpstr>
      <vt:lpstr>v_46_XB_e</vt:lpstr>
      <vt:lpstr>v_46_XBSH</vt:lpstr>
      <vt:lpstr>v_46_XCaCO3</vt:lpstr>
      <vt:lpstr>v_46_XCASTO</vt:lpstr>
      <vt:lpstr>v_46_XE</vt:lpstr>
      <vt:lpstr>v_46_XE_ana</vt:lpstr>
      <vt:lpstr>v_46_XFeS</vt:lpstr>
      <vt:lpstr>v_46_XHAO_H</vt:lpstr>
      <vt:lpstr>v_46_XHAO_H_P</vt:lpstr>
      <vt:lpstr>v_46_XHAO_H_P_old</vt:lpstr>
      <vt:lpstr>v_46_XHAO_L</vt:lpstr>
      <vt:lpstr>v_46_XHAO_L_P</vt:lpstr>
      <vt:lpstr>v_46_XHAO_L_P_old</vt:lpstr>
      <vt:lpstr>v_46_XHAO_old</vt:lpstr>
      <vt:lpstr>v_46_XHFO_H</vt:lpstr>
      <vt:lpstr>v_46_XHFO_H_P</vt:lpstr>
      <vt:lpstr>v_46_XHFO_H_P_old</vt:lpstr>
      <vt:lpstr>v_46_XHFO_L</vt:lpstr>
      <vt:lpstr>v_46_XHFO_L_P</vt:lpstr>
      <vt:lpstr>v_46_XHFO_L_P_old</vt:lpstr>
      <vt:lpstr>v_46_XHFO_old</vt:lpstr>
      <vt:lpstr>v_46_XHMETO</vt:lpstr>
      <vt:lpstr>v_46_XHSRO</vt:lpstr>
      <vt:lpstr>v_46_XINORG</vt:lpstr>
      <vt:lpstr>v_46_XMEOLO</vt:lpstr>
      <vt:lpstr>v_46_XN_B</vt:lpstr>
      <vt:lpstr>v_46_XN_Be</vt:lpstr>
      <vt:lpstr>v_46_XN_U</vt:lpstr>
      <vt:lpstr>v_46_XNOB</vt:lpstr>
      <vt:lpstr>v_46_XOHO</vt:lpstr>
      <vt:lpstr>v_46_XP_B</vt:lpstr>
      <vt:lpstr>v_46_XP_Be</vt:lpstr>
      <vt:lpstr>v_46_XP_U</vt:lpstr>
      <vt:lpstr>v_46_XPFOA</vt:lpstr>
      <vt:lpstr>v_46_XPFOS</vt:lpstr>
      <vt:lpstr>v_46_XPHA_GAO</vt:lpstr>
      <vt:lpstr>v_46_XPHA_PAO</vt:lpstr>
      <vt:lpstr>v_46_XPP</vt:lpstr>
      <vt:lpstr>v_46_XS</vt:lpstr>
      <vt:lpstr>v_46_XSOO</vt:lpstr>
      <vt:lpstr>v_46_XSTR</vt:lpstr>
      <vt:lpstr>v_46_XU</vt:lpstr>
      <vt:lpstr>v_46_XVivi</vt:lpstr>
      <vt:lpstr>v_47_CB</vt:lpstr>
      <vt:lpstr>v_47_CU</vt:lpstr>
      <vt:lpstr>v_47_GCH4</vt:lpstr>
      <vt:lpstr>v_47_GCH4_atm</vt:lpstr>
      <vt:lpstr>v_47_GCO2</vt:lpstr>
      <vt:lpstr>v_47_GCO2_atm</vt:lpstr>
      <vt:lpstr>v_47_GH2</vt:lpstr>
      <vt:lpstr>v_47_GH2_atm</vt:lpstr>
      <vt:lpstr>v_47_GH2S</vt:lpstr>
      <vt:lpstr>v_47_GH2S_atm</vt:lpstr>
      <vt:lpstr>v_47_GN2</vt:lpstr>
      <vt:lpstr>v_47_GN2_atm</vt:lpstr>
      <vt:lpstr>v_47_GNH3</vt:lpstr>
      <vt:lpstr>v_47_GNH3_atm</vt:lpstr>
      <vt:lpstr>v_47_GO2</vt:lpstr>
      <vt:lpstr>v_47_GO2_atm</vt:lpstr>
      <vt:lpstr>v_47_SALPHA</vt:lpstr>
      <vt:lpstr>v_47_SAN</vt:lpstr>
      <vt:lpstr>v_47_SB</vt:lpstr>
      <vt:lpstr>v_47_SCa</vt:lpstr>
      <vt:lpstr>v_47_SCAT</vt:lpstr>
      <vt:lpstr>v_47_SCH4</vt:lpstr>
      <vt:lpstr>v_47_SCO2</vt:lpstr>
      <vt:lpstr>v_47_SFe2</vt:lpstr>
      <vt:lpstr>v_47_SH</vt:lpstr>
      <vt:lpstr>v_47_SH2</vt:lpstr>
      <vt:lpstr>v_47_SH2S</vt:lpstr>
      <vt:lpstr>v_47_SK</vt:lpstr>
      <vt:lpstr>v_47_SMEOL</vt:lpstr>
      <vt:lpstr>v_47_SMg</vt:lpstr>
      <vt:lpstr>v_47_SMM_index</vt:lpstr>
      <vt:lpstr>v_47_SN_B</vt:lpstr>
      <vt:lpstr>v_47_SN2</vt:lpstr>
      <vt:lpstr>v_47_SNHx</vt:lpstr>
      <vt:lpstr>v_47_SNO2</vt:lpstr>
      <vt:lpstr>v_47_SNO3</vt:lpstr>
      <vt:lpstr>v_47_SO2</vt:lpstr>
      <vt:lpstr>v_47_SORPswitch</vt:lpstr>
      <vt:lpstr>v_47_SP_B</vt:lpstr>
      <vt:lpstr>v_47_SPFOA</vt:lpstr>
      <vt:lpstr>v_47_SPFOS</vt:lpstr>
      <vt:lpstr>v_47_SPO4</vt:lpstr>
      <vt:lpstr>v_47_SSO4</vt:lpstr>
      <vt:lpstr>v_47_SU</vt:lpstr>
      <vt:lpstr>v_47_SVFA</vt:lpstr>
      <vt:lpstr>v_47_XACP</vt:lpstr>
      <vt:lpstr>v_47_XALGAE</vt:lpstr>
      <vt:lpstr>v_47_XAMETO</vt:lpstr>
      <vt:lpstr>v_47_XAMX</vt:lpstr>
      <vt:lpstr>v_47_XAOB</vt:lpstr>
      <vt:lpstr>v_47_XASRO</vt:lpstr>
      <vt:lpstr>v_47_XB</vt:lpstr>
      <vt:lpstr>v_47_XB_e</vt:lpstr>
      <vt:lpstr>v_47_XBSH</vt:lpstr>
      <vt:lpstr>v_47_XCaCO3</vt:lpstr>
      <vt:lpstr>v_47_XCASTO</vt:lpstr>
      <vt:lpstr>v_47_XE</vt:lpstr>
      <vt:lpstr>v_47_XE_ana</vt:lpstr>
      <vt:lpstr>v_47_XFeS</vt:lpstr>
      <vt:lpstr>v_47_XHAO_H</vt:lpstr>
      <vt:lpstr>v_47_XHAO_H_P</vt:lpstr>
      <vt:lpstr>v_47_XHAO_H_P_old</vt:lpstr>
      <vt:lpstr>v_47_XHAO_L</vt:lpstr>
      <vt:lpstr>v_47_XHAO_L_P</vt:lpstr>
      <vt:lpstr>v_47_XHAO_L_P_old</vt:lpstr>
      <vt:lpstr>v_47_XHAO_old</vt:lpstr>
      <vt:lpstr>v_47_XHFO_H</vt:lpstr>
      <vt:lpstr>v_47_XHFO_H_P</vt:lpstr>
      <vt:lpstr>v_47_XHFO_H_P_old</vt:lpstr>
      <vt:lpstr>v_47_XHFO_L</vt:lpstr>
      <vt:lpstr>v_47_XHFO_L_P</vt:lpstr>
      <vt:lpstr>v_47_XHFO_L_P_old</vt:lpstr>
      <vt:lpstr>v_47_XHFO_old</vt:lpstr>
      <vt:lpstr>v_47_XHMETO</vt:lpstr>
      <vt:lpstr>v_47_XHSRO</vt:lpstr>
      <vt:lpstr>v_47_XINORG</vt:lpstr>
      <vt:lpstr>v_47_XMEOLO</vt:lpstr>
      <vt:lpstr>v_47_XN_B</vt:lpstr>
      <vt:lpstr>v_47_XN_Be</vt:lpstr>
      <vt:lpstr>v_47_XN_U</vt:lpstr>
      <vt:lpstr>v_47_XNOB</vt:lpstr>
      <vt:lpstr>v_47_XOHO</vt:lpstr>
      <vt:lpstr>v_47_XP_B</vt:lpstr>
      <vt:lpstr>v_47_XP_Be</vt:lpstr>
      <vt:lpstr>v_47_XP_U</vt:lpstr>
      <vt:lpstr>v_47_XPFOA</vt:lpstr>
      <vt:lpstr>v_47_XPFOS</vt:lpstr>
      <vt:lpstr>v_47_XPHA_GAO</vt:lpstr>
      <vt:lpstr>v_47_XPHA_PAO</vt:lpstr>
      <vt:lpstr>v_47_XPP</vt:lpstr>
      <vt:lpstr>v_47_XS</vt:lpstr>
      <vt:lpstr>v_47_XSOO</vt:lpstr>
      <vt:lpstr>v_47_XSTR</vt:lpstr>
      <vt:lpstr>v_47_XU</vt:lpstr>
      <vt:lpstr>v_47_XVivi</vt:lpstr>
      <vt:lpstr>v_48_CB</vt:lpstr>
      <vt:lpstr>v_48_CU</vt:lpstr>
      <vt:lpstr>v_48_GCH4</vt:lpstr>
      <vt:lpstr>v_48_GCH4_atm</vt:lpstr>
      <vt:lpstr>v_48_GCO2</vt:lpstr>
      <vt:lpstr>v_48_GCO2_atm</vt:lpstr>
      <vt:lpstr>v_48_GH2</vt:lpstr>
      <vt:lpstr>v_48_GH2_atm</vt:lpstr>
      <vt:lpstr>v_48_GH2S</vt:lpstr>
      <vt:lpstr>v_48_GH2S_atm</vt:lpstr>
      <vt:lpstr>v_48_GN2</vt:lpstr>
      <vt:lpstr>v_48_GN2_atm</vt:lpstr>
      <vt:lpstr>v_48_GNH3</vt:lpstr>
      <vt:lpstr>v_48_GNH3_atm</vt:lpstr>
      <vt:lpstr>v_48_GO2</vt:lpstr>
      <vt:lpstr>v_48_GO2_atm</vt:lpstr>
      <vt:lpstr>v_48_SALPHA</vt:lpstr>
      <vt:lpstr>v_48_SAN</vt:lpstr>
      <vt:lpstr>v_48_SB</vt:lpstr>
      <vt:lpstr>v_48_SCa</vt:lpstr>
      <vt:lpstr>v_48_SCAT</vt:lpstr>
      <vt:lpstr>v_48_SCH4</vt:lpstr>
      <vt:lpstr>v_48_SCO2</vt:lpstr>
      <vt:lpstr>v_48_SFe2</vt:lpstr>
      <vt:lpstr>v_48_SH</vt:lpstr>
      <vt:lpstr>v_48_SH2</vt:lpstr>
      <vt:lpstr>v_48_SH2S</vt:lpstr>
      <vt:lpstr>v_48_SK</vt:lpstr>
      <vt:lpstr>v_48_SMEOL</vt:lpstr>
      <vt:lpstr>v_48_SMg</vt:lpstr>
      <vt:lpstr>v_48_SMM_index</vt:lpstr>
      <vt:lpstr>v_48_SN_B</vt:lpstr>
      <vt:lpstr>v_48_SN2</vt:lpstr>
      <vt:lpstr>v_48_SNHx</vt:lpstr>
      <vt:lpstr>v_48_SNO2</vt:lpstr>
      <vt:lpstr>v_48_SNO3</vt:lpstr>
      <vt:lpstr>v_48_SO2</vt:lpstr>
      <vt:lpstr>v_48_SORPswitch</vt:lpstr>
      <vt:lpstr>v_48_SP_B</vt:lpstr>
      <vt:lpstr>v_48_SPFOA</vt:lpstr>
      <vt:lpstr>v_48_SPFOS</vt:lpstr>
      <vt:lpstr>v_48_SPO4</vt:lpstr>
      <vt:lpstr>v_48_SSO4</vt:lpstr>
      <vt:lpstr>v_48_SU</vt:lpstr>
      <vt:lpstr>v_48_SVFA</vt:lpstr>
      <vt:lpstr>v_48_XACP</vt:lpstr>
      <vt:lpstr>v_48_XALGAE</vt:lpstr>
      <vt:lpstr>v_48_XAMETO</vt:lpstr>
      <vt:lpstr>v_48_XAMX</vt:lpstr>
      <vt:lpstr>v_48_XAOB</vt:lpstr>
      <vt:lpstr>v_48_XASRO</vt:lpstr>
      <vt:lpstr>v_48_XB</vt:lpstr>
      <vt:lpstr>v_48_XB_e</vt:lpstr>
      <vt:lpstr>v_48_XBSH</vt:lpstr>
      <vt:lpstr>v_48_XCaCO3</vt:lpstr>
      <vt:lpstr>v_48_XCASTO</vt:lpstr>
      <vt:lpstr>v_48_XE</vt:lpstr>
      <vt:lpstr>v_48_XE_ana</vt:lpstr>
      <vt:lpstr>v_48_XFeS</vt:lpstr>
      <vt:lpstr>v_48_XHAO_H</vt:lpstr>
      <vt:lpstr>v_48_XHAO_H_P</vt:lpstr>
      <vt:lpstr>v_48_XHAO_H_P_old</vt:lpstr>
      <vt:lpstr>v_48_XHAO_L</vt:lpstr>
      <vt:lpstr>v_48_XHAO_L_P</vt:lpstr>
      <vt:lpstr>v_48_XHAO_L_P_old</vt:lpstr>
      <vt:lpstr>v_48_XHAO_old</vt:lpstr>
      <vt:lpstr>v_48_XHFO_H</vt:lpstr>
      <vt:lpstr>v_48_XHFO_H_P</vt:lpstr>
      <vt:lpstr>v_48_XHFO_H_P_old</vt:lpstr>
      <vt:lpstr>v_48_XHFO_L</vt:lpstr>
      <vt:lpstr>v_48_XHFO_L_P</vt:lpstr>
      <vt:lpstr>v_48_XHFO_L_P_old</vt:lpstr>
      <vt:lpstr>v_48_XHFO_old</vt:lpstr>
      <vt:lpstr>v_48_XHMETO</vt:lpstr>
      <vt:lpstr>v_48_XHSRO</vt:lpstr>
      <vt:lpstr>v_48_XINORG</vt:lpstr>
      <vt:lpstr>v_48_XMEOLO</vt:lpstr>
      <vt:lpstr>v_48_XN_B</vt:lpstr>
      <vt:lpstr>v_48_XN_Be</vt:lpstr>
      <vt:lpstr>v_48_XN_U</vt:lpstr>
      <vt:lpstr>v_48_XNOB</vt:lpstr>
      <vt:lpstr>v_48_XOHO</vt:lpstr>
      <vt:lpstr>v_48_XP_B</vt:lpstr>
      <vt:lpstr>v_48_XP_Be</vt:lpstr>
      <vt:lpstr>v_48_XP_U</vt:lpstr>
      <vt:lpstr>v_48_XPFOA</vt:lpstr>
      <vt:lpstr>v_48_XPFOS</vt:lpstr>
      <vt:lpstr>v_48_XPHA_GAO</vt:lpstr>
      <vt:lpstr>v_48_XPHA_PAO</vt:lpstr>
      <vt:lpstr>v_48_XPP</vt:lpstr>
      <vt:lpstr>v_48_XS</vt:lpstr>
      <vt:lpstr>v_48_XSOO</vt:lpstr>
      <vt:lpstr>v_48_XSTR</vt:lpstr>
      <vt:lpstr>v_48_XU</vt:lpstr>
      <vt:lpstr>v_48_XVivi</vt:lpstr>
      <vt:lpstr>v_49_CB</vt:lpstr>
      <vt:lpstr>v_49_CU</vt:lpstr>
      <vt:lpstr>v_49_GCH4</vt:lpstr>
      <vt:lpstr>v_49_GCH4_atm</vt:lpstr>
      <vt:lpstr>v_49_GCO2</vt:lpstr>
      <vt:lpstr>v_49_GCO2_atm</vt:lpstr>
      <vt:lpstr>v_49_GH2</vt:lpstr>
      <vt:lpstr>v_49_GH2_atm</vt:lpstr>
      <vt:lpstr>v_49_GH2S</vt:lpstr>
      <vt:lpstr>v_49_GH2S_atm</vt:lpstr>
      <vt:lpstr>v_49_GN2</vt:lpstr>
      <vt:lpstr>v_49_GN2_atm</vt:lpstr>
      <vt:lpstr>v_49_GNH3</vt:lpstr>
      <vt:lpstr>v_49_GNH3_atm</vt:lpstr>
      <vt:lpstr>v_49_GO2</vt:lpstr>
      <vt:lpstr>v_49_GO2_atm</vt:lpstr>
      <vt:lpstr>v_49_SALPHA</vt:lpstr>
      <vt:lpstr>v_49_SAN</vt:lpstr>
      <vt:lpstr>v_49_SB</vt:lpstr>
      <vt:lpstr>v_49_SCa</vt:lpstr>
      <vt:lpstr>v_49_SCAT</vt:lpstr>
      <vt:lpstr>v_49_SCH4</vt:lpstr>
      <vt:lpstr>v_49_SCO2</vt:lpstr>
      <vt:lpstr>v_49_SFe2</vt:lpstr>
      <vt:lpstr>v_49_SH</vt:lpstr>
      <vt:lpstr>v_49_SH2</vt:lpstr>
      <vt:lpstr>v_49_SH2S</vt:lpstr>
      <vt:lpstr>v_49_SK</vt:lpstr>
      <vt:lpstr>v_49_SMEOL</vt:lpstr>
      <vt:lpstr>v_49_SMg</vt:lpstr>
      <vt:lpstr>v_49_SMM_index</vt:lpstr>
      <vt:lpstr>v_49_SN_B</vt:lpstr>
      <vt:lpstr>v_49_SN2</vt:lpstr>
      <vt:lpstr>v_49_SNHx</vt:lpstr>
      <vt:lpstr>v_49_SNO2</vt:lpstr>
      <vt:lpstr>v_49_SNO3</vt:lpstr>
      <vt:lpstr>v_49_SO2</vt:lpstr>
      <vt:lpstr>v_49_SORPswitch</vt:lpstr>
      <vt:lpstr>v_49_SP_B</vt:lpstr>
      <vt:lpstr>v_49_SPFOA</vt:lpstr>
      <vt:lpstr>v_49_SPFOS</vt:lpstr>
      <vt:lpstr>v_49_SPO4</vt:lpstr>
      <vt:lpstr>v_49_SSO4</vt:lpstr>
      <vt:lpstr>v_49_SU</vt:lpstr>
      <vt:lpstr>v_49_SVFA</vt:lpstr>
      <vt:lpstr>v_49_XACP</vt:lpstr>
      <vt:lpstr>v_49_XALGAE</vt:lpstr>
      <vt:lpstr>v_49_XAMETO</vt:lpstr>
      <vt:lpstr>v_49_XAMX</vt:lpstr>
      <vt:lpstr>v_49_XAOB</vt:lpstr>
      <vt:lpstr>v_49_XASRO</vt:lpstr>
      <vt:lpstr>v_49_XB</vt:lpstr>
      <vt:lpstr>v_49_XB_e</vt:lpstr>
      <vt:lpstr>v_49_XBSH</vt:lpstr>
      <vt:lpstr>v_49_XCaCO3</vt:lpstr>
      <vt:lpstr>v_49_XCASTO</vt:lpstr>
      <vt:lpstr>v_49_XE</vt:lpstr>
      <vt:lpstr>v_49_XE_ana</vt:lpstr>
      <vt:lpstr>v_49_XFeS</vt:lpstr>
      <vt:lpstr>v_49_XHAO_H</vt:lpstr>
      <vt:lpstr>v_49_XHAO_H_P</vt:lpstr>
      <vt:lpstr>v_49_XHAO_H_P_old</vt:lpstr>
      <vt:lpstr>v_49_XHAO_L</vt:lpstr>
      <vt:lpstr>v_49_XHAO_L_P</vt:lpstr>
      <vt:lpstr>v_49_XHAO_L_P_old</vt:lpstr>
      <vt:lpstr>v_49_XHAO_old</vt:lpstr>
      <vt:lpstr>v_49_XHFO_H</vt:lpstr>
      <vt:lpstr>v_49_XHFO_H_P</vt:lpstr>
      <vt:lpstr>v_49_XHFO_H_P_old</vt:lpstr>
      <vt:lpstr>v_49_XHFO_L</vt:lpstr>
      <vt:lpstr>v_49_XHFO_L_P</vt:lpstr>
      <vt:lpstr>v_49_XHFO_L_P_old</vt:lpstr>
      <vt:lpstr>v_49_XHFO_old</vt:lpstr>
      <vt:lpstr>v_49_XHMETO</vt:lpstr>
      <vt:lpstr>v_49_XHSRO</vt:lpstr>
      <vt:lpstr>v_49_XINORG</vt:lpstr>
      <vt:lpstr>v_49_XMEOLO</vt:lpstr>
      <vt:lpstr>v_49_XN_B</vt:lpstr>
      <vt:lpstr>v_49_XN_Be</vt:lpstr>
      <vt:lpstr>v_49_XN_U</vt:lpstr>
      <vt:lpstr>v_49_XNOB</vt:lpstr>
      <vt:lpstr>v_49_XOHO</vt:lpstr>
      <vt:lpstr>v_49_XP_B</vt:lpstr>
      <vt:lpstr>v_49_XP_Be</vt:lpstr>
      <vt:lpstr>v_49_XP_U</vt:lpstr>
      <vt:lpstr>v_49_XPFOA</vt:lpstr>
      <vt:lpstr>v_49_XPFOS</vt:lpstr>
      <vt:lpstr>v_49_XPHA_GAO</vt:lpstr>
      <vt:lpstr>v_49_XPHA_PAO</vt:lpstr>
      <vt:lpstr>v_49_XPP</vt:lpstr>
      <vt:lpstr>v_49_XS</vt:lpstr>
      <vt:lpstr>v_49_XSOO</vt:lpstr>
      <vt:lpstr>v_49_XSTR</vt:lpstr>
      <vt:lpstr>v_49_XU</vt:lpstr>
      <vt:lpstr>v_49_XVivi</vt:lpstr>
      <vt:lpstr>v_5_CB</vt:lpstr>
      <vt:lpstr>v_5_CU</vt:lpstr>
      <vt:lpstr>v_5_GCH4</vt:lpstr>
      <vt:lpstr>v_5_GCH4_atm</vt:lpstr>
      <vt:lpstr>v_5_GCO2</vt:lpstr>
      <vt:lpstr>v_5_GCO2_atm</vt:lpstr>
      <vt:lpstr>v_5_GH2</vt:lpstr>
      <vt:lpstr>v_5_GH2_atm</vt:lpstr>
      <vt:lpstr>v_5_GH2S</vt:lpstr>
      <vt:lpstr>v_5_GH2S_atm</vt:lpstr>
      <vt:lpstr>v_5_GN2</vt:lpstr>
      <vt:lpstr>v_5_GN2_atm</vt:lpstr>
      <vt:lpstr>v_5_GNH3</vt:lpstr>
      <vt:lpstr>v_5_GNH3_atm</vt:lpstr>
      <vt:lpstr>v_5_GO2</vt:lpstr>
      <vt:lpstr>v_5_GO2_atm</vt:lpstr>
      <vt:lpstr>v_5_SALPHA</vt:lpstr>
      <vt:lpstr>v_5_SAN</vt:lpstr>
      <vt:lpstr>v_5_SB</vt:lpstr>
      <vt:lpstr>v_5_SCa</vt:lpstr>
      <vt:lpstr>v_5_SCAT</vt:lpstr>
      <vt:lpstr>v_5_SCH4</vt:lpstr>
      <vt:lpstr>v_5_SCO2</vt:lpstr>
      <vt:lpstr>v_5_SFe2</vt:lpstr>
      <vt:lpstr>v_5_SH</vt:lpstr>
      <vt:lpstr>v_5_SH2</vt:lpstr>
      <vt:lpstr>v_5_SH2S</vt:lpstr>
      <vt:lpstr>v_5_SK</vt:lpstr>
      <vt:lpstr>v_5_SMEOL</vt:lpstr>
      <vt:lpstr>v_5_SMg</vt:lpstr>
      <vt:lpstr>v_5_SMM_index</vt:lpstr>
      <vt:lpstr>v_5_SN_B</vt:lpstr>
      <vt:lpstr>v_5_SN2</vt:lpstr>
      <vt:lpstr>v_5_SNHx</vt:lpstr>
      <vt:lpstr>v_5_SNO2</vt:lpstr>
      <vt:lpstr>v_5_SNO3</vt:lpstr>
      <vt:lpstr>v_5_SO2</vt:lpstr>
      <vt:lpstr>v_5_SORPswitch</vt:lpstr>
      <vt:lpstr>v_5_SP_B</vt:lpstr>
      <vt:lpstr>v_5_SPFOA</vt:lpstr>
      <vt:lpstr>v_5_SPFOS</vt:lpstr>
      <vt:lpstr>v_5_SPO4</vt:lpstr>
      <vt:lpstr>v_5_SSO4</vt:lpstr>
      <vt:lpstr>v_5_SU</vt:lpstr>
      <vt:lpstr>v_5_SVFA</vt:lpstr>
      <vt:lpstr>v_5_XACP</vt:lpstr>
      <vt:lpstr>v_5_XALGAE</vt:lpstr>
      <vt:lpstr>v_5_XAMETO</vt:lpstr>
      <vt:lpstr>v_5_XAMX</vt:lpstr>
      <vt:lpstr>v_5_XAOB</vt:lpstr>
      <vt:lpstr>v_5_XASRO</vt:lpstr>
      <vt:lpstr>v_5_XB</vt:lpstr>
      <vt:lpstr>v_5_XB_e</vt:lpstr>
      <vt:lpstr>v_5_XBSH</vt:lpstr>
      <vt:lpstr>v_5_XCaCO3</vt:lpstr>
      <vt:lpstr>v_5_XCASTO</vt:lpstr>
      <vt:lpstr>v_5_XE</vt:lpstr>
      <vt:lpstr>v_5_XE_ana</vt:lpstr>
      <vt:lpstr>v_5_XFeS</vt:lpstr>
      <vt:lpstr>v_5_XHAO_H</vt:lpstr>
      <vt:lpstr>v_5_XHAO_H_P</vt:lpstr>
      <vt:lpstr>v_5_XHAO_H_P_old</vt:lpstr>
      <vt:lpstr>v_5_XHAO_L</vt:lpstr>
      <vt:lpstr>v_5_XHAO_L_P</vt:lpstr>
      <vt:lpstr>v_5_XHAO_L_P_old</vt:lpstr>
      <vt:lpstr>v_5_XHAO_old</vt:lpstr>
      <vt:lpstr>v_5_XHFO_H</vt:lpstr>
      <vt:lpstr>v_5_XHFO_H_P</vt:lpstr>
      <vt:lpstr>v_5_XHFO_H_P_old</vt:lpstr>
      <vt:lpstr>v_5_XHFO_L</vt:lpstr>
      <vt:lpstr>v_5_XHFO_L_P</vt:lpstr>
      <vt:lpstr>v_5_XHFO_L_P_old</vt:lpstr>
      <vt:lpstr>v_5_XHFO_old</vt:lpstr>
      <vt:lpstr>v_5_XHMETO</vt:lpstr>
      <vt:lpstr>v_5_XHSRO</vt:lpstr>
      <vt:lpstr>v_5_XINORG</vt:lpstr>
      <vt:lpstr>v_5_XMEOLO</vt:lpstr>
      <vt:lpstr>v_5_XN_B</vt:lpstr>
      <vt:lpstr>v_5_XN_Be</vt:lpstr>
      <vt:lpstr>v_5_XN_U</vt:lpstr>
      <vt:lpstr>v_5_XNOB</vt:lpstr>
      <vt:lpstr>v_5_XOHO</vt:lpstr>
      <vt:lpstr>v_5_XP_B</vt:lpstr>
      <vt:lpstr>v_5_XP_Be</vt:lpstr>
      <vt:lpstr>v_5_XP_U</vt:lpstr>
      <vt:lpstr>v_5_XPFOA</vt:lpstr>
      <vt:lpstr>v_5_XPFOS</vt:lpstr>
      <vt:lpstr>v_5_XPHA_GAO</vt:lpstr>
      <vt:lpstr>v_5_XPHA_PAO</vt:lpstr>
      <vt:lpstr>v_5_XPP</vt:lpstr>
      <vt:lpstr>v_5_XS</vt:lpstr>
      <vt:lpstr>v_5_XSOO</vt:lpstr>
      <vt:lpstr>v_5_XSTR</vt:lpstr>
      <vt:lpstr>v_5_XU</vt:lpstr>
      <vt:lpstr>v_5_XVivi</vt:lpstr>
      <vt:lpstr>v_50_CB</vt:lpstr>
      <vt:lpstr>v_50_CU</vt:lpstr>
      <vt:lpstr>v_50_GCH4</vt:lpstr>
      <vt:lpstr>v_50_GCH4_atm</vt:lpstr>
      <vt:lpstr>v_50_GCO2</vt:lpstr>
      <vt:lpstr>v_50_GCO2_atm</vt:lpstr>
      <vt:lpstr>v_50_GH2</vt:lpstr>
      <vt:lpstr>v_50_GH2_atm</vt:lpstr>
      <vt:lpstr>v_50_GH2S</vt:lpstr>
      <vt:lpstr>v_50_GH2S_atm</vt:lpstr>
      <vt:lpstr>v_50_GN2</vt:lpstr>
      <vt:lpstr>v_50_GN2_atm</vt:lpstr>
      <vt:lpstr>v_50_GNH3</vt:lpstr>
      <vt:lpstr>v_50_GNH3_atm</vt:lpstr>
      <vt:lpstr>v_50_GO2</vt:lpstr>
      <vt:lpstr>v_50_GO2_atm</vt:lpstr>
      <vt:lpstr>v_50_SALPHA</vt:lpstr>
      <vt:lpstr>v_50_SAN</vt:lpstr>
      <vt:lpstr>v_50_SB</vt:lpstr>
      <vt:lpstr>v_50_SCa</vt:lpstr>
      <vt:lpstr>v_50_SCAT</vt:lpstr>
      <vt:lpstr>v_50_SCH4</vt:lpstr>
      <vt:lpstr>v_50_SCO2</vt:lpstr>
      <vt:lpstr>v_50_SFe2</vt:lpstr>
      <vt:lpstr>v_50_SH</vt:lpstr>
      <vt:lpstr>v_50_SH2</vt:lpstr>
      <vt:lpstr>v_50_SH2S</vt:lpstr>
      <vt:lpstr>v_50_SK</vt:lpstr>
      <vt:lpstr>v_50_SMEOL</vt:lpstr>
      <vt:lpstr>v_50_SMg</vt:lpstr>
      <vt:lpstr>v_50_SMM_index</vt:lpstr>
      <vt:lpstr>v_50_SN_B</vt:lpstr>
      <vt:lpstr>v_50_SN2</vt:lpstr>
      <vt:lpstr>v_50_SNHx</vt:lpstr>
      <vt:lpstr>v_50_SNO2</vt:lpstr>
      <vt:lpstr>v_50_SNO3</vt:lpstr>
      <vt:lpstr>v_50_SO2</vt:lpstr>
      <vt:lpstr>v_50_SORPswitch</vt:lpstr>
      <vt:lpstr>v_50_SP_B</vt:lpstr>
      <vt:lpstr>v_50_SPFOA</vt:lpstr>
      <vt:lpstr>v_50_SPFOS</vt:lpstr>
      <vt:lpstr>v_50_SPO4</vt:lpstr>
      <vt:lpstr>v_50_SSO4</vt:lpstr>
      <vt:lpstr>v_50_SU</vt:lpstr>
      <vt:lpstr>v_50_SVFA</vt:lpstr>
      <vt:lpstr>v_50_XACP</vt:lpstr>
      <vt:lpstr>v_50_XALGAE</vt:lpstr>
      <vt:lpstr>v_50_XAMETO</vt:lpstr>
      <vt:lpstr>v_50_XAMX</vt:lpstr>
      <vt:lpstr>v_50_XAOB</vt:lpstr>
      <vt:lpstr>v_50_XASRO</vt:lpstr>
      <vt:lpstr>v_50_XB</vt:lpstr>
      <vt:lpstr>v_50_XB_e</vt:lpstr>
      <vt:lpstr>v_50_XBSH</vt:lpstr>
      <vt:lpstr>v_50_XCaCO3</vt:lpstr>
      <vt:lpstr>v_50_XCASTO</vt:lpstr>
      <vt:lpstr>v_50_XE</vt:lpstr>
      <vt:lpstr>v_50_XE_ana</vt:lpstr>
      <vt:lpstr>v_50_XFeS</vt:lpstr>
      <vt:lpstr>v_50_XHAO_H</vt:lpstr>
      <vt:lpstr>v_50_XHAO_H_P</vt:lpstr>
      <vt:lpstr>v_50_XHAO_H_P_old</vt:lpstr>
      <vt:lpstr>v_50_XHAO_L</vt:lpstr>
      <vt:lpstr>v_50_XHAO_L_P</vt:lpstr>
      <vt:lpstr>v_50_XHAO_L_P_old</vt:lpstr>
      <vt:lpstr>v_50_XHAO_old</vt:lpstr>
      <vt:lpstr>v_50_XHFO_H</vt:lpstr>
      <vt:lpstr>v_50_XHFO_H_P</vt:lpstr>
      <vt:lpstr>v_50_XHFO_H_P_old</vt:lpstr>
      <vt:lpstr>v_50_XHFO_L</vt:lpstr>
      <vt:lpstr>v_50_XHFO_L_P</vt:lpstr>
      <vt:lpstr>v_50_XHFO_L_P_old</vt:lpstr>
      <vt:lpstr>v_50_XHFO_old</vt:lpstr>
      <vt:lpstr>v_50_XHMETO</vt:lpstr>
      <vt:lpstr>v_50_XHSRO</vt:lpstr>
      <vt:lpstr>v_50_XINORG</vt:lpstr>
      <vt:lpstr>v_50_XMEOLO</vt:lpstr>
      <vt:lpstr>v_50_XN_B</vt:lpstr>
      <vt:lpstr>v_50_XN_Be</vt:lpstr>
      <vt:lpstr>v_50_XN_U</vt:lpstr>
      <vt:lpstr>v_50_XNOB</vt:lpstr>
      <vt:lpstr>v_50_XOHO</vt:lpstr>
      <vt:lpstr>v_50_XP_B</vt:lpstr>
      <vt:lpstr>v_50_XP_Be</vt:lpstr>
      <vt:lpstr>v_50_XP_U</vt:lpstr>
      <vt:lpstr>v_50_XPFOA</vt:lpstr>
      <vt:lpstr>v_50_XPFOS</vt:lpstr>
      <vt:lpstr>v_50_XPHA_GAO</vt:lpstr>
      <vt:lpstr>v_50_XPHA_PAO</vt:lpstr>
      <vt:lpstr>v_50_XPP</vt:lpstr>
      <vt:lpstr>v_50_XS</vt:lpstr>
      <vt:lpstr>v_50_XSOO</vt:lpstr>
      <vt:lpstr>v_50_XSTR</vt:lpstr>
      <vt:lpstr>v_50_XU</vt:lpstr>
      <vt:lpstr>v_50_XVivi</vt:lpstr>
      <vt:lpstr>v_51_CB</vt:lpstr>
      <vt:lpstr>v_51_CU</vt:lpstr>
      <vt:lpstr>v_51_GCH4</vt:lpstr>
      <vt:lpstr>v_51_GCH4_atm</vt:lpstr>
      <vt:lpstr>v_51_GCO2</vt:lpstr>
      <vt:lpstr>v_51_GCO2_atm</vt:lpstr>
      <vt:lpstr>v_51_GH2</vt:lpstr>
      <vt:lpstr>v_51_GH2_atm</vt:lpstr>
      <vt:lpstr>v_51_GH2S</vt:lpstr>
      <vt:lpstr>v_51_GH2S_atm</vt:lpstr>
      <vt:lpstr>v_51_GN2</vt:lpstr>
      <vt:lpstr>v_51_GN2_atm</vt:lpstr>
      <vt:lpstr>v_51_GNH3</vt:lpstr>
      <vt:lpstr>v_51_GNH3_atm</vt:lpstr>
      <vt:lpstr>v_51_GO2</vt:lpstr>
      <vt:lpstr>v_51_GO2_atm</vt:lpstr>
      <vt:lpstr>v_51_SALPHA</vt:lpstr>
      <vt:lpstr>v_51_SAN</vt:lpstr>
      <vt:lpstr>v_51_SB</vt:lpstr>
      <vt:lpstr>v_51_SCa</vt:lpstr>
      <vt:lpstr>v_51_SCAT</vt:lpstr>
      <vt:lpstr>v_51_SCH4</vt:lpstr>
      <vt:lpstr>v_51_SCO2</vt:lpstr>
      <vt:lpstr>v_51_SFe2</vt:lpstr>
      <vt:lpstr>v_51_SH</vt:lpstr>
      <vt:lpstr>v_51_SH2</vt:lpstr>
      <vt:lpstr>v_51_SH2S</vt:lpstr>
      <vt:lpstr>v_51_SK</vt:lpstr>
      <vt:lpstr>v_51_SMEOL</vt:lpstr>
      <vt:lpstr>v_51_SMg</vt:lpstr>
      <vt:lpstr>v_51_SMM_index</vt:lpstr>
      <vt:lpstr>v_51_SN_B</vt:lpstr>
      <vt:lpstr>v_51_SN2</vt:lpstr>
      <vt:lpstr>v_51_SNHx</vt:lpstr>
      <vt:lpstr>v_51_SNO2</vt:lpstr>
      <vt:lpstr>v_51_SNO3</vt:lpstr>
      <vt:lpstr>v_51_SO2</vt:lpstr>
      <vt:lpstr>v_51_SORPswitch</vt:lpstr>
      <vt:lpstr>v_51_SP_B</vt:lpstr>
      <vt:lpstr>v_51_SPFOA</vt:lpstr>
      <vt:lpstr>v_51_SPFOS</vt:lpstr>
      <vt:lpstr>v_51_SPO4</vt:lpstr>
      <vt:lpstr>v_51_SSO4</vt:lpstr>
      <vt:lpstr>v_51_SU</vt:lpstr>
      <vt:lpstr>v_51_SVFA</vt:lpstr>
      <vt:lpstr>v_51_XACP</vt:lpstr>
      <vt:lpstr>v_51_XALGAE</vt:lpstr>
      <vt:lpstr>v_51_XAMETO</vt:lpstr>
      <vt:lpstr>v_51_XAMX</vt:lpstr>
      <vt:lpstr>v_51_XAOB</vt:lpstr>
      <vt:lpstr>v_51_XASRO</vt:lpstr>
      <vt:lpstr>v_51_XB</vt:lpstr>
      <vt:lpstr>v_51_XB_e</vt:lpstr>
      <vt:lpstr>v_51_XBSH</vt:lpstr>
      <vt:lpstr>v_51_XCaCO3</vt:lpstr>
      <vt:lpstr>v_51_XCASTO</vt:lpstr>
      <vt:lpstr>v_51_XE</vt:lpstr>
      <vt:lpstr>v_51_XE_ana</vt:lpstr>
      <vt:lpstr>v_51_XFeS</vt:lpstr>
      <vt:lpstr>v_51_XHAO_H</vt:lpstr>
      <vt:lpstr>v_51_XHAO_H_P</vt:lpstr>
      <vt:lpstr>v_51_XHAO_H_P_old</vt:lpstr>
      <vt:lpstr>v_51_XHAO_L</vt:lpstr>
      <vt:lpstr>v_51_XHAO_L_P</vt:lpstr>
      <vt:lpstr>v_51_XHAO_L_P_old</vt:lpstr>
      <vt:lpstr>v_51_XHAO_old</vt:lpstr>
      <vt:lpstr>v_51_XHFO_H</vt:lpstr>
      <vt:lpstr>v_51_XHFO_H_P</vt:lpstr>
      <vt:lpstr>v_51_XHFO_H_P_old</vt:lpstr>
      <vt:lpstr>v_51_XHFO_L</vt:lpstr>
      <vt:lpstr>v_51_XHFO_L_P</vt:lpstr>
      <vt:lpstr>v_51_XHFO_L_P_old</vt:lpstr>
      <vt:lpstr>v_51_XHFO_old</vt:lpstr>
      <vt:lpstr>v_51_XHMETO</vt:lpstr>
      <vt:lpstr>v_51_XHSRO</vt:lpstr>
      <vt:lpstr>v_51_XINORG</vt:lpstr>
      <vt:lpstr>v_51_XMEOLO</vt:lpstr>
      <vt:lpstr>v_51_XN_B</vt:lpstr>
      <vt:lpstr>v_51_XN_Be</vt:lpstr>
      <vt:lpstr>v_51_XN_U</vt:lpstr>
      <vt:lpstr>v_51_XNOB</vt:lpstr>
      <vt:lpstr>v_51_XOHO</vt:lpstr>
      <vt:lpstr>v_51_XP_B</vt:lpstr>
      <vt:lpstr>v_51_XP_Be</vt:lpstr>
      <vt:lpstr>v_51_XP_U</vt:lpstr>
      <vt:lpstr>v_51_XPFOA</vt:lpstr>
      <vt:lpstr>v_51_XPFOS</vt:lpstr>
      <vt:lpstr>v_51_XPHA_GAO</vt:lpstr>
      <vt:lpstr>v_51_XPHA_PAO</vt:lpstr>
      <vt:lpstr>v_51_XPP</vt:lpstr>
      <vt:lpstr>v_51_XS</vt:lpstr>
      <vt:lpstr>v_51_XSOO</vt:lpstr>
      <vt:lpstr>v_51_XSTR</vt:lpstr>
      <vt:lpstr>v_51_XU</vt:lpstr>
      <vt:lpstr>v_51_XVivi</vt:lpstr>
      <vt:lpstr>v_52_CB</vt:lpstr>
      <vt:lpstr>v_52_CU</vt:lpstr>
      <vt:lpstr>v_52_GCH4</vt:lpstr>
      <vt:lpstr>v_52_GCH4_atm</vt:lpstr>
      <vt:lpstr>v_52_GCO2</vt:lpstr>
      <vt:lpstr>v_52_GCO2_atm</vt:lpstr>
      <vt:lpstr>v_52_GH2</vt:lpstr>
      <vt:lpstr>v_52_GH2_atm</vt:lpstr>
      <vt:lpstr>v_52_GH2S</vt:lpstr>
      <vt:lpstr>v_52_GH2S_atm</vt:lpstr>
      <vt:lpstr>v_52_GN2</vt:lpstr>
      <vt:lpstr>v_52_GN2_atm</vt:lpstr>
      <vt:lpstr>v_52_GNH3</vt:lpstr>
      <vt:lpstr>v_52_GNH3_atm</vt:lpstr>
      <vt:lpstr>v_52_GO2</vt:lpstr>
      <vt:lpstr>v_52_GO2_atm</vt:lpstr>
      <vt:lpstr>v_52_SALPHA</vt:lpstr>
      <vt:lpstr>v_52_SAN</vt:lpstr>
      <vt:lpstr>v_52_SB</vt:lpstr>
      <vt:lpstr>v_52_SCa</vt:lpstr>
      <vt:lpstr>v_52_SCAT</vt:lpstr>
      <vt:lpstr>v_52_SCH4</vt:lpstr>
      <vt:lpstr>v_52_SCO2</vt:lpstr>
      <vt:lpstr>v_52_SFe2</vt:lpstr>
      <vt:lpstr>v_52_SH</vt:lpstr>
      <vt:lpstr>v_52_SH2</vt:lpstr>
      <vt:lpstr>v_52_SH2S</vt:lpstr>
      <vt:lpstr>v_52_SK</vt:lpstr>
      <vt:lpstr>v_52_SMEOL</vt:lpstr>
      <vt:lpstr>v_52_SMg</vt:lpstr>
      <vt:lpstr>v_52_SMM_index</vt:lpstr>
      <vt:lpstr>v_52_SN_B</vt:lpstr>
      <vt:lpstr>v_52_SN2</vt:lpstr>
      <vt:lpstr>v_52_SNHx</vt:lpstr>
      <vt:lpstr>v_52_SNO2</vt:lpstr>
      <vt:lpstr>v_52_SNO3</vt:lpstr>
      <vt:lpstr>v_52_SO2</vt:lpstr>
      <vt:lpstr>v_52_SORPswitch</vt:lpstr>
      <vt:lpstr>v_52_SP_B</vt:lpstr>
      <vt:lpstr>v_52_SPFOA</vt:lpstr>
      <vt:lpstr>v_52_SPFOS</vt:lpstr>
      <vt:lpstr>v_52_SPO4</vt:lpstr>
      <vt:lpstr>v_52_SSO4</vt:lpstr>
      <vt:lpstr>v_52_SU</vt:lpstr>
      <vt:lpstr>v_52_SVFA</vt:lpstr>
      <vt:lpstr>v_52_XACP</vt:lpstr>
      <vt:lpstr>v_52_XALGAE</vt:lpstr>
      <vt:lpstr>v_52_XAMETO</vt:lpstr>
      <vt:lpstr>v_52_XAMX</vt:lpstr>
      <vt:lpstr>v_52_XAOB</vt:lpstr>
      <vt:lpstr>v_52_XASRO</vt:lpstr>
      <vt:lpstr>v_52_XB</vt:lpstr>
      <vt:lpstr>v_52_XB_e</vt:lpstr>
      <vt:lpstr>v_52_XBSH</vt:lpstr>
      <vt:lpstr>v_52_XCaCO3</vt:lpstr>
      <vt:lpstr>v_52_XCASTO</vt:lpstr>
      <vt:lpstr>v_52_XE</vt:lpstr>
      <vt:lpstr>v_52_XE_ana</vt:lpstr>
      <vt:lpstr>v_52_XFeS</vt:lpstr>
      <vt:lpstr>v_52_XHAO_H</vt:lpstr>
      <vt:lpstr>v_52_XHAO_H_P</vt:lpstr>
      <vt:lpstr>v_52_XHAO_H_P_old</vt:lpstr>
      <vt:lpstr>v_52_XHAO_L</vt:lpstr>
      <vt:lpstr>v_52_XHAO_L_P</vt:lpstr>
      <vt:lpstr>v_52_XHAO_L_P_old</vt:lpstr>
      <vt:lpstr>v_52_XHAO_old</vt:lpstr>
      <vt:lpstr>v_52_XHFO_H</vt:lpstr>
      <vt:lpstr>v_52_XHFO_H_P</vt:lpstr>
      <vt:lpstr>v_52_XHFO_H_P_old</vt:lpstr>
      <vt:lpstr>v_52_XHFO_L</vt:lpstr>
      <vt:lpstr>v_52_XHFO_L_P</vt:lpstr>
      <vt:lpstr>v_52_XHFO_L_P_old</vt:lpstr>
      <vt:lpstr>v_52_XHFO_old</vt:lpstr>
      <vt:lpstr>v_52_XHMETO</vt:lpstr>
      <vt:lpstr>v_52_XHSRO</vt:lpstr>
      <vt:lpstr>v_52_XINORG</vt:lpstr>
      <vt:lpstr>v_52_XMEOLO</vt:lpstr>
      <vt:lpstr>v_52_XN_B</vt:lpstr>
      <vt:lpstr>v_52_XN_Be</vt:lpstr>
      <vt:lpstr>v_52_XN_U</vt:lpstr>
      <vt:lpstr>v_52_XNOB</vt:lpstr>
      <vt:lpstr>v_52_XOHO</vt:lpstr>
      <vt:lpstr>v_52_XP_B</vt:lpstr>
      <vt:lpstr>v_52_XP_Be</vt:lpstr>
      <vt:lpstr>v_52_XP_U</vt:lpstr>
      <vt:lpstr>v_52_XPFOA</vt:lpstr>
      <vt:lpstr>v_52_XPFOS</vt:lpstr>
      <vt:lpstr>v_52_XPHA_GAO</vt:lpstr>
      <vt:lpstr>v_52_XPHA_PAO</vt:lpstr>
      <vt:lpstr>v_52_XPP</vt:lpstr>
      <vt:lpstr>v_52_XS</vt:lpstr>
      <vt:lpstr>v_52_XSOO</vt:lpstr>
      <vt:lpstr>v_52_XSTR</vt:lpstr>
      <vt:lpstr>v_52_XU</vt:lpstr>
      <vt:lpstr>v_52_XVivi</vt:lpstr>
      <vt:lpstr>v_53_CB</vt:lpstr>
      <vt:lpstr>v_53_CU</vt:lpstr>
      <vt:lpstr>v_53_GCH4</vt:lpstr>
      <vt:lpstr>v_53_GCH4_atm</vt:lpstr>
      <vt:lpstr>v_53_GCO2</vt:lpstr>
      <vt:lpstr>v_53_GCO2_atm</vt:lpstr>
      <vt:lpstr>v_53_GH2</vt:lpstr>
      <vt:lpstr>v_53_GH2_atm</vt:lpstr>
      <vt:lpstr>v_53_GH2S</vt:lpstr>
      <vt:lpstr>v_53_GH2S_atm</vt:lpstr>
      <vt:lpstr>v_53_GN2</vt:lpstr>
      <vt:lpstr>v_53_GN2_atm</vt:lpstr>
      <vt:lpstr>v_53_GNH3</vt:lpstr>
      <vt:lpstr>v_53_GNH3_atm</vt:lpstr>
      <vt:lpstr>v_53_GO2</vt:lpstr>
      <vt:lpstr>v_53_GO2_atm</vt:lpstr>
      <vt:lpstr>v_53_SALPHA</vt:lpstr>
      <vt:lpstr>v_53_SAN</vt:lpstr>
      <vt:lpstr>v_53_SB</vt:lpstr>
      <vt:lpstr>v_53_SCa</vt:lpstr>
      <vt:lpstr>v_53_SCAT</vt:lpstr>
      <vt:lpstr>v_53_SCH4</vt:lpstr>
      <vt:lpstr>v_53_SCO2</vt:lpstr>
      <vt:lpstr>v_53_SFe2</vt:lpstr>
      <vt:lpstr>v_53_SH</vt:lpstr>
      <vt:lpstr>v_53_SH2</vt:lpstr>
      <vt:lpstr>v_53_SH2S</vt:lpstr>
      <vt:lpstr>v_53_SK</vt:lpstr>
      <vt:lpstr>v_53_SMEOL</vt:lpstr>
      <vt:lpstr>v_53_SMg</vt:lpstr>
      <vt:lpstr>v_53_SMM_index</vt:lpstr>
      <vt:lpstr>v_53_SN_B</vt:lpstr>
      <vt:lpstr>v_53_SN2</vt:lpstr>
      <vt:lpstr>v_53_SNHx</vt:lpstr>
      <vt:lpstr>v_53_SNO2</vt:lpstr>
      <vt:lpstr>v_53_SNO3</vt:lpstr>
      <vt:lpstr>v_53_SO2</vt:lpstr>
      <vt:lpstr>v_53_SORPswitch</vt:lpstr>
      <vt:lpstr>v_53_SP_B</vt:lpstr>
      <vt:lpstr>v_53_SPFOA</vt:lpstr>
      <vt:lpstr>v_53_SPFOS</vt:lpstr>
      <vt:lpstr>v_53_SPO4</vt:lpstr>
      <vt:lpstr>v_53_SSO4</vt:lpstr>
      <vt:lpstr>v_53_SU</vt:lpstr>
      <vt:lpstr>v_53_SVFA</vt:lpstr>
      <vt:lpstr>v_53_XACP</vt:lpstr>
      <vt:lpstr>v_53_XALGAE</vt:lpstr>
      <vt:lpstr>v_53_XAMETO</vt:lpstr>
      <vt:lpstr>v_53_XAMX</vt:lpstr>
      <vt:lpstr>v_53_XAOB</vt:lpstr>
      <vt:lpstr>v_53_XASRO</vt:lpstr>
      <vt:lpstr>v_53_XB</vt:lpstr>
      <vt:lpstr>v_53_XB_e</vt:lpstr>
      <vt:lpstr>v_53_XBSH</vt:lpstr>
      <vt:lpstr>v_53_XCaCO3</vt:lpstr>
      <vt:lpstr>v_53_XCASTO</vt:lpstr>
      <vt:lpstr>v_53_XE</vt:lpstr>
      <vt:lpstr>v_53_XE_ana</vt:lpstr>
      <vt:lpstr>v_53_XFeS</vt:lpstr>
      <vt:lpstr>v_53_XHAO_H</vt:lpstr>
      <vt:lpstr>v_53_XHAO_H_P</vt:lpstr>
      <vt:lpstr>v_53_XHAO_H_P_old</vt:lpstr>
      <vt:lpstr>v_53_XHAO_L</vt:lpstr>
      <vt:lpstr>v_53_XHAO_L_P</vt:lpstr>
      <vt:lpstr>v_53_XHAO_L_P_old</vt:lpstr>
      <vt:lpstr>v_53_XHAO_old</vt:lpstr>
      <vt:lpstr>v_53_XHFO_H</vt:lpstr>
      <vt:lpstr>v_53_XHFO_H_P</vt:lpstr>
      <vt:lpstr>v_53_XHFO_H_P_old</vt:lpstr>
      <vt:lpstr>v_53_XHFO_L</vt:lpstr>
      <vt:lpstr>v_53_XHFO_L_P</vt:lpstr>
      <vt:lpstr>v_53_XHFO_L_P_old</vt:lpstr>
      <vt:lpstr>v_53_XHFO_old</vt:lpstr>
      <vt:lpstr>v_53_XHMETO</vt:lpstr>
      <vt:lpstr>v_53_XHSRO</vt:lpstr>
      <vt:lpstr>v_53_XINORG</vt:lpstr>
      <vt:lpstr>v_53_XMEOLO</vt:lpstr>
      <vt:lpstr>v_53_XN_B</vt:lpstr>
      <vt:lpstr>v_53_XN_Be</vt:lpstr>
      <vt:lpstr>v_53_XN_U</vt:lpstr>
      <vt:lpstr>v_53_XNOB</vt:lpstr>
      <vt:lpstr>v_53_XOHO</vt:lpstr>
      <vt:lpstr>v_53_XP_B</vt:lpstr>
      <vt:lpstr>v_53_XP_Be</vt:lpstr>
      <vt:lpstr>v_53_XP_U</vt:lpstr>
      <vt:lpstr>v_53_XPFOA</vt:lpstr>
      <vt:lpstr>v_53_XPFOS</vt:lpstr>
      <vt:lpstr>v_53_XPHA_GAO</vt:lpstr>
      <vt:lpstr>v_53_XPHA_PAO</vt:lpstr>
      <vt:lpstr>v_53_XPP</vt:lpstr>
      <vt:lpstr>v_53_XS</vt:lpstr>
      <vt:lpstr>v_53_XSOO</vt:lpstr>
      <vt:lpstr>v_53_XSTR</vt:lpstr>
      <vt:lpstr>v_53_XU</vt:lpstr>
      <vt:lpstr>v_53_XVivi</vt:lpstr>
      <vt:lpstr>v_54_CB</vt:lpstr>
      <vt:lpstr>v_54_CU</vt:lpstr>
      <vt:lpstr>v_54_GCH4</vt:lpstr>
      <vt:lpstr>v_54_GCH4_atm</vt:lpstr>
      <vt:lpstr>v_54_GCO2</vt:lpstr>
      <vt:lpstr>v_54_GCO2_atm</vt:lpstr>
      <vt:lpstr>v_54_GH2</vt:lpstr>
      <vt:lpstr>v_54_GH2_atm</vt:lpstr>
      <vt:lpstr>v_54_GH2S</vt:lpstr>
      <vt:lpstr>v_54_GH2S_atm</vt:lpstr>
      <vt:lpstr>v_54_GN2</vt:lpstr>
      <vt:lpstr>v_54_GN2_atm</vt:lpstr>
      <vt:lpstr>v_54_GNH3</vt:lpstr>
      <vt:lpstr>v_54_GNH3_atm</vt:lpstr>
      <vt:lpstr>v_54_GO2</vt:lpstr>
      <vt:lpstr>v_54_GO2_atm</vt:lpstr>
      <vt:lpstr>v_54_SALPHA</vt:lpstr>
      <vt:lpstr>v_54_SAN</vt:lpstr>
      <vt:lpstr>v_54_SB</vt:lpstr>
      <vt:lpstr>v_54_SCa</vt:lpstr>
      <vt:lpstr>v_54_SCAT</vt:lpstr>
      <vt:lpstr>v_54_SCH4</vt:lpstr>
      <vt:lpstr>v_54_SCO2</vt:lpstr>
      <vt:lpstr>v_54_SFe2</vt:lpstr>
      <vt:lpstr>v_54_SH</vt:lpstr>
      <vt:lpstr>v_54_SH2</vt:lpstr>
      <vt:lpstr>v_54_SH2S</vt:lpstr>
      <vt:lpstr>v_54_SK</vt:lpstr>
      <vt:lpstr>v_54_SMEOL</vt:lpstr>
      <vt:lpstr>v_54_SMg</vt:lpstr>
      <vt:lpstr>v_54_SMM_index</vt:lpstr>
      <vt:lpstr>v_54_SN_B</vt:lpstr>
      <vt:lpstr>v_54_SN2</vt:lpstr>
      <vt:lpstr>v_54_SNHx</vt:lpstr>
      <vt:lpstr>v_54_SNO2</vt:lpstr>
      <vt:lpstr>v_54_SNO3</vt:lpstr>
      <vt:lpstr>v_54_SO2</vt:lpstr>
      <vt:lpstr>v_54_SORPswitch</vt:lpstr>
      <vt:lpstr>v_54_SP_B</vt:lpstr>
      <vt:lpstr>v_54_SPFOA</vt:lpstr>
      <vt:lpstr>v_54_SPFOS</vt:lpstr>
      <vt:lpstr>v_54_SPO4</vt:lpstr>
      <vt:lpstr>v_54_SSO4</vt:lpstr>
      <vt:lpstr>v_54_SU</vt:lpstr>
      <vt:lpstr>v_54_SVFA</vt:lpstr>
      <vt:lpstr>v_54_XACP</vt:lpstr>
      <vt:lpstr>v_54_XALGAE</vt:lpstr>
      <vt:lpstr>v_54_XAMETO</vt:lpstr>
      <vt:lpstr>v_54_XAMX</vt:lpstr>
      <vt:lpstr>v_54_XAOB</vt:lpstr>
      <vt:lpstr>v_54_XASRO</vt:lpstr>
      <vt:lpstr>v_54_XB</vt:lpstr>
      <vt:lpstr>v_54_XB_e</vt:lpstr>
      <vt:lpstr>v_54_XBSH</vt:lpstr>
      <vt:lpstr>v_54_XCaCO3</vt:lpstr>
      <vt:lpstr>v_54_XCASTO</vt:lpstr>
      <vt:lpstr>v_54_XE</vt:lpstr>
      <vt:lpstr>v_54_XE_ana</vt:lpstr>
      <vt:lpstr>v_54_XFeS</vt:lpstr>
      <vt:lpstr>v_54_XHAO_H</vt:lpstr>
      <vt:lpstr>v_54_XHAO_H_P</vt:lpstr>
      <vt:lpstr>v_54_XHAO_H_P_old</vt:lpstr>
      <vt:lpstr>v_54_XHAO_L</vt:lpstr>
      <vt:lpstr>v_54_XHAO_L_P</vt:lpstr>
      <vt:lpstr>v_54_XHAO_L_P_old</vt:lpstr>
      <vt:lpstr>v_54_XHAO_old</vt:lpstr>
      <vt:lpstr>v_54_XHFO_H</vt:lpstr>
      <vt:lpstr>v_54_XHFO_H_P</vt:lpstr>
      <vt:lpstr>v_54_XHFO_H_P_old</vt:lpstr>
      <vt:lpstr>v_54_XHFO_L</vt:lpstr>
      <vt:lpstr>v_54_XHFO_L_P</vt:lpstr>
      <vt:lpstr>v_54_XHFO_L_P_old</vt:lpstr>
      <vt:lpstr>v_54_XHFO_old</vt:lpstr>
      <vt:lpstr>v_54_XHMETO</vt:lpstr>
      <vt:lpstr>v_54_XHSRO</vt:lpstr>
      <vt:lpstr>v_54_XINORG</vt:lpstr>
      <vt:lpstr>v_54_XMEOLO</vt:lpstr>
      <vt:lpstr>v_54_XN_B</vt:lpstr>
      <vt:lpstr>v_54_XN_Be</vt:lpstr>
      <vt:lpstr>v_54_XN_U</vt:lpstr>
      <vt:lpstr>v_54_XNOB</vt:lpstr>
      <vt:lpstr>v_54_XOHO</vt:lpstr>
      <vt:lpstr>v_54_XP_B</vt:lpstr>
      <vt:lpstr>v_54_XP_Be</vt:lpstr>
      <vt:lpstr>v_54_XP_U</vt:lpstr>
      <vt:lpstr>v_54_XPFOA</vt:lpstr>
      <vt:lpstr>v_54_XPFOS</vt:lpstr>
      <vt:lpstr>v_54_XPHA_GAO</vt:lpstr>
      <vt:lpstr>v_54_XPHA_PAO</vt:lpstr>
      <vt:lpstr>v_54_XPP</vt:lpstr>
      <vt:lpstr>v_54_XS</vt:lpstr>
      <vt:lpstr>v_54_XSOO</vt:lpstr>
      <vt:lpstr>v_54_XSTR</vt:lpstr>
      <vt:lpstr>v_54_XU</vt:lpstr>
      <vt:lpstr>v_54_XVivi</vt:lpstr>
      <vt:lpstr>v_55_CB</vt:lpstr>
      <vt:lpstr>v_55_CU</vt:lpstr>
      <vt:lpstr>v_55_GCH4</vt:lpstr>
      <vt:lpstr>v_55_GCH4_atm</vt:lpstr>
      <vt:lpstr>v_55_GCO2</vt:lpstr>
      <vt:lpstr>v_55_GCO2_atm</vt:lpstr>
      <vt:lpstr>v_55_GH2</vt:lpstr>
      <vt:lpstr>v_55_GH2_atm</vt:lpstr>
      <vt:lpstr>v_55_GH2S</vt:lpstr>
      <vt:lpstr>v_55_GH2S_atm</vt:lpstr>
      <vt:lpstr>v_55_GN2</vt:lpstr>
      <vt:lpstr>v_55_GN2_atm</vt:lpstr>
      <vt:lpstr>v_55_GNH3</vt:lpstr>
      <vt:lpstr>v_55_GNH3_atm</vt:lpstr>
      <vt:lpstr>v_55_GO2</vt:lpstr>
      <vt:lpstr>v_55_GO2_atm</vt:lpstr>
      <vt:lpstr>v_55_SALPHA</vt:lpstr>
      <vt:lpstr>v_55_SAN</vt:lpstr>
      <vt:lpstr>v_55_SB</vt:lpstr>
      <vt:lpstr>v_55_SCa</vt:lpstr>
      <vt:lpstr>v_55_SCAT</vt:lpstr>
      <vt:lpstr>v_55_SCH4</vt:lpstr>
      <vt:lpstr>v_55_SCO2</vt:lpstr>
      <vt:lpstr>v_55_SFe2</vt:lpstr>
      <vt:lpstr>v_55_SH</vt:lpstr>
      <vt:lpstr>v_55_SH2</vt:lpstr>
      <vt:lpstr>v_55_SH2S</vt:lpstr>
      <vt:lpstr>v_55_SK</vt:lpstr>
      <vt:lpstr>v_55_SMEOL</vt:lpstr>
      <vt:lpstr>v_55_SMg</vt:lpstr>
      <vt:lpstr>v_55_SMM_index</vt:lpstr>
      <vt:lpstr>v_55_SN_B</vt:lpstr>
      <vt:lpstr>v_55_SN2</vt:lpstr>
      <vt:lpstr>v_55_SNHx</vt:lpstr>
      <vt:lpstr>v_55_SNO2</vt:lpstr>
      <vt:lpstr>v_55_SNO3</vt:lpstr>
      <vt:lpstr>v_55_SO2</vt:lpstr>
      <vt:lpstr>v_55_SORPswitch</vt:lpstr>
      <vt:lpstr>v_55_SP_B</vt:lpstr>
      <vt:lpstr>v_55_SPFOA</vt:lpstr>
      <vt:lpstr>v_55_SPFOS</vt:lpstr>
      <vt:lpstr>v_55_SPO4</vt:lpstr>
      <vt:lpstr>v_55_SSO4</vt:lpstr>
      <vt:lpstr>v_55_SU</vt:lpstr>
      <vt:lpstr>v_55_SVFA</vt:lpstr>
      <vt:lpstr>v_55_XACP</vt:lpstr>
      <vt:lpstr>v_55_XALGAE</vt:lpstr>
      <vt:lpstr>v_55_XAMETO</vt:lpstr>
      <vt:lpstr>v_55_XAMX</vt:lpstr>
      <vt:lpstr>v_55_XAOB</vt:lpstr>
      <vt:lpstr>v_55_XASRO</vt:lpstr>
      <vt:lpstr>v_55_XB</vt:lpstr>
      <vt:lpstr>v_55_XB_e</vt:lpstr>
      <vt:lpstr>v_55_XBSH</vt:lpstr>
      <vt:lpstr>v_55_XCaCO3</vt:lpstr>
      <vt:lpstr>v_55_XCASTO</vt:lpstr>
      <vt:lpstr>v_55_XE</vt:lpstr>
      <vt:lpstr>v_55_XE_ana</vt:lpstr>
      <vt:lpstr>v_55_XFeS</vt:lpstr>
      <vt:lpstr>v_55_XHAO_H</vt:lpstr>
      <vt:lpstr>v_55_XHAO_H_P</vt:lpstr>
      <vt:lpstr>v_55_XHAO_H_P_old</vt:lpstr>
      <vt:lpstr>v_55_XHAO_L</vt:lpstr>
      <vt:lpstr>v_55_XHAO_L_P</vt:lpstr>
      <vt:lpstr>v_55_XHAO_L_P_old</vt:lpstr>
      <vt:lpstr>v_55_XHAO_old</vt:lpstr>
      <vt:lpstr>v_55_XHFO_H</vt:lpstr>
      <vt:lpstr>v_55_XHFO_H_P</vt:lpstr>
      <vt:lpstr>v_55_XHFO_H_P_old</vt:lpstr>
      <vt:lpstr>v_55_XHFO_L</vt:lpstr>
      <vt:lpstr>v_55_XHFO_L_P</vt:lpstr>
      <vt:lpstr>v_55_XHFO_L_P_old</vt:lpstr>
      <vt:lpstr>v_55_XHFO_old</vt:lpstr>
      <vt:lpstr>v_55_XHMETO</vt:lpstr>
      <vt:lpstr>v_55_XHSRO</vt:lpstr>
      <vt:lpstr>v_55_XINORG</vt:lpstr>
      <vt:lpstr>v_55_XMEOLO</vt:lpstr>
      <vt:lpstr>v_55_XN_B</vt:lpstr>
      <vt:lpstr>v_55_XN_Be</vt:lpstr>
      <vt:lpstr>v_55_XN_U</vt:lpstr>
      <vt:lpstr>v_55_XNOB</vt:lpstr>
      <vt:lpstr>v_55_XOHO</vt:lpstr>
      <vt:lpstr>v_55_XP_B</vt:lpstr>
      <vt:lpstr>v_55_XP_Be</vt:lpstr>
      <vt:lpstr>v_55_XP_U</vt:lpstr>
      <vt:lpstr>v_55_XPFOA</vt:lpstr>
      <vt:lpstr>v_55_XPFOS</vt:lpstr>
      <vt:lpstr>v_55_XPHA_GAO</vt:lpstr>
      <vt:lpstr>v_55_XPHA_PAO</vt:lpstr>
      <vt:lpstr>v_55_XPP</vt:lpstr>
      <vt:lpstr>v_55_XS</vt:lpstr>
      <vt:lpstr>v_55_XSOO</vt:lpstr>
      <vt:lpstr>v_55_XSTR</vt:lpstr>
      <vt:lpstr>v_55_XU</vt:lpstr>
      <vt:lpstr>v_55_XVivi</vt:lpstr>
      <vt:lpstr>v_56_CB</vt:lpstr>
      <vt:lpstr>v_56_CU</vt:lpstr>
      <vt:lpstr>v_56_GCH4</vt:lpstr>
      <vt:lpstr>v_56_GCH4_atm</vt:lpstr>
      <vt:lpstr>v_56_GCO2</vt:lpstr>
      <vt:lpstr>v_56_GCO2_atm</vt:lpstr>
      <vt:lpstr>v_56_GH2</vt:lpstr>
      <vt:lpstr>v_56_GH2_atm</vt:lpstr>
      <vt:lpstr>v_56_GH2S</vt:lpstr>
      <vt:lpstr>v_56_GH2S_atm</vt:lpstr>
      <vt:lpstr>v_56_GN2</vt:lpstr>
      <vt:lpstr>v_56_GN2_atm</vt:lpstr>
      <vt:lpstr>v_56_GNH3</vt:lpstr>
      <vt:lpstr>v_56_GNH3_atm</vt:lpstr>
      <vt:lpstr>v_56_GO2</vt:lpstr>
      <vt:lpstr>v_56_GO2_atm</vt:lpstr>
      <vt:lpstr>v_56_SALPHA</vt:lpstr>
      <vt:lpstr>v_56_SAN</vt:lpstr>
      <vt:lpstr>v_56_SB</vt:lpstr>
      <vt:lpstr>v_56_SCa</vt:lpstr>
      <vt:lpstr>v_56_SCAT</vt:lpstr>
      <vt:lpstr>v_56_SCH4</vt:lpstr>
      <vt:lpstr>v_56_SCO2</vt:lpstr>
      <vt:lpstr>v_56_SFe2</vt:lpstr>
      <vt:lpstr>v_56_SH</vt:lpstr>
      <vt:lpstr>v_56_SH2</vt:lpstr>
      <vt:lpstr>v_56_SH2S</vt:lpstr>
      <vt:lpstr>v_56_SK</vt:lpstr>
      <vt:lpstr>v_56_SMEOL</vt:lpstr>
      <vt:lpstr>v_56_SMg</vt:lpstr>
      <vt:lpstr>v_56_SMM_index</vt:lpstr>
      <vt:lpstr>v_56_SN_B</vt:lpstr>
      <vt:lpstr>v_56_SN2</vt:lpstr>
      <vt:lpstr>v_56_SNHx</vt:lpstr>
      <vt:lpstr>v_56_SNO2</vt:lpstr>
      <vt:lpstr>v_56_SNO3</vt:lpstr>
      <vt:lpstr>v_56_SO2</vt:lpstr>
      <vt:lpstr>v_56_SORPswitch</vt:lpstr>
      <vt:lpstr>v_56_SP_B</vt:lpstr>
      <vt:lpstr>v_56_SPFOA</vt:lpstr>
      <vt:lpstr>v_56_SPFOS</vt:lpstr>
      <vt:lpstr>v_56_SPO4</vt:lpstr>
      <vt:lpstr>v_56_SSO4</vt:lpstr>
      <vt:lpstr>v_56_SU</vt:lpstr>
      <vt:lpstr>v_56_SVFA</vt:lpstr>
      <vt:lpstr>v_56_XACP</vt:lpstr>
      <vt:lpstr>v_56_XALGAE</vt:lpstr>
      <vt:lpstr>v_56_XAMETO</vt:lpstr>
      <vt:lpstr>v_56_XAMX</vt:lpstr>
      <vt:lpstr>v_56_XAOB</vt:lpstr>
      <vt:lpstr>v_56_XASRO</vt:lpstr>
      <vt:lpstr>v_56_XB</vt:lpstr>
      <vt:lpstr>v_56_XB_e</vt:lpstr>
      <vt:lpstr>v_56_XBSH</vt:lpstr>
      <vt:lpstr>v_56_XCaCO3</vt:lpstr>
      <vt:lpstr>v_56_XCASTO</vt:lpstr>
      <vt:lpstr>v_56_XE</vt:lpstr>
      <vt:lpstr>v_56_XE_ana</vt:lpstr>
      <vt:lpstr>v_56_XFeS</vt:lpstr>
      <vt:lpstr>v_56_XHAO_H</vt:lpstr>
      <vt:lpstr>v_56_XHAO_H_P</vt:lpstr>
      <vt:lpstr>v_56_XHAO_H_P_old</vt:lpstr>
      <vt:lpstr>v_56_XHAO_L</vt:lpstr>
      <vt:lpstr>v_56_XHAO_L_P</vt:lpstr>
      <vt:lpstr>v_56_XHAO_L_P_old</vt:lpstr>
      <vt:lpstr>v_56_XHAO_old</vt:lpstr>
      <vt:lpstr>v_56_XHFO_H</vt:lpstr>
      <vt:lpstr>v_56_XHFO_H_P</vt:lpstr>
      <vt:lpstr>v_56_XHFO_H_P_old</vt:lpstr>
      <vt:lpstr>v_56_XHFO_L</vt:lpstr>
      <vt:lpstr>v_56_XHFO_L_P</vt:lpstr>
      <vt:lpstr>v_56_XHFO_L_P_old</vt:lpstr>
      <vt:lpstr>v_56_XHFO_old</vt:lpstr>
      <vt:lpstr>v_56_XHMETO</vt:lpstr>
      <vt:lpstr>v_56_XHSRO</vt:lpstr>
      <vt:lpstr>v_56_XINORG</vt:lpstr>
      <vt:lpstr>v_56_XMEOLO</vt:lpstr>
      <vt:lpstr>v_56_XN_B</vt:lpstr>
      <vt:lpstr>v_56_XN_Be</vt:lpstr>
      <vt:lpstr>v_56_XN_U</vt:lpstr>
      <vt:lpstr>v_56_XNOB</vt:lpstr>
      <vt:lpstr>v_56_XOHO</vt:lpstr>
      <vt:lpstr>v_56_XP_B</vt:lpstr>
      <vt:lpstr>v_56_XP_Be</vt:lpstr>
      <vt:lpstr>v_56_XP_U</vt:lpstr>
      <vt:lpstr>v_56_XPFOA</vt:lpstr>
      <vt:lpstr>v_56_XPFOS</vt:lpstr>
      <vt:lpstr>v_56_XPHA_GAO</vt:lpstr>
      <vt:lpstr>v_56_XPHA_PAO</vt:lpstr>
      <vt:lpstr>v_56_XPP</vt:lpstr>
      <vt:lpstr>v_56_XS</vt:lpstr>
      <vt:lpstr>v_56_XSOO</vt:lpstr>
      <vt:lpstr>v_56_XSTR</vt:lpstr>
      <vt:lpstr>v_56_XU</vt:lpstr>
      <vt:lpstr>v_56_XVivi</vt:lpstr>
      <vt:lpstr>v_57_CB</vt:lpstr>
      <vt:lpstr>v_57_CU</vt:lpstr>
      <vt:lpstr>v_57_GCH4</vt:lpstr>
      <vt:lpstr>v_57_GCH4_atm</vt:lpstr>
      <vt:lpstr>v_57_GCO2</vt:lpstr>
      <vt:lpstr>v_57_GCO2_atm</vt:lpstr>
      <vt:lpstr>v_57_GH2</vt:lpstr>
      <vt:lpstr>v_57_GH2_atm</vt:lpstr>
      <vt:lpstr>v_57_GH2S</vt:lpstr>
      <vt:lpstr>v_57_GH2S_atm</vt:lpstr>
      <vt:lpstr>v_57_GN2</vt:lpstr>
      <vt:lpstr>v_57_GN2_atm</vt:lpstr>
      <vt:lpstr>v_57_GNH3</vt:lpstr>
      <vt:lpstr>v_57_GNH3_atm</vt:lpstr>
      <vt:lpstr>v_57_GO2</vt:lpstr>
      <vt:lpstr>v_57_GO2_atm</vt:lpstr>
      <vt:lpstr>v_57_SALPHA</vt:lpstr>
      <vt:lpstr>v_57_SAN</vt:lpstr>
      <vt:lpstr>v_57_SB</vt:lpstr>
      <vt:lpstr>v_57_SCa</vt:lpstr>
      <vt:lpstr>v_57_SCAT</vt:lpstr>
      <vt:lpstr>v_57_SCH4</vt:lpstr>
      <vt:lpstr>v_57_SCO2</vt:lpstr>
      <vt:lpstr>v_57_SFe2</vt:lpstr>
      <vt:lpstr>v_57_SH</vt:lpstr>
      <vt:lpstr>v_57_SH2</vt:lpstr>
      <vt:lpstr>v_57_SH2S</vt:lpstr>
      <vt:lpstr>v_57_SK</vt:lpstr>
      <vt:lpstr>v_57_SMEOL</vt:lpstr>
      <vt:lpstr>v_57_SMg</vt:lpstr>
      <vt:lpstr>v_57_SMM_index</vt:lpstr>
      <vt:lpstr>v_57_SN_B</vt:lpstr>
      <vt:lpstr>v_57_SN2</vt:lpstr>
      <vt:lpstr>v_57_SNHx</vt:lpstr>
      <vt:lpstr>v_57_SNO2</vt:lpstr>
      <vt:lpstr>v_57_SNO3</vt:lpstr>
      <vt:lpstr>v_57_SO2</vt:lpstr>
      <vt:lpstr>v_57_SORPswitch</vt:lpstr>
      <vt:lpstr>v_57_SP_B</vt:lpstr>
      <vt:lpstr>v_57_SPFOA</vt:lpstr>
      <vt:lpstr>v_57_SPFOS</vt:lpstr>
      <vt:lpstr>v_57_SPO4</vt:lpstr>
      <vt:lpstr>v_57_SSO4</vt:lpstr>
      <vt:lpstr>v_57_SU</vt:lpstr>
      <vt:lpstr>v_57_SVFA</vt:lpstr>
      <vt:lpstr>v_57_XACP</vt:lpstr>
      <vt:lpstr>v_57_XALGAE</vt:lpstr>
      <vt:lpstr>v_57_XAMETO</vt:lpstr>
      <vt:lpstr>v_57_XAMX</vt:lpstr>
      <vt:lpstr>v_57_XAOB</vt:lpstr>
      <vt:lpstr>v_57_XASRO</vt:lpstr>
      <vt:lpstr>v_57_XB</vt:lpstr>
      <vt:lpstr>v_57_XB_e</vt:lpstr>
      <vt:lpstr>v_57_XBSH</vt:lpstr>
      <vt:lpstr>v_57_XCaCO3</vt:lpstr>
      <vt:lpstr>v_57_XCASTO</vt:lpstr>
      <vt:lpstr>v_57_XE</vt:lpstr>
      <vt:lpstr>v_57_XE_ana</vt:lpstr>
      <vt:lpstr>v_57_XFeS</vt:lpstr>
      <vt:lpstr>v_57_XHAO_H</vt:lpstr>
      <vt:lpstr>v_57_XHAO_H_P</vt:lpstr>
      <vt:lpstr>v_57_XHAO_H_P_old</vt:lpstr>
      <vt:lpstr>v_57_XHAO_L</vt:lpstr>
      <vt:lpstr>v_57_XHAO_L_P</vt:lpstr>
      <vt:lpstr>v_57_XHAO_L_P_old</vt:lpstr>
      <vt:lpstr>v_57_XHAO_old</vt:lpstr>
      <vt:lpstr>v_57_XHFO_H</vt:lpstr>
      <vt:lpstr>v_57_XHFO_H_P</vt:lpstr>
      <vt:lpstr>v_57_XHFO_H_P_old</vt:lpstr>
      <vt:lpstr>v_57_XHFO_L</vt:lpstr>
      <vt:lpstr>v_57_XHFO_L_P</vt:lpstr>
      <vt:lpstr>v_57_XHFO_L_P_old</vt:lpstr>
      <vt:lpstr>v_57_XHFO_old</vt:lpstr>
      <vt:lpstr>v_57_XHMETO</vt:lpstr>
      <vt:lpstr>v_57_XHSRO</vt:lpstr>
      <vt:lpstr>v_57_XINORG</vt:lpstr>
      <vt:lpstr>v_57_XMEOLO</vt:lpstr>
      <vt:lpstr>v_57_XN_B</vt:lpstr>
      <vt:lpstr>v_57_XN_Be</vt:lpstr>
      <vt:lpstr>v_57_XN_U</vt:lpstr>
      <vt:lpstr>v_57_XNOB</vt:lpstr>
      <vt:lpstr>v_57_XOHO</vt:lpstr>
      <vt:lpstr>v_57_XP_B</vt:lpstr>
      <vt:lpstr>v_57_XP_Be</vt:lpstr>
      <vt:lpstr>v_57_XP_U</vt:lpstr>
      <vt:lpstr>v_57_XPFOA</vt:lpstr>
      <vt:lpstr>v_57_XPFOS</vt:lpstr>
      <vt:lpstr>v_57_XPHA_GAO</vt:lpstr>
      <vt:lpstr>v_57_XPHA_PAO</vt:lpstr>
      <vt:lpstr>v_57_XPP</vt:lpstr>
      <vt:lpstr>v_57_XS</vt:lpstr>
      <vt:lpstr>v_57_XSOO</vt:lpstr>
      <vt:lpstr>v_57_XSTR</vt:lpstr>
      <vt:lpstr>v_57_XU</vt:lpstr>
      <vt:lpstr>v_57_XVivi</vt:lpstr>
      <vt:lpstr>v_58_CB</vt:lpstr>
      <vt:lpstr>v_58_CU</vt:lpstr>
      <vt:lpstr>v_58_GCH4</vt:lpstr>
      <vt:lpstr>v_58_GCH4_atm</vt:lpstr>
      <vt:lpstr>v_58_GCO2</vt:lpstr>
      <vt:lpstr>v_58_GCO2_atm</vt:lpstr>
      <vt:lpstr>v_58_GH2</vt:lpstr>
      <vt:lpstr>v_58_GH2_atm</vt:lpstr>
      <vt:lpstr>v_58_GH2S</vt:lpstr>
      <vt:lpstr>v_58_GH2S_atm</vt:lpstr>
      <vt:lpstr>v_58_GN2</vt:lpstr>
      <vt:lpstr>v_58_GN2_atm</vt:lpstr>
      <vt:lpstr>v_58_GNH3</vt:lpstr>
      <vt:lpstr>v_58_GNH3_atm</vt:lpstr>
      <vt:lpstr>v_58_GO2</vt:lpstr>
      <vt:lpstr>v_58_GO2_atm</vt:lpstr>
      <vt:lpstr>v_58_SALPHA</vt:lpstr>
      <vt:lpstr>v_58_SAN</vt:lpstr>
      <vt:lpstr>v_58_SB</vt:lpstr>
      <vt:lpstr>v_58_SCa</vt:lpstr>
      <vt:lpstr>v_58_SCAT</vt:lpstr>
      <vt:lpstr>v_58_SCH4</vt:lpstr>
      <vt:lpstr>v_58_SCO2</vt:lpstr>
      <vt:lpstr>v_58_SFe2</vt:lpstr>
      <vt:lpstr>v_58_SH</vt:lpstr>
      <vt:lpstr>v_58_SH2</vt:lpstr>
      <vt:lpstr>v_58_SH2S</vt:lpstr>
      <vt:lpstr>v_58_SK</vt:lpstr>
      <vt:lpstr>v_58_SMEOL</vt:lpstr>
      <vt:lpstr>v_58_SMg</vt:lpstr>
      <vt:lpstr>v_58_SMM_index</vt:lpstr>
      <vt:lpstr>v_58_SN_B</vt:lpstr>
      <vt:lpstr>v_58_SN2</vt:lpstr>
      <vt:lpstr>v_58_SNHx</vt:lpstr>
      <vt:lpstr>v_58_SNO2</vt:lpstr>
      <vt:lpstr>v_58_SNO3</vt:lpstr>
      <vt:lpstr>v_58_SO2</vt:lpstr>
      <vt:lpstr>v_58_SORPswitch</vt:lpstr>
      <vt:lpstr>v_58_SP_B</vt:lpstr>
      <vt:lpstr>v_58_SPFOA</vt:lpstr>
      <vt:lpstr>v_58_SPFOS</vt:lpstr>
      <vt:lpstr>v_58_SPO4</vt:lpstr>
      <vt:lpstr>v_58_SSO4</vt:lpstr>
      <vt:lpstr>v_58_SU</vt:lpstr>
      <vt:lpstr>v_58_SVFA</vt:lpstr>
      <vt:lpstr>v_58_XACP</vt:lpstr>
      <vt:lpstr>v_58_XALGAE</vt:lpstr>
      <vt:lpstr>v_58_XAMETO</vt:lpstr>
      <vt:lpstr>v_58_XAMX</vt:lpstr>
      <vt:lpstr>v_58_XAOB</vt:lpstr>
      <vt:lpstr>v_58_XASRO</vt:lpstr>
      <vt:lpstr>v_58_XB</vt:lpstr>
      <vt:lpstr>v_58_XB_e</vt:lpstr>
      <vt:lpstr>v_58_XBSH</vt:lpstr>
      <vt:lpstr>v_58_XCaCO3</vt:lpstr>
      <vt:lpstr>v_58_XCASTO</vt:lpstr>
      <vt:lpstr>v_58_XE</vt:lpstr>
      <vt:lpstr>v_58_XE_ana</vt:lpstr>
      <vt:lpstr>v_58_XFeS</vt:lpstr>
      <vt:lpstr>v_58_XHAO_H</vt:lpstr>
      <vt:lpstr>v_58_XHAO_H_P</vt:lpstr>
      <vt:lpstr>v_58_XHAO_H_P_old</vt:lpstr>
      <vt:lpstr>v_58_XHAO_L</vt:lpstr>
      <vt:lpstr>v_58_XHAO_L_P</vt:lpstr>
      <vt:lpstr>v_58_XHAO_L_P_old</vt:lpstr>
      <vt:lpstr>v_58_XHAO_old</vt:lpstr>
      <vt:lpstr>v_58_XHFO_H</vt:lpstr>
      <vt:lpstr>v_58_XHFO_H_P</vt:lpstr>
      <vt:lpstr>v_58_XHFO_H_P_old</vt:lpstr>
      <vt:lpstr>v_58_XHFO_L</vt:lpstr>
      <vt:lpstr>v_58_XHFO_L_P</vt:lpstr>
      <vt:lpstr>v_58_XHFO_L_P_old</vt:lpstr>
      <vt:lpstr>v_58_XHFO_old</vt:lpstr>
      <vt:lpstr>v_58_XHMETO</vt:lpstr>
      <vt:lpstr>v_58_XHSRO</vt:lpstr>
      <vt:lpstr>v_58_XINORG</vt:lpstr>
      <vt:lpstr>v_58_XMEOLO</vt:lpstr>
      <vt:lpstr>v_58_XN_B</vt:lpstr>
      <vt:lpstr>v_58_XN_Be</vt:lpstr>
      <vt:lpstr>v_58_XN_U</vt:lpstr>
      <vt:lpstr>v_58_XNOB</vt:lpstr>
      <vt:lpstr>v_58_XOHO</vt:lpstr>
      <vt:lpstr>v_58_XP_B</vt:lpstr>
      <vt:lpstr>v_58_XP_Be</vt:lpstr>
      <vt:lpstr>v_58_XP_U</vt:lpstr>
      <vt:lpstr>v_58_XPFOA</vt:lpstr>
      <vt:lpstr>v_58_XPFOS</vt:lpstr>
      <vt:lpstr>v_58_XPHA_GAO</vt:lpstr>
      <vt:lpstr>v_58_XPHA_PAO</vt:lpstr>
      <vt:lpstr>v_58_XPP</vt:lpstr>
      <vt:lpstr>v_58_XS</vt:lpstr>
      <vt:lpstr>v_58_XSOO</vt:lpstr>
      <vt:lpstr>v_58_XSTR</vt:lpstr>
      <vt:lpstr>v_58_XU</vt:lpstr>
      <vt:lpstr>v_58_XVivi</vt:lpstr>
      <vt:lpstr>v_59_CB</vt:lpstr>
      <vt:lpstr>v_59_CU</vt:lpstr>
      <vt:lpstr>v_59_GCH4</vt:lpstr>
      <vt:lpstr>v_59_GCH4_atm</vt:lpstr>
      <vt:lpstr>v_59_GCO2</vt:lpstr>
      <vt:lpstr>v_59_GCO2_atm</vt:lpstr>
      <vt:lpstr>v_59_GH2</vt:lpstr>
      <vt:lpstr>v_59_GH2_atm</vt:lpstr>
      <vt:lpstr>v_59_GH2S</vt:lpstr>
      <vt:lpstr>v_59_GH2S_atm</vt:lpstr>
      <vt:lpstr>v_59_GN2</vt:lpstr>
      <vt:lpstr>v_59_GN2_atm</vt:lpstr>
      <vt:lpstr>v_59_GNH3</vt:lpstr>
      <vt:lpstr>v_59_GNH3_atm</vt:lpstr>
      <vt:lpstr>v_59_GO2</vt:lpstr>
      <vt:lpstr>v_59_GO2_atm</vt:lpstr>
      <vt:lpstr>v_59_SALPHA</vt:lpstr>
      <vt:lpstr>v_59_SAN</vt:lpstr>
      <vt:lpstr>v_59_SB</vt:lpstr>
      <vt:lpstr>v_59_SCa</vt:lpstr>
      <vt:lpstr>v_59_SCAT</vt:lpstr>
      <vt:lpstr>v_59_SCH4</vt:lpstr>
      <vt:lpstr>v_59_SCO2</vt:lpstr>
      <vt:lpstr>v_59_SFe2</vt:lpstr>
      <vt:lpstr>v_59_SH</vt:lpstr>
      <vt:lpstr>v_59_SH2</vt:lpstr>
      <vt:lpstr>v_59_SH2S</vt:lpstr>
      <vt:lpstr>v_59_SK</vt:lpstr>
      <vt:lpstr>v_59_SMEOL</vt:lpstr>
      <vt:lpstr>v_59_SMg</vt:lpstr>
      <vt:lpstr>v_59_SMM_index</vt:lpstr>
      <vt:lpstr>v_59_SN_B</vt:lpstr>
      <vt:lpstr>v_59_SN2</vt:lpstr>
      <vt:lpstr>v_59_SNHx</vt:lpstr>
      <vt:lpstr>v_59_SNO2</vt:lpstr>
      <vt:lpstr>v_59_SNO3</vt:lpstr>
      <vt:lpstr>v_59_SO2</vt:lpstr>
      <vt:lpstr>v_59_SORPswitch</vt:lpstr>
      <vt:lpstr>v_59_SP_B</vt:lpstr>
      <vt:lpstr>v_59_SPFOA</vt:lpstr>
      <vt:lpstr>v_59_SPFOS</vt:lpstr>
      <vt:lpstr>v_59_SPO4</vt:lpstr>
      <vt:lpstr>v_59_SSO4</vt:lpstr>
      <vt:lpstr>v_59_SU</vt:lpstr>
      <vt:lpstr>v_59_SVFA</vt:lpstr>
      <vt:lpstr>v_59_XACP</vt:lpstr>
      <vt:lpstr>v_59_XALGAE</vt:lpstr>
      <vt:lpstr>v_59_XAMETO</vt:lpstr>
      <vt:lpstr>v_59_XAMX</vt:lpstr>
      <vt:lpstr>v_59_XAOB</vt:lpstr>
      <vt:lpstr>v_59_XASRO</vt:lpstr>
      <vt:lpstr>v_59_XB</vt:lpstr>
      <vt:lpstr>v_59_XB_e</vt:lpstr>
      <vt:lpstr>v_59_XBSH</vt:lpstr>
      <vt:lpstr>v_59_XCaCO3</vt:lpstr>
      <vt:lpstr>v_59_XCASTO</vt:lpstr>
      <vt:lpstr>v_59_XE</vt:lpstr>
      <vt:lpstr>v_59_XE_ana</vt:lpstr>
      <vt:lpstr>v_59_XFeS</vt:lpstr>
      <vt:lpstr>v_59_XHAO_H</vt:lpstr>
      <vt:lpstr>v_59_XHAO_H_P</vt:lpstr>
      <vt:lpstr>v_59_XHAO_H_P_old</vt:lpstr>
      <vt:lpstr>v_59_XHAO_L</vt:lpstr>
      <vt:lpstr>v_59_XHAO_L_P</vt:lpstr>
      <vt:lpstr>v_59_XHAO_L_P_old</vt:lpstr>
      <vt:lpstr>v_59_XHAO_old</vt:lpstr>
      <vt:lpstr>v_59_XHFO_H</vt:lpstr>
      <vt:lpstr>v_59_XHFO_H_P</vt:lpstr>
      <vt:lpstr>v_59_XHFO_H_P_old</vt:lpstr>
      <vt:lpstr>v_59_XHFO_L</vt:lpstr>
      <vt:lpstr>v_59_XHFO_L_P</vt:lpstr>
      <vt:lpstr>v_59_XHFO_L_P_old</vt:lpstr>
      <vt:lpstr>v_59_XHFO_old</vt:lpstr>
      <vt:lpstr>v_59_XHMETO</vt:lpstr>
      <vt:lpstr>v_59_XHSRO</vt:lpstr>
      <vt:lpstr>v_59_XINORG</vt:lpstr>
      <vt:lpstr>v_59_XMEOLO</vt:lpstr>
      <vt:lpstr>v_59_XN_B</vt:lpstr>
      <vt:lpstr>v_59_XN_Be</vt:lpstr>
      <vt:lpstr>v_59_XN_U</vt:lpstr>
      <vt:lpstr>v_59_XNOB</vt:lpstr>
      <vt:lpstr>v_59_XOHO</vt:lpstr>
      <vt:lpstr>v_59_XP_B</vt:lpstr>
      <vt:lpstr>v_59_XP_Be</vt:lpstr>
      <vt:lpstr>v_59_XP_U</vt:lpstr>
      <vt:lpstr>v_59_XPFOA</vt:lpstr>
      <vt:lpstr>v_59_XPFOS</vt:lpstr>
      <vt:lpstr>v_59_XPHA_GAO</vt:lpstr>
      <vt:lpstr>v_59_XPHA_PAO</vt:lpstr>
      <vt:lpstr>v_59_XPP</vt:lpstr>
      <vt:lpstr>v_59_XS</vt:lpstr>
      <vt:lpstr>v_59_XSOO</vt:lpstr>
      <vt:lpstr>v_59_XSTR</vt:lpstr>
      <vt:lpstr>v_59_XU</vt:lpstr>
      <vt:lpstr>v_59_XVivi</vt:lpstr>
      <vt:lpstr>v_6_CB</vt:lpstr>
      <vt:lpstr>v_6_CU</vt:lpstr>
      <vt:lpstr>v_6_GCH4</vt:lpstr>
      <vt:lpstr>v_6_GCH4_atm</vt:lpstr>
      <vt:lpstr>v_6_GCO2</vt:lpstr>
      <vt:lpstr>v_6_GCO2_atm</vt:lpstr>
      <vt:lpstr>v_6_GH2</vt:lpstr>
      <vt:lpstr>v_6_GH2_atm</vt:lpstr>
      <vt:lpstr>v_6_GH2S</vt:lpstr>
      <vt:lpstr>v_6_GH2S_atm</vt:lpstr>
      <vt:lpstr>v_6_GN2</vt:lpstr>
      <vt:lpstr>v_6_GN2_atm</vt:lpstr>
      <vt:lpstr>v_6_GNH3</vt:lpstr>
      <vt:lpstr>v_6_GNH3_atm</vt:lpstr>
      <vt:lpstr>v_6_GO2</vt:lpstr>
      <vt:lpstr>v_6_GO2_atm</vt:lpstr>
      <vt:lpstr>v_6_SALPHA</vt:lpstr>
      <vt:lpstr>v_6_SAN</vt:lpstr>
      <vt:lpstr>v_6_SB</vt:lpstr>
      <vt:lpstr>v_6_SCa</vt:lpstr>
      <vt:lpstr>v_6_SCAT</vt:lpstr>
      <vt:lpstr>v_6_SCH4</vt:lpstr>
      <vt:lpstr>v_6_SCO2</vt:lpstr>
      <vt:lpstr>v_6_SFe2</vt:lpstr>
      <vt:lpstr>v_6_SH</vt:lpstr>
      <vt:lpstr>v_6_SH2</vt:lpstr>
      <vt:lpstr>v_6_SH2S</vt:lpstr>
      <vt:lpstr>v_6_SK</vt:lpstr>
      <vt:lpstr>v_6_SMEOL</vt:lpstr>
      <vt:lpstr>v_6_SMg</vt:lpstr>
      <vt:lpstr>v_6_SMM_index</vt:lpstr>
      <vt:lpstr>v_6_SN_B</vt:lpstr>
      <vt:lpstr>v_6_SN2</vt:lpstr>
      <vt:lpstr>v_6_SNHx</vt:lpstr>
      <vt:lpstr>v_6_SNO2</vt:lpstr>
      <vt:lpstr>v_6_SNO3</vt:lpstr>
      <vt:lpstr>v_6_SO2</vt:lpstr>
      <vt:lpstr>v_6_SORPswitch</vt:lpstr>
      <vt:lpstr>v_6_SP_B</vt:lpstr>
      <vt:lpstr>v_6_SPFOA</vt:lpstr>
      <vt:lpstr>v_6_SPFOS</vt:lpstr>
      <vt:lpstr>v_6_SPO4</vt:lpstr>
      <vt:lpstr>v_6_SSO4</vt:lpstr>
      <vt:lpstr>v_6_SU</vt:lpstr>
      <vt:lpstr>v_6_SVFA</vt:lpstr>
      <vt:lpstr>v_6_XACP</vt:lpstr>
      <vt:lpstr>v_6_XALGAE</vt:lpstr>
      <vt:lpstr>v_6_XAMETO</vt:lpstr>
      <vt:lpstr>v_6_XAMX</vt:lpstr>
      <vt:lpstr>v_6_XAOB</vt:lpstr>
      <vt:lpstr>v_6_XASRO</vt:lpstr>
      <vt:lpstr>v_6_XB</vt:lpstr>
      <vt:lpstr>v_6_XB_e</vt:lpstr>
      <vt:lpstr>v_6_XBSH</vt:lpstr>
      <vt:lpstr>v_6_XCaCO3</vt:lpstr>
      <vt:lpstr>v_6_XCASTO</vt:lpstr>
      <vt:lpstr>v_6_XE</vt:lpstr>
      <vt:lpstr>v_6_XE_ana</vt:lpstr>
      <vt:lpstr>v_6_XFeS</vt:lpstr>
      <vt:lpstr>v_6_XHAO_H</vt:lpstr>
      <vt:lpstr>v_6_XHAO_H_P</vt:lpstr>
      <vt:lpstr>v_6_XHAO_H_P_old</vt:lpstr>
      <vt:lpstr>v_6_XHAO_L</vt:lpstr>
      <vt:lpstr>v_6_XHAO_L_P</vt:lpstr>
      <vt:lpstr>v_6_XHAO_L_P_old</vt:lpstr>
      <vt:lpstr>v_6_XHAO_old</vt:lpstr>
      <vt:lpstr>v_6_XHFO_H</vt:lpstr>
      <vt:lpstr>v_6_XHFO_H_P</vt:lpstr>
      <vt:lpstr>v_6_XHFO_H_P_old</vt:lpstr>
      <vt:lpstr>v_6_XHFO_L</vt:lpstr>
      <vt:lpstr>v_6_XHFO_L_P</vt:lpstr>
      <vt:lpstr>v_6_XHFO_L_P_old</vt:lpstr>
      <vt:lpstr>v_6_XHFO_old</vt:lpstr>
      <vt:lpstr>v_6_XHMETO</vt:lpstr>
      <vt:lpstr>v_6_XHSRO</vt:lpstr>
      <vt:lpstr>v_6_XINORG</vt:lpstr>
      <vt:lpstr>v_6_XMEOLO</vt:lpstr>
      <vt:lpstr>v_6_XN_B</vt:lpstr>
      <vt:lpstr>v_6_XN_Be</vt:lpstr>
      <vt:lpstr>v_6_XN_U</vt:lpstr>
      <vt:lpstr>v_6_XNOB</vt:lpstr>
      <vt:lpstr>v_6_XOHO</vt:lpstr>
      <vt:lpstr>v_6_XP_B</vt:lpstr>
      <vt:lpstr>v_6_XP_Be</vt:lpstr>
      <vt:lpstr>v_6_XP_U</vt:lpstr>
      <vt:lpstr>v_6_XPFOA</vt:lpstr>
      <vt:lpstr>v_6_XPFOS</vt:lpstr>
      <vt:lpstr>v_6_XPHA_GAO</vt:lpstr>
      <vt:lpstr>v_6_XPHA_PAO</vt:lpstr>
      <vt:lpstr>v_6_XPP</vt:lpstr>
      <vt:lpstr>v_6_XS</vt:lpstr>
      <vt:lpstr>v_6_XSOO</vt:lpstr>
      <vt:lpstr>v_6_XSTR</vt:lpstr>
      <vt:lpstr>v_6_XU</vt:lpstr>
      <vt:lpstr>v_6_XVivi</vt:lpstr>
      <vt:lpstr>v_60_CB</vt:lpstr>
      <vt:lpstr>v_60_CU</vt:lpstr>
      <vt:lpstr>v_60_GCH4</vt:lpstr>
      <vt:lpstr>v_60_GCH4_atm</vt:lpstr>
      <vt:lpstr>v_60_GCO2</vt:lpstr>
      <vt:lpstr>v_60_GCO2_atm</vt:lpstr>
      <vt:lpstr>v_60_GH2</vt:lpstr>
      <vt:lpstr>v_60_GH2_atm</vt:lpstr>
      <vt:lpstr>v_60_GH2S</vt:lpstr>
      <vt:lpstr>v_60_GH2S_atm</vt:lpstr>
      <vt:lpstr>v_60_GN2</vt:lpstr>
      <vt:lpstr>v_60_GN2_atm</vt:lpstr>
      <vt:lpstr>v_60_GNH3</vt:lpstr>
      <vt:lpstr>v_60_GNH3_atm</vt:lpstr>
      <vt:lpstr>v_60_GO2</vt:lpstr>
      <vt:lpstr>v_60_GO2_atm</vt:lpstr>
      <vt:lpstr>v_60_SALPHA</vt:lpstr>
      <vt:lpstr>v_60_SAN</vt:lpstr>
      <vt:lpstr>v_60_SB</vt:lpstr>
      <vt:lpstr>v_60_SCa</vt:lpstr>
      <vt:lpstr>v_60_SCAT</vt:lpstr>
      <vt:lpstr>v_60_SCH4</vt:lpstr>
      <vt:lpstr>v_60_SCO2</vt:lpstr>
      <vt:lpstr>v_60_SFe2</vt:lpstr>
      <vt:lpstr>v_60_SH</vt:lpstr>
      <vt:lpstr>v_60_SH2</vt:lpstr>
      <vt:lpstr>v_60_SH2S</vt:lpstr>
      <vt:lpstr>v_60_SK</vt:lpstr>
      <vt:lpstr>v_60_SMEOL</vt:lpstr>
      <vt:lpstr>v_60_SMg</vt:lpstr>
      <vt:lpstr>v_60_SMM_index</vt:lpstr>
      <vt:lpstr>v_60_SN_B</vt:lpstr>
      <vt:lpstr>v_60_SN2</vt:lpstr>
      <vt:lpstr>v_60_SNHx</vt:lpstr>
      <vt:lpstr>v_60_SNO2</vt:lpstr>
      <vt:lpstr>v_60_SNO3</vt:lpstr>
      <vt:lpstr>v_60_SO2</vt:lpstr>
      <vt:lpstr>v_60_SORPswitch</vt:lpstr>
      <vt:lpstr>v_60_SP_B</vt:lpstr>
      <vt:lpstr>v_60_SPFOA</vt:lpstr>
      <vt:lpstr>v_60_SPFOS</vt:lpstr>
      <vt:lpstr>v_60_SPO4</vt:lpstr>
      <vt:lpstr>v_60_SSO4</vt:lpstr>
      <vt:lpstr>v_60_SU</vt:lpstr>
      <vt:lpstr>v_60_SVFA</vt:lpstr>
      <vt:lpstr>v_60_XACP</vt:lpstr>
      <vt:lpstr>v_60_XALGAE</vt:lpstr>
      <vt:lpstr>v_60_XAMETO</vt:lpstr>
      <vt:lpstr>v_60_XAMX</vt:lpstr>
      <vt:lpstr>v_60_XAOB</vt:lpstr>
      <vt:lpstr>v_60_XASRO</vt:lpstr>
      <vt:lpstr>v_60_XB</vt:lpstr>
      <vt:lpstr>v_60_XB_e</vt:lpstr>
      <vt:lpstr>v_60_XBSH</vt:lpstr>
      <vt:lpstr>v_60_XCaCO3</vt:lpstr>
      <vt:lpstr>v_60_XCASTO</vt:lpstr>
      <vt:lpstr>v_60_XE</vt:lpstr>
      <vt:lpstr>v_60_XE_ana</vt:lpstr>
      <vt:lpstr>v_60_XFeS</vt:lpstr>
      <vt:lpstr>v_60_XHAO_H</vt:lpstr>
      <vt:lpstr>v_60_XHAO_H_P</vt:lpstr>
      <vt:lpstr>v_60_XHAO_H_P_old</vt:lpstr>
      <vt:lpstr>v_60_XHAO_L</vt:lpstr>
      <vt:lpstr>v_60_XHAO_L_P</vt:lpstr>
      <vt:lpstr>v_60_XHAO_L_P_old</vt:lpstr>
      <vt:lpstr>v_60_XHAO_old</vt:lpstr>
      <vt:lpstr>v_60_XHFO_H</vt:lpstr>
      <vt:lpstr>v_60_XHFO_H_P</vt:lpstr>
      <vt:lpstr>v_60_XHFO_H_P_old</vt:lpstr>
      <vt:lpstr>v_60_XHFO_L</vt:lpstr>
      <vt:lpstr>v_60_XHFO_L_P</vt:lpstr>
      <vt:lpstr>v_60_XHFO_L_P_old</vt:lpstr>
      <vt:lpstr>v_60_XHFO_old</vt:lpstr>
      <vt:lpstr>v_60_XHMETO</vt:lpstr>
      <vt:lpstr>v_60_XHSRO</vt:lpstr>
      <vt:lpstr>v_60_XINORG</vt:lpstr>
      <vt:lpstr>v_60_XMEOLO</vt:lpstr>
      <vt:lpstr>v_60_XN_B</vt:lpstr>
      <vt:lpstr>v_60_XN_Be</vt:lpstr>
      <vt:lpstr>v_60_XN_U</vt:lpstr>
      <vt:lpstr>v_60_XNOB</vt:lpstr>
      <vt:lpstr>v_60_XOHO</vt:lpstr>
      <vt:lpstr>v_60_XP_B</vt:lpstr>
      <vt:lpstr>v_60_XP_Be</vt:lpstr>
      <vt:lpstr>v_60_XP_U</vt:lpstr>
      <vt:lpstr>v_60_XPFOA</vt:lpstr>
      <vt:lpstr>v_60_XPFOS</vt:lpstr>
      <vt:lpstr>v_60_XPHA_GAO</vt:lpstr>
      <vt:lpstr>v_60_XPHA_PAO</vt:lpstr>
      <vt:lpstr>v_60_XPP</vt:lpstr>
      <vt:lpstr>v_60_XS</vt:lpstr>
      <vt:lpstr>v_60_XSOO</vt:lpstr>
      <vt:lpstr>v_60_XSTR</vt:lpstr>
      <vt:lpstr>v_60_XU</vt:lpstr>
      <vt:lpstr>v_60_XVivi</vt:lpstr>
      <vt:lpstr>v_61_CB</vt:lpstr>
      <vt:lpstr>v_61_CU</vt:lpstr>
      <vt:lpstr>v_61_GCH4</vt:lpstr>
      <vt:lpstr>v_61_GCH4_atm</vt:lpstr>
      <vt:lpstr>v_61_GCO2</vt:lpstr>
      <vt:lpstr>v_61_GCO2_atm</vt:lpstr>
      <vt:lpstr>v_61_GH2</vt:lpstr>
      <vt:lpstr>v_61_GH2_atm</vt:lpstr>
      <vt:lpstr>v_61_GH2S</vt:lpstr>
      <vt:lpstr>v_61_GH2S_atm</vt:lpstr>
      <vt:lpstr>v_61_GN2</vt:lpstr>
      <vt:lpstr>v_61_GN2_atm</vt:lpstr>
      <vt:lpstr>v_61_GNH3</vt:lpstr>
      <vt:lpstr>v_61_GNH3_atm</vt:lpstr>
      <vt:lpstr>v_61_GO2</vt:lpstr>
      <vt:lpstr>v_61_GO2_atm</vt:lpstr>
      <vt:lpstr>v_61_SALPHA</vt:lpstr>
      <vt:lpstr>v_61_SAN</vt:lpstr>
      <vt:lpstr>v_61_SB</vt:lpstr>
      <vt:lpstr>v_61_SCa</vt:lpstr>
      <vt:lpstr>v_61_SCAT</vt:lpstr>
      <vt:lpstr>v_61_SCH4</vt:lpstr>
      <vt:lpstr>v_61_SCO2</vt:lpstr>
      <vt:lpstr>v_61_SFe2</vt:lpstr>
      <vt:lpstr>v_61_SH</vt:lpstr>
      <vt:lpstr>v_61_SH2</vt:lpstr>
      <vt:lpstr>v_61_SH2S</vt:lpstr>
      <vt:lpstr>v_61_SK</vt:lpstr>
      <vt:lpstr>v_61_SMEOL</vt:lpstr>
      <vt:lpstr>v_61_SMg</vt:lpstr>
      <vt:lpstr>v_61_SMM_index</vt:lpstr>
      <vt:lpstr>v_61_SN_B</vt:lpstr>
      <vt:lpstr>v_61_SN2</vt:lpstr>
      <vt:lpstr>v_61_SNHx</vt:lpstr>
      <vt:lpstr>v_61_SNO2</vt:lpstr>
      <vt:lpstr>v_61_SNO3</vt:lpstr>
      <vt:lpstr>v_61_SO2</vt:lpstr>
      <vt:lpstr>v_61_SORPswitch</vt:lpstr>
      <vt:lpstr>v_61_SP_B</vt:lpstr>
      <vt:lpstr>v_61_SPFOA</vt:lpstr>
      <vt:lpstr>v_61_SPFOS</vt:lpstr>
      <vt:lpstr>v_61_SPO4</vt:lpstr>
      <vt:lpstr>v_61_SSO4</vt:lpstr>
      <vt:lpstr>v_61_SU</vt:lpstr>
      <vt:lpstr>v_61_SVFA</vt:lpstr>
      <vt:lpstr>v_61_XACP</vt:lpstr>
      <vt:lpstr>v_61_XALGAE</vt:lpstr>
      <vt:lpstr>v_61_XAMETO</vt:lpstr>
      <vt:lpstr>v_61_XAMX</vt:lpstr>
      <vt:lpstr>v_61_XAOB</vt:lpstr>
      <vt:lpstr>v_61_XASRO</vt:lpstr>
      <vt:lpstr>v_61_XB</vt:lpstr>
      <vt:lpstr>v_61_XB_e</vt:lpstr>
      <vt:lpstr>v_61_XBSH</vt:lpstr>
      <vt:lpstr>v_61_XCaCO3</vt:lpstr>
      <vt:lpstr>v_61_XCASTO</vt:lpstr>
      <vt:lpstr>v_61_XE</vt:lpstr>
      <vt:lpstr>v_61_XE_ana</vt:lpstr>
      <vt:lpstr>v_61_XFeS</vt:lpstr>
      <vt:lpstr>v_61_XHAO_H</vt:lpstr>
      <vt:lpstr>v_61_XHAO_H_P</vt:lpstr>
      <vt:lpstr>v_61_XHAO_H_P_old</vt:lpstr>
      <vt:lpstr>v_61_XHAO_L</vt:lpstr>
      <vt:lpstr>v_61_XHAO_L_P</vt:lpstr>
      <vt:lpstr>v_61_XHAO_L_P_old</vt:lpstr>
      <vt:lpstr>v_61_XHAO_old</vt:lpstr>
      <vt:lpstr>v_61_XHFO_H</vt:lpstr>
      <vt:lpstr>v_61_XHFO_H_P</vt:lpstr>
      <vt:lpstr>v_61_XHFO_H_P_old</vt:lpstr>
      <vt:lpstr>v_61_XHFO_L</vt:lpstr>
      <vt:lpstr>v_61_XHFO_L_P</vt:lpstr>
      <vt:lpstr>v_61_XHFO_L_P_old</vt:lpstr>
      <vt:lpstr>v_61_XHFO_old</vt:lpstr>
      <vt:lpstr>v_61_XHMETO</vt:lpstr>
      <vt:lpstr>v_61_XHSRO</vt:lpstr>
      <vt:lpstr>v_61_XINORG</vt:lpstr>
      <vt:lpstr>v_61_XMEOLO</vt:lpstr>
      <vt:lpstr>v_61_XN_B</vt:lpstr>
      <vt:lpstr>v_61_XN_Be</vt:lpstr>
      <vt:lpstr>v_61_XN_U</vt:lpstr>
      <vt:lpstr>v_61_XNOB</vt:lpstr>
      <vt:lpstr>v_61_XOHO</vt:lpstr>
      <vt:lpstr>v_61_XP_B</vt:lpstr>
      <vt:lpstr>v_61_XP_Be</vt:lpstr>
      <vt:lpstr>v_61_XP_U</vt:lpstr>
      <vt:lpstr>v_61_XPFOA</vt:lpstr>
      <vt:lpstr>v_61_XPFOS</vt:lpstr>
      <vt:lpstr>v_61_XPHA_GAO</vt:lpstr>
      <vt:lpstr>v_61_XPHA_PAO</vt:lpstr>
      <vt:lpstr>v_61_XPP</vt:lpstr>
      <vt:lpstr>v_61_XS</vt:lpstr>
      <vt:lpstr>v_61_XSOO</vt:lpstr>
      <vt:lpstr>v_61_XSTR</vt:lpstr>
      <vt:lpstr>v_61_XU</vt:lpstr>
      <vt:lpstr>v_61_XVivi</vt:lpstr>
      <vt:lpstr>v_62_CB</vt:lpstr>
      <vt:lpstr>v_62_CU</vt:lpstr>
      <vt:lpstr>v_62_GCH4</vt:lpstr>
      <vt:lpstr>v_62_GCH4_atm</vt:lpstr>
      <vt:lpstr>v_62_GCO2</vt:lpstr>
      <vt:lpstr>v_62_GCO2_atm</vt:lpstr>
      <vt:lpstr>v_62_GH2</vt:lpstr>
      <vt:lpstr>v_62_GH2_atm</vt:lpstr>
      <vt:lpstr>v_62_GH2S</vt:lpstr>
      <vt:lpstr>v_62_GH2S_atm</vt:lpstr>
      <vt:lpstr>v_62_GN2</vt:lpstr>
      <vt:lpstr>v_62_GN2_atm</vt:lpstr>
      <vt:lpstr>v_62_GNH3</vt:lpstr>
      <vt:lpstr>v_62_GNH3_atm</vt:lpstr>
      <vt:lpstr>v_62_GO2</vt:lpstr>
      <vt:lpstr>v_62_GO2_atm</vt:lpstr>
      <vt:lpstr>v_62_SALPHA</vt:lpstr>
      <vt:lpstr>v_62_SAN</vt:lpstr>
      <vt:lpstr>v_62_SB</vt:lpstr>
      <vt:lpstr>v_62_SCa</vt:lpstr>
      <vt:lpstr>v_62_SCAT</vt:lpstr>
      <vt:lpstr>v_62_SCH4</vt:lpstr>
      <vt:lpstr>v_62_SCO2</vt:lpstr>
      <vt:lpstr>v_62_SFe2</vt:lpstr>
      <vt:lpstr>v_62_SH</vt:lpstr>
      <vt:lpstr>v_62_SH2</vt:lpstr>
      <vt:lpstr>v_62_SH2S</vt:lpstr>
      <vt:lpstr>v_62_SK</vt:lpstr>
      <vt:lpstr>v_62_SMEOL</vt:lpstr>
      <vt:lpstr>v_62_SMg</vt:lpstr>
      <vt:lpstr>v_62_SMM_index</vt:lpstr>
      <vt:lpstr>v_62_SN_B</vt:lpstr>
      <vt:lpstr>v_62_SN2</vt:lpstr>
      <vt:lpstr>v_62_SNHx</vt:lpstr>
      <vt:lpstr>v_62_SNO2</vt:lpstr>
      <vt:lpstr>v_62_SNO3</vt:lpstr>
      <vt:lpstr>v_62_SO2</vt:lpstr>
      <vt:lpstr>v_62_SORPswitch</vt:lpstr>
      <vt:lpstr>v_62_SP_B</vt:lpstr>
      <vt:lpstr>v_62_SPFOA</vt:lpstr>
      <vt:lpstr>v_62_SPFOS</vt:lpstr>
      <vt:lpstr>v_62_SPO4</vt:lpstr>
      <vt:lpstr>v_62_SSO4</vt:lpstr>
      <vt:lpstr>v_62_SU</vt:lpstr>
      <vt:lpstr>v_62_SVFA</vt:lpstr>
      <vt:lpstr>v_62_XACP</vt:lpstr>
      <vt:lpstr>v_62_XALGAE</vt:lpstr>
      <vt:lpstr>v_62_XAMETO</vt:lpstr>
      <vt:lpstr>v_62_XAMX</vt:lpstr>
      <vt:lpstr>v_62_XAOB</vt:lpstr>
      <vt:lpstr>v_62_XASRO</vt:lpstr>
      <vt:lpstr>v_62_XB</vt:lpstr>
      <vt:lpstr>v_62_XB_e</vt:lpstr>
      <vt:lpstr>v_62_XBSH</vt:lpstr>
      <vt:lpstr>v_62_XCaCO3</vt:lpstr>
      <vt:lpstr>v_62_XCASTO</vt:lpstr>
      <vt:lpstr>v_62_XE</vt:lpstr>
      <vt:lpstr>v_62_XE_ana</vt:lpstr>
      <vt:lpstr>v_62_XFeS</vt:lpstr>
      <vt:lpstr>v_62_XHAO_H</vt:lpstr>
      <vt:lpstr>v_62_XHAO_H_P</vt:lpstr>
      <vt:lpstr>v_62_XHAO_H_P_old</vt:lpstr>
      <vt:lpstr>v_62_XHAO_L</vt:lpstr>
      <vt:lpstr>v_62_XHAO_L_P</vt:lpstr>
      <vt:lpstr>v_62_XHAO_L_P_old</vt:lpstr>
      <vt:lpstr>v_62_XHAO_old</vt:lpstr>
      <vt:lpstr>v_62_XHFO_H</vt:lpstr>
      <vt:lpstr>v_62_XHFO_H_P</vt:lpstr>
      <vt:lpstr>v_62_XHFO_H_P_old</vt:lpstr>
      <vt:lpstr>v_62_XHFO_L</vt:lpstr>
      <vt:lpstr>v_62_XHFO_L_P</vt:lpstr>
      <vt:lpstr>v_62_XHFO_L_P_old</vt:lpstr>
      <vt:lpstr>v_62_XHFO_old</vt:lpstr>
      <vt:lpstr>v_62_XHMETO</vt:lpstr>
      <vt:lpstr>v_62_XHSRO</vt:lpstr>
      <vt:lpstr>v_62_XINORG</vt:lpstr>
      <vt:lpstr>v_62_XMEOLO</vt:lpstr>
      <vt:lpstr>v_62_XN_B</vt:lpstr>
      <vt:lpstr>v_62_XN_Be</vt:lpstr>
      <vt:lpstr>v_62_XN_U</vt:lpstr>
      <vt:lpstr>v_62_XNOB</vt:lpstr>
      <vt:lpstr>v_62_XOHO</vt:lpstr>
      <vt:lpstr>v_62_XP_B</vt:lpstr>
      <vt:lpstr>v_62_XP_Be</vt:lpstr>
      <vt:lpstr>v_62_XP_U</vt:lpstr>
      <vt:lpstr>v_62_XPFOA</vt:lpstr>
      <vt:lpstr>v_62_XPFOS</vt:lpstr>
      <vt:lpstr>v_62_XPHA_GAO</vt:lpstr>
      <vt:lpstr>v_62_XPHA_PAO</vt:lpstr>
      <vt:lpstr>v_62_XPP</vt:lpstr>
      <vt:lpstr>v_62_XS</vt:lpstr>
      <vt:lpstr>v_62_XSOO</vt:lpstr>
      <vt:lpstr>v_62_XSTR</vt:lpstr>
      <vt:lpstr>v_62_XU</vt:lpstr>
      <vt:lpstr>v_62_XVivi</vt:lpstr>
      <vt:lpstr>v_63_CB</vt:lpstr>
      <vt:lpstr>v_63_CU</vt:lpstr>
      <vt:lpstr>v_63_GCH4</vt:lpstr>
      <vt:lpstr>v_63_GCH4_atm</vt:lpstr>
      <vt:lpstr>v_63_GCO2</vt:lpstr>
      <vt:lpstr>v_63_GCO2_atm</vt:lpstr>
      <vt:lpstr>v_63_GH2</vt:lpstr>
      <vt:lpstr>v_63_GH2_atm</vt:lpstr>
      <vt:lpstr>v_63_GH2S</vt:lpstr>
      <vt:lpstr>v_63_GH2S_atm</vt:lpstr>
      <vt:lpstr>v_63_GN2</vt:lpstr>
      <vt:lpstr>v_63_GN2_atm</vt:lpstr>
      <vt:lpstr>v_63_GNH3</vt:lpstr>
      <vt:lpstr>v_63_GNH3_atm</vt:lpstr>
      <vt:lpstr>v_63_GO2</vt:lpstr>
      <vt:lpstr>v_63_GO2_atm</vt:lpstr>
      <vt:lpstr>v_63_SALPHA</vt:lpstr>
      <vt:lpstr>v_63_SAN</vt:lpstr>
      <vt:lpstr>v_63_SB</vt:lpstr>
      <vt:lpstr>v_63_SCa</vt:lpstr>
      <vt:lpstr>v_63_SCAT</vt:lpstr>
      <vt:lpstr>v_63_SCH4</vt:lpstr>
      <vt:lpstr>v_63_SCO2</vt:lpstr>
      <vt:lpstr>v_63_SFe2</vt:lpstr>
      <vt:lpstr>v_63_SH</vt:lpstr>
      <vt:lpstr>v_63_SH2</vt:lpstr>
      <vt:lpstr>v_63_SH2S</vt:lpstr>
      <vt:lpstr>v_63_SK</vt:lpstr>
      <vt:lpstr>v_63_SMEOL</vt:lpstr>
      <vt:lpstr>v_63_SMg</vt:lpstr>
      <vt:lpstr>v_63_SMM_index</vt:lpstr>
      <vt:lpstr>v_63_SN_B</vt:lpstr>
      <vt:lpstr>v_63_SN2</vt:lpstr>
      <vt:lpstr>v_63_SNHx</vt:lpstr>
      <vt:lpstr>v_63_SNO2</vt:lpstr>
      <vt:lpstr>v_63_SNO3</vt:lpstr>
      <vt:lpstr>v_63_SO2</vt:lpstr>
      <vt:lpstr>v_63_SORPswitch</vt:lpstr>
      <vt:lpstr>v_63_SP_B</vt:lpstr>
      <vt:lpstr>v_63_SPFOA</vt:lpstr>
      <vt:lpstr>v_63_SPFOS</vt:lpstr>
      <vt:lpstr>v_63_SPO4</vt:lpstr>
      <vt:lpstr>v_63_SSO4</vt:lpstr>
      <vt:lpstr>v_63_SU</vt:lpstr>
      <vt:lpstr>v_63_SVFA</vt:lpstr>
      <vt:lpstr>v_63_XACP</vt:lpstr>
      <vt:lpstr>v_63_XALGAE</vt:lpstr>
      <vt:lpstr>v_63_XAMETO</vt:lpstr>
      <vt:lpstr>v_63_XAMX</vt:lpstr>
      <vt:lpstr>v_63_XAOB</vt:lpstr>
      <vt:lpstr>v_63_XASRO</vt:lpstr>
      <vt:lpstr>v_63_XB</vt:lpstr>
      <vt:lpstr>v_63_XB_e</vt:lpstr>
      <vt:lpstr>v_63_XBSH</vt:lpstr>
      <vt:lpstr>v_63_XCaCO3</vt:lpstr>
      <vt:lpstr>v_63_XCASTO</vt:lpstr>
      <vt:lpstr>v_63_XE</vt:lpstr>
      <vt:lpstr>v_63_XE_ana</vt:lpstr>
      <vt:lpstr>v_63_XFeS</vt:lpstr>
      <vt:lpstr>v_63_XHAO_H</vt:lpstr>
      <vt:lpstr>v_63_XHAO_H_P</vt:lpstr>
      <vt:lpstr>v_63_XHAO_H_P_old</vt:lpstr>
      <vt:lpstr>v_63_XHAO_L</vt:lpstr>
      <vt:lpstr>v_63_XHAO_L_P</vt:lpstr>
      <vt:lpstr>v_63_XHAO_L_P_old</vt:lpstr>
      <vt:lpstr>v_63_XHAO_old</vt:lpstr>
      <vt:lpstr>v_63_XHFO_H</vt:lpstr>
      <vt:lpstr>v_63_XHFO_H_P</vt:lpstr>
      <vt:lpstr>v_63_XHFO_H_P_old</vt:lpstr>
      <vt:lpstr>v_63_XHFO_L</vt:lpstr>
      <vt:lpstr>v_63_XHFO_L_P</vt:lpstr>
      <vt:lpstr>v_63_XHFO_L_P_old</vt:lpstr>
      <vt:lpstr>v_63_XHFO_old</vt:lpstr>
      <vt:lpstr>v_63_XHMETO</vt:lpstr>
      <vt:lpstr>v_63_XHSRO</vt:lpstr>
      <vt:lpstr>v_63_XINORG</vt:lpstr>
      <vt:lpstr>v_63_XMEOLO</vt:lpstr>
      <vt:lpstr>v_63_XN_B</vt:lpstr>
      <vt:lpstr>v_63_XN_Be</vt:lpstr>
      <vt:lpstr>v_63_XN_U</vt:lpstr>
      <vt:lpstr>v_63_XNOB</vt:lpstr>
      <vt:lpstr>v_63_XOHO</vt:lpstr>
      <vt:lpstr>v_63_XP_B</vt:lpstr>
      <vt:lpstr>v_63_XP_Be</vt:lpstr>
      <vt:lpstr>v_63_XP_U</vt:lpstr>
      <vt:lpstr>v_63_XPFOA</vt:lpstr>
      <vt:lpstr>v_63_XPFOS</vt:lpstr>
      <vt:lpstr>v_63_XPHA_GAO</vt:lpstr>
      <vt:lpstr>v_63_XPHA_PAO</vt:lpstr>
      <vt:lpstr>v_63_XPP</vt:lpstr>
      <vt:lpstr>v_63_XS</vt:lpstr>
      <vt:lpstr>v_63_XSOO</vt:lpstr>
      <vt:lpstr>v_63_XSTR</vt:lpstr>
      <vt:lpstr>v_63_XU</vt:lpstr>
      <vt:lpstr>v_63_XVivi</vt:lpstr>
      <vt:lpstr>v_64_CB</vt:lpstr>
      <vt:lpstr>v_64_CU</vt:lpstr>
      <vt:lpstr>v_64_GCH4</vt:lpstr>
      <vt:lpstr>v_64_GCH4_atm</vt:lpstr>
      <vt:lpstr>v_64_GCO2</vt:lpstr>
      <vt:lpstr>v_64_GCO2_atm</vt:lpstr>
      <vt:lpstr>v_64_GH2</vt:lpstr>
      <vt:lpstr>v_64_GH2_atm</vt:lpstr>
      <vt:lpstr>v_64_GH2S</vt:lpstr>
      <vt:lpstr>v_64_GH2S_atm</vt:lpstr>
      <vt:lpstr>v_64_GN2</vt:lpstr>
      <vt:lpstr>v_64_GN2_atm</vt:lpstr>
      <vt:lpstr>v_64_GNH3</vt:lpstr>
      <vt:lpstr>v_64_GNH3_atm</vt:lpstr>
      <vt:lpstr>v_64_GO2</vt:lpstr>
      <vt:lpstr>v_64_GO2_atm</vt:lpstr>
      <vt:lpstr>v_64_SALPHA</vt:lpstr>
      <vt:lpstr>v_64_SAN</vt:lpstr>
      <vt:lpstr>v_64_SB</vt:lpstr>
      <vt:lpstr>v_64_SCa</vt:lpstr>
      <vt:lpstr>v_64_SCAT</vt:lpstr>
      <vt:lpstr>v_64_SCH4</vt:lpstr>
      <vt:lpstr>v_64_SCO2</vt:lpstr>
      <vt:lpstr>v_64_SFe2</vt:lpstr>
      <vt:lpstr>v_64_SH</vt:lpstr>
      <vt:lpstr>v_64_SH2</vt:lpstr>
      <vt:lpstr>v_64_SH2S</vt:lpstr>
      <vt:lpstr>v_64_SK</vt:lpstr>
      <vt:lpstr>v_64_SMEOL</vt:lpstr>
      <vt:lpstr>v_64_SMg</vt:lpstr>
      <vt:lpstr>v_64_SMM_index</vt:lpstr>
      <vt:lpstr>v_64_SN_B</vt:lpstr>
      <vt:lpstr>v_64_SN2</vt:lpstr>
      <vt:lpstr>v_64_SNHx</vt:lpstr>
      <vt:lpstr>v_64_SNO2</vt:lpstr>
      <vt:lpstr>v_64_SNO3</vt:lpstr>
      <vt:lpstr>v_64_SO2</vt:lpstr>
      <vt:lpstr>v_64_SORPswitch</vt:lpstr>
      <vt:lpstr>v_64_SP_B</vt:lpstr>
      <vt:lpstr>v_64_SPFOA</vt:lpstr>
      <vt:lpstr>v_64_SPFOS</vt:lpstr>
      <vt:lpstr>v_64_SPO4</vt:lpstr>
      <vt:lpstr>v_64_SSO4</vt:lpstr>
      <vt:lpstr>v_64_SU</vt:lpstr>
      <vt:lpstr>v_64_SVFA</vt:lpstr>
      <vt:lpstr>v_64_XACP</vt:lpstr>
      <vt:lpstr>v_64_XALGAE</vt:lpstr>
      <vt:lpstr>v_64_XAMETO</vt:lpstr>
      <vt:lpstr>v_64_XAMX</vt:lpstr>
      <vt:lpstr>v_64_XAOB</vt:lpstr>
      <vt:lpstr>v_64_XASRO</vt:lpstr>
      <vt:lpstr>v_64_XB</vt:lpstr>
      <vt:lpstr>v_64_XB_e</vt:lpstr>
      <vt:lpstr>v_64_XBSH</vt:lpstr>
      <vt:lpstr>v_64_XCaCO3</vt:lpstr>
      <vt:lpstr>v_64_XCASTO</vt:lpstr>
      <vt:lpstr>v_64_XE</vt:lpstr>
      <vt:lpstr>v_64_XE_ana</vt:lpstr>
      <vt:lpstr>v_64_XFeS</vt:lpstr>
      <vt:lpstr>v_64_XHAO_H</vt:lpstr>
      <vt:lpstr>v_64_XHAO_H_P</vt:lpstr>
      <vt:lpstr>v_64_XHAO_H_P_old</vt:lpstr>
      <vt:lpstr>v_64_XHAO_L</vt:lpstr>
      <vt:lpstr>v_64_XHAO_L_P</vt:lpstr>
      <vt:lpstr>v_64_XHAO_L_P_old</vt:lpstr>
      <vt:lpstr>v_64_XHAO_old</vt:lpstr>
      <vt:lpstr>v_64_XHFO_H</vt:lpstr>
      <vt:lpstr>v_64_XHFO_H_P</vt:lpstr>
      <vt:lpstr>v_64_XHFO_H_P_old</vt:lpstr>
      <vt:lpstr>v_64_XHFO_L</vt:lpstr>
      <vt:lpstr>v_64_XHFO_L_P</vt:lpstr>
      <vt:lpstr>v_64_XHFO_L_P_old</vt:lpstr>
      <vt:lpstr>v_64_XHFO_old</vt:lpstr>
      <vt:lpstr>v_64_XHMETO</vt:lpstr>
      <vt:lpstr>v_64_XHSRO</vt:lpstr>
      <vt:lpstr>v_64_XINORG</vt:lpstr>
      <vt:lpstr>v_64_XMEOLO</vt:lpstr>
      <vt:lpstr>v_64_XN_B</vt:lpstr>
      <vt:lpstr>v_64_XN_Be</vt:lpstr>
      <vt:lpstr>v_64_XN_U</vt:lpstr>
      <vt:lpstr>v_64_XNOB</vt:lpstr>
      <vt:lpstr>v_64_XOHO</vt:lpstr>
      <vt:lpstr>v_64_XP_B</vt:lpstr>
      <vt:lpstr>v_64_XP_Be</vt:lpstr>
      <vt:lpstr>v_64_XP_U</vt:lpstr>
      <vt:lpstr>v_64_XPFOA</vt:lpstr>
      <vt:lpstr>v_64_XPFOS</vt:lpstr>
      <vt:lpstr>v_64_XPHA_GAO</vt:lpstr>
      <vt:lpstr>v_64_XPHA_PAO</vt:lpstr>
      <vt:lpstr>v_64_XPP</vt:lpstr>
      <vt:lpstr>v_64_XS</vt:lpstr>
      <vt:lpstr>v_64_XSOO</vt:lpstr>
      <vt:lpstr>v_64_XSTR</vt:lpstr>
      <vt:lpstr>v_64_XU</vt:lpstr>
      <vt:lpstr>v_64_XVivi</vt:lpstr>
      <vt:lpstr>v_65_CB</vt:lpstr>
      <vt:lpstr>v_65_CU</vt:lpstr>
      <vt:lpstr>v_65_GCH4</vt:lpstr>
      <vt:lpstr>v_65_GCH4_atm</vt:lpstr>
      <vt:lpstr>v_65_GCO2</vt:lpstr>
      <vt:lpstr>v_65_GCO2_atm</vt:lpstr>
      <vt:lpstr>v_65_GH2</vt:lpstr>
      <vt:lpstr>v_65_GH2_atm</vt:lpstr>
      <vt:lpstr>v_65_GH2S</vt:lpstr>
      <vt:lpstr>v_65_GH2S_atm</vt:lpstr>
      <vt:lpstr>v_65_GN2</vt:lpstr>
      <vt:lpstr>v_65_GN2_atm</vt:lpstr>
      <vt:lpstr>v_65_GNH3</vt:lpstr>
      <vt:lpstr>v_65_GNH3_atm</vt:lpstr>
      <vt:lpstr>v_65_GO2</vt:lpstr>
      <vt:lpstr>v_65_GO2_atm</vt:lpstr>
      <vt:lpstr>v_65_SALPHA</vt:lpstr>
      <vt:lpstr>v_65_SAN</vt:lpstr>
      <vt:lpstr>v_65_SB</vt:lpstr>
      <vt:lpstr>v_65_SCa</vt:lpstr>
      <vt:lpstr>v_65_SCAT</vt:lpstr>
      <vt:lpstr>v_65_SCH4</vt:lpstr>
      <vt:lpstr>v_65_SCO2</vt:lpstr>
      <vt:lpstr>v_65_SFe2</vt:lpstr>
      <vt:lpstr>v_65_SH</vt:lpstr>
      <vt:lpstr>v_65_SH2</vt:lpstr>
      <vt:lpstr>v_65_SH2S</vt:lpstr>
      <vt:lpstr>v_65_SK</vt:lpstr>
      <vt:lpstr>v_65_SMEOL</vt:lpstr>
      <vt:lpstr>v_65_SMg</vt:lpstr>
      <vt:lpstr>v_65_SMM_index</vt:lpstr>
      <vt:lpstr>v_65_SN_B</vt:lpstr>
      <vt:lpstr>v_65_SN2</vt:lpstr>
      <vt:lpstr>v_65_SNHx</vt:lpstr>
      <vt:lpstr>v_65_SNO2</vt:lpstr>
      <vt:lpstr>v_65_SNO3</vt:lpstr>
      <vt:lpstr>v_65_SO2</vt:lpstr>
      <vt:lpstr>v_65_SORPswitch</vt:lpstr>
      <vt:lpstr>v_65_SP_B</vt:lpstr>
      <vt:lpstr>v_65_SPFOA</vt:lpstr>
      <vt:lpstr>v_65_SPFOS</vt:lpstr>
      <vt:lpstr>v_65_SPO4</vt:lpstr>
      <vt:lpstr>v_65_SSO4</vt:lpstr>
      <vt:lpstr>v_65_SU</vt:lpstr>
      <vt:lpstr>v_65_SVFA</vt:lpstr>
      <vt:lpstr>v_65_XACP</vt:lpstr>
      <vt:lpstr>v_65_XALGAE</vt:lpstr>
      <vt:lpstr>v_65_XAMETO</vt:lpstr>
      <vt:lpstr>v_65_XAMX</vt:lpstr>
      <vt:lpstr>v_65_XAOB</vt:lpstr>
      <vt:lpstr>v_65_XASRO</vt:lpstr>
      <vt:lpstr>v_65_XB</vt:lpstr>
      <vt:lpstr>v_65_XB_e</vt:lpstr>
      <vt:lpstr>v_65_XBSH</vt:lpstr>
      <vt:lpstr>v_65_XCaCO3</vt:lpstr>
      <vt:lpstr>v_65_XCASTO</vt:lpstr>
      <vt:lpstr>v_65_XE</vt:lpstr>
      <vt:lpstr>v_65_XE_ana</vt:lpstr>
      <vt:lpstr>v_65_XFeS</vt:lpstr>
      <vt:lpstr>v_65_XHAO_H</vt:lpstr>
      <vt:lpstr>v_65_XHAO_H_P</vt:lpstr>
      <vt:lpstr>v_65_XHAO_H_P_old</vt:lpstr>
      <vt:lpstr>v_65_XHAO_L</vt:lpstr>
      <vt:lpstr>v_65_XHAO_L_P</vt:lpstr>
      <vt:lpstr>v_65_XHAO_L_P_old</vt:lpstr>
      <vt:lpstr>v_65_XHAO_old</vt:lpstr>
      <vt:lpstr>v_65_XHFO_H</vt:lpstr>
      <vt:lpstr>v_65_XHFO_H_P</vt:lpstr>
      <vt:lpstr>v_65_XHFO_H_P_old</vt:lpstr>
      <vt:lpstr>v_65_XHFO_L</vt:lpstr>
      <vt:lpstr>v_65_XHFO_L_P</vt:lpstr>
      <vt:lpstr>v_65_XHFO_L_P_old</vt:lpstr>
      <vt:lpstr>v_65_XHFO_old</vt:lpstr>
      <vt:lpstr>v_65_XHMETO</vt:lpstr>
      <vt:lpstr>v_65_XHSRO</vt:lpstr>
      <vt:lpstr>v_65_XINORG</vt:lpstr>
      <vt:lpstr>v_65_XMEOLO</vt:lpstr>
      <vt:lpstr>v_65_XN_B</vt:lpstr>
      <vt:lpstr>v_65_XN_Be</vt:lpstr>
      <vt:lpstr>v_65_XN_U</vt:lpstr>
      <vt:lpstr>v_65_XNOB</vt:lpstr>
      <vt:lpstr>v_65_XOHO</vt:lpstr>
      <vt:lpstr>v_65_XP_B</vt:lpstr>
      <vt:lpstr>v_65_XP_Be</vt:lpstr>
      <vt:lpstr>v_65_XP_U</vt:lpstr>
      <vt:lpstr>v_65_XPFOA</vt:lpstr>
      <vt:lpstr>v_65_XPFOS</vt:lpstr>
      <vt:lpstr>v_65_XPHA_GAO</vt:lpstr>
      <vt:lpstr>v_65_XPHA_PAO</vt:lpstr>
      <vt:lpstr>v_65_XPP</vt:lpstr>
      <vt:lpstr>v_65_XS</vt:lpstr>
      <vt:lpstr>v_65_XSOO</vt:lpstr>
      <vt:lpstr>v_65_XSTR</vt:lpstr>
      <vt:lpstr>v_65_XU</vt:lpstr>
      <vt:lpstr>v_65_XVivi</vt:lpstr>
      <vt:lpstr>v_66_CB</vt:lpstr>
      <vt:lpstr>v_66_CU</vt:lpstr>
      <vt:lpstr>v_66_GCH4</vt:lpstr>
      <vt:lpstr>v_66_GCH4_atm</vt:lpstr>
      <vt:lpstr>v_66_GCO2</vt:lpstr>
      <vt:lpstr>v_66_GCO2_atm</vt:lpstr>
      <vt:lpstr>v_66_GH2</vt:lpstr>
      <vt:lpstr>v_66_GH2_atm</vt:lpstr>
      <vt:lpstr>v_66_GH2S</vt:lpstr>
      <vt:lpstr>v_66_GH2S_atm</vt:lpstr>
      <vt:lpstr>v_66_GN2</vt:lpstr>
      <vt:lpstr>v_66_GN2_atm</vt:lpstr>
      <vt:lpstr>v_66_GNH3</vt:lpstr>
      <vt:lpstr>v_66_GNH3_atm</vt:lpstr>
      <vt:lpstr>v_66_GO2</vt:lpstr>
      <vt:lpstr>v_66_GO2_atm</vt:lpstr>
      <vt:lpstr>v_66_SALPHA</vt:lpstr>
      <vt:lpstr>v_66_SAN</vt:lpstr>
      <vt:lpstr>v_66_SB</vt:lpstr>
      <vt:lpstr>v_66_SCa</vt:lpstr>
      <vt:lpstr>v_66_SCAT</vt:lpstr>
      <vt:lpstr>v_66_SCH4</vt:lpstr>
      <vt:lpstr>v_66_SCO2</vt:lpstr>
      <vt:lpstr>v_66_SFe2</vt:lpstr>
      <vt:lpstr>v_66_SH</vt:lpstr>
      <vt:lpstr>v_66_SH2</vt:lpstr>
      <vt:lpstr>v_66_SH2S</vt:lpstr>
      <vt:lpstr>v_66_SK</vt:lpstr>
      <vt:lpstr>v_66_SMEOL</vt:lpstr>
      <vt:lpstr>v_66_SMg</vt:lpstr>
      <vt:lpstr>v_66_SMM_index</vt:lpstr>
      <vt:lpstr>v_66_SN_B</vt:lpstr>
      <vt:lpstr>v_66_SN2</vt:lpstr>
      <vt:lpstr>v_66_SNHx</vt:lpstr>
      <vt:lpstr>v_66_SNO2</vt:lpstr>
      <vt:lpstr>v_66_SNO3</vt:lpstr>
      <vt:lpstr>v_66_SO2</vt:lpstr>
      <vt:lpstr>v_66_SORPswitch</vt:lpstr>
      <vt:lpstr>v_66_SP_B</vt:lpstr>
      <vt:lpstr>v_66_SPFOA</vt:lpstr>
      <vt:lpstr>v_66_SPFOS</vt:lpstr>
      <vt:lpstr>v_66_SPO4</vt:lpstr>
      <vt:lpstr>v_66_SSO4</vt:lpstr>
      <vt:lpstr>v_66_SU</vt:lpstr>
      <vt:lpstr>v_66_SVFA</vt:lpstr>
      <vt:lpstr>v_66_XACP</vt:lpstr>
      <vt:lpstr>v_66_XALGAE</vt:lpstr>
      <vt:lpstr>v_66_XAMETO</vt:lpstr>
      <vt:lpstr>v_66_XAMX</vt:lpstr>
      <vt:lpstr>v_66_XAOB</vt:lpstr>
      <vt:lpstr>v_66_XASRO</vt:lpstr>
      <vt:lpstr>v_66_XB</vt:lpstr>
      <vt:lpstr>v_66_XB_e</vt:lpstr>
      <vt:lpstr>v_66_XBSH</vt:lpstr>
      <vt:lpstr>v_66_XCaCO3</vt:lpstr>
      <vt:lpstr>v_66_XCASTO</vt:lpstr>
      <vt:lpstr>v_66_XE</vt:lpstr>
      <vt:lpstr>v_66_XE_ana</vt:lpstr>
      <vt:lpstr>v_66_XFeS</vt:lpstr>
      <vt:lpstr>v_66_XHAO_H</vt:lpstr>
      <vt:lpstr>v_66_XHAO_H_P</vt:lpstr>
      <vt:lpstr>v_66_XHAO_H_P_old</vt:lpstr>
      <vt:lpstr>v_66_XHAO_L</vt:lpstr>
      <vt:lpstr>v_66_XHAO_L_P</vt:lpstr>
      <vt:lpstr>v_66_XHAO_L_P_old</vt:lpstr>
      <vt:lpstr>v_66_XHAO_old</vt:lpstr>
      <vt:lpstr>v_66_XHFO_H</vt:lpstr>
      <vt:lpstr>v_66_XHFO_H_P</vt:lpstr>
      <vt:lpstr>v_66_XHFO_H_P_old</vt:lpstr>
      <vt:lpstr>v_66_XHFO_L</vt:lpstr>
      <vt:lpstr>v_66_XHFO_L_P</vt:lpstr>
      <vt:lpstr>v_66_XHFO_L_P_old</vt:lpstr>
      <vt:lpstr>v_66_XHFO_old</vt:lpstr>
      <vt:lpstr>v_66_XHMETO</vt:lpstr>
      <vt:lpstr>v_66_XHSRO</vt:lpstr>
      <vt:lpstr>v_66_XINORG</vt:lpstr>
      <vt:lpstr>v_66_XMEOLO</vt:lpstr>
      <vt:lpstr>v_66_XN_B</vt:lpstr>
      <vt:lpstr>v_66_XN_Be</vt:lpstr>
      <vt:lpstr>v_66_XN_U</vt:lpstr>
      <vt:lpstr>v_66_XNOB</vt:lpstr>
      <vt:lpstr>v_66_XOHO</vt:lpstr>
      <vt:lpstr>v_66_XP_B</vt:lpstr>
      <vt:lpstr>v_66_XP_Be</vt:lpstr>
      <vt:lpstr>v_66_XP_U</vt:lpstr>
      <vt:lpstr>v_66_XPFOA</vt:lpstr>
      <vt:lpstr>v_66_XPFOS</vt:lpstr>
      <vt:lpstr>v_66_XPHA_GAO</vt:lpstr>
      <vt:lpstr>v_66_XPHA_PAO</vt:lpstr>
      <vt:lpstr>v_66_XPP</vt:lpstr>
      <vt:lpstr>v_66_XS</vt:lpstr>
      <vt:lpstr>v_66_XSOO</vt:lpstr>
      <vt:lpstr>v_66_XSTR</vt:lpstr>
      <vt:lpstr>v_66_XU</vt:lpstr>
      <vt:lpstr>v_66_XVivi</vt:lpstr>
      <vt:lpstr>v_67_CB</vt:lpstr>
      <vt:lpstr>v_67_CU</vt:lpstr>
      <vt:lpstr>v_67_GCH4</vt:lpstr>
      <vt:lpstr>v_67_GCH4_atm</vt:lpstr>
      <vt:lpstr>v_67_GCO2</vt:lpstr>
      <vt:lpstr>v_67_GCO2_atm</vt:lpstr>
      <vt:lpstr>v_67_GH2</vt:lpstr>
      <vt:lpstr>v_67_GH2_atm</vt:lpstr>
      <vt:lpstr>v_67_GH2S</vt:lpstr>
      <vt:lpstr>v_67_GH2S_atm</vt:lpstr>
      <vt:lpstr>v_67_GN2</vt:lpstr>
      <vt:lpstr>v_67_GN2_atm</vt:lpstr>
      <vt:lpstr>v_67_GNH3</vt:lpstr>
      <vt:lpstr>v_67_GNH3_atm</vt:lpstr>
      <vt:lpstr>v_67_GO2</vt:lpstr>
      <vt:lpstr>v_67_GO2_atm</vt:lpstr>
      <vt:lpstr>v_67_SALPHA</vt:lpstr>
      <vt:lpstr>v_67_SAN</vt:lpstr>
      <vt:lpstr>v_67_SB</vt:lpstr>
      <vt:lpstr>v_67_SCa</vt:lpstr>
      <vt:lpstr>v_67_SCAT</vt:lpstr>
      <vt:lpstr>v_67_SCH4</vt:lpstr>
      <vt:lpstr>v_67_SCO2</vt:lpstr>
      <vt:lpstr>v_67_SFe2</vt:lpstr>
      <vt:lpstr>v_67_SH</vt:lpstr>
      <vt:lpstr>v_67_SH2</vt:lpstr>
      <vt:lpstr>v_67_SH2S</vt:lpstr>
      <vt:lpstr>v_67_SK</vt:lpstr>
      <vt:lpstr>v_67_SMEOL</vt:lpstr>
      <vt:lpstr>v_67_SMg</vt:lpstr>
      <vt:lpstr>v_67_SMM_index</vt:lpstr>
      <vt:lpstr>v_67_SN_B</vt:lpstr>
      <vt:lpstr>v_67_SN2</vt:lpstr>
      <vt:lpstr>v_67_SNHx</vt:lpstr>
      <vt:lpstr>v_67_SNO2</vt:lpstr>
      <vt:lpstr>v_67_SNO3</vt:lpstr>
      <vt:lpstr>v_67_SO2</vt:lpstr>
      <vt:lpstr>v_67_SORPswitch</vt:lpstr>
      <vt:lpstr>v_67_SP_B</vt:lpstr>
      <vt:lpstr>v_67_SPFOA</vt:lpstr>
      <vt:lpstr>v_67_SPFOS</vt:lpstr>
      <vt:lpstr>v_67_SPO4</vt:lpstr>
      <vt:lpstr>v_67_SSO4</vt:lpstr>
      <vt:lpstr>v_67_SU</vt:lpstr>
      <vt:lpstr>v_67_SVFA</vt:lpstr>
      <vt:lpstr>v_67_XACP</vt:lpstr>
      <vt:lpstr>v_67_XALGAE</vt:lpstr>
      <vt:lpstr>v_67_XAMETO</vt:lpstr>
      <vt:lpstr>v_67_XAMX</vt:lpstr>
      <vt:lpstr>v_67_XAOB</vt:lpstr>
      <vt:lpstr>v_67_XASRO</vt:lpstr>
      <vt:lpstr>v_67_XB</vt:lpstr>
      <vt:lpstr>v_67_XB_e</vt:lpstr>
      <vt:lpstr>v_67_XBSH</vt:lpstr>
      <vt:lpstr>v_67_XCaCO3</vt:lpstr>
      <vt:lpstr>v_67_XCASTO</vt:lpstr>
      <vt:lpstr>v_67_XE</vt:lpstr>
      <vt:lpstr>v_67_XE_ana</vt:lpstr>
      <vt:lpstr>v_67_XFeS</vt:lpstr>
      <vt:lpstr>v_67_XHAO_H</vt:lpstr>
      <vt:lpstr>v_67_XHAO_H_P</vt:lpstr>
      <vt:lpstr>v_67_XHAO_H_P_old</vt:lpstr>
      <vt:lpstr>v_67_XHAO_L</vt:lpstr>
      <vt:lpstr>v_67_XHAO_L_P</vt:lpstr>
      <vt:lpstr>v_67_XHAO_L_P_old</vt:lpstr>
      <vt:lpstr>v_67_XHAO_old</vt:lpstr>
      <vt:lpstr>v_67_XHFO_H</vt:lpstr>
      <vt:lpstr>v_67_XHFO_H_P</vt:lpstr>
      <vt:lpstr>v_67_XHFO_H_P_old</vt:lpstr>
      <vt:lpstr>v_67_XHFO_L</vt:lpstr>
      <vt:lpstr>v_67_XHFO_L_P</vt:lpstr>
      <vt:lpstr>v_67_XHFO_L_P_old</vt:lpstr>
      <vt:lpstr>v_67_XHFO_old</vt:lpstr>
      <vt:lpstr>v_67_XHMETO</vt:lpstr>
      <vt:lpstr>v_67_XHSRO</vt:lpstr>
      <vt:lpstr>v_67_XINORG</vt:lpstr>
      <vt:lpstr>v_67_XMEOLO</vt:lpstr>
      <vt:lpstr>v_67_XN_B</vt:lpstr>
      <vt:lpstr>v_67_XN_Be</vt:lpstr>
      <vt:lpstr>v_67_XN_U</vt:lpstr>
      <vt:lpstr>v_67_XNOB</vt:lpstr>
      <vt:lpstr>v_67_XOHO</vt:lpstr>
      <vt:lpstr>v_67_XP_B</vt:lpstr>
      <vt:lpstr>v_67_XP_Be</vt:lpstr>
      <vt:lpstr>v_67_XP_U</vt:lpstr>
      <vt:lpstr>v_67_XPFOA</vt:lpstr>
      <vt:lpstr>v_67_XPFOS</vt:lpstr>
      <vt:lpstr>v_67_XPHA_GAO</vt:lpstr>
      <vt:lpstr>v_67_XPHA_PAO</vt:lpstr>
      <vt:lpstr>v_67_XPP</vt:lpstr>
      <vt:lpstr>v_67_XS</vt:lpstr>
      <vt:lpstr>v_67_XSOO</vt:lpstr>
      <vt:lpstr>v_67_XSTR</vt:lpstr>
      <vt:lpstr>v_67_XU</vt:lpstr>
      <vt:lpstr>v_67_XVivi</vt:lpstr>
      <vt:lpstr>v_68_CB</vt:lpstr>
      <vt:lpstr>v_68_CU</vt:lpstr>
      <vt:lpstr>v_68_GCH4</vt:lpstr>
      <vt:lpstr>v_68_GCH4_atm</vt:lpstr>
      <vt:lpstr>v_68_GCO2</vt:lpstr>
      <vt:lpstr>v_68_GCO2_atm</vt:lpstr>
      <vt:lpstr>v_68_GH2</vt:lpstr>
      <vt:lpstr>v_68_GH2_atm</vt:lpstr>
      <vt:lpstr>v_68_GH2S</vt:lpstr>
      <vt:lpstr>v_68_GH2S_atm</vt:lpstr>
      <vt:lpstr>v_68_GN2</vt:lpstr>
      <vt:lpstr>v_68_GN2_atm</vt:lpstr>
      <vt:lpstr>v_68_GNH3</vt:lpstr>
      <vt:lpstr>v_68_GNH3_atm</vt:lpstr>
      <vt:lpstr>v_68_GO2</vt:lpstr>
      <vt:lpstr>v_68_GO2_atm</vt:lpstr>
      <vt:lpstr>v_68_SALPHA</vt:lpstr>
      <vt:lpstr>v_68_SAN</vt:lpstr>
      <vt:lpstr>v_68_SB</vt:lpstr>
      <vt:lpstr>v_68_SCa</vt:lpstr>
      <vt:lpstr>v_68_SCAT</vt:lpstr>
      <vt:lpstr>v_68_SCH4</vt:lpstr>
      <vt:lpstr>v_68_SCO2</vt:lpstr>
      <vt:lpstr>v_68_SFe2</vt:lpstr>
      <vt:lpstr>v_68_SH</vt:lpstr>
      <vt:lpstr>v_68_SH2</vt:lpstr>
      <vt:lpstr>v_68_SH2S</vt:lpstr>
      <vt:lpstr>v_68_SK</vt:lpstr>
      <vt:lpstr>v_68_SMEOL</vt:lpstr>
      <vt:lpstr>v_68_SMg</vt:lpstr>
      <vt:lpstr>v_68_SMM_index</vt:lpstr>
      <vt:lpstr>v_68_SN_B</vt:lpstr>
      <vt:lpstr>v_68_SN2</vt:lpstr>
      <vt:lpstr>v_68_SNHx</vt:lpstr>
      <vt:lpstr>v_68_SNO2</vt:lpstr>
      <vt:lpstr>v_68_SNO3</vt:lpstr>
      <vt:lpstr>v_68_SO2</vt:lpstr>
      <vt:lpstr>v_68_SORPswitch</vt:lpstr>
      <vt:lpstr>v_68_SP_B</vt:lpstr>
      <vt:lpstr>v_68_SPFOA</vt:lpstr>
      <vt:lpstr>v_68_SPFOS</vt:lpstr>
      <vt:lpstr>v_68_SPO4</vt:lpstr>
      <vt:lpstr>v_68_SSO4</vt:lpstr>
      <vt:lpstr>v_68_SU</vt:lpstr>
      <vt:lpstr>v_68_SVFA</vt:lpstr>
      <vt:lpstr>v_68_XACP</vt:lpstr>
      <vt:lpstr>v_68_XALGAE</vt:lpstr>
      <vt:lpstr>v_68_XAMETO</vt:lpstr>
      <vt:lpstr>v_68_XAMX</vt:lpstr>
      <vt:lpstr>v_68_XAOB</vt:lpstr>
      <vt:lpstr>v_68_XASRO</vt:lpstr>
      <vt:lpstr>v_68_XB</vt:lpstr>
      <vt:lpstr>v_68_XB_e</vt:lpstr>
      <vt:lpstr>v_68_XBSH</vt:lpstr>
      <vt:lpstr>v_68_XCaCO3</vt:lpstr>
      <vt:lpstr>v_68_XCASTO</vt:lpstr>
      <vt:lpstr>v_68_XE</vt:lpstr>
      <vt:lpstr>v_68_XE_ana</vt:lpstr>
      <vt:lpstr>v_68_XFeS</vt:lpstr>
      <vt:lpstr>v_68_XHAO_H</vt:lpstr>
      <vt:lpstr>v_68_XHAO_H_P</vt:lpstr>
      <vt:lpstr>v_68_XHAO_H_P_old</vt:lpstr>
      <vt:lpstr>v_68_XHAO_L</vt:lpstr>
      <vt:lpstr>v_68_XHAO_L_P</vt:lpstr>
      <vt:lpstr>v_68_XHAO_L_P_old</vt:lpstr>
      <vt:lpstr>v_68_XHAO_old</vt:lpstr>
      <vt:lpstr>v_68_XHFO_H</vt:lpstr>
      <vt:lpstr>v_68_XHFO_H_P</vt:lpstr>
      <vt:lpstr>v_68_XHFO_H_P_old</vt:lpstr>
      <vt:lpstr>v_68_XHFO_L</vt:lpstr>
      <vt:lpstr>v_68_XHFO_L_P</vt:lpstr>
      <vt:lpstr>v_68_XHFO_L_P_old</vt:lpstr>
      <vt:lpstr>v_68_XHFO_old</vt:lpstr>
      <vt:lpstr>v_68_XHMETO</vt:lpstr>
      <vt:lpstr>v_68_XHSRO</vt:lpstr>
      <vt:lpstr>v_68_XINORG</vt:lpstr>
      <vt:lpstr>v_68_XMEOLO</vt:lpstr>
      <vt:lpstr>v_68_XN_B</vt:lpstr>
      <vt:lpstr>v_68_XN_Be</vt:lpstr>
      <vt:lpstr>v_68_XN_U</vt:lpstr>
      <vt:lpstr>v_68_XNOB</vt:lpstr>
      <vt:lpstr>v_68_XOHO</vt:lpstr>
      <vt:lpstr>v_68_XP_B</vt:lpstr>
      <vt:lpstr>v_68_XP_Be</vt:lpstr>
      <vt:lpstr>v_68_XP_U</vt:lpstr>
      <vt:lpstr>v_68_XPFOA</vt:lpstr>
      <vt:lpstr>v_68_XPFOS</vt:lpstr>
      <vt:lpstr>v_68_XPHA_GAO</vt:lpstr>
      <vt:lpstr>v_68_XPHA_PAO</vt:lpstr>
      <vt:lpstr>v_68_XPP</vt:lpstr>
      <vt:lpstr>v_68_XS</vt:lpstr>
      <vt:lpstr>v_68_XSOO</vt:lpstr>
      <vt:lpstr>v_68_XSTR</vt:lpstr>
      <vt:lpstr>v_68_XU</vt:lpstr>
      <vt:lpstr>v_68_XVivi</vt:lpstr>
      <vt:lpstr>v_69_CB</vt:lpstr>
      <vt:lpstr>v_69_CU</vt:lpstr>
      <vt:lpstr>v_69_GCH4</vt:lpstr>
      <vt:lpstr>v_69_GCH4_atm</vt:lpstr>
      <vt:lpstr>v_69_GCO2</vt:lpstr>
      <vt:lpstr>v_69_GCO2_atm</vt:lpstr>
      <vt:lpstr>v_69_GH2</vt:lpstr>
      <vt:lpstr>v_69_GH2_atm</vt:lpstr>
      <vt:lpstr>v_69_GH2S</vt:lpstr>
      <vt:lpstr>v_69_GH2S_atm</vt:lpstr>
      <vt:lpstr>v_69_GN2</vt:lpstr>
      <vt:lpstr>v_69_GN2_atm</vt:lpstr>
      <vt:lpstr>v_69_GNH3</vt:lpstr>
      <vt:lpstr>v_69_GNH3_atm</vt:lpstr>
      <vt:lpstr>v_69_GO2</vt:lpstr>
      <vt:lpstr>v_69_GO2_atm</vt:lpstr>
      <vt:lpstr>v_69_SALPHA</vt:lpstr>
      <vt:lpstr>v_69_SAN</vt:lpstr>
      <vt:lpstr>v_69_SB</vt:lpstr>
      <vt:lpstr>v_69_SCa</vt:lpstr>
      <vt:lpstr>v_69_SCAT</vt:lpstr>
      <vt:lpstr>v_69_SCH4</vt:lpstr>
      <vt:lpstr>v_69_SCO2</vt:lpstr>
      <vt:lpstr>v_69_SFe2</vt:lpstr>
      <vt:lpstr>v_69_SH</vt:lpstr>
      <vt:lpstr>v_69_SH2</vt:lpstr>
      <vt:lpstr>v_69_SH2S</vt:lpstr>
      <vt:lpstr>v_69_SK</vt:lpstr>
      <vt:lpstr>v_69_SMEOL</vt:lpstr>
      <vt:lpstr>v_69_SMg</vt:lpstr>
      <vt:lpstr>v_69_SMM_index</vt:lpstr>
      <vt:lpstr>v_69_SN_B</vt:lpstr>
      <vt:lpstr>v_69_SN2</vt:lpstr>
      <vt:lpstr>v_69_SNHx</vt:lpstr>
      <vt:lpstr>v_69_SNO2</vt:lpstr>
      <vt:lpstr>v_69_SNO3</vt:lpstr>
      <vt:lpstr>v_69_SO2</vt:lpstr>
      <vt:lpstr>v_69_SORPswitch</vt:lpstr>
      <vt:lpstr>v_69_SP_B</vt:lpstr>
      <vt:lpstr>v_69_SPFOA</vt:lpstr>
      <vt:lpstr>v_69_SPFOS</vt:lpstr>
      <vt:lpstr>v_69_SPO4</vt:lpstr>
      <vt:lpstr>v_69_SSO4</vt:lpstr>
      <vt:lpstr>v_69_SU</vt:lpstr>
      <vt:lpstr>v_69_SVFA</vt:lpstr>
      <vt:lpstr>v_69_XACP</vt:lpstr>
      <vt:lpstr>v_69_XALGAE</vt:lpstr>
      <vt:lpstr>v_69_XAMETO</vt:lpstr>
      <vt:lpstr>v_69_XAMX</vt:lpstr>
      <vt:lpstr>v_69_XAOB</vt:lpstr>
      <vt:lpstr>v_69_XASRO</vt:lpstr>
      <vt:lpstr>v_69_XB</vt:lpstr>
      <vt:lpstr>v_69_XB_e</vt:lpstr>
      <vt:lpstr>v_69_XBSH</vt:lpstr>
      <vt:lpstr>v_69_XCaCO3</vt:lpstr>
      <vt:lpstr>v_69_XCASTO</vt:lpstr>
      <vt:lpstr>v_69_XE</vt:lpstr>
      <vt:lpstr>v_69_XE_ana</vt:lpstr>
      <vt:lpstr>v_69_XFeS</vt:lpstr>
      <vt:lpstr>v_69_XHAO_H</vt:lpstr>
      <vt:lpstr>v_69_XHAO_H_P</vt:lpstr>
      <vt:lpstr>v_69_XHAO_H_P_old</vt:lpstr>
      <vt:lpstr>v_69_XHAO_L</vt:lpstr>
      <vt:lpstr>v_69_XHAO_L_P</vt:lpstr>
      <vt:lpstr>v_69_XHAO_L_P_old</vt:lpstr>
      <vt:lpstr>v_69_XHAO_old</vt:lpstr>
      <vt:lpstr>v_69_XHFO_H</vt:lpstr>
      <vt:lpstr>v_69_XHFO_H_P</vt:lpstr>
      <vt:lpstr>v_69_XHFO_H_P_old</vt:lpstr>
      <vt:lpstr>v_69_XHFO_L</vt:lpstr>
      <vt:lpstr>v_69_XHFO_L_P</vt:lpstr>
      <vt:lpstr>v_69_XHFO_L_P_old</vt:lpstr>
      <vt:lpstr>v_69_XHFO_old</vt:lpstr>
      <vt:lpstr>v_69_XHMETO</vt:lpstr>
      <vt:lpstr>v_69_XHSRO</vt:lpstr>
      <vt:lpstr>v_69_XINORG</vt:lpstr>
      <vt:lpstr>v_69_XMEOLO</vt:lpstr>
      <vt:lpstr>v_69_XN_B</vt:lpstr>
      <vt:lpstr>v_69_XN_Be</vt:lpstr>
      <vt:lpstr>v_69_XN_U</vt:lpstr>
      <vt:lpstr>v_69_XNOB</vt:lpstr>
      <vt:lpstr>v_69_XOHO</vt:lpstr>
      <vt:lpstr>v_69_XP_B</vt:lpstr>
      <vt:lpstr>v_69_XP_Be</vt:lpstr>
      <vt:lpstr>v_69_XP_U</vt:lpstr>
      <vt:lpstr>v_69_XPFOA</vt:lpstr>
      <vt:lpstr>v_69_XPFOS</vt:lpstr>
      <vt:lpstr>v_69_XPHA_GAO</vt:lpstr>
      <vt:lpstr>v_69_XPHA_PAO</vt:lpstr>
      <vt:lpstr>v_69_XPP</vt:lpstr>
      <vt:lpstr>v_69_XS</vt:lpstr>
      <vt:lpstr>v_69_XSOO</vt:lpstr>
      <vt:lpstr>v_69_XSTR</vt:lpstr>
      <vt:lpstr>v_69_XU</vt:lpstr>
      <vt:lpstr>v_69_XVivi</vt:lpstr>
      <vt:lpstr>v_7_CB</vt:lpstr>
      <vt:lpstr>v_7_CU</vt:lpstr>
      <vt:lpstr>v_7_GCH4</vt:lpstr>
      <vt:lpstr>v_7_GCH4_atm</vt:lpstr>
      <vt:lpstr>v_7_GCO2</vt:lpstr>
      <vt:lpstr>v_7_GCO2_atm</vt:lpstr>
      <vt:lpstr>v_7_GH2</vt:lpstr>
      <vt:lpstr>v_7_GH2_atm</vt:lpstr>
      <vt:lpstr>v_7_GH2S</vt:lpstr>
      <vt:lpstr>v_7_GH2S_atm</vt:lpstr>
      <vt:lpstr>v_7_GN2</vt:lpstr>
      <vt:lpstr>v_7_GN2_atm</vt:lpstr>
      <vt:lpstr>v_7_GNH3</vt:lpstr>
      <vt:lpstr>v_7_GNH3_atm</vt:lpstr>
      <vt:lpstr>v_7_GO2</vt:lpstr>
      <vt:lpstr>v_7_GO2_atm</vt:lpstr>
      <vt:lpstr>v_7_SALPHA</vt:lpstr>
      <vt:lpstr>v_7_SAN</vt:lpstr>
      <vt:lpstr>v_7_SB</vt:lpstr>
      <vt:lpstr>v_7_SCa</vt:lpstr>
      <vt:lpstr>v_7_SCAT</vt:lpstr>
      <vt:lpstr>v_7_SCH4</vt:lpstr>
      <vt:lpstr>v_7_SCO2</vt:lpstr>
      <vt:lpstr>v_7_SFe2</vt:lpstr>
      <vt:lpstr>v_7_SH</vt:lpstr>
      <vt:lpstr>v_7_SH2</vt:lpstr>
      <vt:lpstr>v_7_SH2S</vt:lpstr>
      <vt:lpstr>v_7_SK</vt:lpstr>
      <vt:lpstr>v_7_SMEOL</vt:lpstr>
      <vt:lpstr>v_7_SMg</vt:lpstr>
      <vt:lpstr>v_7_SMM_index</vt:lpstr>
      <vt:lpstr>v_7_SN_B</vt:lpstr>
      <vt:lpstr>v_7_SN2</vt:lpstr>
      <vt:lpstr>v_7_SNHx</vt:lpstr>
      <vt:lpstr>v_7_SNO2</vt:lpstr>
      <vt:lpstr>v_7_SNO3</vt:lpstr>
      <vt:lpstr>v_7_SO2</vt:lpstr>
      <vt:lpstr>v_7_SORPswitch</vt:lpstr>
      <vt:lpstr>v_7_SP_B</vt:lpstr>
      <vt:lpstr>v_7_SPFOA</vt:lpstr>
      <vt:lpstr>v_7_SPFOS</vt:lpstr>
      <vt:lpstr>v_7_SPO4</vt:lpstr>
      <vt:lpstr>v_7_SSO4</vt:lpstr>
      <vt:lpstr>v_7_SU</vt:lpstr>
      <vt:lpstr>v_7_SVFA</vt:lpstr>
      <vt:lpstr>v_7_XACP</vt:lpstr>
      <vt:lpstr>v_7_XALGAE</vt:lpstr>
      <vt:lpstr>v_7_XAMETO</vt:lpstr>
      <vt:lpstr>v_7_XAMX</vt:lpstr>
      <vt:lpstr>v_7_XAOB</vt:lpstr>
      <vt:lpstr>v_7_XASRO</vt:lpstr>
      <vt:lpstr>v_7_XB</vt:lpstr>
      <vt:lpstr>v_7_XB_e</vt:lpstr>
      <vt:lpstr>v_7_XBSH</vt:lpstr>
      <vt:lpstr>v_7_XCaCO3</vt:lpstr>
      <vt:lpstr>v_7_XCASTO</vt:lpstr>
      <vt:lpstr>v_7_XE</vt:lpstr>
      <vt:lpstr>v_7_XE_ana</vt:lpstr>
      <vt:lpstr>v_7_XFeS</vt:lpstr>
      <vt:lpstr>v_7_XHAO_H</vt:lpstr>
      <vt:lpstr>v_7_XHAO_H_P</vt:lpstr>
      <vt:lpstr>v_7_XHAO_H_P_old</vt:lpstr>
      <vt:lpstr>v_7_XHAO_L</vt:lpstr>
      <vt:lpstr>v_7_XHAO_L_P</vt:lpstr>
      <vt:lpstr>v_7_XHAO_L_P_old</vt:lpstr>
      <vt:lpstr>v_7_XHAO_old</vt:lpstr>
      <vt:lpstr>v_7_XHFO_H</vt:lpstr>
      <vt:lpstr>v_7_XHFO_H_P</vt:lpstr>
      <vt:lpstr>v_7_XHFO_H_P_old</vt:lpstr>
      <vt:lpstr>v_7_XHFO_L</vt:lpstr>
      <vt:lpstr>v_7_XHFO_L_P</vt:lpstr>
      <vt:lpstr>v_7_XHFO_L_P_old</vt:lpstr>
      <vt:lpstr>v_7_XHFO_old</vt:lpstr>
      <vt:lpstr>v_7_XHMETO</vt:lpstr>
      <vt:lpstr>v_7_XHSRO</vt:lpstr>
      <vt:lpstr>v_7_XINORG</vt:lpstr>
      <vt:lpstr>v_7_XMEOLO</vt:lpstr>
      <vt:lpstr>v_7_XN_B</vt:lpstr>
      <vt:lpstr>v_7_XN_Be</vt:lpstr>
      <vt:lpstr>v_7_XN_U</vt:lpstr>
      <vt:lpstr>v_7_XNOB</vt:lpstr>
      <vt:lpstr>v_7_XOHO</vt:lpstr>
      <vt:lpstr>v_7_XP_B</vt:lpstr>
      <vt:lpstr>v_7_XP_Be</vt:lpstr>
      <vt:lpstr>v_7_XP_U</vt:lpstr>
      <vt:lpstr>v_7_XPFOA</vt:lpstr>
      <vt:lpstr>v_7_XPFOS</vt:lpstr>
      <vt:lpstr>v_7_XPHA_GAO</vt:lpstr>
      <vt:lpstr>v_7_XPHA_PAO</vt:lpstr>
      <vt:lpstr>v_7_XPP</vt:lpstr>
      <vt:lpstr>v_7_XS</vt:lpstr>
      <vt:lpstr>v_7_XSOO</vt:lpstr>
      <vt:lpstr>v_7_XSTR</vt:lpstr>
      <vt:lpstr>v_7_XU</vt:lpstr>
      <vt:lpstr>v_7_XVivi</vt:lpstr>
      <vt:lpstr>v_70_CB</vt:lpstr>
      <vt:lpstr>v_70_CU</vt:lpstr>
      <vt:lpstr>v_70_GCH4</vt:lpstr>
      <vt:lpstr>v_70_GCH4_atm</vt:lpstr>
      <vt:lpstr>v_70_GCO2</vt:lpstr>
      <vt:lpstr>v_70_GCO2_atm</vt:lpstr>
      <vt:lpstr>v_70_GH2</vt:lpstr>
      <vt:lpstr>v_70_GH2_atm</vt:lpstr>
      <vt:lpstr>v_70_GH2S</vt:lpstr>
      <vt:lpstr>v_70_GH2S_atm</vt:lpstr>
      <vt:lpstr>v_70_GN2</vt:lpstr>
      <vt:lpstr>v_70_GN2_atm</vt:lpstr>
      <vt:lpstr>v_70_GNH3</vt:lpstr>
      <vt:lpstr>v_70_GNH3_atm</vt:lpstr>
      <vt:lpstr>v_70_GO2</vt:lpstr>
      <vt:lpstr>v_70_GO2_atm</vt:lpstr>
      <vt:lpstr>v_70_SALPHA</vt:lpstr>
      <vt:lpstr>v_70_SAN</vt:lpstr>
      <vt:lpstr>v_70_SB</vt:lpstr>
      <vt:lpstr>v_70_SCa</vt:lpstr>
      <vt:lpstr>v_70_SCAT</vt:lpstr>
      <vt:lpstr>v_70_SCH4</vt:lpstr>
      <vt:lpstr>v_70_SCO2</vt:lpstr>
      <vt:lpstr>v_70_SFe2</vt:lpstr>
      <vt:lpstr>v_70_SH</vt:lpstr>
      <vt:lpstr>v_70_SH2</vt:lpstr>
      <vt:lpstr>v_70_SH2S</vt:lpstr>
      <vt:lpstr>v_70_SK</vt:lpstr>
      <vt:lpstr>v_70_SMEOL</vt:lpstr>
      <vt:lpstr>v_70_SMg</vt:lpstr>
      <vt:lpstr>v_70_SMM_index</vt:lpstr>
      <vt:lpstr>v_70_SN_B</vt:lpstr>
      <vt:lpstr>v_70_SN2</vt:lpstr>
      <vt:lpstr>v_70_SNHx</vt:lpstr>
      <vt:lpstr>v_70_SNO2</vt:lpstr>
      <vt:lpstr>v_70_SNO3</vt:lpstr>
      <vt:lpstr>v_70_SO2</vt:lpstr>
      <vt:lpstr>v_70_SORPswitch</vt:lpstr>
      <vt:lpstr>v_70_SP_B</vt:lpstr>
      <vt:lpstr>v_70_SPFOA</vt:lpstr>
      <vt:lpstr>v_70_SPFOS</vt:lpstr>
      <vt:lpstr>v_70_SPO4</vt:lpstr>
      <vt:lpstr>v_70_SSO4</vt:lpstr>
      <vt:lpstr>v_70_SU</vt:lpstr>
      <vt:lpstr>v_70_SVFA</vt:lpstr>
      <vt:lpstr>v_70_XACP</vt:lpstr>
      <vt:lpstr>v_70_XALGAE</vt:lpstr>
      <vt:lpstr>v_70_XAMETO</vt:lpstr>
      <vt:lpstr>v_70_XAMX</vt:lpstr>
      <vt:lpstr>v_70_XAOB</vt:lpstr>
      <vt:lpstr>v_70_XASRO</vt:lpstr>
      <vt:lpstr>v_70_XB</vt:lpstr>
      <vt:lpstr>v_70_XB_e</vt:lpstr>
      <vt:lpstr>v_70_XBSH</vt:lpstr>
      <vt:lpstr>v_70_XCaCO3</vt:lpstr>
      <vt:lpstr>v_70_XCASTO</vt:lpstr>
      <vt:lpstr>v_70_XE</vt:lpstr>
      <vt:lpstr>v_70_XE_ana</vt:lpstr>
      <vt:lpstr>v_70_XFeS</vt:lpstr>
      <vt:lpstr>v_70_XHAO_H</vt:lpstr>
      <vt:lpstr>v_70_XHAO_H_P</vt:lpstr>
      <vt:lpstr>v_70_XHAO_H_P_old</vt:lpstr>
      <vt:lpstr>v_70_XHAO_L</vt:lpstr>
      <vt:lpstr>v_70_XHAO_L_P</vt:lpstr>
      <vt:lpstr>v_70_XHAO_L_P_old</vt:lpstr>
      <vt:lpstr>v_70_XHAO_old</vt:lpstr>
      <vt:lpstr>v_70_XHFO_H</vt:lpstr>
      <vt:lpstr>v_70_XHFO_H_P</vt:lpstr>
      <vt:lpstr>v_70_XHFO_H_P_old</vt:lpstr>
      <vt:lpstr>v_70_XHFO_L</vt:lpstr>
      <vt:lpstr>v_70_XHFO_L_P</vt:lpstr>
      <vt:lpstr>v_70_XHFO_L_P_old</vt:lpstr>
      <vt:lpstr>v_70_XHFO_old</vt:lpstr>
      <vt:lpstr>v_70_XHMETO</vt:lpstr>
      <vt:lpstr>v_70_XHSRO</vt:lpstr>
      <vt:lpstr>v_70_XINORG</vt:lpstr>
      <vt:lpstr>v_70_XMEOLO</vt:lpstr>
      <vt:lpstr>v_70_XN_B</vt:lpstr>
      <vt:lpstr>v_70_XN_Be</vt:lpstr>
      <vt:lpstr>v_70_XN_U</vt:lpstr>
      <vt:lpstr>v_70_XNOB</vt:lpstr>
      <vt:lpstr>v_70_XOHO</vt:lpstr>
      <vt:lpstr>v_70_XP_B</vt:lpstr>
      <vt:lpstr>v_70_XP_Be</vt:lpstr>
      <vt:lpstr>v_70_XP_U</vt:lpstr>
      <vt:lpstr>v_70_XPFOA</vt:lpstr>
      <vt:lpstr>v_70_XPFOS</vt:lpstr>
      <vt:lpstr>v_70_XPHA_GAO</vt:lpstr>
      <vt:lpstr>v_70_XPHA_PAO</vt:lpstr>
      <vt:lpstr>v_70_XPP</vt:lpstr>
      <vt:lpstr>v_70_XS</vt:lpstr>
      <vt:lpstr>v_70_XSOO</vt:lpstr>
      <vt:lpstr>v_70_XSTR</vt:lpstr>
      <vt:lpstr>v_70_XU</vt:lpstr>
      <vt:lpstr>v_70_XVivi</vt:lpstr>
      <vt:lpstr>v_71_CB</vt:lpstr>
      <vt:lpstr>v_71_CU</vt:lpstr>
      <vt:lpstr>v_71_GCH4</vt:lpstr>
      <vt:lpstr>v_71_GCH4_atm</vt:lpstr>
      <vt:lpstr>v_71_GCO2</vt:lpstr>
      <vt:lpstr>v_71_GCO2_atm</vt:lpstr>
      <vt:lpstr>v_71_GH2</vt:lpstr>
      <vt:lpstr>v_71_GH2_atm</vt:lpstr>
      <vt:lpstr>v_71_GH2S</vt:lpstr>
      <vt:lpstr>v_71_GH2S_atm</vt:lpstr>
      <vt:lpstr>v_71_GN2</vt:lpstr>
      <vt:lpstr>v_71_GN2_atm</vt:lpstr>
      <vt:lpstr>v_71_GNH3</vt:lpstr>
      <vt:lpstr>v_71_GNH3_atm</vt:lpstr>
      <vt:lpstr>v_71_GO2</vt:lpstr>
      <vt:lpstr>v_71_GO2_atm</vt:lpstr>
      <vt:lpstr>v_71_SALPHA</vt:lpstr>
      <vt:lpstr>v_71_SAN</vt:lpstr>
      <vt:lpstr>v_71_SB</vt:lpstr>
      <vt:lpstr>v_71_SCa</vt:lpstr>
      <vt:lpstr>v_71_SCAT</vt:lpstr>
      <vt:lpstr>v_71_SCH4</vt:lpstr>
      <vt:lpstr>v_71_SCO2</vt:lpstr>
      <vt:lpstr>v_71_SFe2</vt:lpstr>
      <vt:lpstr>v_71_SH</vt:lpstr>
      <vt:lpstr>v_71_SH2</vt:lpstr>
      <vt:lpstr>v_71_SH2S</vt:lpstr>
      <vt:lpstr>v_71_SK</vt:lpstr>
      <vt:lpstr>v_71_SMEOL</vt:lpstr>
      <vt:lpstr>v_71_SMg</vt:lpstr>
      <vt:lpstr>v_71_SMM_index</vt:lpstr>
      <vt:lpstr>v_71_SN_B</vt:lpstr>
      <vt:lpstr>v_71_SN2</vt:lpstr>
      <vt:lpstr>v_71_SNHx</vt:lpstr>
      <vt:lpstr>v_71_SNO2</vt:lpstr>
      <vt:lpstr>v_71_SNO3</vt:lpstr>
      <vt:lpstr>v_71_SO2</vt:lpstr>
      <vt:lpstr>v_71_SORPswitch</vt:lpstr>
      <vt:lpstr>v_71_SP_B</vt:lpstr>
      <vt:lpstr>v_71_SPFOA</vt:lpstr>
      <vt:lpstr>v_71_SPFOS</vt:lpstr>
      <vt:lpstr>v_71_SPO4</vt:lpstr>
      <vt:lpstr>v_71_SSO4</vt:lpstr>
      <vt:lpstr>v_71_SU</vt:lpstr>
      <vt:lpstr>v_71_SVFA</vt:lpstr>
      <vt:lpstr>v_71_XACP</vt:lpstr>
      <vt:lpstr>v_71_XALGAE</vt:lpstr>
      <vt:lpstr>v_71_XAMETO</vt:lpstr>
      <vt:lpstr>v_71_XAMX</vt:lpstr>
      <vt:lpstr>v_71_XAOB</vt:lpstr>
      <vt:lpstr>v_71_XASRO</vt:lpstr>
      <vt:lpstr>v_71_XB</vt:lpstr>
      <vt:lpstr>v_71_XB_e</vt:lpstr>
      <vt:lpstr>v_71_XBSH</vt:lpstr>
      <vt:lpstr>v_71_XCaCO3</vt:lpstr>
      <vt:lpstr>v_71_XCASTO</vt:lpstr>
      <vt:lpstr>v_71_XE</vt:lpstr>
      <vt:lpstr>v_71_XE_ana</vt:lpstr>
      <vt:lpstr>v_71_XFeS</vt:lpstr>
      <vt:lpstr>v_71_XHAO_H</vt:lpstr>
      <vt:lpstr>v_71_XHAO_H_P</vt:lpstr>
      <vt:lpstr>v_71_XHAO_H_P_old</vt:lpstr>
      <vt:lpstr>v_71_XHAO_L</vt:lpstr>
      <vt:lpstr>v_71_XHAO_L_P</vt:lpstr>
      <vt:lpstr>v_71_XHAO_L_P_old</vt:lpstr>
      <vt:lpstr>v_71_XHAO_old</vt:lpstr>
      <vt:lpstr>v_71_XHFO_H</vt:lpstr>
      <vt:lpstr>v_71_XHFO_H_P</vt:lpstr>
      <vt:lpstr>v_71_XHFO_H_P_old</vt:lpstr>
      <vt:lpstr>v_71_XHFO_L</vt:lpstr>
      <vt:lpstr>v_71_XHFO_L_P</vt:lpstr>
      <vt:lpstr>v_71_XHFO_L_P_old</vt:lpstr>
      <vt:lpstr>v_71_XHFO_old</vt:lpstr>
      <vt:lpstr>v_71_XHMETO</vt:lpstr>
      <vt:lpstr>v_71_XHSRO</vt:lpstr>
      <vt:lpstr>v_71_XINORG</vt:lpstr>
      <vt:lpstr>v_71_XMEOLO</vt:lpstr>
      <vt:lpstr>v_71_XN_B</vt:lpstr>
      <vt:lpstr>v_71_XN_Be</vt:lpstr>
      <vt:lpstr>v_71_XN_U</vt:lpstr>
      <vt:lpstr>v_71_XNOB</vt:lpstr>
      <vt:lpstr>v_71_XOHO</vt:lpstr>
      <vt:lpstr>v_71_XP_B</vt:lpstr>
      <vt:lpstr>v_71_XP_Be</vt:lpstr>
      <vt:lpstr>v_71_XP_U</vt:lpstr>
      <vt:lpstr>v_71_XPFOA</vt:lpstr>
      <vt:lpstr>v_71_XPFOS</vt:lpstr>
      <vt:lpstr>v_71_XPHA_GAO</vt:lpstr>
      <vt:lpstr>v_71_XPHA_PAO</vt:lpstr>
      <vt:lpstr>v_71_XPP</vt:lpstr>
      <vt:lpstr>v_71_XS</vt:lpstr>
      <vt:lpstr>v_71_XSOO</vt:lpstr>
      <vt:lpstr>v_71_XSTR</vt:lpstr>
      <vt:lpstr>v_71_XU</vt:lpstr>
      <vt:lpstr>v_71_XVivi</vt:lpstr>
      <vt:lpstr>v_72_CB</vt:lpstr>
      <vt:lpstr>v_72_CU</vt:lpstr>
      <vt:lpstr>v_72_GCH4</vt:lpstr>
      <vt:lpstr>v_72_GCH4_atm</vt:lpstr>
      <vt:lpstr>v_72_GCO2</vt:lpstr>
      <vt:lpstr>v_72_GCO2_atm</vt:lpstr>
      <vt:lpstr>v_72_GH2</vt:lpstr>
      <vt:lpstr>v_72_GH2_atm</vt:lpstr>
      <vt:lpstr>v_72_GH2S</vt:lpstr>
      <vt:lpstr>v_72_GH2S_atm</vt:lpstr>
      <vt:lpstr>v_72_GN2</vt:lpstr>
      <vt:lpstr>v_72_GN2_atm</vt:lpstr>
      <vt:lpstr>v_72_GNH3</vt:lpstr>
      <vt:lpstr>v_72_GNH3_atm</vt:lpstr>
      <vt:lpstr>v_72_GO2</vt:lpstr>
      <vt:lpstr>v_72_GO2_atm</vt:lpstr>
      <vt:lpstr>v_72_SALPHA</vt:lpstr>
      <vt:lpstr>v_72_SAN</vt:lpstr>
      <vt:lpstr>v_72_SB</vt:lpstr>
      <vt:lpstr>v_72_SCa</vt:lpstr>
      <vt:lpstr>v_72_SCAT</vt:lpstr>
      <vt:lpstr>v_72_SCH4</vt:lpstr>
      <vt:lpstr>v_72_SCO2</vt:lpstr>
      <vt:lpstr>v_72_SFe2</vt:lpstr>
      <vt:lpstr>v_72_SH</vt:lpstr>
      <vt:lpstr>v_72_SH2</vt:lpstr>
      <vt:lpstr>v_72_SH2S</vt:lpstr>
      <vt:lpstr>v_72_SK</vt:lpstr>
      <vt:lpstr>v_72_SMEOL</vt:lpstr>
      <vt:lpstr>v_72_SMg</vt:lpstr>
      <vt:lpstr>v_72_SMM_index</vt:lpstr>
      <vt:lpstr>v_72_SN_B</vt:lpstr>
      <vt:lpstr>v_72_SN2</vt:lpstr>
      <vt:lpstr>v_72_SNHx</vt:lpstr>
      <vt:lpstr>v_72_SNO2</vt:lpstr>
      <vt:lpstr>v_72_SNO3</vt:lpstr>
      <vt:lpstr>v_72_SO2</vt:lpstr>
      <vt:lpstr>v_72_SORPswitch</vt:lpstr>
      <vt:lpstr>v_72_SP_B</vt:lpstr>
      <vt:lpstr>v_72_SPFOA</vt:lpstr>
      <vt:lpstr>v_72_SPFOS</vt:lpstr>
      <vt:lpstr>v_72_SPO4</vt:lpstr>
      <vt:lpstr>v_72_SSO4</vt:lpstr>
      <vt:lpstr>v_72_SU</vt:lpstr>
      <vt:lpstr>v_72_SVFA</vt:lpstr>
      <vt:lpstr>v_72_XACP</vt:lpstr>
      <vt:lpstr>v_72_XALGAE</vt:lpstr>
      <vt:lpstr>v_72_XAMETO</vt:lpstr>
      <vt:lpstr>v_72_XAMX</vt:lpstr>
      <vt:lpstr>v_72_XAOB</vt:lpstr>
      <vt:lpstr>v_72_XASRO</vt:lpstr>
      <vt:lpstr>v_72_XB</vt:lpstr>
      <vt:lpstr>v_72_XB_e</vt:lpstr>
      <vt:lpstr>v_72_XBSH</vt:lpstr>
      <vt:lpstr>v_72_XCaCO3</vt:lpstr>
      <vt:lpstr>v_72_XCASTO</vt:lpstr>
      <vt:lpstr>v_72_XE</vt:lpstr>
      <vt:lpstr>v_72_XE_ana</vt:lpstr>
      <vt:lpstr>v_72_XFeS</vt:lpstr>
      <vt:lpstr>v_72_XHAO_H</vt:lpstr>
      <vt:lpstr>v_72_XHAO_H_P</vt:lpstr>
      <vt:lpstr>v_72_XHAO_H_P_old</vt:lpstr>
      <vt:lpstr>v_72_XHAO_L</vt:lpstr>
      <vt:lpstr>v_72_XHAO_L_P</vt:lpstr>
      <vt:lpstr>v_72_XHAO_L_P_old</vt:lpstr>
      <vt:lpstr>v_72_XHAO_old</vt:lpstr>
      <vt:lpstr>v_72_XHFO_H</vt:lpstr>
      <vt:lpstr>v_72_XHFO_H_P</vt:lpstr>
      <vt:lpstr>v_72_XHFO_H_P_old</vt:lpstr>
      <vt:lpstr>v_72_XHFO_L</vt:lpstr>
      <vt:lpstr>v_72_XHFO_L_P</vt:lpstr>
      <vt:lpstr>v_72_XHFO_L_P_old</vt:lpstr>
      <vt:lpstr>v_72_XHFO_old</vt:lpstr>
      <vt:lpstr>v_72_XHMETO</vt:lpstr>
      <vt:lpstr>v_72_XHSRO</vt:lpstr>
      <vt:lpstr>v_72_XINORG</vt:lpstr>
      <vt:lpstr>v_72_XMEOLO</vt:lpstr>
      <vt:lpstr>v_72_XN_B</vt:lpstr>
      <vt:lpstr>v_72_XN_Be</vt:lpstr>
      <vt:lpstr>v_72_XN_U</vt:lpstr>
      <vt:lpstr>v_72_XNOB</vt:lpstr>
      <vt:lpstr>v_72_XOHO</vt:lpstr>
      <vt:lpstr>v_72_XP_B</vt:lpstr>
      <vt:lpstr>v_72_XP_Be</vt:lpstr>
      <vt:lpstr>v_72_XP_U</vt:lpstr>
      <vt:lpstr>v_72_XPFOA</vt:lpstr>
      <vt:lpstr>v_72_XPFOS</vt:lpstr>
      <vt:lpstr>v_72_XPHA_GAO</vt:lpstr>
      <vt:lpstr>v_72_XPHA_PAO</vt:lpstr>
      <vt:lpstr>v_72_XPP</vt:lpstr>
      <vt:lpstr>v_72_XS</vt:lpstr>
      <vt:lpstr>v_72_XSOO</vt:lpstr>
      <vt:lpstr>v_72_XSTR</vt:lpstr>
      <vt:lpstr>v_72_XU</vt:lpstr>
      <vt:lpstr>v_72_XVivi</vt:lpstr>
      <vt:lpstr>v_73_CB</vt:lpstr>
      <vt:lpstr>v_73_CU</vt:lpstr>
      <vt:lpstr>v_73_GCH4</vt:lpstr>
      <vt:lpstr>v_73_GCH4_atm</vt:lpstr>
      <vt:lpstr>v_73_GCO2</vt:lpstr>
      <vt:lpstr>v_73_GCO2_atm</vt:lpstr>
      <vt:lpstr>v_73_GH2</vt:lpstr>
      <vt:lpstr>v_73_GH2_atm</vt:lpstr>
      <vt:lpstr>v_73_GH2S</vt:lpstr>
      <vt:lpstr>v_73_GH2S_atm</vt:lpstr>
      <vt:lpstr>v_73_GN2</vt:lpstr>
      <vt:lpstr>v_73_GN2_atm</vt:lpstr>
      <vt:lpstr>v_73_GNH3</vt:lpstr>
      <vt:lpstr>v_73_GNH3_atm</vt:lpstr>
      <vt:lpstr>v_73_GO2</vt:lpstr>
      <vt:lpstr>v_73_GO2_atm</vt:lpstr>
      <vt:lpstr>v_73_SALPHA</vt:lpstr>
      <vt:lpstr>v_73_SAN</vt:lpstr>
      <vt:lpstr>v_73_SB</vt:lpstr>
      <vt:lpstr>v_73_SCa</vt:lpstr>
      <vt:lpstr>v_73_SCAT</vt:lpstr>
      <vt:lpstr>v_73_SCH4</vt:lpstr>
      <vt:lpstr>v_73_SCO2</vt:lpstr>
      <vt:lpstr>v_73_SFe2</vt:lpstr>
      <vt:lpstr>v_73_SH</vt:lpstr>
      <vt:lpstr>v_73_SH2</vt:lpstr>
      <vt:lpstr>v_73_SH2S</vt:lpstr>
      <vt:lpstr>v_73_SK</vt:lpstr>
      <vt:lpstr>v_73_SMEOL</vt:lpstr>
      <vt:lpstr>v_73_SMg</vt:lpstr>
      <vt:lpstr>v_73_SMM_index</vt:lpstr>
      <vt:lpstr>v_73_SN_B</vt:lpstr>
      <vt:lpstr>v_73_SN2</vt:lpstr>
      <vt:lpstr>v_73_SNHx</vt:lpstr>
      <vt:lpstr>v_73_SNO2</vt:lpstr>
      <vt:lpstr>v_73_SNO3</vt:lpstr>
      <vt:lpstr>v_73_SO2</vt:lpstr>
      <vt:lpstr>v_73_SORPswitch</vt:lpstr>
      <vt:lpstr>v_73_SP_B</vt:lpstr>
      <vt:lpstr>v_73_SPFOA</vt:lpstr>
      <vt:lpstr>v_73_SPFOS</vt:lpstr>
      <vt:lpstr>v_73_SPO4</vt:lpstr>
      <vt:lpstr>v_73_SSO4</vt:lpstr>
      <vt:lpstr>v_73_SU</vt:lpstr>
      <vt:lpstr>v_73_SVFA</vt:lpstr>
      <vt:lpstr>v_73_XACP</vt:lpstr>
      <vt:lpstr>v_73_XALGAE</vt:lpstr>
      <vt:lpstr>v_73_XAMETO</vt:lpstr>
      <vt:lpstr>v_73_XAMX</vt:lpstr>
      <vt:lpstr>v_73_XAOB</vt:lpstr>
      <vt:lpstr>v_73_XASRO</vt:lpstr>
      <vt:lpstr>v_73_XB</vt:lpstr>
      <vt:lpstr>v_73_XB_e</vt:lpstr>
      <vt:lpstr>v_73_XBSH</vt:lpstr>
      <vt:lpstr>v_73_XCaCO3</vt:lpstr>
      <vt:lpstr>v_73_XCASTO</vt:lpstr>
      <vt:lpstr>v_73_XE</vt:lpstr>
      <vt:lpstr>v_73_XE_ana</vt:lpstr>
      <vt:lpstr>v_73_XFeS</vt:lpstr>
      <vt:lpstr>v_73_XHAO_H</vt:lpstr>
      <vt:lpstr>v_73_XHAO_H_P</vt:lpstr>
      <vt:lpstr>v_73_XHAO_H_P_old</vt:lpstr>
      <vt:lpstr>v_73_XHAO_L</vt:lpstr>
      <vt:lpstr>v_73_XHAO_L_P</vt:lpstr>
      <vt:lpstr>v_73_XHAO_L_P_old</vt:lpstr>
      <vt:lpstr>v_73_XHAO_old</vt:lpstr>
      <vt:lpstr>v_73_XHFO_H</vt:lpstr>
      <vt:lpstr>v_73_XHFO_H_P</vt:lpstr>
      <vt:lpstr>v_73_XHFO_H_P_old</vt:lpstr>
      <vt:lpstr>v_73_XHFO_L</vt:lpstr>
      <vt:lpstr>v_73_XHFO_L_P</vt:lpstr>
      <vt:lpstr>v_73_XHFO_L_P_old</vt:lpstr>
      <vt:lpstr>v_73_XHFO_old</vt:lpstr>
      <vt:lpstr>v_73_XHMETO</vt:lpstr>
      <vt:lpstr>v_73_XHSRO</vt:lpstr>
      <vt:lpstr>v_73_XINORG</vt:lpstr>
      <vt:lpstr>v_73_XMEOLO</vt:lpstr>
      <vt:lpstr>v_73_XN_B</vt:lpstr>
      <vt:lpstr>v_73_XN_Be</vt:lpstr>
      <vt:lpstr>v_73_XN_U</vt:lpstr>
      <vt:lpstr>v_73_XNOB</vt:lpstr>
      <vt:lpstr>v_73_XOHO</vt:lpstr>
      <vt:lpstr>v_73_XP_B</vt:lpstr>
      <vt:lpstr>v_73_XP_Be</vt:lpstr>
      <vt:lpstr>v_73_XP_U</vt:lpstr>
      <vt:lpstr>v_73_XPFOA</vt:lpstr>
      <vt:lpstr>v_73_XPFOS</vt:lpstr>
      <vt:lpstr>v_73_XPHA_GAO</vt:lpstr>
      <vt:lpstr>v_73_XPHA_PAO</vt:lpstr>
      <vt:lpstr>v_73_XPP</vt:lpstr>
      <vt:lpstr>v_73_XS</vt:lpstr>
      <vt:lpstr>v_73_XSOO</vt:lpstr>
      <vt:lpstr>v_73_XSTR</vt:lpstr>
      <vt:lpstr>v_73_XU</vt:lpstr>
      <vt:lpstr>v_73_XVivi</vt:lpstr>
      <vt:lpstr>v_74_CB</vt:lpstr>
      <vt:lpstr>v_74_CU</vt:lpstr>
      <vt:lpstr>v_74_GCH4</vt:lpstr>
      <vt:lpstr>v_74_GCH4_atm</vt:lpstr>
      <vt:lpstr>v_74_GCO2</vt:lpstr>
      <vt:lpstr>v_74_GCO2_atm</vt:lpstr>
      <vt:lpstr>v_74_GH2</vt:lpstr>
      <vt:lpstr>v_74_GH2_atm</vt:lpstr>
      <vt:lpstr>v_74_GH2S</vt:lpstr>
      <vt:lpstr>v_74_GH2S_atm</vt:lpstr>
      <vt:lpstr>v_74_GN2</vt:lpstr>
      <vt:lpstr>v_74_GN2_atm</vt:lpstr>
      <vt:lpstr>v_74_GNH3</vt:lpstr>
      <vt:lpstr>v_74_GNH3_atm</vt:lpstr>
      <vt:lpstr>v_74_GO2</vt:lpstr>
      <vt:lpstr>v_74_GO2_atm</vt:lpstr>
      <vt:lpstr>v_74_SALPHA</vt:lpstr>
      <vt:lpstr>v_74_SAN</vt:lpstr>
      <vt:lpstr>v_74_SB</vt:lpstr>
      <vt:lpstr>v_74_SCa</vt:lpstr>
      <vt:lpstr>v_74_SCAT</vt:lpstr>
      <vt:lpstr>v_74_SCH4</vt:lpstr>
      <vt:lpstr>v_74_SCO2</vt:lpstr>
      <vt:lpstr>v_74_SFe2</vt:lpstr>
      <vt:lpstr>v_74_SH</vt:lpstr>
      <vt:lpstr>v_74_SH2</vt:lpstr>
      <vt:lpstr>v_74_SH2S</vt:lpstr>
      <vt:lpstr>v_74_SK</vt:lpstr>
      <vt:lpstr>v_74_SMEOL</vt:lpstr>
      <vt:lpstr>v_74_SMg</vt:lpstr>
      <vt:lpstr>v_74_SMM_index</vt:lpstr>
      <vt:lpstr>v_74_SN_B</vt:lpstr>
      <vt:lpstr>v_74_SN2</vt:lpstr>
      <vt:lpstr>v_74_SNHx</vt:lpstr>
      <vt:lpstr>v_74_SNO2</vt:lpstr>
      <vt:lpstr>v_74_SNO3</vt:lpstr>
      <vt:lpstr>v_74_SO2</vt:lpstr>
      <vt:lpstr>v_74_SORPswitch</vt:lpstr>
      <vt:lpstr>v_74_SP_B</vt:lpstr>
      <vt:lpstr>v_74_SPFOA</vt:lpstr>
      <vt:lpstr>v_74_SPFOS</vt:lpstr>
      <vt:lpstr>v_74_SPO4</vt:lpstr>
      <vt:lpstr>v_74_SSO4</vt:lpstr>
      <vt:lpstr>v_74_SU</vt:lpstr>
      <vt:lpstr>v_74_SVFA</vt:lpstr>
      <vt:lpstr>v_74_XACP</vt:lpstr>
      <vt:lpstr>v_74_XALGAE</vt:lpstr>
      <vt:lpstr>v_74_XAMETO</vt:lpstr>
      <vt:lpstr>v_74_XAMX</vt:lpstr>
      <vt:lpstr>v_74_XAOB</vt:lpstr>
      <vt:lpstr>v_74_XASRO</vt:lpstr>
      <vt:lpstr>v_74_XB</vt:lpstr>
      <vt:lpstr>v_74_XB_e</vt:lpstr>
      <vt:lpstr>v_74_XBSH</vt:lpstr>
      <vt:lpstr>v_74_XCaCO3</vt:lpstr>
      <vt:lpstr>v_74_XCASTO</vt:lpstr>
      <vt:lpstr>v_74_XE</vt:lpstr>
      <vt:lpstr>v_74_XE_ana</vt:lpstr>
      <vt:lpstr>v_74_XFeS</vt:lpstr>
      <vt:lpstr>v_74_XHAO_H</vt:lpstr>
      <vt:lpstr>v_74_XHAO_H_P</vt:lpstr>
      <vt:lpstr>v_74_XHAO_H_P_old</vt:lpstr>
      <vt:lpstr>v_74_XHAO_L</vt:lpstr>
      <vt:lpstr>v_74_XHAO_L_P</vt:lpstr>
      <vt:lpstr>v_74_XHAO_L_P_old</vt:lpstr>
      <vt:lpstr>v_74_XHAO_old</vt:lpstr>
      <vt:lpstr>v_74_XHFO_H</vt:lpstr>
      <vt:lpstr>v_74_XHFO_H_P</vt:lpstr>
      <vt:lpstr>v_74_XHFO_H_P_old</vt:lpstr>
      <vt:lpstr>v_74_XHFO_L</vt:lpstr>
      <vt:lpstr>v_74_XHFO_L_P</vt:lpstr>
      <vt:lpstr>v_74_XHFO_L_P_old</vt:lpstr>
      <vt:lpstr>v_74_XHFO_old</vt:lpstr>
      <vt:lpstr>v_74_XHMETO</vt:lpstr>
      <vt:lpstr>v_74_XHSRO</vt:lpstr>
      <vt:lpstr>v_74_XINORG</vt:lpstr>
      <vt:lpstr>v_74_XMEOLO</vt:lpstr>
      <vt:lpstr>v_74_XN_B</vt:lpstr>
      <vt:lpstr>v_74_XN_Be</vt:lpstr>
      <vt:lpstr>v_74_XN_U</vt:lpstr>
      <vt:lpstr>v_74_XNOB</vt:lpstr>
      <vt:lpstr>v_74_XOHO</vt:lpstr>
      <vt:lpstr>v_74_XP_B</vt:lpstr>
      <vt:lpstr>v_74_XP_Be</vt:lpstr>
      <vt:lpstr>v_74_XP_U</vt:lpstr>
      <vt:lpstr>v_74_XPFOA</vt:lpstr>
      <vt:lpstr>v_74_XPFOS</vt:lpstr>
      <vt:lpstr>v_74_XPHA_GAO</vt:lpstr>
      <vt:lpstr>v_74_XPHA_PAO</vt:lpstr>
      <vt:lpstr>v_74_XPP</vt:lpstr>
      <vt:lpstr>v_74_XS</vt:lpstr>
      <vt:lpstr>v_74_XSOO</vt:lpstr>
      <vt:lpstr>v_74_XSTR</vt:lpstr>
      <vt:lpstr>v_74_XU</vt:lpstr>
      <vt:lpstr>v_74_XVivi</vt:lpstr>
      <vt:lpstr>v_75_CB</vt:lpstr>
      <vt:lpstr>v_75_CU</vt:lpstr>
      <vt:lpstr>v_75_GCH4</vt:lpstr>
      <vt:lpstr>v_75_GCH4_atm</vt:lpstr>
      <vt:lpstr>v_75_GCO2</vt:lpstr>
      <vt:lpstr>v_75_GCO2_atm</vt:lpstr>
      <vt:lpstr>v_75_GH2</vt:lpstr>
      <vt:lpstr>v_75_GH2_atm</vt:lpstr>
      <vt:lpstr>v_75_GH2S</vt:lpstr>
      <vt:lpstr>v_75_GH2S_atm</vt:lpstr>
      <vt:lpstr>v_75_GN2</vt:lpstr>
      <vt:lpstr>v_75_GN2_atm</vt:lpstr>
      <vt:lpstr>v_75_GNH3</vt:lpstr>
      <vt:lpstr>v_75_GNH3_atm</vt:lpstr>
      <vt:lpstr>v_75_GO2</vt:lpstr>
      <vt:lpstr>v_75_GO2_atm</vt:lpstr>
      <vt:lpstr>v_75_SALPHA</vt:lpstr>
      <vt:lpstr>v_75_SAN</vt:lpstr>
      <vt:lpstr>v_75_SB</vt:lpstr>
      <vt:lpstr>v_75_SCa</vt:lpstr>
      <vt:lpstr>v_75_SCAT</vt:lpstr>
      <vt:lpstr>v_75_SCH4</vt:lpstr>
      <vt:lpstr>v_75_SCO2</vt:lpstr>
      <vt:lpstr>v_75_SFe2</vt:lpstr>
      <vt:lpstr>v_75_SH</vt:lpstr>
      <vt:lpstr>v_75_SH2</vt:lpstr>
      <vt:lpstr>v_75_SH2S</vt:lpstr>
      <vt:lpstr>v_75_SK</vt:lpstr>
      <vt:lpstr>v_75_SMEOL</vt:lpstr>
      <vt:lpstr>v_75_SMg</vt:lpstr>
      <vt:lpstr>v_75_SMM_index</vt:lpstr>
      <vt:lpstr>v_75_SN_B</vt:lpstr>
      <vt:lpstr>v_75_SN2</vt:lpstr>
      <vt:lpstr>v_75_SNHx</vt:lpstr>
      <vt:lpstr>v_75_SNO2</vt:lpstr>
      <vt:lpstr>v_75_SNO3</vt:lpstr>
      <vt:lpstr>v_75_SO2</vt:lpstr>
      <vt:lpstr>v_75_SORPswitch</vt:lpstr>
      <vt:lpstr>v_75_SP_B</vt:lpstr>
      <vt:lpstr>v_75_SPFOA</vt:lpstr>
      <vt:lpstr>v_75_SPFOS</vt:lpstr>
      <vt:lpstr>v_75_SPO4</vt:lpstr>
      <vt:lpstr>v_75_SSO4</vt:lpstr>
      <vt:lpstr>v_75_SU</vt:lpstr>
      <vt:lpstr>v_75_SVFA</vt:lpstr>
      <vt:lpstr>v_75_XACP</vt:lpstr>
      <vt:lpstr>v_75_XALGAE</vt:lpstr>
      <vt:lpstr>v_75_XAMETO</vt:lpstr>
      <vt:lpstr>v_75_XAMX</vt:lpstr>
      <vt:lpstr>v_75_XAOB</vt:lpstr>
      <vt:lpstr>v_75_XASRO</vt:lpstr>
      <vt:lpstr>v_75_XB</vt:lpstr>
      <vt:lpstr>v_75_XB_e</vt:lpstr>
      <vt:lpstr>v_75_XBSH</vt:lpstr>
      <vt:lpstr>v_75_XCaCO3</vt:lpstr>
      <vt:lpstr>v_75_XCASTO</vt:lpstr>
      <vt:lpstr>v_75_XE</vt:lpstr>
      <vt:lpstr>v_75_XE_ana</vt:lpstr>
      <vt:lpstr>v_75_XFeS</vt:lpstr>
      <vt:lpstr>v_75_XHAO_H</vt:lpstr>
      <vt:lpstr>v_75_XHAO_H_P</vt:lpstr>
      <vt:lpstr>v_75_XHAO_H_P_old</vt:lpstr>
      <vt:lpstr>v_75_XHAO_L</vt:lpstr>
      <vt:lpstr>v_75_XHAO_L_P</vt:lpstr>
      <vt:lpstr>v_75_XHAO_L_P_old</vt:lpstr>
      <vt:lpstr>v_75_XHAO_old</vt:lpstr>
      <vt:lpstr>v_75_XHFO_H</vt:lpstr>
      <vt:lpstr>v_75_XHFO_H_P</vt:lpstr>
      <vt:lpstr>v_75_XHFO_H_P_old</vt:lpstr>
      <vt:lpstr>v_75_XHFO_L</vt:lpstr>
      <vt:lpstr>v_75_XHFO_L_P</vt:lpstr>
      <vt:lpstr>v_75_XHFO_L_P_old</vt:lpstr>
      <vt:lpstr>v_75_XHFO_old</vt:lpstr>
      <vt:lpstr>v_75_XHMETO</vt:lpstr>
      <vt:lpstr>v_75_XHSRO</vt:lpstr>
      <vt:lpstr>v_75_XINORG</vt:lpstr>
      <vt:lpstr>v_75_XMEOLO</vt:lpstr>
      <vt:lpstr>v_75_XN_B</vt:lpstr>
      <vt:lpstr>v_75_XN_Be</vt:lpstr>
      <vt:lpstr>v_75_XN_U</vt:lpstr>
      <vt:lpstr>v_75_XNOB</vt:lpstr>
      <vt:lpstr>v_75_XOHO</vt:lpstr>
      <vt:lpstr>v_75_XP_B</vt:lpstr>
      <vt:lpstr>v_75_XP_Be</vt:lpstr>
      <vt:lpstr>v_75_XP_U</vt:lpstr>
      <vt:lpstr>v_75_XPFOA</vt:lpstr>
      <vt:lpstr>v_75_XPFOS</vt:lpstr>
      <vt:lpstr>v_75_XPHA_GAO</vt:lpstr>
      <vt:lpstr>v_75_XPHA_PAO</vt:lpstr>
      <vt:lpstr>v_75_XPP</vt:lpstr>
      <vt:lpstr>v_75_XS</vt:lpstr>
      <vt:lpstr>v_75_XSOO</vt:lpstr>
      <vt:lpstr>v_75_XSTR</vt:lpstr>
      <vt:lpstr>v_75_XU</vt:lpstr>
      <vt:lpstr>v_75_XVivi</vt:lpstr>
      <vt:lpstr>v_76_CB</vt:lpstr>
      <vt:lpstr>v_76_CU</vt:lpstr>
      <vt:lpstr>v_76_GCH4</vt:lpstr>
      <vt:lpstr>v_76_GCH4_atm</vt:lpstr>
      <vt:lpstr>v_76_GCO2</vt:lpstr>
      <vt:lpstr>v_76_GCO2_atm</vt:lpstr>
      <vt:lpstr>v_76_GH2</vt:lpstr>
      <vt:lpstr>v_76_GH2_atm</vt:lpstr>
      <vt:lpstr>v_76_GH2S</vt:lpstr>
      <vt:lpstr>v_76_GH2S_atm</vt:lpstr>
      <vt:lpstr>v_76_GN2</vt:lpstr>
      <vt:lpstr>v_76_GN2_atm</vt:lpstr>
      <vt:lpstr>v_76_GNH3</vt:lpstr>
      <vt:lpstr>v_76_GNH3_atm</vt:lpstr>
      <vt:lpstr>v_76_GO2</vt:lpstr>
      <vt:lpstr>v_76_GO2_atm</vt:lpstr>
      <vt:lpstr>v_76_SALPHA</vt:lpstr>
      <vt:lpstr>v_76_SAN</vt:lpstr>
      <vt:lpstr>v_76_SB</vt:lpstr>
      <vt:lpstr>v_76_SCa</vt:lpstr>
      <vt:lpstr>v_76_SCAT</vt:lpstr>
      <vt:lpstr>v_76_SCH4</vt:lpstr>
      <vt:lpstr>v_76_SCO2</vt:lpstr>
      <vt:lpstr>v_76_SFe2</vt:lpstr>
      <vt:lpstr>v_76_SH</vt:lpstr>
      <vt:lpstr>v_76_SH2</vt:lpstr>
      <vt:lpstr>v_76_SH2S</vt:lpstr>
      <vt:lpstr>v_76_SK</vt:lpstr>
      <vt:lpstr>v_76_SMEOL</vt:lpstr>
      <vt:lpstr>v_76_SMg</vt:lpstr>
      <vt:lpstr>v_76_SMM_index</vt:lpstr>
      <vt:lpstr>v_76_SN_B</vt:lpstr>
      <vt:lpstr>v_76_SN2</vt:lpstr>
      <vt:lpstr>v_76_SNHx</vt:lpstr>
      <vt:lpstr>v_76_SNO2</vt:lpstr>
      <vt:lpstr>v_76_SNO3</vt:lpstr>
      <vt:lpstr>v_76_SO2</vt:lpstr>
      <vt:lpstr>v_76_SORPswitch</vt:lpstr>
      <vt:lpstr>v_76_SP_B</vt:lpstr>
      <vt:lpstr>v_76_SPFOA</vt:lpstr>
      <vt:lpstr>v_76_SPFOS</vt:lpstr>
      <vt:lpstr>v_76_SPO4</vt:lpstr>
      <vt:lpstr>v_76_SSO4</vt:lpstr>
      <vt:lpstr>v_76_SU</vt:lpstr>
      <vt:lpstr>v_76_SVFA</vt:lpstr>
      <vt:lpstr>v_76_XACP</vt:lpstr>
      <vt:lpstr>v_76_XALGAE</vt:lpstr>
      <vt:lpstr>v_76_XAMETO</vt:lpstr>
      <vt:lpstr>v_76_XAMX</vt:lpstr>
      <vt:lpstr>v_76_XAOB</vt:lpstr>
      <vt:lpstr>v_76_XASRO</vt:lpstr>
      <vt:lpstr>v_76_XB</vt:lpstr>
      <vt:lpstr>v_76_XB_e</vt:lpstr>
      <vt:lpstr>v_76_XBSH</vt:lpstr>
      <vt:lpstr>v_76_XCaCO3</vt:lpstr>
      <vt:lpstr>v_76_XCASTO</vt:lpstr>
      <vt:lpstr>v_76_XE</vt:lpstr>
      <vt:lpstr>v_76_XE_ana</vt:lpstr>
      <vt:lpstr>v_76_XFeS</vt:lpstr>
      <vt:lpstr>v_76_XHAO_H</vt:lpstr>
      <vt:lpstr>v_76_XHAO_H_P</vt:lpstr>
      <vt:lpstr>v_76_XHAO_H_P_old</vt:lpstr>
      <vt:lpstr>v_76_XHAO_L</vt:lpstr>
      <vt:lpstr>v_76_XHAO_L_P</vt:lpstr>
      <vt:lpstr>v_76_XHAO_L_P_old</vt:lpstr>
      <vt:lpstr>v_76_XHAO_old</vt:lpstr>
      <vt:lpstr>v_76_XHFO_H</vt:lpstr>
      <vt:lpstr>v_76_XHFO_H_P</vt:lpstr>
      <vt:lpstr>v_76_XHFO_H_P_old</vt:lpstr>
      <vt:lpstr>v_76_XHFO_L</vt:lpstr>
      <vt:lpstr>v_76_XHFO_L_P</vt:lpstr>
      <vt:lpstr>v_76_XHFO_L_P_old</vt:lpstr>
      <vt:lpstr>v_76_XHFO_old</vt:lpstr>
      <vt:lpstr>v_76_XHMETO</vt:lpstr>
      <vt:lpstr>v_76_XHSRO</vt:lpstr>
      <vt:lpstr>v_76_XINORG</vt:lpstr>
      <vt:lpstr>v_76_XMEOLO</vt:lpstr>
      <vt:lpstr>v_76_XN_B</vt:lpstr>
      <vt:lpstr>v_76_XN_Be</vt:lpstr>
      <vt:lpstr>v_76_XN_U</vt:lpstr>
      <vt:lpstr>v_76_XNOB</vt:lpstr>
      <vt:lpstr>v_76_XOHO</vt:lpstr>
      <vt:lpstr>v_76_XP_B</vt:lpstr>
      <vt:lpstr>v_76_XP_Be</vt:lpstr>
      <vt:lpstr>v_76_XP_U</vt:lpstr>
      <vt:lpstr>v_76_XPFOA</vt:lpstr>
      <vt:lpstr>v_76_XPFOS</vt:lpstr>
      <vt:lpstr>v_76_XPHA_GAO</vt:lpstr>
      <vt:lpstr>v_76_XPHA_PAO</vt:lpstr>
      <vt:lpstr>v_76_XPP</vt:lpstr>
      <vt:lpstr>v_76_XS</vt:lpstr>
      <vt:lpstr>v_76_XSOO</vt:lpstr>
      <vt:lpstr>v_76_XSTR</vt:lpstr>
      <vt:lpstr>v_76_XU</vt:lpstr>
      <vt:lpstr>v_76_XVivi</vt:lpstr>
      <vt:lpstr>v_77_CB</vt:lpstr>
      <vt:lpstr>v_77_CU</vt:lpstr>
      <vt:lpstr>v_77_GCH4</vt:lpstr>
      <vt:lpstr>v_77_GCH4_atm</vt:lpstr>
      <vt:lpstr>v_77_GCO2</vt:lpstr>
      <vt:lpstr>v_77_GCO2_atm</vt:lpstr>
      <vt:lpstr>v_77_GH2</vt:lpstr>
      <vt:lpstr>v_77_GH2_atm</vt:lpstr>
      <vt:lpstr>v_77_GH2S</vt:lpstr>
      <vt:lpstr>v_77_GH2S_atm</vt:lpstr>
      <vt:lpstr>v_77_GN2</vt:lpstr>
      <vt:lpstr>v_77_GN2_atm</vt:lpstr>
      <vt:lpstr>v_77_GNH3</vt:lpstr>
      <vt:lpstr>v_77_GNH3_atm</vt:lpstr>
      <vt:lpstr>v_77_GO2</vt:lpstr>
      <vt:lpstr>v_77_GO2_atm</vt:lpstr>
      <vt:lpstr>v_77_SALPHA</vt:lpstr>
      <vt:lpstr>v_77_SAN</vt:lpstr>
      <vt:lpstr>v_77_SB</vt:lpstr>
      <vt:lpstr>v_77_SCa</vt:lpstr>
      <vt:lpstr>v_77_SCAT</vt:lpstr>
      <vt:lpstr>v_77_SCH4</vt:lpstr>
      <vt:lpstr>v_77_SCO2</vt:lpstr>
      <vt:lpstr>v_77_SFe2</vt:lpstr>
      <vt:lpstr>v_77_SH</vt:lpstr>
      <vt:lpstr>v_77_SH2</vt:lpstr>
      <vt:lpstr>v_77_SH2S</vt:lpstr>
      <vt:lpstr>v_77_SK</vt:lpstr>
      <vt:lpstr>v_77_SMEOL</vt:lpstr>
      <vt:lpstr>v_77_SMg</vt:lpstr>
      <vt:lpstr>v_77_SMM_index</vt:lpstr>
      <vt:lpstr>v_77_SN_B</vt:lpstr>
      <vt:lpstr>v_77_SN2</vt:lpstr>
      <vt:lpstr>v_77_SNHx</vt:lpstr>
      <vt:lpstr>v_77_SNO2</vt:lpstr>
      <vt:lpstr>v_77_SNO3</vt:lpstr>
      <vt:lpstr>v_77_SO2</vt:lpstr>
      <vt:lpstr>v_77_SORPswitch</vt:lpstr>
      <vt:lpstr>v_77_SP_B</vt:lpstr>
      <vt:lpstr>v_77_SPFOA</vt:lpstr>
      <vt:lpstr>v_77_SPFOS</vt:lpstr>
      <vt:lpstr>v_77_SPO4</vt:lpstr>
      <vt:lpstr>v_77_SSO4</vt:lpstr>
      <vt:lpstr>v_77_SU</vt:lpstr>
      <vt:lpstr>v_77_SVFA</vt:lpstr>
      <vt:lpstr>v_77_XACP</vt:lpstr>
      <vt:lpstr>v_77_XALGAE</vt:lpstr>
      <vt:lpstr>v_77_XAMETO</vt:lpstr>
      <vt:lpstr>v_77_XAMX</vt:lpstr>
      <vt:lpstr>v_77_XAOB</vt:lpstr>
      <vt:lpstr>v_77_XASRO</vt:lpstr>
      <vt:lpstr>v_77_XB</vt:lpstr>
      <vt:lpstr>v_77_XB_e</vt:lpstr>
      <vt:lpstr>v_77_XBSH</vt:lpstr>
      <vt:lpstr>v_77_XCaCO3</vt:lpstr>
      <vt:lpstr>v_77_XCASTO</vt:lpstr>
      <vt:lpstr>v_77_XE</vt:lpstr>
      <vt:lpstr>v_77_XE_ana</vt:lpstr>
      <vt:lpstr>v_77_XFeS</vt:lpstr>
      <vt:lpstr>v_77_XHAO_H</vt:lpstr>
      <vt:lpstr>v_77_XHAO_H_P</vt:lpstr>
      <vt:lpstr>v_77_XHAO_H_P_old</vt:lpstr>
      <vt:lpstr>v_77_XHAO_L</vt:lpstr>
      <vt:lpstr>v_77_XHAO_L_P</vt:lpstr>
      <vt:lpstr>v_77_XHAO_L_P_old</vt:lpstr>
      <vt:lpstr>v_77_XHAO_old</vt:lpstr>
      <vt:lpstr>v_77_XHFO_H</vt:lpstr>
      <vt:lpstr>v_77_XHFO_H_P</vt:lpstr>
      <vt:lpstr>v_77_XHFO_H_P_old</vt:lpstr>
      <vt:lpstr>v_77_XHFO_L</vt:lpstr>
      <vt:lpstr>v_77_XHFO_L_P</vt:lpstr>
      <vt:lpstr>v_77_XHFO_L_P_old</vt:lpstr>
      <vt:lpstr>v_77_XHFO_old</vt:lpstr>
      <vt:lpstr>v_77_XHMETO</vt:lpstr>
      <vt:lpstr>v_77_XHSRO</vt:lpstr>
      <vt:lpstr>v_77_XINORG</vt:lpstr>
      <vt:lpstr>v_77_XMEOLO</vt:lpstr>
      <vt:lpstr>v_77_XN_B</vt:lpstr>
      <vt:lpstr>v_77_XN_Be</vt:lpstr>
      <vt:lpstr>v_77_XN_U</vt:lpstr>
      <vt:lpstr>v_77_XNOB</vt:lpstr>
      <vt:lpstr>v_77_XOHO</vt:lpstr>
      <vt:lpstr>v_77_XP_B</vt:lpstr>
      <vt:lpstr>v_77_XP_Be</vt:lpstr>
      <vt:lpstr>v_77_XP_U</vt:lpstr>
      <vt:lpstr>v_77_XPFOA</vt:lpstr>
      <vt:lpstr>v_77_XPFOS</vt:lpstr>
      <vt:lpstr>v_77_XPHA_GAO</vt:lpstr>
      <vt:lpstr>v_77_XPHA_PAO</vt:lpstr>
      <vt:lpstr>v_77_XPP</vt:lpstr>
      <vt:lpstr>v_77_XS</vt:lpstr>
      <vt:lpstr>v_77_XSOO</vt:lpstr>
      <vt:lpstr>v_77_XSTR</vt:lpstr>
      <vt:lpstr>v_77_XU</vt:lpstr>
      <vt:lpstr>v_77_XVivi</vt:lpstr>
      <vt:lpstr>v_78_CB</vt:lpstr>
      <vt:lpstr>v_78_CU</vt:lpstr>
      <vt:lpstr>v_78_GCH4</vt:lpstr>
      <vt:lpstr>v_78_GCH4_atm</vt:lpstr>
      <vt:lpstr>v_78_GCO2</vt:lpstr>
      <vt:lpstr>v_78_GCO2_atm</vt:lpstr>
      <vt:lpstr>v_78_GH2</vt:lpstr>
      <vt:lpstr>v_78_GH2_atm</vt:lpstr>
      <vt:lpstr>v_78_GH2S</vt:lpstr>
      <vt:lpstr>v_78_GH2S_atm</vt:lpstr>
      <vt:lpstr>v_78_GN2</vt:lpstr>
      <vt:lpstr>v_78_GN2_atm</vt:lpstr>
      <vt:lpstr>v_78_GNH3</vt:lpstr>
      <vt:lpstr>v_78_GNH3_atm</vt:lpstr>
      <vt:lpstr>v_78_GO2</vt:lpstr>
      <vt:lpstr>v_78_GO2_atm</vt:lpstr>
      <vt:lpstr>v_78_SALPHA</vt:lpstr>
      <vt:lpstr>v_78_SAN</vt:lpstr>
      <vt:lpstr>v_78_SB</vt:lpstr>
      <vt:lpstr>v_78_SCa</vt:lpstr>
      <vt:lpstr>v_78_SCAT</vt:lpstr>
      <vt:lpstr>v_78_SCH4</vt:lpstr>
      <vt:lpstr>v_78_SCO2</vt:lpstr>
      <vt:lpstr>v_78_SFe2</vt:lpstr>
      <vt:lpstr>v_78_SH</vt:lpstr>
      <vt:lpstr>v_78_SH2</vt:lpstr>
      <vt:lpstr>v_78_SH2S</vt:lpstr>
      <vt:lpstr>v_78_SK</vt:lpstr>
      <vt:lpstr>v_78_SMEOL</vt:lpstr>
      <vt:lpstr>v_78_SMg</vt:lpstr>
      <vt:lpstr>v_78_SMM_index</vt:lpstr>
      <vt:lpstr>v_78_SN_B</vt:lpstr>
      <vt:lpstr>v_78_SN2</vt:lpstr>
      <vt:lpstr>v_78_SNHx</vt:lpstr>
      <vt:lpstr>v_78_SNO2</vt:lpstr>
      <vt:lpstr>v_78_SNO3</vt:lpstr>
      <vt:lpstr>v_78_SO2</vt:lpstr>
      <vt:lpstr>v_78_SORPswitch</vt:lpstr>
      <vt:lpstr>v_78_SP_B</vt:lpstr>
      <vt:lpstr>v_78_SPFOA</vt:lpstr>
      <vt:lpstr>v_78_SPFOS</vt:lpstr>
      <vt:lpstr>v_78_SPO4</vt:lpstr>
      <vt:lpstr>v_78_SSO4</vt:lpstr>
      <vt:lpstr>v_78_SU</vt:lpstr>
      <vt:lpstr>v_78_SVFA</vt:lpstr>
      <vt:lpstr>v_78_XACP</vt:lpstr>
      <vt:lpstr>v_78_XALGAE</vt:lpstr>
      <vt:lpstr>v_78_XAMETO</vt:lpstr>
      <vt:lpstr>v_78_XAMX</vt:lpstr>
      <vt:lpstr>v_78_XAOB</vt:lpstr>
      <vt:lpstr>v_78_XASRO</vt:lpstr>
      <vt:lpstr>v_78_XB</vt:lpstr>
      <vt:lpstr>v_78_XB_e</vt:lpstr>
      <vt:lpstr>v_78_XBSH</vt:lpstr>
      <vt:lpstr>v_78_XCaCO3</vt:lpstr>
      <vt:lpstr>v_78_XCASTO</vt:lpstr>
      <vt:lpstr>v_78_XE</vt:lpstr>
      <vt:lpstr>v_78_XE_ana</vt:lpstr>
      <vt:lpstr>v_78_XFeS</vt:lpstr>
      <vt:lpstr>v_78_XHAO_H</vt:lpstr>
      <vt:lpstr>v_78_XHAO_H_P</vt:lpstr>
      <vt:lpstr>v_78_XHAO_H_P_old</vt:lpstr>
      <vt:lpstr>v_78_XHAO_L</vt:lpstr>
      <vt:lpstr>v_78_XHAO_L_P</vt:lpstr>
      <vt:lpstr>v_78_XHAO_L_P_old</vt:lpstr>
      <vt:lpstr>v_78_XHAO_old</vt:lpstr>
      <vt:lpstr>v_78_XHFO_H</vt:lpstr>
      <vt:lpstr>v_78_XHFO_H_P</vt:lpstr>
      <vt:lpstr>v_78_XHFO_H_P_old</vt:lpstr>
      <vt:lpstr>v_78_XHFO_L</vt:lpstr>
      <vt:lpstr>v_78_XHFO_L_P</vt:lpstr>
      <vt:lpstr>v_78_XHFO_L_P_old</vt:lpstr>
      <vt:lpstr>v_78_XHFO_old</vt:lpstr>
      <vt:lpstr>v_78_XHMETO</vt:lpstr>
      <vt:lpstr>v_78_XHSRO</vt:lpstr>
      <vt:lpstr>v_78_XINORG</vt:lpstr>
      <vt:lpstr>v_78_XMEOLO</vt:lpstr>
      <vt:lpstr>v_78_XN_B</vt:lpstr>
      <vt:lpstr>v_78_XN_Be</vt:lpstr>
      <vt:lpstr>v_78_XN_U</vt:lpstr>
      <vt:lpstr>v_78_XNOB</vt:lpstr>
      <vt:lpstr>v_78_XOHO</vt:lpstr>
      <vt:lpstr>v_78_XP_B</vt:lpstr>
      <vt:lpstr>v_78_XP_Be</vt:lpstr>
      <vt:lpstr>v_78_XP_U</vt:lpstr>
      <vt:lpstr>v_78_XPFOA</vt:lpstr>
      <vt:lpstr>v_78_XPFOS</vt:lpstr>
      <vt:lpstr>v_78_XPHA_GAO</vt:lpstr>
      <vt:lpstr>v_78_XPHA_PAO</vt:lpstr>
      <vt:lpstr>v_78_XPP</vt:lpstr>
      <vt:lpstr>v_78_XS</vt:lpstr>
      <vt:lpstr>v_78_XSOO</vt:lpstr>
      <vt:lpstr>v_78_XSTR</vt:lpstr>
      <vt:lpstr>v_78_XU</vt:lpstr>
      <vt:lpstr>v_78_XVivi</vt:lpstr>
      <vt:lpstr>v_79_CB</vt:lpstr>
      <vt:lpstr>v_79_CU</vt:lpstr>
      <vt:lpstr>v_79_GCH4</vt:lpstr>
      <vt:lpstr>v_79_GCH4_atm</vt:lpstr>
      <vt:lpstr>v_79_GCO2</vt:lpstr>
      <vt:lpstr>v_79_GCO2_atm</vt:lpstr>
      <vt:lpstr>v_79_GH2</vt:lpstr>
      <vt:lpstr>v_79_GH2_atm</vt:lpstr>
      <vt:lpstr>v_79_GH2S</vt:lpstr>
      <vt:lpstr>v_79_GH2S_atm</vt:lpstr>
      <vt:lpstr>v_79_GN2</vt:lpstr>
      <vt:lpstr>v_79_GN2_atm</vt:lpstr>
      <vt:lpstr>v_79_GNH3</vt:lpstr>
      <vt:lpstr>v_79_GNH3_atm</vt:lpstr>
      <vt:lpstr>v_79_GO2</vt:lpstr>
      <vt:lpstr>v_79_GO2_atm</vt:lpstr>
      <vt:lpstr>v_79_SALPHA</vt:lpstr>
      <vt:lpstr>v_79_SAN</vt:lpstr>
      <vt:lpstr>v_79_SB</vt:lpstr>
      <vt:lpstr>v_79_SCa</vt:lpstr>
      <vt:lpstr>v_79_SCAT</vt:lpstr>
      <vt:lpstr>v_79_SCH4</vt:lpstr>
      <vt:lpstr>v_79_SCO2</vt:lpstr>
      <vt:lpstr>v_79_SFe2</vt:lpstr>
      <vt:lpstr>v_79_SH</vt:lpstr>
      <vt:lpstr>v_79_SH2</vt:lpstr>
      <vt:lpstr>v_79_SH2S</vt:lpstr>
      <vt:lpstr>v_79_SK</vt:lpstr>
      <vt:lpstr>v_79_SMEOL</vt:lpstr>
      <vt:lpstr>v_79_SMg</vt:lpstr>
      <vt:lpstr>v_79_SMM_index</vt:lpstr>
      <vt:lpstr>v_79_SN_B</vt:lpstr>
      <vt:lpstr>v_79_SN2</vt:lpstr>
      <vt:lpstr>v_79_SNHx</vt:lpstr>
      <vt:lpstr>v_79_SNO2</vt:lpstr>
      <vt:lpstr>v_79_SNO3</vt:lpstr>
      <vt:lpstr>v_79_SO2</vt:lpstr>
      <vt:lpstr>v_79_SORPswitch</vt:lpstr>
      <vt:lpstr>v_79_SP_B</vt:lpstr>
      <vt:lpstr>v_79_SPFOA</vt:lpstr>
      <vt:lpstr>v_79_SPFOS</vt:lpstr>
      <vt:lpstr>v_79_SPO4</vt:lpstr>
      <vt:lpstr>v_79_SSO4</vt:lpstr>
      <vt:lpstr>v_79_SU</vt:lpstr>
      <vt:lpstr>v_79_SVFA</vt:lpstr>
      <vt:lpstr>v_79_XACP</vt:lpstr>
      <vt:lpstr>v_79_XALGAE</vt:lpstr>
      <vt:lpstr>v_79_XAMETO</vt:lpstr>
      <vt:lpstr>v_79_XAMX</vt:lpstr>
      <vt:lpstr>v_79_XAOB</vt:lpstr>
      <vt:lpstr>v_79_XASRO</vt:lpstr>
      <vt:lpstr>v_79_XB</vt:lpstr>
      <vt:lpstr>v_79_XB_e</vt:lpstr>
      <vt:lpstr>v_79_XBSH</vt:lpstr>
      <vt:lpstr>v_79_XCaCO3</vt:lpstr>
      <vt:lpstr>v_79_XCASTO</vt:lpstr>
      <vt:lpstr>v_79_XE</vt:lpstr>
      <vt:lpstr>v_79_XE_ana</vt:lpstr>
      <vt:lpstr>v_79_XFeS</vt:lpstr>
      <vt:lpstr>v_79_XHAO_H</vt:lpstr>
      <vt:lpstr>v_79_XHAO_H_P</vt:lpstr>
      <vt:lpstr>v_79_XHAO_H_P_old</vt:lpstr>
      <vt:lpstr>v_79_XHAO_L</vt:lpstr>
      <vt:lpstr>v_79_XHAO_L_P</vt:lpstr>
      <vt:lpstr>v_79_XHAO_L_P_old</vt:lpstr>
      <vt:lpstr>v_79_XHAO_old</vt:lpstr>
      <vt:lpstr>v_79_XHFO_H</vt:lpstr>
      <vt:lpstr>v_79_XHFO_H_P</vt:lpstr>
      <vt:lpstr>v_79_XHFO_H_P_old</vt:lpstr>
      <vt:lpstr>v_79_XHFO_L</vt:lpstr>
      <vt:lpstr>v_79_XHFO_L_P</vt:lpstr>
      <vt:lpstr>v_79_XHFO_L_P_old</vt:lpstr>
      <vt:lpstr>v_79_XHFO_old</vt:lpstr>
      <vt:lpstr>v_79_XHMETO</vt:lpstr>
      <vt:lpstr>v_79_XHSRO</vt:lpstr>
      <vt:lpstr>v_79_XINORG</vt:lpstr>
      <vt:lpstr>v_79_XMEOLO</vt:lpstr>
      <vt:lpstr>v_79_XN_B</vt:lpstr>
      <vt:lpstr>v_79_XN_Be</vt:lpstr>
      <vt:lpstr>v_79_XN_U</vt:lpstr>
      <vt:lpstr>v_79_XNOB</vt:lpstr>
      <vt:lpstr>v_79_XOHO</vt:lpstr>
      <vt:lpstr>v_79_XP_B</vt:lpstr>
      <vt:lpstr>v_79_XP_Be</vt:lpstr>
      <vt:lpstr>v_79_XP_U</vt:lpstr>
      <vt:lpstr>v_79_XPFOA</vt:lpstr>
      <vt:lpstr>v_79_XPFOS</vt:lpstr>
      <vt:lpstr>v_79_XPHA_GAO</vt:lpstr>
      <vt:lpstr>v_79_XPHA_PAO</vt:lpstr>
      <vt:lpstr>v_79_XPP</vt:lpstr>
      <vt:lpstr>v_79_XS</vt:lpstr>
      <vt:lpstr>v_79_XSOO</vt:lpstr>
      <vt:lpstr>v_79_XSTR</vt:lpstr>
      <vt:lpstr>v_79_XU</vt:lpstr>
      <vt:lpstr>v_79_XVivi</vt:lpstr>
      <vt:lpstr>v_8_CB</vt:lpstr>
      <vt:lpstr>v_8_CU</vt:lpstr>
      <vt:lpstr>v_8_GCH4</vt:lpstr>
      <vt:lpstr>v_8_GCH4_atm</vt:lpstr>
      <vt:lpstr>v_8_GCO2</vt:lpstr>
      <vt:lpstr>v_8_GCO2_atm</vt:lpstr>
      <vt:lpstr>v_8_GH2</vt:lpstr>
      <vt:lpstr>v_8_GH2_atm</vt:lpstr>
      <vt:lpstr>v_8_GH2S</vt:lpstr>
      <vt:lpstr>v_8_GH2S_atm</vt:lpstr>
      <vt:lpstr>v_8_GN2</vt:lpstr>
      <vt:lpstr>v_8_GN2_atm</vt:lpstr>
      <vt:lpstr>v_8_GNH3</vt:lpstr>
      <vt:lpstr>v_8_GNH3_atm</vt:lpstr>
      <vt:lpstr>v_8_GO2</vt:lpstr>
      <vt:lpstr>v_8_GO2_atm</vt:lpstr>
      <vt:lpstr>v_8_SALPHA</vt:lpstr>
      <vt:lpstr>v_8_SAN</vt:lpstr>
      <vt:lpstr>v_8_SB</vt:lpstr>
      <vt:lpstr>v_8_SCa</vt:lpstr>
      <vt:lpstr>v_8_SCAT</vt:lpstr>
      <vt:lpstr>v_8_SCH4</vt:lpstr>
      <vt:lpstr>v_8_SCO2</vt:lpstr>
      <vt:lpstr>v_8_SFe2</vt:lpstr>
      <vt:lpstr>v_8_SH</vt:lpstr>
      <vt:lpstr>v_8_SH2</vt:lpstr>
      <vt:lpstr>v_8_SH2S</vt:lpstr>
      <vt:lpstr>v_8_SK</vt:lpstr>
      <vt:lpstr>v_8_SMEOL</vt:lpstr>
      <vt:lpstr>v_8_SMg</vt:lpstr>
      <vt:lpstr>v_8_SMM_index</vt:lpstr>
      <vt:lpstr>v_8_SN_B</vt:lpstr>
      <vt:lpstr>v_8_SN2</vt:lpstr>
      <vt:lpstr>v_8_SNHx</vt:lpstr>
      <vt:lpstr>v_8_SNO2</vt:lpstr>
      <vt:lpstr>v_8_SNO3</vt:lpstr>
      <vt:lpstr>v_8_SO2</vt:lpstr>
      <vt:lpstr>v_8_SORPswitch</vt:lpstr>
      <vt:lpstr>v_8_SP_B</vt:lpstr>
      <vt:lpstr>v_8_SPFOA</vt:lpstr>
      <vt:lpstr>v_8_SPFOS</vt:lpstr>
      <vt:lpstr>v_8_SPO4</vt:lpstr>
      <vt:lpstr>v_8_SSO4</vt:lpstr>
      <vt:lpstr>v_8_SU</vt:lpstr>
      <vt:lpstr>v_8_SVFA</vt:lpstr>
      <vt:lpstr>v_8_XACP</vt:lpstr>
      <vt:lpstr>v_8_XALGAE</vt:lpstr>
      <vt:lpstr>v_8_XAMETO</vt:lpstr>
      <vt:lpstr>v_8_XAMX</vt:lpstr>
      <vt:lpstr>v_8_XAOB</vt:lpstr>
      <vt:lpstr>v_8_XASRO</vt:lpstr>
      <vt:lpstr>v_8_XB</vt:lpstr>
      <vt:lpstr>v_8_XB_e</vt:lpstr>
      <vt:lpstr>v_8_XBSH</vt:lpstr>
      <vt:lpstr>v_8_XCaCO3</vt:lpstr>
      <vt:lpstr>v_8_XCASTO</vt:lpstr>
      <vt:lpstr>v_8_XE</vt:lpstr>
      <vt:lpstr>v_8_XE_ana</vt:lpstr>
      <vt:lpstr>v_8_XFeS</vt:lpstr>
      <vt:lpstr>v_8_XHAO_H</vt:lpstr>
      <vt:lpstr>v_8_XHAO_H_P</vt:lpstr>
      <vt:lpstr>v_8_XHAO_H_P_old</vt:lpstr>
      <vt:lpstr>v_8_XHAO_L</vt:lpstr>
      <vt:lpstr>v_8_XHAO_L_P</vt:lpstr>
      <vt:lpstr>v_8_XHAO_L_P_old</vt:lpstr>
      <vt:lpstr>v_8_XHAO_old</vt:lpstr>
      <vt:lpstr>v_8_XHFO_H</vt:lpstr>
      <vt:lpstr>v_8_XHFO_H_P</vt:lpstr>
      <vt:lpstr>v_8_XHFO_H_P_old</vt:lpstr>
      <vt:lpstr>v_8_XHFO_L</vt:lpstr>
      <vt:lpstr>v_8_XHFO_L_P</vt:lpstr>
      <vt:lpstr>v_8_XHFO_L_P_old</vt:lpstr>
      <vt:lpstr>v_8_XHFO_old</vt:lpstr>
      <vt:lpstr>v_8_XHMETO</vt:lpstr>
      <vt:lpstr>v_8_XHSRO</vt:lpstr>
      <vt:lpstr>v_8_XINORG</vt:lpstr>
      <vt:lpstr>v_8_XMEOLO</vt:lpstr>
      <vt:lpstr>v_8_XN_B</vt:lpstr>
      <vt:lpstr>v_8_XN_Be</vt:lpstr>
      <vt:lpstr>v_8_XN_U</vt:lpstr>
      <vt:lpstr>v_8_XNOB</vt:lpstr>
      <vt:lpstr>v_8_XOHO</vt:lpstr>
      <vt:lpstr>v_8_XP_B</vt:lpstr>
      <vt:lpstr>v_8_XP_Be</vt:lpstr>
      <vt:lpstr>v_8_XP_U</vt:lpstr>
      <vt:lpstr>v_8_XPFOA</vt:lpstr>
      <vt:lpstr>v_8_XPFOS</vt:lpstr>
      <vt:lpstr>v_8_XPHA_GAO</vt:lpstr>
      <vt:lpstr>v_8_XPHA_PAO</vt:lpstr>
      <vt:lpstr>v_8_XPP</vt:lpstr>
      <vt:lpstr>v_8_XS</vt:lpstr>
      <vt:lpstr>v_8_XSOO</vt:lpstr>
      <vt:lpstr>v_8_XSTR</vt:lpstr>
      <vt:lpstr>v_8_XU</vt:lpstr>
      <vt:lpstr>v_8_XVivi</vt:lpstr>
      <vt:lpstr>v_80_CB</vt:lpstr>
      <vt:lpstr>v_80_CU</vt:lpstr>
      <vt:lpstr>v_80_GCH4</vt:lpstr>
      <vt:lpstr>v_80_GCH4_atm</vt:lpstr>
      <vt:lpstr>v_80_GCO2</vt:lpstr>
      <vt:lpstr>v_80_GCO2_atm</vt:lpstr>
      <vt:lpstr>v_80_GH2</vt:lpstr>
      <vt:lpstr>v_80_GH2_atm</vt:lpstr>
      <vt:lpstr>v_80_GH2S</vt:lpstr>
      <vt:lpstr>v_80_GH2S_atm</vt:lpstr>
      <vt:lpstr>v_80_GN2</vt:lpstr>
      <vt:lpstr>v_80_GN2_atm</vt:lpstr>
      <vt:lpstr>v_80_GNH3</vt:lpstr>
      <vt:lpstr>v_80_GNH3_atm</vt:lpstr>
      <vt:lpstr>v_80_GO2</vt:lpstr>
      <vt:lpstr>v_80_GO2_atm</vt:lpstr>
      <vt:lpstr>v_80_SALPHA</vt:lpstr>
      <vt:lpstr>v_80_SAN</vt:lpstr>
      <vt:lpstr>v_80_SB</vt:lpstr>
      <vt:lpstr>v_80_SCa</vt:lpstr>
      <vt:lpstr>v_80_SCAT</vt:lpstr>
      <vt:lpstr>v_80_SCH4</vt:lpstr>
      <vt:lpstr>v_80_SCO2</vt:lpstr>
      <vt:lpstr>v_80_SFe2</vt:lpstr>
      <vt:lpstr>v_80_SH</vt:lpstr>
      <vt:lpstr>v_80_SH2</vt:lpstr>
      <vt:lpstr>v_80_SH2S</vt:lpstr>
      <vt:lpstr>v_80_SK</vt:lpstr>
      <vt:lpstr>v_80_SMEOL</vt:lpstr>
      <vt:lpstr>v_80_SMg</vt:lpstr>
      <vt:lpstr>v_80_SMM_index</vt:lpstr>
      <vt:lpstr>v_80_SN_B</vt:lpstr>
      <vt:lpstr>v_80_SN2</vt:lpstr>
      <vt:lpstr>v_80_SNHx</vt:lpstr>
      <vt:lpstr>v_80_SNO2</vt:lpstr>
      <vt:lpstr>v_80_SNO3</vt:lpstr>
      <vt:lpstr>v_80_SO2</vt:lpstr>
      <vt:lpstr>v_80_SORPswitch</vt:lpstr>
      <vt:lpstr>v_80_SP_B</vt:lpstr>
      <vt:lpstr>v_80_SPFOA</vt:lpstr>
      <vt:lpstr>v_80_SPFOS</vt:lpstr>
      <vt:lpstr>v_80_SPO4</vt:lpstr>
      <vt:lpstr>v_80_SSO4</vt:lpstr>
      <vt:lpstr>v_80_SU</vt:lpstr>
      <vt:lpstr>v_80_SVFA</vt:lpstr>
      <vt:lpstr>v_80_XACP</vt:lpstr>
      <vt:lpstr>v_80_XALGAE</vt:lpstr>
      <vt:lpstr>v_80_XAMETO</vt:lpstr>
      <vt:lpstr>v_80_XAMX</vt:lpstr>
      <vt:lpstr>v_80_XAOB</vt:lpstr>
      <vt:lpstr>v_80_XASRO</vt:lpstr>
      <vt:lpstr>v_80_XB</vt:lpstr>
      <vt:lpstr>v_80_XB_e</vt:lpstr>
      <vt:lpstr>v_80_XBSH</vt:lpstr>
      <vt:lpstr>v_80_XCaCO3</vt:lpstr>
      <vt:lpstr>v_80_XCASTO</vt:lpstr>
      <vt:lpstr>v_80_XE</vt:lpstr>
      <vt:lpstr>v_80_XE_ana</vt:lpstr>
      <vt:lpstr>v_80_XFeS</vt:lpstr>
      <vt:lpstr>v_80_XHAO_H</vt:lpstr>
      <vt:lpstr>v_80_XHAO_H_P</vt:lpstr>
      <vt:lpstr>v_80_XHAO_H_P_old</vt:lpstr>
      <vt:lpstr>v_80_XHAO_L</vt:lpstr>
      <vt:lpstr>v_80_XHAO_L_P</vt:lpstr>
      <vt:lpstr>v_80_XHAO_L_P_old</vt:lpstr>
      <vt:lpstr>v_80_XHAO_old</vt:lpstr>
      <vt:lpstr>v_80_XHFO_H</vt:lpstr>
      <vt:lpstr>v_80_XHFO_H_P</vt:lpstr>
      <vt:lpstr>v_80_XHFO_H_P_old</vt:lpstr>
      <vt:lpstr>v_80_XHFO_L</vt:lpstr>
      <vt:lpstr>v_80_XHFO_L_P</vt:lpstr>
      <vt:lpstr>v_80_XHFO_L_P_old</vt:lpstr>
      <vt:lpstr>v_80_XHFO_old</vt:lpstr>
      <vt:lpstr>v_80_XHMETO</vt:lpstr>
      <vt:lpstr>v_80_XHSRO</vt:lpstr>
      <vt:lpstr>v_80_XINORG</vt:lpstr>
      <vt:lpstr>v_80_XMEOLO</vt:lpstr>
      <vt:lpstr>v_80_XN_B</vt:lpstr>
      <vt:lpstr>v_80_XN_Be</vt:lpstr>
      <vt:lpstr>v_80_XN_U</vt:lpstr>
      <vt:lpstr>v_80_XNOB</vt:lpstr>
      <vt:lpstr>v_80_XOHO</vt:lpstr>
      <vt:lpstr>v_80_XP_B</vt:lpstr>
      <vt:lpstr>v_80_XP_Be</vt:lpstr>
      <vt:lpstr>v_80_XP_U</vt:lpstr>
      <vt:lpstr>v_80_XPFOA</vt:lpstr>
      <vt:lpstr>v_80_XPFOS</vt:lpstr>
      <vt:lpstr>v_80_XPHA_GAO</vt:lpstr>
      <vt:lpstr>v_80_XPHA_PAO</vt:lpstr>
      <vt:lpstr>v_80_XPP</vt:lpstr>
      <vt:lpstr>v_80_XS</vt:lpstr>
      <vt:lpstr>v_80_XSOO</vt:lpstr>
      <vt:lpstr>v_80_XSTR</vt:lpstr>
      <vt:lpstr>v_80_XU</vt:lpstr>
      <vt:lpstr>v_80_XVivi</vt:lpstr>
      <vt:lpstr>v_81_CB</vt:lpstr>
      <vt:lpstr>v_81_CU</vt:lpstr>
      <vt:lpstr>v_81_GCH4</vt:lpstr>
      <vt:lpstr>v_81_GCH4_atm</vt:lpstr>
      <vt:lpstr>v_81_GCO2</vt:lpstr>
      <vt:lpstr>v_81_GCO2_atm</vt:lpstr>
      <vt:lpstr>v_81_GH2</vt:lpstr>
      <vt:lpstr>v_81_GH2_atm</vt:lpstr>
      <vt:lpstr>v_81_GH2S</vt:lpstr>
      <vt:lpstr>v_81_GH2S_atm</vt:lpstr>
      <vt:lpstr>v_81_GN2</vt:lpstr>
      <vt:lpstr>v_81_GN2_atm</vt:lpstr>
      <vt:lpstr>v_81_GNH3</vt:lpstr>
      <vt:lpstr>v_81_GNH3_atm</vt:lpstr>
      <vt:lpstr>v_81_GO2</vt:lpstr>
      <vt:lpstr>v_81_GO2_atm</vt:lpstr>
      <vt:lpstr>v_81_SALPHA</vt:lpstr>
      <vt:lpstr>v_81_SAN</vt:lpstr>
      <vt:lpstr>v_81_SB</vt:lpstr>
      <vt:lpstr>v_81_SCa</vt:lpstr>
      <vt:lpstr>v_81_SCAT</vt:lpstr>
      <vt:lpstr>v_81_SCH4</vt:lpstr>
      <vt:lpstr>v_81_SCO2</vt:lpstr>
      <vt:lpstr>v_81_SFe2</vt:lpstr>
      <vt:lpstr>v_81_SH</vt:lpstr>
      <vt:lpstr>v_81_SH2</vt:lpstr>
      <vt:lpstr>v_81_SH2S</vt:lpstr>
      <vt:lpstr>v_81_SK</vt:lpstr>
      <vt:lpstr>v_81_SMEOL</vt:lpstr>
      <vt:lpstr>v_81_SMg</vt:lpstr>
      <vt:lpstr>v_81_SMM_index</vt:lpstr>
      <vt:lpstr>v_81_SN_B</vt:lpstr>
      <vt:lpstr>v_81_SN2</vt:lpstr>
      <vt:lpstr>v_81_SNHx</vt:lpstr>
      <vt:lpstr>v_81_SNO2</vt:lpstr>
      <vt:lpstr>v_81_SNO3</vt:lpstr>
      <vt:lpstr>v_81_SO2</vt:lpstr>
      <vt:lpstr>v_81_SORPswitch</vt:lpstr>
      <vt:lpstr>v_81_SP_B</vt:lpstr>
      <vt:lpstr>v_81_SPFOA</vt:lpstr>
      <vt:lpstr>v_81_SPFOS</vt:lpstr>
      <vt:lpstr>v_81_SPO4</vt:lpstr>
      <vt:lpstr>v_81_SSO4</vt:lpstr>
      <vt:lpstr>v_81_SU</vt:lpstr>
      <vt:lpstr>v_81_SVFA</vt:lpstr>
      <vt:lpstr>v_81_XACP</vt:lpstr>
      <vt:lpstr>v_81_XALGAE</vt:lpstr>
      <vt:lpstr>v_81_XAMETO</vt:lpstr>
      <vt:lpstr>v_81_XAMX</vt:lpstr>
      <vt:lpstr>v_81_XAOB</vt:lpstr>
      <vt:lpstr>v_81_XASRO</vt:lpstr>
      <vt:lpstr>v_81_XB</vt:lpstr>
      <vt:lpstr>v_81_XB_e</vt:lpstr>
      <vt:lpstr>v_81_XBSH</vt:lpstr>
      <vt:lpstr>v_81_XCaCO3</vt:lpstr>
      <vt:lpstr>v_81_XCASTO</vt:lpstr>
      <vt:lpstr>v_81_XE</vt:lpstr>
      <vt:lpstr>v_81_XE_ana</vt:lpstr>
      <vt:lpstr>v_81_XFeS</vt:lpstr>
      <vt:lpstr>v_81_XHAO_H</vt:lpstr>
      <vt:lpstr>v_81_XHAO_H_P</vt:lpstr>
      <vt:lpstr>v_81_XHAO_H_P_old</vt:lpstr>
      <vt:lpstr>v_81_XHAO_L</vt:lpstr>
      <vt:lpstr>v_81_XHAO_L_P</vt:lpstr>
      <vt:lpstr>v_81_XHAO_L_P_old</vt:lpstr>
      <vt:lpstr>v_81_XHAO_old</vt:lpstr>
      <vt:lpstr>v_81_XHFO_H</vt:lpstr>
      <vt:lpstr>v_81_XHFO_H_P</vt:lpstr>
      <vt:lpstr>v_81_XHFO_H_P_old</vt:lpstr>
      <vt:lpstr>v_81_XHFO_L</vt:lpstr>
      <vt:lpstr>v_81_XHFO_L_P</vt:lpstr>
      <vt:lpstr>v_81_XHFO_L_P_old</vt:lpstr>
      <vt:lpstr>v_81_XHFO_old</vt:lpstr>
      <vt:lpstr>v_81_XHMETO</vt:lpstr>
      <vt:lpstr>v_81_XHSRO</vt:lpstr>
      <vt:lpstr>v_81_XINORG</vt:lpstr>
      <vt:lpstr>v_81_XMEOLO</vt:lpstr>
      <vt:lpstr>v_81_XN_B</vt:lpstr>
      <vt:lpstr>v_81_XN_Be</vt:lpstr>
      <vt:lpstr>v_81_XN_U</vt:lpstr>
      <vt:lpstr>v_81_XNOB</vt:lpstr>
      <vt:lpstr>v_81_XOHO</vt:lpstr>
      <vt:lpstr>v_81_XP_B</vt:lpstr>
      <vt:lpstr>v_81_XP_Be</vt:lpstr>
      <vt:lpstr>v_81_XP_U</vt:lpstr>
      <vt:lpstr>v_81_XPFOA</vt:lpstr>
      <vt:lpstr>v_81_XPFOS</vt:lpstr>
      <vt:lpstr>v_81_XPHA_GAO</vt:lpstr>
      <vt:lpstr>v_81_XPHA_PAO</vt:lpstr>
      <vt:lpstr>v_81_XPP</vt:lpstr>
      <vt:lpstr>v_81_XS</vt:lpstr>
      <vt:lpstr>v_81_XSOO</vt:lpstr>
      <vt:lpstr>v_81_XSTR</vt:lpstr>
      <vt:lpstr>v_81_XU</vt:lpstr>
      <vt:lpstr>v_81_XVivi</vt:lpstr>
      <vt:lpstr>v_82_CB</vt:lpstr>
      <vt:lpstr>v_82_CU</vt:lpstr>
      <vt:lpstr>v_82_GCH4</vt:lpstr>
      <vt:lpstr>v_82_GCH4_atm</vt:lpstr>
      <vt:lpstr>v_82_GCO2</vt:lpstr>
      <vt:lpstr>v_82_GCO2_atm</vt:lpstr>
      <vt:lpstr>v_82_GH2</vt:lpstr>
      <vt:lpstr>v_82_GH2_atm</vt:lpstr>
      <vt:lpstr>v_82_GH2S</vt:lpstr>
      <vt:lpstr>v_82_GH2S_atm</vt:lpstr>
      <vt:lpstr>v_82_GN2</vt:lpstr>
      <vt:lpstr>v_82_GN2_atm</vt:lpstr>
      <vt:lpstr>v_82_GNH3</vt:lpstr>
      <vt:lpstr>v_82_GNH3_atm</vt:lpstr>
      <vt:lpstr>v_82_GO2</vt:lpstr>
      <vt:lpstr>v_82_GO2_atm</vt:lpstr>
      <vt:lpstr>v_82_SALPHA</vt:lpstr>
      <vt:lpstr>v_82_SAN</vt:lpstr>
      <vt:lpstr>v_82_SB</vt:lpstr>
      <vt:lpstr>v_82_SCa</vt:lpstr>
      <vt:lpstr>v_82_SCAT</vt:lpstr>
      <vt:lpstr>v_82_SCH4</vt:lpstr>
      <vt:lpstr>v_82_SCO2</vt:lpstr>
      <vt:lpstr>v_82_SFe2</vt:lpstr>
      <vt:lpstr>v_82_SH</vt:lpstr>
      <vt:lpstr>v_82_SH2</vt:lpstr>
      <vt:lpstr>v_82_SH2S</vt:lpstr>
      <vt:lpstr>v_82_SK</vt:lpstr>
      <vt:lpstr>v_82_SMEOL</vt:lpstr>
      <vt:lpstr>v_82_SMg</vt:lpstr>
      <vt:lpstr>v_82_SMM_index</vt:lpstr>
      <vt:lpstr>v_82_SN_B</vt:lpstr>
      <vt:lpstr>v_82_SN2</vt:lpstr>
      <vt:lpstr>v_82_SNHx</vt:lpstr>
      <vt:lpstr>v_82_SNO2</vt:lpstr>
      <vt:lpstr>v_82_SNO3</vt:lpstr>
      <vt:lpstr>v_82_SO2</vt:lpstr>
      <vt:lpstr>v_82_SORPswitch</vt:lpstr>
      <vt:lpstr>v_82_SP_B</vt:lpstr>
      <vt:lpstr>v_82_SPFOA</vt:lpstr>
      <vt:lpstr>v_82_SPFOS</vt:lpstr>
      <vt:lpstr>v_82_SPO4</vt:lpstr>
      <vt:lpstr>v_82_SSO4</vt:lpstr>
      <vt:lpstr>v_82_SU</vt:lpstr>
      <vt:lpstr>v_82_SVFA</vt:lpstr>
      <vt:lpstr>v_82_XACP</vt:lpstr>
      <vt:lpstr>v_82_XALGAE</vt:lpstr>
      <vt:lpstr>v_82_XAMETO</vt:lpstr>
      <vt:lpstr>v_82_XAMX</vt:lpstr>
      <vt:lpstr>v_82_XAOB</vt:lpstr>
      <vt:lpstr>v_82_XASRO</vt:lpstr>
      <vt:lpstr>v_82_XB</vt:lpstr>
      <vt:lpstr>v_82_XB_e</vt:lpstr>
      <vt:lpstr>v_82_XBSH</vt:lpstr>
      <vt:lpstr>v_82_XCaCO3</vt:lpstr>
      <vt:lpstr>v_82_XCASTO</vt:lpstr>
      <vt:lpstr>v_82_XE</vt:lpstr>
      <vt:lpstr>v_82_XE_ana</vt:lpstr>
      <vt:lpstr>v_82_XFeS</vt:lpstr>
      <vt:lpstr>v_82_XHAO_H</vt:lpstr>
      <vt:lpstr>v_82_XHAO_H_P</vt:lpstr>
      <vt:lpstr>v_82_XHAO_H_P_old</vt:lpstr>
      <vt:lpstr>v_82_XHAO_L</vt:lpstr>
      <vt:lpstr>v_82_XHAO_L_P</vt:lpstr>
      <vt:lpstr>v_82_XHAO_L_P_old</vt:lpstr>
      <vt:lpstr>v_82_XHAO_old</vt:lpstr>
      <vt:lpstr>v_82_XHFO_H</vt:lpstr>
      <vt:lpstr>v_82_XHFO_H_P</vt:lpstr>
      <vt:lpstr>v_82_XHFO_H_P_old</vt:lpstr>
      <vt:lpstr>v_82_XHFO_L</vt:lpstr>
      <vt:lpstr>v_82_XHFO_L_P</vt:lpstr>
      <vt:lpstr>v_82_XHFO_L_P_old</vt:lpstr>
      <vt:lpstr>v_82_XHFO_old</vt:lpstr>
      <vt:lpstr>v_82_XHMETO</vt:lpstr>
      <vt:lpstr>v_82_XHSRO</vt:lpstr>
      <vt:lpstr>v_82_XINORG</vt:lpstr>
      <vt:lpstr>v_82_XMEOLO</vt:lpstr>
      <vt:lpstr>v_82_XN_B</vt:lpstr>
      <vt:lpstr>v_82_XN_Be</vt:lpstr>
      <vt:lpstr>v_82_XN_U</vt:lpstr>
      <vt:lpstr>v_82_XNOB</vt:lpstr>
      <vt:lpstr>v_82_XOHO</vt:lpstr>
      <vt:lpstr>v_82_XP_B</vt:lpstr>
      <vt:lpstr>v_82_XP_Be</vt:lpstr>
      <vt:lpstr>v_82_XP_U</vt:lpstr>
      <vt:lpstr>v_82_XPFOA</vt:lpstr>
      <vt:lpstr>v_82_XPFOS</vt:lpstr>
      <vt:lpstr>v_82_XPHA_GAO</vt:lpstr>
      <vt:lpstr>v_82_XPHA_PAO</vt:lpstr>
      <vt:lpstr>v_82_XPP</vt:lpstr>
      <vt:lpstr>v_82_XS</vt:lpstr>
      <vt:lpstr>v_82_XSOO</vt:lpstr>
      <vt:lpstr>v_82_XSTR</vt:lpstr>
      <vt:lpstr>v_82_XU</vt:lpstr>
      <vt:lpstr>v_82_XVivi</vt:lpstr>
      <vt:lpstr>v_83_CB</vt:lpstr>
      <vt:lpstr>v_83_CU</vt:lpstr>
      <vt:lpstr>v_83_GCH4</vt:lpstr>
      <vt:lpstr>v_83_GCH4_atm</vt:lpstr>
      <vt:lpstr>v_83_GCO2</vt:lpstr>
      <vt:lpstr>v_83_GCO2_atm</vt:lpstr>
      <vt:lpstr>v_83_GH2</vt:lpstr>
      <vt:lpstr>v_83_GH2_atm</vt:lpstr>
      <vt:lpstr>v_83_GH2S</vt:lpstr>
      <vt:lpstr>v_83_GH2S_atm</vt:lpstr>
      <vt:lpstr>v_83_GN2</vt:lpstr>
      <vt:lpstr>v_83_GN2_atm</vt:lpstr>
      <vt:lpstr>v_83_GNH3</vt:lpstr>
      <vt:lpstr>v_83_GNH3_atm</vt:lpstr>
      <vt:lpstr>v_83_GO2</vt:lpstr>
      <vt:lpstr>v_83_GO2_atm</vt:lpstr>
      <vt:lpstr>v_83_SALPHA</vt:lpstr>
      <vt:lpstr>v_83_SAN</vt:lpstr>
      <vt:lpstr>v_83_SB</vt:lpstr>
      <vt:lpstr>v_83_SCa</vt:lpstr>
      <vt:lpstr>v_83_SCAT</vt:lpstr>
      <vt:lpstr>v_83_SCH4</vt:lpstr>
      <vt:lpstr>v_83_SCO2</vt:lpstr>
      <vt:lpstr>v_83_SFe2</vt:lpstr>
      <vt:lpstr>v_83_SH</vt:lpstr>
      <vt:lpstr>v_83_SH2</vt:lpstr>
      <vt:lpstr>v_83_SH2S</vt:lpstr>
      <vt:lpstr>v_83_SK</vt:lpstr>
      <vt:lpstr>v_83_SMEOL</vt:lpstr>
      <vt:lpstr>v_83_SMg</vt:lpstr>
      <vt:lpstr>v_83_SMM_index</vt:lpstr>
      <vt:lpstr>v_83_SN_B</vt:lpstr>
      <vt:lpstr>v_83_SN2</vt:lpstr>
      <vt:lpstr>v_83_SNHx</vt:lpstr>
      <vt:lpstr>v_83_SNO2</vt:lpstr>
      <vt:lpstr>v_83_SNO3</vt:lpstr>
      <vt:lpstr>v_83_SO2</vt:lpstr>
      <vt:lpstr>v_83_SORPswitch</vt:lpstr>
      <vt:lpstr>v_83_SP_B</vt:lpstr>
      <vt:lpstr>v_83_SPFOA</vt:lpstr>
      <vt:lpstr>v_83_SPFOS</vt:lpstr>
      <vt:lpstr>v_83_SPO4</vt:lpstr>
      <vt:lpstr>v_83_SSO4</vt:lpstr>
      <vt:lpstr>v_83_SU</vt:lpstr>
      <vt:lpstr>v_83_SVFA</vt:lpstr>
      <vt:lpstr>v_83_XACP</vt:lpstr>
      <vt:lpstr>v_83_XALGAE</vt:lpstr>
      <vt:lpstr>v_83_XAMETO</vt:lpstr>
      <vt:lpstr>v_83_XAMX</vt:lpstr>
      <vt:lpstr>v_83_XAOB</vt:lpstr>
      <vt:lpstr>v_83_XASRO</vt:lpstr>
      <vt:lpstr>v_83_XB</vt:lpstr>
      <vt:lpstr>v_83_XB_e</vt:lpstr>
      <vt:lpstr>v_83_XBSH</vt:lpstr>
      <vt:lpstr>v_83_XCaCO3</vt:lpstr>
      <vt:lpstr>v_83_XCASTO</vt:lpstr>
      <vt:lpstr>v_83_XE</vt:lpstr>
      <vt:lpstr>v_83_XE_ana</vt:lpstr>
      <vt:lpstr>v_83_XFeS</vt:lpstr>
      <vt:lpstr>v_83_XHAO_H</vt:lpstr>
      <vt:lpstr>v_83_XHAO_H_P</vt:lpstr>
      <vt:lpstr>v_83_XHAO_H_P_old</vt:lpstr>
      <vt:lpstr>v_83_XHAO_L</vt:lpstr>
      <vt:lpstr>v_83_XHAO_L_P</vt:lpstr>
      <vt:lpstr>v_83_XHAO_L_P_old</vt:lpstr>
      <vt:lpstr>v_83_XHAO_old</vt:lpstr>
      <vt:lpstr>v_83_XHFO_H</vt:lpstr>
      <vt:lpstr>v_83_XHFO_H_P</vt:lpstr>
      <vt:lpstr>v_83_XHFO_H_P_old</vt:lpstr>
      <vt:lpstr>v_83_XHFO_L</vt:lpstr>
      <vt:lpstr>v_83_XHFO_L_P</vt:lpstr>
      <vt:lpstr>v_83_XHFO_L_P_old</vt:lpstr>
      <vt:lpstr>v_83_XHFO_old</vt:lpstr>
      <vt:lpstr>v_83_XHMETO</vt:lpstr>
      <vt:lpstr>v_83_XHSRO</vt:lpstr>
      <vt:lpstr>v_83_XINORG</vt:lpstr>
      <vt:lpstr>v_83_XMEOLO</vt:lpstr>
      <vt:lpstr>v_83_XN_B</vt:lpstr>
      <vt:lpstr>v_83_XN_Be</vt:lpstr>
      <vt:lpstr>v_83_XN_U</vt:lpstr>
      <vt:lpstr>v_83_XNOB</vt:lpstr>
      <vt:lpstr>v_83_XOHO</vt:lpstr>
      <vt:lpstr>v_83_XP_B</vt:lpstr>
      <vt:lpstr>v_83_XP_Be</vt:lpstr>
      <vt:lpstr>v_83_XP_U</vt:lpstr>
      <vt:lpstr>v_83_XPFOA</vt:lpstr>
      <vt:lpstr>v_83_XPFOS</vt:lpstr>
      <vt:lpstr>v_83_XPHA_GAO</vt:lpstr>
      <vt:lpstr>v_83_XPHA_PAO</vt:lpstr>
      <vt:lpstr>v_83_XPP</vt:lpstr>
      <vt:lpstr>v_83_XS</vt:lpstr>
      <vt:lpstr>v_83_XSOO</vt:lpstr>
      <vt:lpstr>v_83_XSTR</vt:lpstr>
      <vt:lpstr>v_83_XU</vt:lpstr>
      <vt:lpstr>v_83_XVivi</vt:lpstr>
      <vt:lpstr>v_84_CB</vt:lpstr>
      <vt:lpstr>v_84_CU</vt:lpstr>
      <vt:lpstr>v_84_GCH4</vt:lpstr>
      <vt:lpstr>v_84_GCH4_atm</vt:lpstr>
      <vt:lpstr>v_84_GCO2</vt:lpstr>
      <vt:lpstr>v_84_GCO2_atm</vt:lpstr>
      <vt:lpstr>v_84_GH2</vt:lpstr>
      <vt:lpstr>v_84_GH2_atm</vt:lpstr>
      <vt:lpstr>v_84_GH2S</vt:lpstr>
      <vt:lpstr>v_84_GH2S_atm</vt:lpstr>
      <vt:lpstr>v_84_GN2</vt:lpstr>
      <vt:lpstr>v_84_GN2_atm</vt:lpstr>
      <vt:lpstr>v_84_GNH3</vt:lpstr>
      <vt:lpstr>v_84_GNH3_atm</vt:lpstr>
      <vt:lpstr>v_84_GO2</vt:lpstr>
      <vt:lpstr>v_84_GO2_atm</vt:lpstr>
      <vt:lpstr>v_84_SALPHA</vt:lpstr>
      <vt:lpstr>v_84_SAN</vt:lpstr>
      <vt:lpstr>v_84_SB</vt:lpstr>
      <vt:lpstr>v_84_SCa</vt:lpstr>
      <vt:lpstr>v_84_SCAT</vt:lpstr>
      <vt:lpstr>v_84_SCH4</vt:lpstr>
      <vt:lpstr>v_84_SCO2</vt:lpstr>
      <vt:lpstr>v_84_SFe2</vt:lpstr>
      <vt:lpstr>v_84_SH</vt:lpstr>
      <vt:lpstr>v_84_SH2</vt:lpstr>
      <vt:lpstr>v_84_SH2S</vt:lpstr>
      <vt:lpstr>v_84_SK</vt:lpstr>
      <vt:lpstr>v_84_SMEOL</vt:lpstr>
      <vt:lpstr>v_84_SMg</vt:lpstr>
      <vt:lpstr>v_84_SMM_index</vt:lpstr>
      <vt:lpstr>v_84_SN_B</vt:lpstr>
      <vt:lpstr>v_84_SN2</vt:lpstr>
      <vt:lpstr>v_84_SNHx</vt:lpstr>
      <vt:lpstr>v_84_SNO2</vt:lpstr>
      <vt:lpstr>v_84_SNO3</vt:lpstr>
      <vt:lpstr>v_84_SO2</vt:lpstr>
      <vt:lpstr>v_84_SORPswitch</vt:lpstr>
      <vt:lpstr>v_84_SP_B</vt:lpstr>
      <vt:lpstr>v_84_SPFOA</vt:lpstr>
      <vt:lpstr>v_84_SPFOS</vt:lpstr>
      <vt:lpstr>v_84_SPO4</vt:lpstr>
      <vt:lpstr>v_84_SSO4</vt:lpstr>
      <vt:lpstr>v_84_SU</vt:lpstr>
      <vt:lpstr>v_84_SVFA</vt:lpstr>
      <vt:lpstr>v_84_XACP</vt:lpstr>
      <vt:lpstr>v_84_XALGAE</vt:lpstr>
      <vt:lpstr>v_84_XAMETO</vt:lpstr>
      <vt:lpstr>v_84_XAMX</vt:lpstr>
      <vt:lpstr>v_84_XAOB</vt:lpstr>
      <vt:lpstr>v_84_XASRO</vt:lpstr>
      <vt:lpstr>v_84_XB</vt:lpstr>
      <vt:lpstr>v_84_XB_e</vt:lpstr>
      <vt:lpstr>v_84_XBSH</vt:lpstr>
      <vt:lpstr>v_84_XCaCO3</vt:lpstr>
      <vt:lpstr>v_84_XCASTO</vt:lpstr>
      <vt:lpstr>v_84_XE</vt:lpstr>
      <vt:lpstr>v_84_XE_ana</vt:lpstr>
      <vt:lpstr>v_84_XFeS</vt:lpstr>
      <vt:lpstr>v_84_XHAO_H</vt:lpstr>
      <vt:lpstr>v_84_XHAO_H_P</vt:lpstr>
      <vt:lpstr>v_84_XHAO_H_P_old</vt:lpstr>
      <vt:lpstr>v_84_XHAO_L</vt:lpstr>
      <vt:lpstr>v_84_XHAO_L_P</vt:lpstr>
      <vt:lpstr>v_84_XHAO_L_P_old</vt:lpstr>
      <vt:lpstr>v_84_XHAO_old</vt:lpstr>
      <vt:lpstr>v_84_XHFO_H</vt:lpstr>
      <vt:lpstr>v_84_XHFO_H_P</vt:lpstr>
      <vt:lpstr>v_84_XHFO_H_P_old</vt:lpstr>
      <vt:lpstr>v_84_XHFO_L</vt:lpstr>
      <vt:lpstr>v_84_XHFO_L_P</vt:lpstr>
      <vt:lpstr>v_84_XHFO_L_P_old</vt:lpstr>
      <vt:lpstr>v_84_XHFO_old</vt:lpstr>
      <vt:lpstr>v_84_XHMETO</vt:lpstr>
      <vt:lpstr>v_84_XHSRO</vt:lpstr>
      <vt:lpstr>v_84_XINORG</vt:lpstr>
      <vt:lpstr>v_84_XMEOLO</vt:lpstr>
      <vt:lpstr>v_84_XN_B</vt:lpstr>
      <vt:lpstr>v_84_XN_Be</vt:lpstr>
      <vt:lpstr>v_84_XN_U</vt:lpstr>
      <vt:lpstr>v_84_XNOB</vt:lpstr>
      <vt:lpstr>v_84_XOHO</vt:lpstr>
      <vt:lpstr>v_84_XP_B</vt:lpstr>
      <vt:lpstr>v_84_XP_Be</vt:lpstr>
      <vt:lpstr>v_84_XP_U</vt:lpstr>
      <vt:lpstr>v_84_XPFOA</vt:lpstr>
      <vt:lpstr>v_84_XPFOS</vt:lpstr>
      <vt:lpstr>v_84_XPHA_GAO</vt:lpstr>
      <vt:lpstr>v_84_XPHA_PAO</vt:lpstr>
      <vt:lpstr>v_84_XPP</vt:lpstr>
      <vt:lpstr>v_84_XS</vt:lpstr>
      <vt:lpstr>v_84_XSOO</vt:lpstr>
      <vt:lpstr>v_84_XSTR</vt:lpstr>
      <vt:lpstr>v_84_XU</vt:lpstr>
      <vt:lpstr>v_84_XVivi</vt:lpstr>
      <vt:lpstr>v_85_CB</vt:lpstr>
      <vt:lpstr>v_85_CU</vt:lpstr>
      <vt:lpstr>v_85_GCH4</vt:lpstr>
      <vt:lpstr>v_85_GCH4_atm</vt:lpstr>
      <vt:lpstr>v_85_GCO2</vt:lpstr>
      <vt:lpstr>v_85_GCO2_atm</vt:lpstr>
      <vt:lpstr>v_85_GH2</vt:lpstr>
      <vt:lpstr>v_85_GH2_atm</vt:lpstr>
      <vt:lpstr>v_85_GH2S</vt:lpstr>
      <vt:lpstr>v_85_GH2S_atm</vt:lpstr>
      <vt:lpstr>v_85_GN2</vt:lpstr>
      <vt:lpstr>v_85_GN2_atm</vt:lpstr>
      <vt:lpstr>v_85_GNH3</vt:lpstr>
      <vt:lpstr>v_85_GNH3_atm</vt:lpstr>
      <vt:lpstr>v_85_GO2</vt:lpstr>
      <vt:lpstr>v_85_GO2_atm</vt:lpstr>
      <vt:lpstr>v_85_SALPHA</vt:lpstr>
      <vt:lpstr>v_85_SAN</vt:lpstr>
      <vt:lpstr>v_85_SB</vt:lpstr>
      <vt:lpstr>v_85_SCa</vt:lpstr>
      <vt:lpstr>v_85_SCAT</vt:lpstr>
      <vt:lpstr>v_85_SCH4</vt:lpstr>
      <vt:lpstr>v_85_SCO2</vt:lpstr>
      <vt:lpstr>v_85_SFe2</vt:lpstr>
      <vt:lpstr>v_85_SH</vt:lpstr>
      <vt:lpstr>v_85_SH2</vt:lpstr>
      <vt:lpstr>v_85_SH2S</vt:lpstr>
      <vt:lpstr>v_85_SK</vt:lpstr>
      <vt:lpstr>v_85_SMEOL</vt:lpstr>
      <vt:lpstr>v_85_SMg</vt:lpstr>
      <vt:lpstr>v_85_SMM_index</vt:lpstr>
      <vt:lpstr>v_85_SN_B</vt:lpstr>
      <vt:lpstr>v_85_SN2</vt:lpstr>
      <vt:lpstr>v_85_SNHx</vt:lpstr>
      <vt:lpstr>v_85_SNO2</vt:lpstr>
      <vt:lpstr>v_85_SNO3</vt:lpstr>
      <vt:lpstr>v_85_SO2</vt:lpstr>
      <vt:lpstr>v_85_SORPswitch</vt:lpstr>
      <vt:lpstr>v_85_SP_B</vt:lpstr>
      <vt:lpstr>v_85_SPFOA</vt:lpstr>
      <vt:lpstr>v_85_SPFOS</vt:lpstr>
      <vt:lpstr>v_85_SPO4</vt:lpstr>
      <vt:lpstr>v_85_SSO4</vt:lpstr>
      <vt:lpstr>v_85_SU</vt:lpstr>
      <vt:lpstr>v_85_SVFA</vt:lpstr>
      <vt:lpstr>v_85_XACP</vt:lpstr>
      <vt:lpstr>v_85_XALGAE</vt:lpstr>
      <vt:lpstr>v_85_XAMETO</vt:lpstr>
      <vt:lpstr>v_85_XAMX</vt:lpstr>
      <vt:lpstr>v_85_XAOB</vt:lpstr>
      <vt:lpstr>v_85_XASRO</vt:lpstr>
      <vt:lpstr>v_85_XB</vt:lpstr>
      <vt:lpstr>v_85_XB_e</vt:lpstr>
      <vt:lpstr>v_85_XBSH</vt:lpstr>
      <vt:lpstr>v_85_XCaCO3</vt:lpstr>
      <vt:lpstr>v_85_XCASTO</vt:lpstr>
      <vt:lpstr>v_85_XE</vt:lpstr>
      <vt:lpstr>v_85_XE_ana</vt:lpstr>
      <vt:lpstr>v_85_XFeS</vt:lpstr>
      <vt:lpstr>v_85_XHAO_H</vt:lpstr>
      <vt:lpstr>v_85_XHAO_H_P</vt:lpstr>
      <vt:lpstr>v_85_XHAO_H_P_old</vt:lpstr>
      <vt:lpstr>v_85_XHAO_L</vt:lpstr>
      <vt:lpstr>v_85_XHAO_L_P</vt:lpstr>
      <vt:lpstr>v_85_XHAO_L_P_old</vt:lpstr>
      <vt:lpstr>v_85_XHAO_old</vt:lpstr>
      <vt:lpstr>v_85_XHFO_H</vt:lpstr>
      <vt:lpstr>v_85_XHFO_H_P</vt:lpstr>
      <vt:lpstr>v_85_XHFO_H_P_old</vt:lpstr>
      <vt:lpstr>v_85_XHFO_L</vt:lpstr>
      <vt:lpstr>v_85_XHFO_L_P</vt:lpstr>
      <vt:lpstr>v_85_XHFO_L_P_old</vt:lpstr>
      <vt:lpstr>v_85_XHFO_old</vt:lpstr>
      <vt:lpstr>v_85_XHMETO</vt:lpstr>
      <vt:lpstr>v_85_XHSRO</vt:lpstr>
      <vt:lpstr>v_85_XINORG</vt:lpstr>
      <vt:lpstr>v_85_XMEOLO</vt:lpstr>
      <vt:lpstr>v_85_XN_B</vt:lpstr>
      <vt:lpstr>v_85_XN_Be</vt:lpstr>
      <vt:lpstr>v_85_XN_U</vt:lpstr>
      <vt:lpstr>v_85_XNOB</vt:lpstr>
      <vt:lpstr>v_85_XOHO</vt:lpstr>
      <vt:lpstr>v_85_XP_B</vt:lpstr>
      <vt:lpstr>v_85_XP_Be</vt:lpstr>
      <vt:lpstr>v_85_XP_U</vt:lpstr>
      <vt:lpstr>v_85_XPFOA</vt:lpstr>
      <vt:lpstr>v_85_XPFOS</vt:lpstr>
      <vt:lpstr>v_85_XPHA_GAO</vt:lpstr>
      <vt:lpstr>v_85_XPHA_PAO</vt:lpstr>
      <vt:lpstr>v_85_XPP</vt:lpstr>
      <vt:lpstr>v_85_XS</vt:lpstr>
      <vt:lpstr>v_85_XSOO</vt:lpstr>
      <vt:lpstr>v_85_XSTR</vt:lpstr>
      <vt:lpstr>v_85_XU</vt:lpstr>
      <vt:lpstr>v_85_XVivi</vt:lpstr>
      <vt:lpstr>v_86_CB</vt:lpstr>
      <vt:lpstr>v_86_CU</vt:lpstr>
      <vt:lpstr>v_86_GCH4</vt:lpstr>
      <vt:lpstr>v_86_GCH4_atm</vt:lpstr>
      <vt:lpstr>v_86_GCO2</vt:lpstr>
      <vt:lpstr>v_86_GCO2_atm</vt:lpstr>
      <vt:lpstr>v_86_GH2</vt:lpstr>
      <vt:lpstr>v_86_GH2_atm</vt:lpstr>
      <vt:lpstr>v_86_GH2S</vt:lpstr>
      <vt:lpstr>v_86_GH2S_atm</vt:lpstr>
      <vt:lpstr>v_86_GN2</vt:lpstr>
      <vt:lpstr>v_86_GN2_atm</vt:lpstr>
      <vt:lpstr>v_86_GNH3</vt:lpstr>
      <vt:lpstr>v_86_GNH3_atm</vt:lpstr>
      <vt:lpstr>v_86_GO2</vt:lpstr>
      <vt:lpstr>v_86_GO2_atm</vt:lpstr>
      <vt:lpstr>v_86_SALPHA</vt:lpstr>
      <vt:lpstr>v_86_SAN</vt:lpstr>
      <vt:lpstr>v_86_SB</vt:lpstr>
      <vt:lpstr>v_86_SCa</vt:lpstr>
      <vt:lpstr>v_86_SCAT</vt:lpstr>
      <vt:lpstr>v_86_SCH4</vt:lpstr>
      <vt:lpstr>v_86_SCO2</vt:lpstr>
      <vt:lpstr>v_86_SFe2</vt:lpstr>
      <vt:lpstr>v_86_SH</vt:lpstr>
      <vt:lpstr>v_86_SH2</vt:lpstr>
      <vt:lpstr>v_86_SH2S</vt:lpstr>
      <vt:lpstr>v_86_SK</vt:lpstr>
      <vt:lpstr>v_86_SMEOL</vt:lpstr>
      <vt:lpstr>v_86_SMg</vt:lpstr>
      <vt:lpstr>v_86_SMM_index</vt:lpstr>
      <vt:lpstr>v_86_SN_B</vt:lpstr>
      <vt:lpstr>v_86_SN2</vt:lpstr>
      <vt:lpstr>v_86_SNHx</vt:lpstr>
      <vt:lpstr>v_86_SNO2</vt:lpstr>
      <vt:lpstr>v_86_SNO3</vt:lpstr>
      <vt:lpstr>v_86_SO2</vt:lpstr>
      <vt:lpstr>v_86_SORPswitch</vt:lpstr>
      <vt:lpstr>v_86_SP_B</vt:lpstr>
      <vt:lpstr>v_86_SPFOA</vt:lpstr>
      <vt:lpstr>v_86_SPFOS</vt:lpstr>
      <vt:lpstr>v_86_SPO4</vt:lpstr>
      <vt:lpstr>v_86_SSO4</vt:lpstr>
      <vt:lpstr>v_86_SU</vt:lpstr>
      <vt:lpstr>v_86_SVFA</vt:lpstr>
      <vt:lpstr>v_86_XACP</vt:lpstr>
      <vt:lpstr>v_86_XALGAE</vt:lpstr>
      <vt:lpstr>v_86_XAMETO</vt:lpstr>
      <vt:lpstr>v_86_XAMX</vt:lpstr>
      <vt:lpstr>v_86_XAOB</vt:lpstr>
      <vt:lpstr>v_86_XASRO</vt:lpstr>
      <vt:lpstr>v_86_XB</vt:lpstr>
      <vt:lpstr>v_86_XB_e</vt:lpstr>
      <vt:lpstr>v_86_XBSH</vt:lpstr>
      <vt:lpstr>v_86_XCaCO3</vt:lpstr>
      <vt:lpstr>v_86_XCASTO</vt:lpstr>
      <vt:lpstr>v_86_XE</vt:lpstr>
      <vt:lpstr>v_86_XE_ana</vt:lpstr>
      <vt:lpstr>v_86_XFeS</vt:lpstr>
      <vt:lpstr>v_86_XHAO_H</vt:lpstr>
      <vt:lpstr>v_86_XHAO_H_P</vt:lpstr>
      <vt:lpstr>v_86_XHAO_H_P_old</vt:lpstr>
      <vt:lpstr>v_86_XHAO_L</vt:lpstr>
      <vt:lpstr>v_86_XHAO_L_P</vt:lpstr>
      <vt:lpstr>v_86_XHAO_L_P_old</vt:lpstr>
      <vt:lpstr>v_86_XHAO_old</vt:lpstr>
      <vt:lpstr>v_86_XHFO_H</vt:lpstr>
      <vt:lpstr>v_86_XHFO_H_P</vt:lpstr>
      <vt:lpstr>v_86_XHFO_H_P_old</vt:lpstr>
      <vt:lpstr>v_86_XHFO_L</vt:lpstr>
      <vt:lpstr>v_86_XHFO_L_P</vt:lpstr>
      <vt:lpstr>v_86_XHFO_L_P_old</vt:lpstr>
      <vt:lpstr>v_86_XHFO_old</vt:lpstr>
      <vt:lpstr>v_86_XHMETO</vt:lpstr>
      <vt:lpstr>v_86_XHSRO</vt:lpstr>
      <vt:lpstr>v_86_XINORG</vt:lpstr>
      <vt:lpstr>v_86_XMEOLO</vt:lpstr>
      <vt:lpstr>v_86_XN_B</vt:lpstr>
      <vt:lpstr>v_86_XN_Be</vt:lpstr>
      <vt:lpstr>v_86_XN_U</vt:lpstr>
      <vt:lpstr>v_86_XNOB</vt:lpstr>
      <vt:lpstr>v_86_XOHO</vt:lpstr>
      <vt:lpstr>v_86_XP_B</vt:lpstr>
      <vt:lpstr>v_86_XP_Be</vt:lpstr>
      <vt:lpstr>v_86_XP_U</vt:lpstr>
      <vt:lpstr>v_86_XPFOA</vt:lpstr>
      <vt:lpstr>v_86_XPFOS</vt:lpstr>
      <vt:lpstr>v_86_XPHA_GAO</vt:lpstr>
      <vt:lpstr>v_86_XPHA_PAO</vt:lpstr>
      <vt:lpstr>v_86_XPP</vt:lpstr>
      <vt:lpstr>v_86_XS</vt:lpstr>
      <vt:lpstr>v_86_XSOO</vt:lpstr>
      <vt:lpstr>v_86_XSTR</vt:lpstr>
      <vt:lpstr>v_86_XU</vt:lpstr>
      <vt:lpstr>v_86_XVivi</vt:lpstr>
      <vt:lpstr>v_87_CB</vt:lpstr>
      <vt:lpstr>v_87_CU</vt:lpstr>
      <vt:lpstr>v_87_GCH4</vt:lpstr>
      <vt:lpstr>v_87_GCH4_atm</vt:lpstr>
      <vt:lpstr>v_87_GCO2</vt:lpstr>
      <vt:lpstr>v_87_GCO2_atm</vt:lpstr>
      <vt:lpstr>v_87_GH2</vt:lpstr>
      <vt:lpstr>v_87_GH2_atm</vt:lpstr>
      <vt:lpstr>v_87_GH2S</vt:lpstr>
      <vt:lpstr>v_87_GH2S_atm</vt:lpstr>
      <vt:lpstr>v_87_GN2</vt:lpstr>
      <vt:lpstr>v_87_GN2_atm</vt:lpstr>
      <vt:lpstr>v_87_GNH3</vt:lpstr>
      <vt:lpstr>v_87_GNH3_atm</vt:lpstr>
      <vt:lpstr>v_87_GO2</vt:lpstr>
      <vt:lpstr>v_87_GO2_atm</vt:lpstr>
      <vt:lpstr>v_87_SALPHA</vt:lpstr>
      <vt:lpstr>v_87_SAN</vt:lpstr>
      <vt:lpstr>v_87_SB</vt:lpstr>
      <vt:lpstr>v_87_SCa</vt:lpstr>
      <vt:lpstr>v_87_SCAT</vt:lpstr>
      <vt:lpstr>v_87_SCH4</vt:lpstr>
      <vt:lpstr>v_87_SCO2</vt:lpstr>
      <vt:lpstr>v_87_SFe2</vt:lpstr>
      <vt:lpstr>v_87_SH</vt:lpstr>
      <vt:lpstr>v_87_SH2</vt:lpstr>
      <vt:lpstr>v_87_SH2S</vt:lpstr>
      <vt:lpstr>v_87_SK</vt:lpstr>
      <vt:lpstr>v_87_SMEOL</vt:lpstr>
      <vt:lpstr>v_87_SMg</vt:lpstr>
      <vt:lpstr>v_87_SMM_index</vt:lpstr>
      <vt:lpstr>v_87_SN_B</vt:lpstr>
      <vt:lpstr>v_87_SN2</vt:lpstr>
      <vt:lpstr>v_87_SNHx</vt:lpstr>
      <vt:lpstr>v_87_SNO2</vt:lpstr>
      <vt:lpstr>v_87_SNO3</vt:lpstr>
      <vt:lpstr>v_87_SO2</vt:lpstr>
      <vt:lpstr>v_87_SORPswitch</vt:lpstr>
      <vt:lpstr>v_87_SP_B</vt:lpstr>
      <vt:lpstr>v_87_SPFOA</vt:lpstr>
      <vt:lpstr>v_87_SPFOS</vt:lpstr>
      <vt:lpstr>v_87_SPO4</vt:lpstr>
      <vt:lpstr>v_87_SSO4</vt:lpstr>
      <vt:lpstr>v_87_SU</vt:lpstr>
      <vt:lpstr>v_87_SVFA</vt:lpstr>
      <vt:lpstr>v_87_XACP</vt:lpstr>
      <vt:lpstr>v_87_XALGAE</vt:lpstr>
      <vt:lpstr>v_87_XAMETO</vt:lpstr>
      <vt:lpstr>v_87_XAMX</vt:lpstr>
      <vt:lpstr>v_87_XAOB</vt:lpstr>
      <vt:lpstr>v_87_XASRO</vt:lpstr>
      <vt:lpstr>v_87_XB</vt:lpstr>
      <vt:lpstr>v_87_XB_e</vt:lpstr>
      <vt:lpstr>v_87_XBSH</vt:lpstr>
      <vt:lpstr>v_87_XCaCO3</vt:lpstr>
      <vt:lpstr>v_87_XCASTO</vt:lpstr>
      <vt:lpstr>v_87_XE</vt:lpstr>
      <vt:lpstr>v_87_XE_ana</vt:lpstr>
      <vt:lpstr>v_87_XFeS</vt:lpstr>
      <vt:lpstr>v_87_XHAO_H</vt:lpstr>
      <vt:lpstr>v_87_XHAO_H_P</vt:lpstr>
      <vt:lpstr>v_87_XHAO_H_P_old</vt:lpstr>
      <vt:lpstr>v_87_XHAO_L</vt:lpstr>
      <vt:lpstr>v_87_XHAO_L_P</vt:lpstr>
      <vt:lpstr>v_87_XHAO_L_P_old</vt:lpstr>
      <vt:lpstr>v_87_XHAO_old</vt:lpstr>
      <vt:lpstr>v_87_XHFO_H</vt:lpstr>
      <vt:lpstr>v_87_XHFO_H_P</vt:lpstr>
      <vt:lpstr>v_87_XHFO_H_P_old</vt:lpstr>
      <vt:lpstr>v_87_XHFO_L</vt:lpstr>
      <vt:lpstr>v_87_XHFO_L_P</vt:lpstr>
      <vt:lpstr>v_87_XHFO_L_P_old</vt:lpstr>
      <vt:lpstr>v_87_XHFO_old</vt:lpstr>
      <vt:lpstr>v_87_XHMETO</vt:lpstr>
      <vt:lpstr>v_87_XHSRO</vt:lpstr>
      <vt:lpstr>v_87_XINORG</vt:lpstr>
      <vt:lpstr>v_87_XMEOLO</vt:lpstr>
      <vt:lpstr>v_87_XN_B</vt:lpstr>
      <vt:lpstr>v_87_XN_Be</vt:lpstr>
      <vt:lpstr>v_87_XN_U</vt:lpstr>
      <vt:lpstr>v_87_XNOB</vt:lpstr>
      <vt:lpstr>v_87_XOHO</vt:lpstr>
      <vt:lpstr>v_87_XP_B</vt:lpstr>
      <vt:lpstr>v_87_XP_Be</vt:lpstr>
      <vt:lpstr>v_87_XP_U</vt:lpstr>
      <vt:lpstr>v_87_XPFOA</vt:lpstr>
      <vt:lpstr>v_87_XPFOS</vt:lpstr>
      <vt:lpstr>v_87_XPHA_GAO</vt:lpstr>
      <vt:lpstr>v_87_XPHA_PAO</vt:lpstr>
      <vt:lpstr>v_87_XPP</vt:lpstr>
      <vt:lpstr>v_87_XS</vt:lpstr>
      <vt:lpstr>v_87_XSOO</vt:lpstr>
      <vt:lpstr>v_87_XSTR</vt:lpstr>
      <vt:lpstr>v_87_XU</vt:lpstr>
      <vt:lpstr>v_87_XVivi</vt:lpstr>
      <vt:lpstr>v_88_CB</vt:lpstr>
      <vt:lpstr>v_88_CU</vt:lpstr>
      <vt:lpstr>v_88_GCH4</vt:lpstr>
      <vt:lpstr>v_88_GCH4_atm</vt:lpstr>
      <vt:lpstr>v_88_GCO2</vt:lpstr>
      <vt:lpstr>v_88_GCO2_atm</vt:lpstr>
      <vt:lpstr>v_88_GH2</vt:lpstr>
      <vt:lpstr>v_88_GH2_atm</vt:lpstr>
      <vt:lpstr>v_88_GH2S</vt:lpstr>
      <vt:lpstr>v_88_GH2S_atm</vt:lpstr>
      <vt:lpstr>v_88_GN2</vt:lpstr>
      <vt:lpstr>v_88_GN2_atm</vt:lpstr>
      <vt:lpstr>v_88_GNH3</vt:lpstr>
      <vt:lpstr>v_88_GNH3_atm</vt:lpstr>
      <vt:lpstr>v_88_GO2</vt:lpstr>
      <vt:lpstr>v_88_GO2_atm</vt:lpstr>
      <vt:lpstr>v_88_SALPHA</vt:lpstr>
      <vt:lpstr>v_88_SAN</vt:lpstr>
      <vt:lpstr>v_88_SB</vt:lpstr>
      <vt:lpstr>v_88_SCa</vt:lpstr>
      <vt:lpstr>v_88_SCAT</vt:lpstr>
      <vt:lpstr>v_88_SCH4</vt:lpstr>
      <vt:lpstr>v_88_SCO2</vt:lpstr>
      <vt:lpstr>v_88_SFe2</vt:lpstr>
      <vt:lpstr>v_88_SH</vt:lpstr>
      <vt:lpstr>v_88_SH2</vt:lpstr>
      <vt:lpstr>v_88_SH2S</vt:lpstr>
      <vt:lpstr>v_88_SK</vt:lpstr>
      <vt:lpstr>v_88_SMEOL</vt:lpstr>
      <vt:lpstr>v_88_SMg</vt:lpstr>
      <vt:lpstr>v_88_SMM_index</vt:lpstr>
      <vt:lpstr>v_88_SN_B</vt:lpstr>
      <vt:lpstr>v_88_SN2</vt:lpstr>
      <vt:lpstr>v_88_SNHx</vt:lpstr>
      <vt:lpstr>v_88_SNO2</vt:lpstr>
      <vt:lpstr>v_88_SNO3</vt:lpstr>
      <vt:lpstr>v_88_SO2</vt:lpstr>
      <vt:lpstr>v_88_SORPswitch</vt:lpstr>
      <vt:lpstr>v_88_SP_B</vt:lpstr>
      <vt:lpstr>v_88_SPFOA</vt:lpstr>
      <vt:lpstr>v_88_SPFOS</vt:lpstr>
      <vt:lpstr>v_88_SPO4</vt:lpstr>
      <vt:lpstr>v_88_SSO4</vt:lpstr>
      <vt:lpstr>v_88_SU</vt:lpstr>
      <vt:lpstr>v_88_SVFA</vt:lpstr>
      <vt:lpstr>v_88_XACP</vt:lpstr>
      <vt:lpstr>v_88_XALGAE</vt:lpstr>
      <vt:lpstr>v_88_XAMETO</vt:lpstr>
      <vt:lpstr>v_88_XAMX</vt:lpstr>
      <vt:lpstr>v_88_XAOB</vt:lpstr>
      <vt:lpstr>v_88_XASRO</vt:lpstr>
      <vt:lpstr>v_88_XB</vt:lpstr>
      <vt:lpstr>v_88_XB_e</vt:lpstr>
      <vt:lpstr>v_88_XBSH</vt:lpstr>
      <vt:lpstr>v_88_XCaCO3</vt:lpstr>
      <vt:lpstr>v_88_XCASTO</vt:lpstr>
      <vt:lpstr>v_88_XE</vt:lpstr>
      <vt:lpstr>v_88_XE_ana</vt:lpstr>
      <vt:lpstr>v_88_XFeS</vt:lpstr>
      <vt:lpstr>v_88_XHAO_H</vt:lpstr>
      <vt:lpstr>v_88_XHAO_H_P</vt:lpstr>
      <vt:lpstr>v_88_XHAO_H_P_old</vt:lpstr>
      <vt:lpstr>v_88_XHAO_L</vt:lpstr>
      <vt:lpstr>v_88_XHAO_L_P</vt:lpstr>
      <vt:lpstr>v_88_XHAO_L_P_old</vt:lpstr>
      <vt:lpstr>v_88_XHAO_old</vt:lpstr>
      <vt:lpstr>v_88_XHFO_H</vt:lpstr>
      <vt:lpstr>v_88_XHFO_H_P</vt:lpstr>
      <vt:lpstr>v_88_XHFO_H_P_old</vt:lpstr>
      <vt:lpstr>v_88_XHFO_L</vt:lpstr>
      <vt:lpstr>v_88_XHFO_L_P</vt:lpstr>
      <vt:lpstr>v_88_XHFO_L_P_old</vt:lpstr>
      <vt:lpstr>v_88_XHFO_old</vt:lpstr>
      <vt:lpstr>v_88_XHMETO</vt:lpstr>
      <vt:lpstr>v_88_XHSRO</vt:lpstr>
      <vt:lpstr>v_88_XINORG</vt:lpstr>
      <vt:lpstr>v_88_XMEOLO</vt:lpstr>
      <vt:lpstr>v_88_XN_B</vt:lpstr>
      <vt:lpstr>v_88_XN_Be</vt:lpstr>
      <vt:lpstr>v_88_XN_U</vt:lpstr>
      <vt:lpstr>v_88_XNOB</vt:lpstr>
      <vt:lpstr>v_88_XOHO</vt:lpstr>
      <vt:lpstr>v_88_XP_B</vt:lpstr>
      <vt:lpstr>v_88_XP_Be</vt:lpstr>
      <vt:lpstr>v_88_XP_U</vt:lpstr>
      <vt:lpstr>v_88_XPFOA</vt:lpstr>
      <vt:lpstr>v_88_XPFOS</vt:lpstr>
      <vt:lpstr>v_88_XPHA_GAO</vt:lpstr>
      <vt:lpstr>v_88_XPHA_PAO</vt:lpstr>
      <vt:lpstr>v_88_XPP</vt:lpstr>
      <vt:lpstr>v_88_XS</vt:lpstr>
      <vt:lpstr>v_88_XSOO</vt:lpstr>
      <vt:lpstr>v_88_XSTR</vt:lpstr>
      <vt:lpstr>v_88_XU</vt:lpstr>
      <vt:lpstr>v_88_XVivi</vt:lpstr>
      <vt:lpstr>v_89_CB</vt:lpstr>
      <vt:lpstr>v_89_CU</vt:lpstr>
      <vt:lpstr>v_89_GCH4</vt:lpstr>
      <vt:lpstr>v_89_GCH4_atm</vt:lpstr>
      <vt:lpstr>v_89_GCO2</vt:lpstr>
      <vt:lpstr>v_89_GCO2_atm</vt:lpstr>
      <vt:lpstr>v_89_GH2</vt:lpstr>
      <vt:lpstr>v_89_GH2_atm</vt:lpstr>
      <vt:lpstr>v_89_GH2S</vt:lpstr>
      <vt:lpstr>v_89_GH2S_atm</vt:lpstr>
      <vt:lpstr>v_89_GN2</vt:lpstr>
      <vt:lpstr>v_89_GN2_atm</vt:lpstr>
      <vt:lpstr>v_89_GNH3</vt:lpstr>
      <vt:lpstr>v_89_GNH3_atm</vt:lpstr>
      <vt:lpstr>v_89_GO2</vt:lpstr>
      <vt:lpstr>v_89_GO2_atm</vt:lpstr>
      <vt:lpstr>v_89_SALPHA</vt:lpstr>
      <vt:lpstr>v_89_SAN</vt:lpstr>
      <vt:lpstr>v_89_SB</vt:lpstr>
      <vt:lpstr>v_89_SCa</vt:lpstr>
      <vt:lpstr>v_89_SCAT</vt:lpstr>
      <vt:lpstr>v_89_SCH4</vt:lpstr>
      <vt:lpstr>v_89_SCO2</vt:lpstr>
      <vt:lpstr>v_89_SFe2</vt:lpstr>
      <vt:lpstr>v_89_SH</vt:lpstr>
      <vt:lpstr>v_89_SH2</vt:lpstr>
      <vt:lpstr>v_89_SH2S</vt:lpstr>
      <vt:lpstr>v_89_SK</vt:lpstr>
      <vt:lpstr>v_89_SMEOL</vt:lpstr>
      <vt:lpstr>v_89_SMg</vt:lpstr>
      <vt:lpstr>v_89_SMM_index</vt:lpstr>
      <vt:lpstr>v_89_SN_B</vt:lpstr>
      <vt:lpstr>v_89_SN2</vt:lpstr>
      <vt:lpstr>v_89_SNHx</vt:lpstr>
      <vt:lpstr>v_89_SNO2</vt:lpstr>
      <vt:lpstr>v_89_SNO3</vt:lpstr>
      <vt:lpstr>v_89_SO2</vt:lpstr>
      <vt:lpstr>v_89_SORPswitch</vt:lpstr>
      <vt:lpstr>v_89_SP_B</vt:lpstr>
      <vt:lpstr>v_89_SPFOA</vt:lpstr>
      <vt:lpstr>v_89_SPFOS</vt:lpstr>
      <vt:lpstr>v_89_SPO4</vt:lpstr>
      <vt:lpstr>v_89_SSO4</vt:lpstr>
      <vt:lpstr>v_89_SU</vt:lpstr>
      <vt:lpstr>v_89_SVFA</vt:lpstr>
      <vt:lpstr>v_89_XACP</vt:lpstr>
      <vt:lpstr>v_89_XALGAE</vt:lpstr>
      <vt:lpstr>v_89_XAMETO</vt:lpstr>
      <vt:lpstr>v_89_XAMX</vt:lpstr>
      <vt:lpstr>v_89_XAOB</vt:lpstr>
      <vt:lpstr>v_89_XASRO</vt:lpstr>
      <vt:lpstr>v_89_XB</vt:lpstr>
      <vt:lpstr>v_89_XB_e</vt:lpstr>
      <vt:lpstr>v_89_XBSH</vt:lpstr>
      <vt:lpstr>v_89_XCaCO3</vt:lpstr>
      <vt:lpstr>v_89_XCASTO</vt:lpstr>
      <vt:lpstr>v_89_XE</vt:lpstr>
      <vt:lpstr>v_89_XE_ana</vt:lpstr>
      <vt:lpstr>v_89_XFeS</vt:lpstr>
      <vt:lpstr>v_89_XHAO_H</vt:lpstr>
      <vt:lpstr>v_89_XHAO_H_P</vt:lpstr>
      <vt:lpstr>v_89_XHAO_H_P_old</vt:lpstr>
      <vt:lpstr>v_89_XHAO_L</vt:lpstr>
      <vt:lpstr>v_89_XHAO_L_P</vt:lpstr>
      <vt:lpstr>v_89_XHAO_L_P_old</vt:lpstr>
      <vt:lpstr>v_89_XHAO_old</vt:lpstr>
      <vt:lpstr>v_89_XHFO_H</vt:lpstr>
      <vt:lpstr>v_89_XHFO_H_P</vt:lpstr>
      <vt:lpstr>v_89_XHFO_H_P_old</vt:lpstr>
      <vt:lpstr>v_89_XHFO_L</vt:lpstr>
      <vt:lpstr>v_89_XHFO_L_P</vt:lpstr>
      <vt:lpstr>v_89_XHFO_L_P_old</vt:lpstr>
      <vt:lpstr>v_89_XHFO_old</vt:lpstr>
      <vt:lpstr>v_89_XHMETO</vt:lpstr>
      <vt:lpstr>v_89_XHSRO</vt:lpstr>
      <vt:lpstr>v_89_XINORG</vt:lpstr>
      <vt:lpstr>v_89_XMEOLO</vt:lpstr>
      <vt:lpstr>v_89_XN_B</vt:lpstr>
      <vt:lpstr>v_89_XN_Be</vt:lpstr>
      <vt:lpstr>v_89_XN_U</vt:lpstr>
      <vt:lpstr>v_89_XNOB</vt:lpstr>
      <vt:lpstr>v_89_XOHO</vt:lpstr>
      <vt:lpstr>v_89_XP_B</vt:lpstr>
      <vt:lpstr>v_89_XP_Be</vt:lpstr>
      <vt:lpstr>v_89_XP_U</vt:lpstr>
      <vt:lpstr>v_89_XPFOA</vt:lpstr>
      <vt:lpstr>v_89_XPFOS</vt:lpstr>
      <vt:lpstr>v_89_XPHA_GAO</vt:lpstr>
      <vt:lpstr>v_89_XPHA_PAO</vt:lpstr>
      <vt:lpstr>v_89_XPP</vt:lpstr>
      <vt:lpstr>v_89_XS</vt:lpstr>
      <vt:lpstr>v_89_XSOO</vt:lpstr>
      <vt:lpstr>v_89_XSTR</vt:lpstr>
      <vt:lpstr>v_89_XU</vt:lpstr>
      <vt:lpstr>v_89_XVivi</vt:lpstr>
      <vt:lpstr>v_9_CB</vt:lpstr>
      <vt:lpstr>v_9_CU</vt:lpstr>
      <vt:lpstr>v_9_GCH4</vt:lpstr>
      <vt:lpstr>v_9_GCH4_atm</vt:lpstr>
      <vt:lpstr>v_9_GCO2</vt:lpstr>
      <vt:lpstr>v_9_GCO2_atm</vt:lpstr>
      <vt:lpstr>v_9_GH2</vt:lpstr>
      <vt:lpstr>v_9_GH2_atm</vt:lpstr>
      <vt:lpstr>v_9_GH2S</vt:lpstr>
      <vt:lpstr>v_9_GH2S_atm</vt:lpstr>
      <vt:lpstr>v_9_GN2</vt:lpstr>
      <vt:lpstr>v_9_GN2_atm</vt:lpstr>
      <vt:lpstr>v_9_GNH3</vt:lpstr>
      <vt:lpstr>v_9_GNH3_atm</vt:lpstr>
      <vt:lpstr>v_9_GO2</vt:lpstr>
      <vt:lpstr>v_9_GO2_atm</vt:lpstr>
      <vt:lpstr>v_9_SALPHA</vt:lpstr>
      <vt:lpstr>v_9_SAN</vt:lpstr>
      <vt:lpstr>v_9_SB</vt:lpstr>
      <vt:lpstr>v_9_SCa</vt:lpstr>
      <vt:lpstr>v_9_SCAT</vt:lpstr>
      <vt:lpstr>v_9_SCH4</vt:lpstr>
      <vt:lpstr>v_9_SCO2</vt:lpstr>
      <vt:lpstr>v_9_SFe2</vt:lpstr>
      <vt:lpstr>v_9_SH</vt:lpstr>
      <vt:lpstr>v_9_SH2</vt:lpstr>
      <vt:lpstr>v_9_SH2S</vt:lpstr>
      <vt:lpstr>v_9_SK</vt:lpstr>
      <vt:lpstr>v_9_SMEOL</vt:lpstr>
      <vt:lpstr>v_9_SMg</vt:lpstr>
      <vt:lpstr>v_9_SMM_index</vt:lpstr>
      <vt:lpstr>v_9_SN_B</vt:lpstr>
      <vt:lpstr>v_9_SN2</vt:lpstr>
      <vt:lpstr>v_9_SNHx</vt:lpstr>
      <vt:lpstr>v_9_SNO2</vt:lpstr>
      <vt:lpstr>v_9_SNO3</vt:lpstr>
      <vt:lpstr>v_9_SO2</vt:lpstr>
      <vt:lpstr>v_9_SORPswitch</vt:lpstr>
      <vt:lpstr>v_9_SP_B</vt:lpstr>
      <vt:lpstr>v_9_SPFOA</vt:lpstr>
      <vt:lpstr>v_9_SPFOS</vt:lpstr>
      <vt:lpstr>v_9_SPO4</vt:lpstr>
      <vt:lpstr>v_9_SSO4</vt:lpstr>
      <vt:lpstr>v_9_SU</vt:lpstr>
      <vt:lpstr>v_9_SVFA</vt:lpstr>
      <vt:lpstr>v_9_XACP</vt:lpstr>
      <vt:lpstr>v_9_XALGAE</vt:lpstr>
      <vt:lpstr>v_9_XAMETO</vt:lpstr>
      <vt:lpstr>v_9_XAMX</vt:lpstr>
      <vt:lpstr>v_9_XAOB</vt:lpstr>
      <vt:lpstr>v_9_XASRO</vt:lpstr>
      <vt:lpstr>v_9_XB</vt:lpstr>
      <vt:lpstr>v_9_XB_e</vt:lpstr>
      <vt:lpstr>v_9_XBSH</vt:lpstr>
      <vt:lpstr>v_9_XCaCO3</vt:lpstr>
      <vt:lpstr>v_9_XCASTO</vt:lpstr>
      <vt:lpstr>v_9_XE</vt:lpstr>
      <vt:lpstr>v_9_XE_ana</vt:lpstr>
      <vt:lpstr>v_9_XFeS</vt:lpstr>
      <vt:lpstr>v_9_XHAO_H</vt:lpstr>
      <vt:lpstr>v_9_XHAO_H_P</vt:lpstr>
      <vt:lpstr>v_9_XHAO_H_P_old</vt:lpstr>
      <vt:lpstr>v_9_XHAO_L</vt:lpstr>
      <vt:lpstr>v_9_XHAO_L_P</vt:lpstr>
      <vt:lpstr>v_9_XHAO_L_P_old</vt:lpstr>
      <vt:lpstr>v_9_XHAO_old</vt:lpstr>
      <vt:lpstr>v_9_XHFO_H</vt:lpstr>
      <vt:lpstr>v_9_XHFO_H_P</vt:lpstr>
      <vt:lpstr>v_9_XHFO_H_P_old</vt:lpstr>
      <vt:lpstr>v_9_XHFO_L</vt:lpstr>
      <vt:lpstr>v_9_XHFO_L_P</vt:lpstr>
      <vt:lpstr>v_9_XHFO_L_P_old</vt:lpstr>
      <vt:lpstr>v_9_XHFO_old</vt:lpstr>
      <vt:lpstr>v_9_XHMETO</vt:lpstr>
      <vt:lpstr>v_9_XHSRO</vt:lpstr>
      <vt:lpstr>v_9_XINORG</vt:lpstr>
      <vt:lpstr>v_9_XMEOLO</vt:lpstr>
      <vt:lpstr>v_9_XN_B</vt:lpstr>
      <vt:lpstr>v_9_XN_Be</vt:lpstr>
      <vt:lpstr>v_9_XN_U</vt:lpstr>
      <vt:lpstr>v_9_XNOB</vt:lpstr>
      <vt:lpstr>v_9_XOHO</vt:lpstr>
      <vt:lpstr>v_9_XP_B</vt:lpstr>
      <vt:lpstr>v_9_XP_Be</vt:lpstr>
      <vt:lpstr>v_9_XP_U</vt:lpstr>
      <vt:lpstr>v_9_XPFOA</vt:lpstr>
      <vt:lpstr>v_9_XPFOS</vt:lpstr>
      <vt:lpstr>v_9_XPHA_GAO</vt:lpstr>
      <vt:lpstr>v_9_XPHA_PAO</vt:lpstr>
      <vt:lpstr>v_9_XPP</vt:lpstr>
      <vt:lpstr>v_9_XS</vt:lpstr>
      <vt:lpstr>v_9_XSOO</vt:lpstr>
      <vt:lpstr>v_9_XSTR</vt:lpstr>
      <vt:lpstr>v_9_XU</vt:lpstr>
      <vt:lpstr>v_9_XVivi</vt:lpstr>
      <vt:lpstr>v_90_CB</vt:lpstr>
      <vt:lpstr>v_90_CU</vt:lpstr>
      <vt:lpstr>v_90_GCH4</vt:lpstr>
      <vt:lpstr>v_90_GCH4_atm</vt:lpstr>
      <vt:lpstr>v_90_GCO2</vt:lpstr>
      <vt:lpstr>v_90_GCO2_atm</vt:lpstr>
      <vt:lpstr>v_90_GH2</vt:lpstr>
      <vt:lpstr>v_90_GH2_atm</vt:lpstr>
      <vt:lpstr>v_90_GH2S</vt:lpstr>
      <vt:lpstr>v_90_GH2S_atm</vt:lpstr>
      <vt:lpstr>v_90_GN2</vt:lpstr>
      <vt:lpstr>v_90_GN2_atm</vt:lpstr>
      <vt:lpstr>v_90_GNH3</vt:lpstr>
      <vt:lpstr>v_90_GNH3_atm</vt:lpstr>
      <vt:lpstr>v_90_GO2</vt:lpstr>
      <vt:lpstr>v_90_GO2_atm</vt:lpstr>
      <vt:lpstr>v_90_SALPHA</vt:lpstr>
      <vt:lpstr>v_90_SAN</vt:lpstr>
      <vt:lpstr>v_90_SB</vt:lpstr>
      <vt:lpstr>v_90_SCa</vt:lpstr>
      <vt:lpstr>v_90_SCAT</vt:lpstr>
      <vt:lpstr>v_90_SCH4</vt:lpstr>
      <vt:lpstr>v_90_SCO2</vt:lpstr>
      <vt:lpstr>v_90_SFe2</vt:lpstr>
      <vt:lpstr>v_90_SH</vt:lpstr>
      <vt:lpstr>v_90_SH2</vt:lpstr>
      <vt:lpstr>v_90_SH2S</vt:lpstr>
      <vt:lpstr>v_90_SK</vt:lpstr>
      <vt:lpstr>v_90_SMEOL</vt:lpstr>
      <vt:lpstr>v_90_SMg</vt:lpstr>
      <vt:lpstr>v_90_SMM_index</vt:lpstr>
      <vt:lpstr>v_90_SN_B</vt:lpstr>
      <vt:lpstr>v_90_SN2</vt:lpstr>
      <vt:lpstr>v_90_SNHx</vt:lpstr>
      <vt:lpstr>v_90_SNO2</vt:lpstr>
      <vt:lpstr>v_90_SNO3</vt:lpstr>
      <vt:lpstr>v_90_SO2</vt:lpstr>
      <vt:lpstr>v_90_SORPswitch</vt:lpstr>
      <vt:lpstr>v_90_SP_B</vt:lpstr>
      <vt:lpstr>v_90_SPFOA</vt:lpstr>
      <vt:lpstr>v_90_SPFOS</vt:lpstr>
      <vt:lpstr>v_90_SPO4</vt:lpstr>
      <vt:lpstr>v_90_SSO4</vt:lpstr>
      <vt:lpstr>v_90_SU</vt:lpstr>
      <vt:lpstr>v_90_SVFA</vt:lpstr>
      <vt:lpstr>v_90_XACP</vt:lpstr>
      <vt:lpstr>v_90_XALGAE</vt:lpstr>
      <vt:lpstr>v_90_XAMETO</vt:lpstr>
      <vt:lpstr>v_90_XAMX</vt:lpstr>
      <vt:lpstr>v_90_XAOB</vt:lpstr>
      <vt:lpstr>v_90_XASRO</vt:lpstr>
      <vt:lpstr>v_90_XB</vt:lpstr>
      <vt:lpstr>v_90_XB_e</vt:lpstr>
      <vt:lpstr>v_90_XBSH</vt:lpstr>
      <vt:lpstr>v_90_XCaCO3</vt:lpstr>
      <vt:lpstr>v_90_XCASTO</vt:lpstr>
      <vt:lpstr>v_90_XE</vt:lpstr>
      <vt:lpstr>v_90_XE_ana</vt:lpstr>
      <vt:lpstr>v_90_XFeS</vt:lpstr>
      <vt:lpstr>v_90_XHAO_H</vt:lpstr>
      <vt:lpstr>v_90_XHAO_H_P</vt:lpstr>
      <vt:lpstr>v_90_XHAO_H_P_old</vt:lpstr>
      <vt:lpstr>v_90_XHAO_L</vt:lpstr>
      <vt:lpstr>v_90_XHAO_L_P</vt:lpstr>
      <vt:lpstr>v_90_XHAO_L_P_old</vt:lpstr>
      <vt:lpstr>v_90_XHAO_old</vt:lpstr>
      <vt:lpstr>v_90_XHFO_H</vt:lpstr>
      <vt:lpstr>v_90_XHFO_H_P</vt:lpstr>
      <vt:lpstr>v_90_XHFO_H_P_old</vt:lpstr>
      <vt:lpstr>v_90_XHFO_L</vt:lpstr>
      <vt:lpstr>v_90_XHFO_L_P</vt:lpstr>
      <vt:lpstr>v_90_XHFO_L_P_old</vt:lpstr>
      <vt:lpstr>v_90_XHFO_old</vt:lpstr>
      <vt:lpstr>v_90_XHMETO</vt:lpstr>
      <vt:lpstr>v_90_XHSRO</vt:lpstr>
      <vt:lpstr>v_90_XINORG</vt:lpstr>
      <vt:lpstr>v_90_XMEOLO</vt:lpstr>
      <vt:lpstr>v_90_XN_B</vt:lpstr>
      <vt:lpstr>v_90_XN_Be</vt:lpstr>
      <vt:lpstr>v_90_XN_U</vt:lpstr>
      <vt:lpstr>v_90_XNOB</vt:lpstr>
      <vt:lpstr>v_90_XOHO</vt:lpstr>
      <vt:lpstr>v_90_XP_B</vt:lpstr>
      <vt:lpstr>v_90_XP_Be</vt:lpstr>
      <vt:lpstr>v_90_XP_U</vt:lpstr>
      <vt:lpstr>v_90_XPFOA</vt:lpstr>
      <vt:lpstr>v_90_XPFOS</vt:lpstr>
      <vt:lpstr>v_90_XPHA_GAO</vt:lpstr>
      <vt:lpstr>v_90_XPHA_PAO</vt:lpstr>
      <vt:lpstr>v_90_XPP</vt:lpstr>
      <vt:lpstr>v_90_XS</vt:lpstr>
      <vt:lpstr>v_90_XSOO</vt:lpstr>
      <vt:lpstr>v_90_XSTR</vt:lpstr>
      <vt:lpstr>v_90_XU</vt:lpstr>
      <vt:lpstr>v_90_XVivi</vt:lpstr>
      <vt:lpstr>v_91_CB</vt:lpstr>
      <vt:lpstr>v_91_CU</vt:lpstr>
      <vt:lpstr>v_91_GCH4</vt:lpstr>
      <vt:lpstr>v_91_GCH4_atm</vt:lpstr>
      <vt:lpstr>v_91_GCO2</vt:lpstr>
      <vt:lpstr>v_91_GCO2_atm</vt:lpstr>
      <vt:lpstr>v_91_GH2</vt:lpstr>
      <vt:lpstr>v_91_GH2_atm</vt:lpstr>
      <vt:lpstr>v_91_GH2S</vt:lpstr>
      <vt:lpstr>v_91_GH2S_atm</vt:lpstr>
      <vt:lpstr>v_91_GN2</vt:lpstr>
      <vt:lpstr>v_91_GN2_atm</vt:lpstr>
      <vt:lpstr>v_91_GNH3</vt:lpstr>
      <vt:lpstr>v_91_GNH3_atm</vt:lpstr>
      <vt:lpstr>v_91_GO2</vt:lpstr>
      <vt:lpstr>v_91_GO2_atm</vt:lpstr>
      <vt:lpstr>v_91_SALPHA</vt:lpstr>
      <vt:lpstr>v_91_SAN</vt:lpstr>
      <vt:lpstr>v_91_SB</vt:lpstr>
      <vt:lpstr>v_91_SCa</vt:lpstr>
      <vt:lpstr>v_91_SCAT</vt:lpstr>
      <vt:lpstr>v_91_SCH4</vt:lpstr>
      <vt:lpstr>v_91_SCO2</vt:lpstr>
      <vt:lpstr>v_91_SFe2</vt:lpstr>
      <vt:lpstr>v_91_SH</vt:lpstr>
      <vt:lpstr>v_91_SH2</vt:lpstr>
      <vt:lpstr>v_91_SH2S</vt:lpstr>
      <vt:lpstr>v_91_SK</vt:lpstr>
      <vt:lpstr>v_91_SMEOL</vt:lpstr>
      <vt:lpstr>v_91_SMg</vt:lpstr>
      <vt:lpstr>v_91_SMM_index</vt:lpstr>
      <vt:lpstr>v_91_SN_B</vt:lpstr>
      <vt:lpstr>v_91_SN2</vt:lpstr>
      <vt:lpstr>v_91_SNHx</vt:lpstr>
      <vt:lpstr>v_91_SNO2</vt:lpstr>
      <vt:lpstr>v_91_SNO3</vt:lpstr>
      <vt:lpstr>v_91_SO2</vt:lpstr>
      <vt:lpstr>v_91_SORPswitch</vt:lpstr>
      <vt:lpstr>v_91_SP_B</vt:lpstr>
      <vt:lpstr>v_91_SPFOA</vt:lpstr>
      <vt:lpstr>v_91_SPFOS</vt:lpstr>
      <vt:lpstr>v_91_SPO4</vt:lpstr>
      <vt:lpstr>v_91_SSO4</vt:lpstr>
      <vt:lpstr>v_91_SU</vt:lpstr>
      <vt:lpstr>v_91_SVFA</vt:lpstr>
      <vt:lpstr>v_91_XACP</vt:lpstr>
      <vt:lpstr>v_91_XALGAE</vt:lpstr>
      <vt:lpstr>v_91_XAMETO</vt:lpstr>
      <vt:lpstr>v_91_XAMX</vt:lpstr>
      <vt:lpstr>v_91_XAOB</vt:lpstr>
      <vt:lpstr>v_91_XASRO</vt:lpstr>
      <vt:lpstr>v_91_XB</vt:lpstr>
      <vt:lpstr>v_91_XB_e</vt:lpstr>
      <vt:lpstr>v_91_XBSH</vt:lpstr>
      <vt:lpstr>v_91_XCaCO3</vt:lpstr>
      <vt:lpstr>v_91_XCASTO</vt:lpstr>
      <vt:lpstr>v_91_XE</vt:lpstr>
      <vt:lpstr>v_91_XE_ana</vt:lpstr>
      <vt:lpstr>v_91_XFeS</vt:lpstr>
      <vt:lpstr>v_91_XHAO_H</vt:lpstr>
      <vt:lpstr>v_91_XHAO_H_P</vt:lpstr>
      <vt:lpstr>v_91_XHAO_H_P_old</vt:lpstr>
      <vt:lpstr>v_91_XHAO_L</vt:lpstr>
      <vt:lpstr>v_91_XHAO_L_P</vt:lpstr>
      <vt:lpstr>v_91_XHAO_L_P_old</vt:lpstr>
      <vt:lpstr>v_91_XHAO_old</vt:lpstr>
      <vt:lpstr>v_91_XHFO_H</vt:lpstr>
      <vt:lpstr>v_91_XHFO_H_P</vt:lpstr>
      <vt:lpstr>v_91_XHFO_H_P_old</vt:lpstr>
      <vt:lpstr>v_91_XHFO_L</vt:lpstr>
      <vt:lpstr>v_91_XHFO_L_P</vt:lpstr>
      <vt:lpstr>v_91_XHFO_L_P_old</vt:lpstr>
      <vt:lpstr>v_91_XHFO_old</vt:lpstr>
      <vt:lpstr>v_91_XHMETO</vt:lpstr>
      <vt:lpstr>v_91_XHSRO</vt:lpstr>
      <vt:lpstr>v_91_XINORG</vt:lpstr>
      <vt:lpstr>v_91_XMEOLO</vt:lpstr>
      <vt:lpstr>v_91_XN_B</vt:lpstr>
      <vt:lpstr>v_91_XN_Be</vt:lpstr>
      <vt:lpstr>v_91_XN_U</vt:lpstr>
      <vt:lpstr>v_91_XNOB</vt:lpstr>
      <vt:lpstr>v_91_XOHO</vt:lpstr>
      <vt:lpstr>v_91_XP_B</vt:lpstr>
      <vt:lpstr>v_91_XP_Be</vt:lpstr>
      <vt:lpstr>v_91_XP_U</vt:lpstr>
      <vt:lpstr>v_91_XPFOA</vt:lpstr>
      <vt:lpstr>v_91_XPFOS</vt:lpstr>
      <vt:lpstr>v_91_XPHA_GAO</vt:lpstr>
      <vt:lpstr>v_91_XPHA_PAO</vt:lpstr>
      <vt:lpstr>v_91_XPP</vt:lpstr>
      <vt:lpstr>v_91_XS</vt:lpstr>
      <vt:lpstr>v_91_XSOO</vt:lpstr>
      <vt:lpstr>v_91_XSTR</vt:lpstr>
      <vt:lpstr>v_91_XU</vt:lpstr>
      <vt:lpstr>v_91_XVivi</vt:lpstr>
      <vt:lpstr>v_92_CB</vt:lpstr>
      <vt:lpstr>v_92_CU</vt:lpstr>
      <vt:lpstr>v_92_GCH4</vt:lpstr>
      <vt:lpstr>v_92_GCH4_atm</vt:lpstr>
      <vt:lpstr>v_92_GCO2</vt:lpstr>
      <vt:lpstr>v_92_GCO2_atm</vt:lpstr>
      <vt:lpstr>v_92_GH2</vt:lpstr>
      <vt:lpstr>v_92_GH2_atm</vt:lpstr>
      <vt:lpstr>v_92_GH2S</vt:lpstr>
      <vt:lpstr>v_92_GH2S_atm</vt:lpstr>
      <vt:lpstr>v_92_GN2</vt:lpstr>
      <vt:lpstr>v_92_GN2_atm</vt:lpstr>
      <vt:lpstr>v_92_GNH3</vt:lpstr>
      <vt:lpstr>v_92_GNH3_atm</vt:lpstr>
      <vt:lpstr>v_92_GO2</vt:lpstr>
      <vt:lpstr>v_92_GO2_atm</vt:lpstr>
      <vt:lpstr>v_92_SALPHA</vt:lpstr>
      <vt:lpstr>v_92_SAN</vt:lpstr>
      <vt:lpstr>v_92_SB</vt:lpstr>
      <vt:lpstr>v_92_SCa</vt:lpstr>
      <vt:lpstr>v_92_SCAT</vt:lpstr>
      <vt:lpstr>v_92_SCH4</vt:lpstr>
      <vt:lpstr>v_92_SCO2</vt:lpstr>
      <vt:lpstr>v_92_SFe2</vt:lpstr>
      <vt:lpstr>v_92_SH</vt:lpstr>
      <vt:lpstr>v_92_SH2</vt:lpstr>
      <vt:lpstr>v_92_SH2S</vt:lpstr>
      <vt:lpstr>v_92_SK</vt:lpstr>
      <vt:lpstr>v_92_SMEOL</vt:lpstr>
      <vt:lpstr>v_92_SMg</vt:lpstr>
      <vt:lpstr>v_92_SMM_index</vt:lpstr>
      <vt:lpstr>v_92_SN_B</vt:lpstr>
      <vt:lpstr>v_92_SN2</vt:lpstr>
      <vt:lpstr>v_92_SNHx</vt:lpstr>
      <vt:lpstr>v_92_SNO2</vt:lpstr>
      <vt:lpstr>v_92_SNO3</vt:lpstr>
      <vt:lpstr>v_92_SO2</vt:lpstr>
      <vt:lpstr>v_92_SORPswitch</vt:lpstr>
      <vt:lpstr>v_92_SP_B</vt:lpstr>
      <vt:lpstr>v_92_SPFOA</vt:lpstr>
      <vt:lpstr>v_92_SPFOS</vt:lpstr>
      <vt:lpstr>v_92_SPO4</vt:lpstr>
      <vt:lpstr>v_92_SSO4</vt:lpstr>
      <vt:lpstr>v_92_SU</vt:lpstr>
      <vt:lpstr>v_92_SVFA</vt:lpstr>
      <vt:lpstr>v_92_XACP</vt:lpstr>
      <vt:lpstr>v_92_XALGAE</vt:lpstr>
      <vt:lpstr>v_92_XAMETO</vt:lpstr>
      <vt:lpstr>v_92_XAMX</vt:lpstr>
      <vt:lpstr>v_92_XAOB</vt:lpstr>
      <vt:lpstr>v_92_XASRO</vt:lpstr>
      <vt:lpstr>v_92_XB</vt:lpstr>
      <vt:lpstr>v_92_XB_e</vt:lpstr>
      <vt:lpstr>v_92_XBSH</vt:lpstr>
      <vt:lpstr>v_92_XCaCO3</vt:lpstr>
      <vt:lpstr>v_92_XCASTO</vt:lpstr>
      <vt:lpstr>v_92_XE</vt:lpstr>
      <vt:lpstr>v_92_XE_ana</vt:lpstr>
      <vt:lpstr>v_92_XFeS</vt:lpstr>
      <vt:lpstr>v_92_XHAO_H</vt:lpstr>
      <vt:lpstr>v_92_XHAO_H_P</vt:lpstr>
      <vt:lpstr>v_92_XHAO_H_P_old</vt:lpstr>
      <vt:lpstr>v_92_XHAO_L</vt:lpstr>
      <vt:lpstr>v_92_XHAO_L_P</vt:lpstr>
      <vt:lpstr>v_92_XHAO_L_P_old</vt:lpstr>
      <vt:lpstr>v_92_XHAO_old</vt:lpstr>
      <vt:lpstr>v_92_XHFO_H</vt:lpstr>
      <vt:lpstr>v_92_XHFO_H_P</vt:lpstr>
      <vt:lpstr>v_92_XHFO_H_P_old</vt:lpstr>
      <vt:lpstr>v_92_XHFO_L</vt:lpstr>
      <vt:lpstr>v_92_XHFO_L_P</vt:lpstr>
      <vt:lpstr>v_92_XHFO_L_P_old</vt:lpstr>
      <vt:lpstr>v_92_XHFO_old</vt:lpstr>
      <vt:lpstr>v_92_XHMETO</vt:lpstr>
      <vt:lpstr>v_92_XHSRO</vt:lpstr>
      <vt:lpstr>v_92_XINORG</vt:lpstr>
      <vt:lpstr>v_92_XMEOLO</vt:lpstr>
      <vt:lpstr>v_92_XN_B</vt:lpstr>
      <vt:lpstr>v_92_XN_Be</vt:lpstr>
      <vt:lpstr>v_92_XN_U</vt:lpstr>
      <vt:lpstr>v_92_XNOB</vt:lpstr>
      <vt:lpstr>v_92_XOHO</vt:lpstr>
      <vt:lpstr>v_92_XP_B</vt:lpstr>
      <vt:lpstr>v_92_XP_Be</vt:lpstr>
      <vt:lpstr>v_92_XP_U</vt:lpstr>
      <vt:lpstr>v_92_XPFOA</vt:lpstr>
      <vt:lpstr>v_92_XPFOS</vt:lpstr>
      <vt:lpstr>v_92_XPHA_GAO</vt:lpstr>
      <vt:lpstr>v_92_XPHA_PAO</vt:lpstr>
      <vt:lpstr>v_92_XPP</vt:lpstr>
      <vt:lpstr>v_92_XS</vt:lpstr>
      <vt:lpstr>v_92_XSOO</vt:lpstr>
      <vt:lpstr>v_92_XSTR</vt:lpstr>
      <vt:lpstr>v_92_XU</vt:lpstr>
      <vt:lpstr>v_92_XVivi</vt:lpstr>
      <vt:lpstr>v_93_CB</vt:lpstr>
      <vt:lpstr>v_93_CU</vt:lpstr>
      <vt:lpstr>v_93_GCH4</vt:lpstr>
      <vt:lpstr>v_93_GCH4_atm</vt:lpstr>
      <vt:lpstr>v_93_GCO2</vt:lpstr>
      <vt:lpstr>v_93_GCO2_atm</vt:lpstr>
      <vt:lpstr>v_93_GH2</vt:lpstr>
      <vt:lpstr>v_93_GH2_atm</vt:lpstr>
      <vt:lpstr>v_93_GH2S</vt:lpstr>
      <vt:lpstr>v_93_GH2S_atm</vt:lpstr>
      <vt:lpstr>v_93_GN2</vt:lpstr>
      <vt:lpstr>v_93_GN2_atm</vt:lpstr>
      <vt:lpstr>v_93_GNH3</vt:lpstr>
      <vt:lpstr>v_93_GNH3_atm</vt:lpstr>
      <vt:lpstr>v_93_GO2</vt:lpstr>
      <vt:lpstr>v_93_GO2_atm</vt:lpstr>
      <vt:lpstr>v_93_SALPHA</vt:lpstr>
      <vt:lpstr>v_93_SAN</vt:lpstr>
      <vt:lpstr>v_93_SB</vt:lpstr>
      <vt:lpstr>v_93_SCa</vt:lpstr>
      <vt:lpstr>v_93_SCAT</vt:lpstr>
      <vt:lpstr>v_93_SCH4</vt:lpstr>
      <vt:lpstr>v_93_SCO2</vt:lpstr>
      <vt:lpstr>v_93_SFe2</vt:lpstr>
      <vt:lpstr>v_93_SH</vt:lpstr>
      <vt:lpstr>v_93_SH2</vt:lpstr>
      <vt:lpstr>v_93_SH2S</vt:lpstr>
      <vt:lpstr>v_93_SK</vt:lpstr>
      <vt:lpstr>v_93_SMEOL</vt:lpstr>
      <vt:lpstr>v_93_SMg</vt:lpstr>
      <vt:lpstr>v_93_SMM_index</vt:lpstr>
      <vt:lpstr>v_93_SN_B</vt:lpstr>
      <vt:lpstr>v_93_SN2</vt:lpstr>
      <vt:lpstr>v_93_SNHx</vt:lpstr>
      <vt:lpstr>v_93_SNO2</vt:lpstr>
      <vt:lpstr>v_93_SNO3</vt:lpstr>
      <vt:lpstr>v_93_SO2</vt:lpstr>
      <vt:lpstr>v_93_SORPswitch</vt:lpstr>
      <vt:lpstr>v_93_SP_B</vt:lpstr>
      <vt:lpstr>v_93_SPFOA</vt:lpstr>
      <vt:lpstr>v_93_SPFOS</vt:lpstr>
      <vt:lpstr>v_93_SPO4</vt:lpstr>
      <vt:lpstr>v_93_SSO4</vt:lpstr>
      <vt:lpstr>v_93_SU</vt:lpstr>
      <vt:lpstr>v_93_SVFA</vt:lpstr>
      <vt:lpstr>v_93_XACP</vt:lpstr>
      <vt:lpstr>v_93_XALGAE</vt:lpstr>
      <vt:lpstr>v_93_XAMETO</vt:lpstr>
      <vt:lpstr>v_93_XAMX</vt:lpstr>
      <vt:lpstr>v_93_XAOB</vt:lpstr>
      <vt:lpstr>v_93_XASRO</vt:lpstr>
      <vt:lpstr>v_93_XB</vt:lpstr>
      <vt:lpstr>v_93_XB_e</vt:lpstr>
      <vt:lpstr>v_93_XBSH</vt:lpstr>
      <vt:lpstr>v_93_XCaCO3</vt:lpstr>
      <vt:lpstr>v_93_XCASTO</vt:lpstr>
      <vt:lpstr>v_93_XE</vt:lpstr>
      <vt:lpstr>v_93_XE_ana</vt:lpstr>
      <vt:lpstr>v_93_XFeS</vt:lpstr>
      <vt:lpstr>v_93_XHAO_H</vt:lpstr>
      <vt:lpstr>v_93_XHAO_H_P</vt:lpstr>
      <vt:lpstr>v_93_XHAO_H_P_old</vt:lpstr>
      <vt:lpstr>v_93_XHAO_L</vt:lpstr>
      <vt:lpstr>v_93_XHAO_L_P</vt:lpstr>
      <vt:lpstr>v_93_XHAO_L_P_old</vt:lpstr>
      <vt:lpstr>v_93_XHAO_old</vt:lpstr>
      <vt:lpstr>v_93_XHFO_H</vt:lpstr>
      <vt:lpstr>v_93_XHFO_H_P</vt:lpstr>
      <vt:lpstr>v_93_XHFO_H_P_old</vt:lpstr>
      <vt:lpstr>v_93_XHFO_L</vt:lpstr>
      <vt:lpstr>v_93_XHFO_L_P</vt:lpstr>
      <vt:lpstr>v_93_XHFO_L_P_old</vt:lpstr>
      <vt:lpstr>v_93_XHFO_old</vt:lpstr>
      <vt:lpstr>v_93_XHMETO</vt:lpstr>
      <vt:lpstr>v_93_XHSRO</vt:lpstr>
      <vt:lpstr>v_93_XINORG</vt:lpstr>
      <vt:lpstr>v_93_XMEOLO</vt:lpstr>
      <vt:lpstr>v_93_XN_B</vt:lpstr>
      <vt:lpstr>v_93_XN_Be</vt:lpstr>
      <vt:lpstr>v_93_XN_U</vt:lpstr>
      <vt:lpstr>v_93_XNOB</vt:lpstr>
      <vt:lpstr>v_93_XOHO</vt:lpstr>
      <vt:lpstr>v_93_XP_B</vt:lpstr>
      <vt:lpstr>v_93_XP_Be</vt:lpstr>
      <vt:lpstr>v_93_XP_U</vt:lpstr>
      <vt:lpstr>v_93_XPFOA</vt:lpstr>
      <vt:lpstr>v_93_XPFOS</vt:lpstr>
      <vt:lpstr>v_93_XPHA_GAO</vt:lpstr>
      <vt:lpstr>v_93_XPHA_PAO</vt:lpstr>
      <vt:lpstr>v_93_XPP</vt:lpstr>
      <vt:lpstr>v_93_XS</vt:lpstr>
      <vt:lpstr>v_93_XSOO</vt:lpstr>
      <vt:lpstr>v_93_XSTR</vt:lpstr>
      <vt:lpstr>v_93_XU</vt:lpstr>
      <vt:lpstr>v_93_XVivi</vt:lpstr>
      <vt:lpstr>v_94_CB</vt:lpstr>
      <vt:lpstr>v_94_CU</vt:lpstr>
      <vt:lpstr>v_94_GCH4</vt:lpstr>
      <vt:lpstr>v_94_GCH4_atm</vt:lpstr>
      <vt:lpstr>v_94_GCO2</vt:lpstr>
      <vt:lpstr>v_94_GCO2_atm</vt:lpstr>
      <vt:lpstr>v_94_GH2</vt:lpstr>
      <vt:lpstr>v_94_GH2_atm</vt:lpstr>
      <vt:lpstr>v_94_GH2S</vt:lpstr>
      <vt:lpstr>v_94_GH2S_atm</vt:lpstr>
      <vt:lpstr>v_94_GN2</vt:lpstr>
      <vt:lpstr>v_94_GN2_atm</vt:lpstr>
      <vt:lpstr>v_94_GNH3</vt:lpstr>
      <vt:lpstr>v_94_GNH3_atm</vt:lpstr>
      <vt:lpstr>v_94_GO2</vt:lpstr>
      <vt:lpstr>v_94_GO2_atm</vt:lpstr>
      <vt:lpstr>v_94_SALPHA</vt:lpstr>
      <vt:lpstr>v_94_SAN</vt:lpstr>
      <vt:lpstr>v_94_SB</vt:lpstr>
      <vt:lpstr>v_94_SCa</vt:lpstr>
      <vt:lpstr>v_94_SCAT</vt:lpstr>
      <vt:lpstr>v_94_SCH4</vt:lpstr>
      <vt:lpstr>v_94_SCO2</vt:lpstr>
      <vt:lpstr>v_94_SFe2</vt:lpstr>
      <vt:lpstr>v_94_SH</vt:lpstr>
      <vt:lpstr>v_94_SH2</vt:lpstr>
      <vt:lpstr>v_94_SH2S</vt:lpstr>
      <vt:lpstr>v_94_SK</vt:lpstr>
      <vt:lpstr>v_94_SMEOL</vt:lpstr>
      <vt:lpstr>v_94_SMg</vt:lpstr>
      <vt:lpstr>v_94_SMM_index</vt:lpstr>
      <vt:lpstr>v_94_SN_B</vt:lpstr>
      <vt:lpstr>v_94_SN2</vt:lpstr>
      <vt:lpstr>v_94_SNHx</vt:lpstr>
      <vt:lpstr>v_94_SNO2</vt:lpstr>
      <vt:lpstr>v_94_SNO3</vt:lpstr>
      <vt:lpstr>v_94_SO2</vt:lpstr>
      <vt:lpstr>v_94_SORPswitch</vt:lpstr>
      <vt:lpstr>v_94_SP_B</vt:lpstr>
      <vt:lpstr>v_94_SPFOA</vt:lpstr>
      <vt:lpstr>v_94_SPFOS</vt:lpstr>
      <vt:lpstr>v_94_SPO4</vt:lpstr>
      <vt:lpstr>v_94_SSO4</vt:lpstr>
      <vt:lpstr>v_94_SU</vt:lpstr>
      <vt:lpstr>v_94_SVFA</vt:lpstr>
      <vt:lpstr>v_94_XACP</vt:lpstr>
      <vt:lpstr>v_94_XALGAE</vt:lpstr>
      <vt:lpstr>v_94_XAMETO</vt:lpstr>
      <vt:lpstr>v_94_XAMX</vt:lpstr>
      <vt:lpstr>v_94_XAOB</vt:lpstr>
      <vt:lpstr>v_94_XASRO</vt:lpstr>
      <vt:lpstr>v_94_XB</vt:lpstr>
      <vt:lpstr>v_94_XB_e</vt:lpstr>
      <vt:lpstr>v_94_XBSH</vt:lpstr>
      <vt:lpstr>v_94_XCaCO3</vt:lpstr>
      <vt:lpstr>v_94_XCASTO</vt:lpstr>
      <vt:lpstr>v_94_XE</vt:lpstr>
      <vt:lpstr>v_94_XE_ana</vt:lpstr>
      <vt:lpstr>v_94_XFeS</vt:lpstr>
      <vt:lpstr>v_94_XHAO_H</vt:lpstr>
      <vt:lpstr>v_94_XHAO_H_P</vt:lpstr>
      <vt:lpstr>v_94_XHAO_H_P_old</vt:lpstr>
      <vt:lpstr>v_94_XHAO_L</vt:lpstr>
      <vt:lpstr>v_94_XHAO_L_P</vt:lpstr>
      <vt:lpstr>v_94_XHAO_L_P_old</vt:lpstr>
      <vt:lpstr>v_94_XHAO_old</vt:lpstr>
      <vt:lpstr>v_94_XHFO_H</vt:lpstr>
      <vt:lpstr>v_94_XHFO_H_P</vt:lpstr>
      <vt:lpstr>v_94_XHFO_H_P_old</vt:lpstr>
      <vt:lpstr>v_94_XHFO_L</vt:lpstr>
      <vt:lpstr>v_94_XHFO_L_P</vt:lpstr>
      <vt:lpstr>v_94_XHFO_L_P_old</vt:lpstr>
      <vt:lpstr>v_94_XHFO_old</vt:lpstr>
      <vt:lpstr>v_94_XHMETO</vt:lpstr>
      <vt:lpstr>v_94_XHSRO</vt:lpstr>
      <vt:lpstr>v_94_XINORG</vt:lpstr>
      <vt:lpstr>v_94_XMEOLO</vt:lpstr>
      <vt:lpstr>v_94_XN_B</vt:lpstr>
      <vt:lpstr>v_94_XN_Be</vt:lpstr>
      <vt:lpstr>v_94_XN_U</vt:lpstr>
      <vt:lpstr>v_94_XNOB</vt:lpstr>
      <vt:lpstr>v_94_XOHO</vt:lpstr>
      <vt:lpstr>v_94_XP_B</vt:lpstr>
      <vt:lpstr>v_94_XP_Be</vt:lpstr>
      <vt:lpstr>v_94_XP_U</vt:lpstr>
      <vt:lpstr>v_94_XPFOA</vt:lpstr>
      <vt:lpstr>v_94_XPFOS</vt:lpstr>
      <vt:lpstr>v_94_XPHA_GAO</vt:lpstr>
      <vt:lpstr>v_94_XPHA_PAO</vt:lpstr>
      <vt:lpstr>v_94_XPP</vt:lpstr>
      <vt:lpstr>v_94_XS</vt:lpstr>
      <vt:lpstr>v_94_XSOO</vt:lpstr>
      <vt:lpstr>v_94_XSTR</vt:lpstr>
      <vt:lpstr>v_94_XU</vt:lpstr>
      <vt:lpstr>v_94_XVivi</vt:lpstr>
      <vt:lpstr>v_95_CB</vt:lpstr>
      <vt:lpstr>v_95_CU</vt:lpstr>
      <vt:lpstr>v_95_GCH4</vt:lpstr>
      <vt:lpstr>v_95_GCH4_atm</vt:lpstr>
      <vt:lpstr>v_95_GCO2</vt:lpstr>
      <vt:lpstr>v_95_GCO2_atm</vt:lpstr>
      <vt:lpstr>v_95_GH2</vt:lpstr>
      <vt:lpstr>v_95_GH2_atm</vt:lpstr>
      <vt:lpstr>v_95_GH2S</vt:lpstr>
      <vt:lpstr>v_95_GH2S_atm</vt:lpstr>
      <vt:lpstr>v_95_GN2</vt:lpstr>
      <vt:lpstr>v_95_GN2_atm</vt:lpstr>
      <vt:lpstr>v_95_GNH3</vt:lpstr>
      <vt:lpstr>v_95_GNH3_atm</vt:lpstr>
      <vt:lpstr>v_95_GO2</vt:lpstr>
      <vt:lpstr>v_95_GO2_atm</vt:lpstr>
      <vt:lpstr>v_95_SALPHA</vt:lpstr>
      <vt:lpstr>v_95_SAN</vt:lpstr>
      <vt:lpstr>v_95_SB</vt:lpstr>
      <vt:lpstr>v_95_SCa</vt:lpstr>
      <vt:lpstr>v_95_SCAT</vt:lpstr>
      <vt:lpstr>v_95_SCH4</vt:lpstr>
      <vt:lpstr>v_95_SCO2</vt:lpstr>
      <vt:lpstr>v_95_SFe2</vt:lpstr>
      <vt:lpstr>v_95_SH</vt:lpstr>
      <vt:lpstr>v_95_SH2</vt:lpstr>
      <vt:lpstr>v_95_SH2S</vt:lpstr>
      <vt:lpstr>v_95_SK</vt:lpstr>
      <vt:lpstr>v_95_SMEOL</vt:lpstr>
      <vt:lpstr>v_95_SMg</vt:lpstr>
      <vt:lpstr>v_95_SMM_index</vt:lpstr>
      <vt:lpstr>v_95_SN_B</vt:lpstr>
      <vt:lpstr>v_95_SN2</vt:lpstr>
      <vt:lpstr>v_95_SNHx</vt:lpstr>
      <vt:lpstr>v_95_SNO2</vt:lpstr>
      <vt:lpstr>v_95_SNO3</vt:lpstr>
      <vt:lpstr>v_95_SO2</vt:lpstr>
      <vt:lpstr>v_95_SORPswitch</vt:lpstr>
      <vt:lpstr>v_95_SP_B</vt:lpstr>
      <vt:lpstr>v_95_SPFOA</vt:lpstr>
      <vt:lpstr>v_95_SPFOS</vt:lpstr>
      <vt:lpstr>v_95_SPO4</vt:lpstr>
      <vt:lpstr>v_95_SSO4</vt:lpstr>
      <vt:lpstr>v_95_SU</vt:lpstr>
      <vt:lpstr>v_95_SVFA</vt:lpstr>
      <vt:lpstr>v_95_XACP</vt:lpstr>
      <vt:lpstr>v_95_XALGAE</vt:lpstr>
      <vt:lpstr>v_95_XAMETO</vt:lpstr>
      <vt:lpstr>v_95_XAMX</vt:lpstr>
      <vt:lpstr>v_95_XAOB</vt:lpstr>
      <vt:lpstr>v_95_XASRO</vt:lpstr>
      <vt:lpstr>v_95_XB</vt:lpstr>
      <vt:lpstr>v_95_XB_e</vt:lpstr>
      <vt:lpstr>v_95_XBSH</vt:lpstr>
      <vt:lpstr>v_95_XCaCO3</vt:lpstr>
      <vt:lpstr>v_95_XCASTO</vt:lpstr>
      <vt:lpstr>v_95_XE</vt:lpstr>
      <vt:lpstr>v_95_XE_ana</vt:lpstr>
      <vt:lpstr>v_95_XFeS</vt:lpstr>
      <vt:lpstr>v_95_XHAO_H</vt:lpstr>
      <vt:lpstr>v_95_XHAO_H_P</vt:lpstr>
      <vt:lpstr>v_95_XHAO_H_P_old</vt:lpstr>
      <vt:lpstr>v_95_XHAO_L</vt:lpstr>
      <vt:lpstr>v_95_XHAO_L_P</vt:lpstr>
      <vt:lpstr>v_95_XHAO_L_P_old</vt:lpstr>
      <vt:lpstr>v_95_XHAO_old</vt:lpstr>
      <vt:lpstr>v_95_XHFO_H</vt:lpstr>
      <vt:lpstr>v_95_XHFO_H_P</vt:lpstr>
      <vt:lpstr>v_95_XHFO_H_P_old</vt:lpstr>
      <vt:lpstr>v_95_XHFO_L</vt:lpstr>
      <vt:lpstr>v_95_XHFO_L_P</vt:lpstr>
      <vt:lpstr>v_95_XHFO_L_P_old</vt:lpstr>
      <vt:lpstr>v_95_XHFO_old</vt:lpstr>
      <vt:lpstr>v_95_XHMETO</vt:lpstr>
      <vt:lpstr>v_95_XHSRO</vt:lpstr>
      <vt:lpstr>v_95_XINORG</vt:lpstr>
      <vt:lpstr>v_95_XMEOLO</vt:lpstr>
      <vt:lpstr>v_95_XN_B</vt:lpstr>
      <vt:lpstr>v_95_XN_Be</vt:lpstr>
      <vt:lpstr>v_95_XN_U</vt:lpstr>
      <vt:lpstr>v_95_XNOB</vt:lpstr>
      <vt:lpstr>v_95_XOHO</vt:lpstr>
      <vt:lpstr>v_95_XP_B</vt:lpstr>
      <vt:lpstr>v_95_XP_Be</vt:lpstr>
      <vt:lpstr>v_95_XP_U</vt:lpstr>
      <vt:lpstr>v_95_XPFOA</vt:lpstr>
      <vt:lpstr>v_95_XPFOS</vt:lpstr>
      <vt:lpstr>v_95_XPHA_GAO</vt:lpstr>
      <vt:lpstr>v_95_XPHA_PAO</vt:lpstr>
      <vt:lpstr>v_95_XPP</vt:lpstr>
      <vt:lpstr>v_95_XS</vt:lpstr>
      <vt:lpstr>v_95_XSOO</vt:lpstr>
      <vt:lpstr>v_95_XSTR</vt:lpstr>
      <vt:lpstr>v_95_XU</vt:lpstr>
      <vt:lpstr>v_95_XVivi</vt:lpstr>
      <vt:lpstr>v_96_CB</vt:lpstr>
      <vt:lpstr>v_96_CU</vt:lpstr>
      <vt:lpstr>v_96_GCH4</vt:lpstr>
      <vt:lpstr>v_96_GCH4_atm</vt:lpstr>
      <vt:lpstr>v_96_GCO2</vt:lpstr>
      <vt:lpstr>v_96_GCO2_atm</vt:lpstr>
      <vt:lpstr>v_96_GH2</vt:lpstr>
      <vt:lpstr>v_96_GH2_atm</vt:lpstr>
      <vt:lpstr>v_96_GH2S</vt:lpstr>
      <vt:lpstr>v_96_GH2S_atm</vt:lpstr>
      <vt:lpstr>v_96_GN2</vt:lpstr>
      <vt:lpstr>v_96_GN2_atm</vt:lpstr>
      <vt:lpstr>v_96_GNH3</vt:lpstr>
      <vt:lpstr>v_96_GNH3_atm</vt:lpstr>
      <vt:lpstr>v_96_GO2</vt:lpstr>
      <vt:lpstr>v_96_GO2_atm</vt:lpstr>
      <vt:lpstr>v_96_SALPHA</vt:lpstr>
      <vt:lpstr>v_96_SAN</vt:lpstr>
      <vt:lpstr>v_96_SB</vt:lpstr>
      <vt:lpstr>v_96_SCa</vt:lpstr>
      <vt:lpstr>v_96_SCAT</vt:lpstr>
      <vt:lpstr>v_96_SCH4</vt:lpstr>
      <vt:lpstr>v_96_SCO2</vt:lpstr>
      <vt:lpstr>v_96_SFe2</vt:lpstr>
      <vt:lpstr>v_96_SH</vt:lpstr>
      <vt:lpstr>v_96_SH2</vt:lpstr>
      <vt:lpstr>v_96_SH2S</vt:lpstr>
      <vt:lpstr>v_96_SK</vt:lpstr>
      <vt:lpstr>v_96_SMEOL</vt:lpstr>
      <vt:lpstr>v_96_SMg</vt:lpstr>
      <vt:lpstr>v_96_SMM_index</vt:lpstr>
      <vt:lpstr>v_96_SN_B</vt:lpstr>
      <vt:lpstr>v_96_SN2</vt:lpstr>
      <vt:lpstr>v_96_SNHx</vt:lpstr>
      <vt:lpstr>v_96_SNO2</vt:lpstr>
      <vt:lpstr>v_96_SNO3</vt:lpstr>
      <vt:lpstr>v_96_SO2</vt:lpstr>
      <vt:lpstr>v_96_SORPswitch</vt:lpstr>
      <vt:lpstr>v_96_SP_B</vt:lpstr>
      <vt:lpstr>v_96_SPFOA</vt:lpstr>
      <vt:lpstr>v_96_SPFOS</vt:lpstr>
      <vt:lpstr>v_96_SPO4</vt:lpstr>
      <vt:lpstr>v_96_SSO4</vt:lpstr>
      <vt:lpstr>v_96_SU</vt:lpstr>
      <vt:lpstr>v_96_SVFA</vt:lpstr>
      <vt:lpstr>v_96_XACP</vt:lpstr>
      <vt:lpstr>v_96_XALGAE</vt:lpstr>
      <vt:lpstr>v_96_XAMETO</vt:lpstr>
      <vt:lpstr>v_96_XAMX</vt:lpstr>
      <vt:lpstr>v_96_XAOB</vt:lpstr>
      <vt:lpstr>v_96_XASRO</vt:lpstr>
      <vt:lpstr>v_96_XB</vt:lpstr>
      <vt:lpstr>v_96_XB_e</vt:lpstr>
      <vt:lpstr>v_96_XBSH</vt:lpstr>
      <vt:lpstr>v_96_XCaCO3</vt:lpstr>
      <vt:lpstr>v_96_XCASTO</vt:lpstr>
      <vt:lpstr>v_96_XE</vt:lpstr>
      <vt:lpstr>v_96_XE_ana</vt:lpstr>
      <vt:lpstr>v_96_XFeS</vt:lpstr>
      <vt:lpstr>v_96_XHAO_H</vt:lpstr>
      <vt:lpstr>v_96_XHAO_H_P</vt:lpstr>
      <vt:lpstr>v_96_XHAO_H_P_old</vt:lpstr>
      <vt:lpstr>v_96_XHAO_L</vt:lpstr>
      <vt:lpstr>v_96_XHAO_L_P</vt:lpstr>
      <vt:lpstr>v_96_XHAO_L_P_old</vt:lpstr>
      <vt:lpstr>v_96_XHAO_old</vt:lpstr>
      <vt:lpstr>v_96_XHFO_H</vt:lpstr>
      <vt:lpstr>v_96_XHFO_H_P</vt:lpstr>
      <vt:lpstr>v_96_XHFO_H_P_old</vt:lpstr>
      <vt:lpstr>v_96_XHFO_L</vt:lpstr>
      <vt:lpstr>v_96_XHFO_L_P</vt:lpstr>
      <vt:lpstr>v_96_XHFO_L_P_old</vt:lpstr>
      <vt:lpstr>v_96_XHFO_old</vt:lpstr>
      <vt:lpstr>v_96_XHMETO</vt:lpstr>
      <vt:lpstr>v_96_XHSRO</vt:lpstr>
      <vt:lpstr>v_96_XINORG</vt:lpstr>
      <vt:lpstr>v_96_XMEOLO</vt:lpstr>
      <vt:lpstr>v_96_XN_B</vt:lpstr>
      <vt:lpstr>v_96_XN_Be</vt:lpstr>
      <vt:lpstr>v_96_XN_U</vt:lpstr>
      <vt:lpstr>v_96_XNOB</vt:lpstr>
      <vt:lpstr>v_96_XOHO</vt:lpstr>
      <vt:lpstr>v_96_XP_B</vt:lpstr>
      <vt:lpstr>v_96_XP_Be</vt:lpstr>
      <vt:lpstr>v_96_XP_U</vt:lpstr>
      <vt:lpstr>v_96_XPFOA</vt:lpstr>
      <vt:lpstr>v_96_XPFOS</vt:lpstr>
      <vt:lpstr>v_96_XPHA_GAO</vt:lpstr>
      <vt:lpstr>v_96_XPHA_PAO</vt:lpstr>
      <vt:lpstr>v_96_XPP</vt:lpstr>
      <vt:lpstr>v_96_XS</vt:lpstr>
      <vt:lpstr>v_96_XSOO</vt:lpstr>
      <vt:lpstr>v_96_XSTR</vt:lpstr>
      <vt:lpstr>v_96_XU</vt:lpstr>
      <vt:lpstr>v_96_XVivi</vt:lpstr>
      <vt:lpstr>v_97_CB</vt:lpstr>
      <vt:lpstr>v_97_CU</vt:lpstr>
      <vt:lpstr>v_97_GCH4</vt:lpstr>
      <vt:lpstr>v_97_GCH4_atm</vt:lpstr>
      <vt:lpstr>v_97_GCO2</vt:lpstr>
      <vt:lpstr>v_97_GCO2_atm</vt:lpstr>
      <vt:lpstr>v_97_GH2</vt:lpstr>
      <vt:lpstr>v_97_GH2_atm</vt:lpstr>
      <vt:lpstr>v_97_GH2S</vt:lpstr>
      <vt:lpstr>v_97_GH2S_atm</vt:lpstr>
      <vt:lpstr>v_97_GN2</vt:lpstr>
      <vt:lpstr>v_97_GN2_atm</vt:lpstr>
      <vt:lpstr>v_97_GNH3</vt:lpstr>
      <vt:lpstr>v_97_GNH3_atm</vt:lpstr>
      <vt:lpstr>v_97_GO2</vt:lpstr>
      <vt:lpstr>v_97_GO2_atm</vt:lpstr>
      <vt:lpstr>v_97_SALPHA</vt:lpstr>
      <vt:lpstr>v_97_SAN</vt:lpstr>
      <vt:lpstr>v_97_SB</vt:lpstr>
      <vt:lpstr>v_97_SCa</vt:lpstr>
      <vt:lpstr>v_97_SCAT</vt:lpstr>
      <vt:lpstr>v_97_SCH4</vt:lpstr>
      <vt:lpstr>v_97_SCO2</vt:lpstr>
      <vt:lpstr>v_97_SFe2</vt:lpstr>
      <vt:lpstr>v_97_SH</vt:lpstr>
      <vt:lpstr>v_97_SH2</vt:lpstr>
      <vt:lpstr>v_97_SH2S</vt:lpstr>
      <vt:lpstr>v_97_SK</vt:lpstr>
      <vt:lpstr>v_97_SMEOL</vt:lpstr>
      <vt:lpstr>v_97_SMg</vt:lpstr>
      <vt:lpstr>v_97_SMM_index</vt:lpstr>
      <vt:lpstr>v_97_SN_B</vt:lpstr>
      <vt:lpstr>v_97_SN2</vt:lpstr>
      <vt:lpstr>v_97_SNHx</vt:lpstr>
      <vt:lpstr>v_97_SNO2</vt:lpstr>
      <vt:lpstr>v_97_SNO3</vt:lpstr>
      <vt:lpstr>v_97_SO2</vt:lpstr>
      <vt:lpstr>v_97_SORPswitch</vt:lpstr>
      <vt:lpstr>v_97_SP_B</vt:lpstr>
      <vt:lpstr>v_97_SPFOA</vt:lpstr>
      <vt:lpstr>v_97_SPFOS</vt:lpstr>
      <vt:lpstr>v_97_SPO4</vt:lpstr>
      <vt:lpstr>v_97_SSO4</vt:lpstr>
      <vt:lpstr>v_97_SU</vt:lpstr>
      <vt:lpstr>v_97_SVFA</vt:lpstr>
      <vt:lpstr>v_97_XACP</vt:lpstr>
      <vt:lpstr>v_97_XALGAE</vt:lpstr>
      <vt:lpstr>v_97_XAMETO</vt:lpstr>
      <vt:lpstr>v_97_XAMX</vt:lpstr>
      <vt:lpstr>v_97_XAOB</vt:lpstr>
      <vt:lpstr>v_97_XASRO</vt:lpstr>
      <vt:lpstr>v_97_XB</vt:lpstr>
      <vt:lpstr>v_97_XB_e</vt:lpstr>
      <vt:lpstr>v_97_XBSH</vt:lpstr>
      <vt:lpstr>v_97_XCaCO3</vt:lpstr>
      <vt:lpstr>v_97_XCASTO</vt:lpstr>
      <vt:lpstr>v_97_XE</vt:lpstr>
      <vt:lpstr>v_97_XE_ana</vt:lpstr>
      <vt:lpstr>v_97_XFeS</vt:lpstr>
      <vt:lpstr>v_97_XHAO_H</vt:lpstr>
      <vt:lpstr>v_97_XHAO_H_P</vt:lpstr>
      <vt:lpstr>v_97_XHAO_H_P_old</vt:lpstr>
      <vt:lpstr>v_97_XHAO_L</vt:lpstr>
      <vt:lpstr>v_97_XHAO_L_P</vt:lpstr>
      <vt:lpstr>v_97_XHAO_L_P_old</vt:lpstr>
      <vt:lpstr>v_97_XHAO_old</vt:lpstr>
      <vt:lpstr>v_97_XHFO_H</vt:lpstr>
      <vt:lpstr>v_97_XHFO_H_P</vt:lpstr>
      <vt:lpstr>v_97_XHFO_H_P_old</vt:lpstr>
      <vt:lpstr>v_97_XHFO_L</vt:lpstr>
      <vt:lpstr>v_97_XHFO_L_P</vt:lpstr>
      <vt:lpstr>v_97_XHFO_L_P_old</vt:lpstr>
      <vt:lpstr>v_97_XHFO_old</vt:lpstr>
      <vt:lpstr>v_97_XHMETO</vt:lpstr>
      <vt:lpstr>v_97_XHSRO</vt:lpstr>
      <vt:lpstr>v_97_XINORG</vt:lpstr>
      <vt:lpstr>v_97_XMEOLO</vt:lpstr>
      <vt:lpstr>v_97_XN_B</vt:lpstr>
      <vt:lpstr>v_97_XN_Be</vt:lpstr>
      <vt:lpstr>v_97_XN_U</vt:lpstr>
      <vt:lpstr>v_97_XNOB</vt:lpstr>
      <vt:lpstr>v_97_XOHO</vt:lpstr>
      <vt:lpstr>v_97_XP_B</vt:lpstr>
      <vt:lpstr>v_97_XP_Be</vt:lpstr>
      <vt:lpstr>v_97_XP_U</vt:lpstr>
      <vt:lpstr>v_97_XPFOA</vt:lpstr>
      <vt:lpstr>v_97_XPFOS</vt:lpstr>
      <vt:lpstr>v_97_XPHA_GAO</vt:lpstr>
      <vt:lpstr>v_97_XPHA_PAO</vt:lpstr>
      <vt:lpstr>v_97_XPP</vt:lpstr>
      <vt:lpstr>v_97_XS</vt:lpstr>
      <vt:lpstr>v_97_XSOO</vt:lpstr>
      <vt:lpstr>v_97_XSTR</vt:lpstr>
      <vt:lpstr>v_97_XU</vt:lpstr>
      <vt:lpstr>v_97_XVivi</vt:lpstr>
      <vt:lpstr>v_98_CB</vt:lpstr>
      <vt:lpstr>v_98_CU</vt:lpstr>
      <vt:lpstr>v_98_GCH4</vt:lpstr>
      <vt:lpstr>v_98_GCH4_atm</vt:lpstr>
      <vt:lpstr>v_98_GCO2</vt:lpstr>
      <vt:lpstr>v_98_GCO2_atm</vt:lpstr>
      <vt:lpstr>v_98_GH2</vt:lpstr>
      <vt:lpstr>v_98_GH2_atm</vt:lpstr>
      <vt:lpstr>v_98_GH2S</vt:lpstr>
      <vt:lpstr>v_98_GH2S_atm</vt:lpstr>
      <vt:lpstr>v_98_GN2</vt:lpstr>
      <vt:lpstr>v_98_GN2_atm</vt:lpstr>
      <vt:lpstr>v_98_GNH3</vt:lpstr>
      <vt:lpstr>v_98_GNH3_atm</vt:lpstr>
      <vt:lpstr>v_98_GO2</vt:lpstr>
      <vt:lpstr>v_98_GO2_atm</vt:lpstr>
      <vt:lpstr>v_98_SALPHA</vt:lpstr>
      <vt:lpstr>v_98_SAN</vt:lpstr>
      <vt:lpstr>v_98_SB</vt:lpstr>
      <vt:lpstr>v_98_SCa</vt:lpstr>
      <vt:lpstr>v_98_SCAT</vt:lpstr>
      <vt:lpstr>v_98_SCH4</vt:lpstr>
      <vt:lpstr>v_98_SCO2</vt:lpstr>
      <vt:lpstr>v_98_SFe2</vt:lpstr>
      <vt:lpstr>v_98_SH</vt:lpstr>
      <vt:lpstr>v_98_SH2</vt:lpstr>
      <vt:lpstr>v_98_SH2S</vt:lpstr>
      <vt:lpstr>v_98_SK</vt:lpstr>
      <vt:lpstr>v_98_SMEOL</vt:lpstr>
      <vt:lpstr>v_98_SMg</vt:lpstr>
      <vt:lpstr>v_98_SMM_index</vt:lpstr>
      <vt:lpstr>v_98_SN_B</vt:lpstr>
      <vt:lpstr>v_98_SN2</vt:lpstr>
      <vt:lpstr>v_98_SNHx</vt:lpstr>
      <vt:lpstr>v_98_SNO2</vt:lpstr>
      <vt:lpstr>v_98_SNO3</vt:lpstr>
      <vt:lpstr>v_98_SO2</vt:lpstr>
      <vt:lpstr>v_98_SORPswitch</vt:lpstr>
      <vt:lpstr>v_98_SP_B</vt:lpstr>
      <vt:lpstr>v_98_SPFOA</vt:lpstr>
      <vt:lpstr>v_98_SPFOS</vt:lpstr>
      <vt:lpstr>v_98_SPO4</vt:lpstr>
      <vt:lpstr>v_98_SSO4</vt:lpstr>
      <vt:lpstr>v_98_SU</vt:lpstr>
      <vt:lpstr>v_98_SVFA</vt:lpstr>
      <vt:lpstr>v_98_XACP</vt:lpstr>
      <vt:lpstr>v_98_XALGAE</vt:lpstr>
      <vt:lpstr>v_98_XAMETO</vt:lpstr>
      <vt:lpstr>v_98_XAMX</vt:lpstr>
      <vt:lpstr>v_98_XAOB</vt:lpstr>
      <vt:lpstr>v_98_XASRO</vt:lpstr>
      <vt:lpstr>v_98_XB</vt:lpstr>
      <vt:lpstr>v_98_XB_e</vt:lpstr>
      <vt:lpstr>v_98_XBSH</vt:lpstr>
      <vt:lpstr>v_98_XCaCO3</vt:lpstr>
      <vt:lpstr>v_98_XCASTO</vt:lpstr>
      <vt:lpstr>v_98_XE</vt:lpstr>
      <vt:lpstr>v_98_XE_ana</vt:lpstr>
      <vt:lpstr>v_98_XFeS</vt:lpstr>
      <vt:lpstr>v_98_XHAO_H</vt:lpstr>
      <vt:lpstr>v_98_XHAO_H_P</vt:lpstr>
      <vt:lpstr>v_98_XHAO_H_P_old</vt:lpstr>
      <vt:lpstr>v_98_XHAO_L</vt:lpstr>
      <vt:lpstr>v_98_XHAO_L_P</vt:lpstr>
      <vt:lpstr>v_98_XHAO_L_P_old</vt:lpstr>
      <vt:lpstr>v_98_XHAO_old</vt:lpstr>
      <vt:lpstr>v_98_XHFO_H</vt:lpstr>
      <vt:lpstr>v_98_XHFO_H_P</vt:lpstr>
      <vt:lpstr>v_98_XHFO_H_P_old</vt:lpstr>
      <vt:lpstr>v_98_XHFO_L</vt:lpstr>
      <vt:lpstr>v_98_XHFO_L_P</vt:lpstr>
      <vt:lpstr>v_98_XHFO_L_P_old</vt:lpstr>
      <vt:lpstr>v_98_XHFO_old</vt:lpstr>
      <vt:lpstr>v_98_XHMETO</vt:lpstr>
      <vt:lpstr>v_98_XHSRO</vt:lpstr>
      <vt:lpstr>v_98_XINORG</vt:lpstr>
      <vt:lpstr>v_98_XMEOLO</vt:lpstr>
      <vt:lpstr>v_98_XN_B</vt:lpstr>
      <vt:lpstr>v_98_XN_Be</vt:lpstr>
      <vt:lpstr>v_98_XN_U</vt:lpstr>
      <vt:lpstr>v_98_XNOB</vt:lpstr>
      <vt:lpstr>v_98_XOHO</vt:lpstr>
      <vt:lpstr>v_98_XP_B</vt:lpstr>
      <vt:lpstr>v_98_XP_Be</vt:lpstr>
      <vt:lpstr>v_98_XP_U</vt:lpstr>
      <vt:lpstr>v_98_XPFOA</vt:lpstr>
      <vt:lpstr>v_98_XPFOS</vt:lpstr>
      <vt:lpstr>v_98_XPHA_GAO</vt:lpstr>
      <vt:lpstr>v_98_XPHA_PAO</vt:lpstr>
      <vt:lpstr>v_98_XPP</vt:lpstr>
      <vt:lpstr>v_98_XS</vt:lpstr>
      <vt:lpstr>v_98_XSOO</vt:lpstr>
      <vt:lpstr>v_98_XSTR</vt:lpstr>
      <vt:lpstr>v_98_XU</vt:lpstr>
      <vt:lpstr>v_98_XVivi</vt:lpstr>
      <vt:lpstr>v_99_CB</vt:lpstr>
      <vt:lpstr>v_99_CU</vt:lpstr>
      <vt:lpstr>v_99_GCH4</vt:lpstr>
      <vt:lpstr>v_99_GCH4_atm</vt:lpstr>
      <vt:lpstr>v_99_GCO2</vt:lpstr>
      <vt:lpstr>v_99_GCO2_atm</vt:lpstr>
      <vt:lpstr>v_99_GH2</vt:lpstr>
      <vt:lpstr>v_99_GH2_atm</vt:lpstr>
      <vt:lpstr>v_99_GH2S</vt:lpstr>
      <vt:lpstr>v_99_GH2S_atm</vt:lpstr>
      <vt:lpstr>v_99_GN2</vt:lpstr>
      <vt:lpstr>v_99_GN2_atm</vt:lpstr>
      <vt:lpstr>v_99_GNH3</vt:lpstr>
      <vt:lpstr>v_99_GNH3_atm</vt:lpstr>
      <vt:lpstr>v_99_GO2</vt:lpstr>
      <vt:lpstr>v_99_GO2_atm</vt:lpstr>
      <vt:lpstr>v_99_SALPHA</vt:lpstr>
      <vt:lpstr>v_99_SAN</vt:lpstr>
      <vt:lpstr>v_99_SB</vt:lpstr>
      <vt:lpstr>v_99_SCa</vt:lpstr>
      <vt:lpstr>v_99_SCAT</vt:lpstr>
      <vt:lpstr>v_99_SCH4</vt:lpstr>
      <vt:lpstr>v_99_SCO2</vt:lpstr>
      <vt:lpstr>v_99_SFe2</vt:lpstr>
      <vt:lpstr>v_99_SH</vt:lpstr>
      <vt:lpstr>v_99_SH2</vt:lpstr>
      <vt:lpstr>v_99_SH2S</vt:lpstr>
      <vt:lpstr>v_99_SK</vt:lpstr>
      <vt:lpstr>v_99_SMEOL</vt:lpstr>
      <vt:lpstr>v_99_SMg</vt:lpstr>
      <vt:lpstr>v_99_SMM_index</vt:lpstr>
      <vt:lpstr>v_99_SN_B</vt:lpstr>
      <vt:lpstr>v_99_SN2</vt:lpstr>
      <vt:lpstr>v_99_SNHx</vt:lpstr>
      <vt:lpstr>v_99_SNO2</vt:lpstr>
      <vt:lpstr>v_99_SNO3</vt:lpstr>
      <vt:lpstr>v_99_SO2</vt:lpstr>
      <vt:lpstr>v_99_SORPswitch</vt:lpstr>
      <vt:lpstr>v_99_SP_B</vt:lpstr>
      <vt:lpstr>v_99_SPFOA</vt:lpstr>
      <vt:lpstr>v_99_SPFOS</vt:lpstr>
      <vt:lpstr>v_99_SPO4</vt:lpstr>
      <vt:lpstr>v_99_SSO4</vt:lpstr>
      <vt:lpstr>v_99_SU</vt:lpstr>
      <vt:lpstr>v_99_SVFA</vt:lpstr>
      <vt:lpstr>v_99_XACP</vt:lpstr>
      <vt:lpstr>v_99_XALGAE</vt:lpstr>
      <vt:lpstr>v_99_XAMETO</vt:lpstr>
      <vt:lpstr>v_99_XAMX</vt:lpstr>
      <vt:lpstr>v_99_XAOB</vt:lpstr>
      <vt:lpstr>v_99_XASRO</vt:lpstr>
      <vt:lpstr>v_99_XB</vt:lpstr>
      <vt:lpstr>v_99_XB_e</vt:lpstr>
      <vt:lpstr>v_99_XBSH</vt:lpstr>
      <vt:lpstr>v_99_XCaCO3</vt:lpstr>
      <vt:lpstr>v_99_XCASTO</vt:lpstr>
      <vt:lpstr>v_99_XE</vt:lpstr>
      <vt:lpstr>v_99_XE_ana</vt:lpstr>
      <vt:lpstr>v_99_XFeS</vt:lpstr>
      <vt:lpstr>v_99_XHAO_H</vt:lpstr>
      <vt:lpstr>v_99_XHAO_H_P</vt:lpstr>
      <vt:lpstr>v_99_XHAO_H_P_old</vt:lpstr>
      <vt:lpstr>v_99_XHAO_L</vt:lpstr>
      <vt:lpstr>v_99_XHAO_L_P</vt:lpstr>
      <vt:lpstr>v_99_XHAO_L_P_old</vt:lpstr>
      <vt:lpstr>v_99_XHAO_old</vt:lpstr>
      <vt:lpstr>v_99_XHFO_H</vt:lpstr>
      <vt:lpstr>v_99_XHFO_H_P</vt:lpstr>
      <vt:lpstr>v_99_XHFO_H_P_old</vt:lpstr>
      <vt:lpstr>v_99_XHFO_L</vt:lpstr>
      <vt:lpstr>v_99_XHFO_L_P</vt:lpstr>
      <vt:lpstr>v_99_XHFO_L_P_old</vt:lpstr>
      <vt:lpstr>v_99_XHFO_old</vt:lpstr>
      <vt:lpstr>v_99_XHMETO</vt:lpstr>
      <vt:lpstr>v_99_XHSRO</vt:lpstr>
      <vt:lpstr>v_99_XINORG</vt:lpstr>
      <vt:lpstr>v_99_XMEOLO</vt:lpstr>
      <vt:lpstr>v_99_XN_B</vt:lpstr>
      <vt:lpstr>v_99_XN_Be</vt:lpstr>
      <vt:lpstr>v_99_XN_U</vt:lpstr>
      <vt:lpstr>v_99_XNOB</vt:lpstr>
      <vt:lpstr>v_99_XOHO</vt:lpstr>
      <vt:lpstr>v_99_XP_B</vt:lpstr>
      <vt:lpstr>v_99_XP_Be</vt:lpstr>
      <vt:lpstr>v_99_XP_U</vt:lpstr>
      <vt:lpstr>v_99_XPFOA</vt:lpstr>
      <vt:lpstr>v_99_XPFOS</vt:lpstr>
      <vt:lpstr>v_99_XPHA_GAO</vt:lpstr>
      <vt:lpstr>v_99_XPHA_PAO</vt:lpstr>
      <vt:lpstr>v_99_XPP</vt:lpstr>
      <vt:lpstr>v_99_XS</vt:lpstr>
      <vt:lpstr>v_99_XSOO</vt:lpstr>
      <vt:lpstr>v_99_XSTR</vt:lpstr>
      <vt:lpstr>v_99_XU</vt:lpstr>
      <vt:lpstr>v_99_XVivi</vt:lpstr>
      <vt:lpstr>V_mol_N</vt:lpstr>
      <vt:lpstr>X_ACP</vt:lpstr>
      <vt:lpstr>X_ALGAE</vt:lpstr>
      <vt:lpstr>X_AMETO</vt:lpstr>
      <vt:lpstr>X_AMX</vt:lpstr>
      <vt:lpstr>X_AOB</vt:lpstr>
      <vt:lpstr>X_ASRO</vt:lpstr>
      <vt:lpstr>X_B</vt:lpstr>
      <vt:lpstr>X_B_e</vt:lpstr>
      <vt:lpstr>X_BIO</vt:lpstr>
      <vt:lpstr>X_BOD_5</vt:lpstr>
      <vt:lpstr>X_BOD_ult</vt:lpstr>
      <vt:lpstr>X_BSH</vt:lpstr>
      <vt:lpstr>X_CaCO3</vt:lpstr>
      <vt:lpstr>X_CASTO</vt:lpstr>
      <vt:lpstr>X_COD</vt:lpstr>
      <vt:lpstr>X_CsbCOD</vt:lpstr>
      <vt:lpstr>X_DM</vt:lpstr>
      <vt:lpstr>X_E</vt:lpstr>
      <vt:lpstr>X_E_ana</vt:lpstr>
      <vt:lpstr>X_FeS</vt:lpstr>
      <vt:lpstr>X_GAO</vt:lpstr>
      <vt:lpstr>X_HAO</vt:lpstr>
      <vt:lpstr>X_HAO_H</vt:lpstr>
      <vt:lpstr>X_HAO_H_P</vt:lpstr>
      <vt:lpstr>X_HAO_H_P_old</vt:lpstr>
      <vt:lpstr>X_HAO_ISS</vt:lpstr>
      <vt:lpstr>X_HAO_L</vt:lpstr>
      <vt:lpstr>X_HAO_L_P</vt:lpstr>
      <vt:lpstr>X_HAO_L_P_old</vt:lpstr>
      <vt:lpstr>X_HAO_old</vt:lpstr>
      <vt:lpstr>X_HAO_P</vt:lpstr>
      <vt:lpstr>X_HAO_TSS</vt:lpstr>
      <vt:lpstr>X_HET</vt:lpstr>
      <vt:lpstr>X_HET_HYD_lim</vt:lpstr>
      <vt:lpstr>X_HFO</vt:lpstr>
      <vt:lpstr>X_HFO_H</vt:lpstr>
      <vt:lpstr>X_HFO_H_P</vt:lpstr>
      <vt:lpstr>X_HFO_H_P_old</vt:lpstr>
      <vt:lpstr>X_HFO_ISS</vt:lpstr>
      <vt:lpstr>X_HFO_L</vt:lpstr>
      <vt:lpstr>X_HFO_L_P</vt:lpstr>
      <vt:lpstr>X_HFO_L_P_old</vt:lpstr>
      <vt:lpstr>X_HFO_old</vt:lpstr>
      <vt:lpstr>X_HFO_P</vt:lpstr>
      <vt:lpstr>X_HFO_TSS</vt:lpstr>
      <vt:lpstr>X_HMETO</vt:lpstr>
      <vt:lpstr>X_HSRO</vt:lpstr>
      <vt:lpstr>X_INORG</vt:lpstr>
      <vt:lpstr>X_ISS</vt:lpstr>
      <vt:lpstr>X_KN</vt:lpstr>
      <vt:lpstr>X_Me_H2O_TSS</vt:lpstr>
      <vt:lpstr>X_Me_H2O_VSS</vt:lpstr>
      <vt:lpstr>X_Me_ISS</vt:lpstr>
      <vt:lpstr>X_Me_TSS</vt:lpstr>
      <vt:lpstr>X_MEOLO</vt:lpstr>
      <vt:lpstr>X_N_B</vt:lpstr>
      <vt:lpstr>X_N_Be</vt:lpstr>
      <vt:lpstr>X_N_U</vt:lpstr>
      <vt:lpstr>X_NOB</vt:lpstr>
      <vt:lpstr>X_OHO</vt:lpstr>
      <vt:lpstr>X_P</vt:lpstr>
      <vt:lpstr>X_P_B</vt:lpstr>
      <vt:lpstr>X_P_Be</vt:lpstr>
      <vt:lpstr>X_P_U</vt:lpstr>
      <vt:lpstr>X_PAO</vt:lpstr>
      <vt:lpstr>X_PFOA</vt:lpstr>
      <vt:lpstr>X_PFOS</vt:lpstr>
      <vt:lpstr>X_PHA_CASTO</vt:lpstr>
      <vt:lpstr>X_PHA_GAO</vt:lpstr>
      <vt:lpstr>X_PHA_PAO</vt:lpstr>
      <vt:lpstr>X_PP</vt:lpstr>
      <vt:lpstr>X_PP_PAO_min</vt:lpstr>
      <vt:lpstr>X_precip</vt:lpstr>
      <vt:lpstr>X_S</vt:lpstr>
      <vt:lpstr>X_SOO</vt:lpstr>
      <vt:lpstr>X_STC</vt:lpstr>
      <vt:lpstr>X_STR</vt:lpstr>
      <vt:lpstr>X_TSS</vt:lpstr>
      <vt:lpstr>X_U</vt:lpstr>
      <vt:lpstr>X_Vivi</vt:lpstr>
      <vt:lpstr>X_VS</vt:lpstr>
      <vt:lpstr>X_VS_ult</vt:lpstr>
      <vt:lpstr>X_VSS</vt:lpstr>
      <vt:lpstr>X_VSS_BIO</vt:lpstr>
      <vt:lpstr>Y_AMETO</vt:lpstr>
      <vt:lpstr>Y_AMX_NO2</vt:lpstr>
      <vt:lpstr>Y_AMX_NO3</vt:lpstr>
      <vt:lpstr>Y_AOB</vt:lpstr>
      <vt:lpstr>Y_ASRO</vt:lpstr>
      <vt:lpstr>Y_BOD_ult</vt:lpstr>
      <vt:lpstr>Y_CASTO_H2_ana_high</vt:lpstr>
      <vt:lpstr>Y_CASTO_H2_ana_low</vt:lpstr>
      <vt:lpstr>Y_CASTO_SB_ana</vt:lpstr>
      <vt:lpstr>Y_CASTO_STC_anox</vt:lpstr>
      <vt:lpstr>Y_CASTO_STC_ox</vt:lpstr>
      <vt:lpstr>y_fdi</vt:lpstr>
      <vt:lpstr>y_fmono</vt:lpstr>
      <vt:lpstr>y_ftri</vt:lpstr>
      <vt:lpstr>Y_GAO_PHA_anox</vt:lpstr>
      <vt:lpstr>Y_GAO_PHA_ox</vt:lpstr>
      <vt:lpstr>Y_HMETO</vt:lpstr>
      <vt:lpstr>Y_HSRO</vt:lpstr>
      <vt:lpstr>Y_MEOLO</vt:lpstr>
      <vt:lpstr>Y_NOB</vt:lpstr>
      <vt:lpstr>Y_OHO_H2_ana_high</vt:lpstr>
      <vt:lpstr>Y_OHO_H2_ana_low</vt:lpstr>
      <vt:lpstr>Y_OHO_SB_ana</vt:lpstr>
      <vt:lpstr>Y_OHO_SB_anox</vt:lpstr>
      <vt:lpstr>Y_OHO_SB_ox</vt:lpstr>
      <vt:lpstr>Y_OHO_SMEOL_ox</vt:lpstr>
      <vt:lpstr>Y_OHO_VFA_anox</vt:lpstr>
      <vt:lpstr>Y_OHO_VFA_ox</vt:lpstr>
      <vt:lpstr>y_ORP_GAO_Half_T</vt:lpstr>
      <vt:lpstr>Y_PAO_PHA_anox</vt:lpstr>
      <vt:lpstr>Y_PAO_PHA_ox</vt:lpstr>
      <vt:lpstr>Y_PP_CASTO_anox</vt:lpstr>
      <vt:lpstr>Y_PP_CASTO_ox</vt:lpstr>
      <vt:lpstr>Y_SOO_H2S_anox</vt:lpstr>
      <vt:lpstr>Y_SOO_H2S_ox</vt:lpstr>
      <vt:lpstr>Y_SOO_S_anox</vt:lpstr>
      <vt:lpstr>Y_SOO_S_ox</vt:lpstr>
      <vt:lpstr>α_pred</vt:lpstr>
      <vt:lpstr>Δ_atm</vt:lpstr>
      <vt:lpstr>ε__</vt:lpstr>
      <vt:lpstr>η_b_ana</vt:lpstr>
      <vt:lpstr>η_b_anox</vt:lpstr>
      <vt:lpstr>η_bCASTO_ana</vt:lpstr>
      <vt:lpstr>η_bCASTO_anox</vt:lpstr>
      <vt:lpstr>η_bPHA_ana</vt:lpstr>
      <vt:lpstr>η_bPP_aer</vt:lpstr>
      <vt:lpstr>η_bPP_anox</vt:lpstr>
      <vt:lpstr>η_bSTC_anox</vt:lpstr>
      <vt:lpstr>η_CASTO_anox</vt:lpstr>
      <vt:lpstr>η_H2O</vt:lpstr>
      <vt:lpstr>η_HYD_ana</vt:lpstr>
      <vt:lpstr>η_HYD_anox</vt:lpstr>
      <vt:lpstr>η_OHO_anox</vt:lpstr>
      <vt:lpstr>η_OHO_anox_NO2red</vt:lpstr>
      <vt:lpstr>θ_µ_ALGAE</vt:lpstr>
      <vt:lpstr>θ_µ_AMETO</vt:lpstr>
      <vt:lpstr>θ_µ_AMX</vt:lpstr>
      <vt:lpstr>θ_µ_AOB</vt:lpstr>
      <vt:lpstr>θ_µ_ASRO</vt:lpstr>
      <vt:lpstr>θ_µ_CASTO</vt:lpstr>
      <vt:lpstr>θ_µ_HMETO</vt:lpstr>
      <vt:lpstr>θ_µ_HSRO</vt:lpstr>
      <vt:lpstr>θ_µ_MEOLO</vt:lpstr>
      <vt:lpstr>θ_µ_NOB</vt:lpstr>
      <vt:lpstr>θ_µ_OHO</vt:lpstr>
      <vt:lpstr>θ_µ_PAO_lim</vt:lpstr>
      <vt:lpstr>θ_µ_SOO_H2S</vt:lpstr>
      <vt:lpstr>θ_µ_SOO_S</vt:lpstr>
      <vt:lpstr>θ_b_ALGAE</vt:lpstr>
      <vt:lpstr>θ_b_AMETO</vt:lpstr>
      <vt:lpstr>θ_b_AMX</vt:lpstr>
      <vt:lpstr>θ_b_AOB</vt:lpstr>
      <vt:lpstr>θ_b_ASRO</vt:lpstr>
      <vt:lpstr>θ_b_CASTO</vt:lpstr>
      <vt:lpstr>θ_b_HMETO</vt:lpstr>
      <vt:lpstr>θ_b_HSRO</vt:lpstr>
      <vt:lpstr>θ_b_MEOLO</vt:lpstr>
      <vt:lpstr>θ_b_NOB</vt:lpstr>
      <vt:lpstr>θ_b_OHO</vt:lpstr>
      <vt:lpstr>θ_b_PP_ana</vt:lpstr>
      <vt:lpstr>θ_b_SOO</vt:lpstr>
      <vt:lpstr>θ_b_STC</vt:lpstr>
      <vt:lpstr>θ_FERM_OHO</vt:lpstr>
      <vt:lpstr>θ_FERM_PAO</vt:lpstr>
      <vt:lpstr>θ_q_AMMON</vt:lpstr>
      <vt:lpstr>θ_q_ASSIM</vt:lpstr>
      <vt:lpstr>θ_q_Fe2_OX</vt:lpstr>
      <vt:lpstr>θ_q_FeS_OX</vt:lpstr>
      <vt:lpstr>θ_q_FLOC</vt:lpstr>
      <vt:lpstr>θ_q_FLOC_HAO</vt:lpstr>
      <vt:lpstr>θ_q_FLOC_HFO</vt:lpstr>
      <vt:lpstr>θ_q_GAO_PHA</vt:lpstr>
      <vt:lpstr>θ_q_HFO_H2S_RED</vt:lpstr>
      <vt:lpstr>θ_q_HFO_RED</vt:lpstr>
      <vt:lpstr>θ_q_HYD</vt:lpstr>
      <vt:lpstr>θ_q_PAO_PHA</vt:lpstr>
      <vt:lpstr>θ_q_PAO_PP</vt:lpstr>
      <vt:lpstr>θ_q_SPB</vt:lpstr>
      <vt:lpstr>θ_q_XE</vt:lpstr>
      <vt:lpstr>θ_q_XU</vt:lpstr>
      <vt:lpstr>κ__</vt:lpstr>
      <vt:lpstr>λ_H</vt:lpstr>
      <vt:lpstr>ρ__</vt:lpstr>
      <vt:lpstr>ρ_air</vt:lpstr>
      <vt:lpstr>ρ_H2O</vt:lpstr>
      <vt:lpstr>σ_H2O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Dynamita</dc:creator>
  <cp:lastModifiedBy>Helene Hauduc</cp:lastModifiedBy>
  <cp:lastPrinted>2014-02-20T12:15:16Z</cp:lastPrinted>
  <dcterms:created xsi:type="dcterms:W3CDTF">2006-09-16T00:00:00Z</dcterms:created>
  <dcterms:modified xsi:type="dcterms:W3CDTF">2025-01-06T16:20:23Z</dcterms:modified>
</cp:coreProperties>
</file>